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comments2.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EstaPasta_de_trabalho" defaultThemeVersion="124226"/>
  <mc:AlternateContent xmlns:mc="http://schemas.openxmlformats.org/markup-compatibility/2006">
    <mc:Choice Requires="x15">
      <x15ac:absPath xmlns:x15ac="http://schemas.microsoft.com/office/spreadsheetml/2010/11/ac" url="O:\SKEW\Refractories\Solutions Engineering\Templates\BOM\"/>
    </mc:Choice>
  </mc:AlternateContent>
  <xr:revisionPtr revIDLastSave="0" documentId="13_ncr:1_{787F88E3-30BA-452B-88E1-6F7DF1492AB7}" xr6:coauthVersionLast="47" xr6:coauthVersionMax="47" xr10:uidLastSave="{00000000-0000-0000-0000-000000000000}"/>
  <bookViews>
    <workbookView xWindow="-108" yWindow="-108" windowWidth="23256" windowHeight="14016" tabRatio="664" firstSheet="8" activeTab="8" xr2:uid="{00000000-000D-0000-FFFF-FFFF00000000}"/>
  </bookViews>
  <sheets>
    <sheet name="COMPILED" sheetId="27" r:id="rId1"/>
    <sheet name="Unidades" sheetId="12" r:id="rId2"/>
    <sheet name="Aplicação do Concreto" sheetId="13" r:id="rId3"/>
    <sheet name="Densidades" sheetId="1" r:id="rId4"/>
    <sheet name="Material_Code" sheetId="37" state="hidden" r:id="rId5"/>
    <sheet name="brands_unshaped" sheetId="36" state="hidden" r:id="rId6"/>
    <sheet name="brands_shaped" sheetId="35" state="hidden" r:id="rId7"/>
    <sheet name="Formatos" sheetId="4" r:id="rId8"/>
    <sheet name="Memória TOTAL" sheetId="26" r:id="rId9"/>
    <sheet name="Recomendadas TOTAL" sheetId="21" r:id="rId10"/>
    <sheet name="FRONT SHEET" sheetId="18" r:id="rId11"/>
    <sheet name="TOTAL" sheetId="10" r:id="rId12"/>
    <sheet name="OVERALL" sheetId="19" r:id="rId13"/>
    <sheet name="FILTER" sheetId="29" r:id="rId14"/>
    <sheet name="SAP_FINAL" sheetId="30" r:id="rId15"/>
    <sheet name="SAP_COMPILED" sheetId="28" r:id="rId16"/>
    <sheet name="ITEM_REFERENCE" sheetId="31" state="hidden" r:id="rId17"/>
  </sheets>
  <functionGroups builtInGroupCount="19"/>
  <definedNames>
    <definedName name="_xlnm._FilterDatabase" localSheetId="3" hidden="1">Densidades!$A$1:$J$99</definedName>
    <definedName name="_xlnm.Print_Area" localSheetId="0">COMPILED!$A:$Y</definedName>
    <definedName name="_xlnm.Print_Area" localSheetId="10">'FRONT SHEET'!$A$1:$AA$22</definedName>
    <definedName name="_xlnm.Print_Area" localSheetId="8">'Memória TOTAL'!$A$1:$X$644</definedName>
    <definedName name="_xlnm.Print_Area" localSheetId="12">OVERALL!$A:$AA</definedName>
    <definedName name="_xlnm.Print_Area" localSheetId="11">TOTAL!$A:$AA</definedName>
    <definedName name="Classif_Descr">Tabela1[Descrição]</definedName>
    <definedName name="DadosExternos_1" localSheetId="13" hidden="1">FILTER!$A$1:$A$10</definedName>
    <definedName name="DadosExternos_1" localSheetId="16" hidden="1">ITEM_REFERENCE!$A$1:$A$39</definedName>
    <definedName name="DadosExternos_1" localSheetId="4" hidden="1">Material_Code!$A$1:$D$1818</definedName>
    <definedName name="DadosExternos_2" localSheetId="13" hidden="1">FILTER!$E$1:$E$32</definedName>
    <definedName name="DadosExternos_2" localSheetId="14" hidden="1">SAP_FINAL!$E$2:$J$3</definedName>
    <definedName name="DadosExternos_3" localSheetId="6" hidden="1">brands_shaped!$A$1:$D$2893</definedName>
    <definedName name="DadosExternos_3" localSheetId="14" hidden="1">SAP_FINAL!$A$1:$A$996</definedName>
    <definedName name="DadosExternos_4" localSheetId="5" hidden="1">brands_unshaped!$A$1:$E$1790</definedName>
    <definedName name="_xlnm.Print_Titles" localSheetId="0">COMPILED!$1:$11</definedName>
    <definedName name="_xlnm.Print_Titles" localSheetId="10">'FRONT SHEET'!$1:$11</definedName>
    <definedName name="_xlnm.Print_Titles" localSheetId="12">OVERALL!$1:$11</definedName>
    <definedName name="_xlnm.Print_Titles" localSheetId="11">TOTAL!$1:$11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9" i="28" l="1"/>
  <c r="D39" i="28"/>
  <c r="I39" i="28"/>
  <c r="J39" i="28"/>
  <c r="M39" i="28"/>
  <c r="N39" i="28"/>
  <c r="O39" i="28"/>
  <c r="Q39" i="28" s="1"/>
  <c r="K39" i="28" a="1"/>
  <c r="L39" i="28" a="1"/>
  <c r="T39" i="28" l="1"/>
  <c r="L39" i="28"/>
  <c r="K39" i="28"/>
  <c r="R39" i="28" s="1"/>
  <c r="C39" i="28"/>
  <c r="A39" i="28" l="1" a="1"/>
  <c r="A39" i="28" s="1"/>
  <c r="S39" i="28" l="1"/>
  <c r="B3" i="1" l="1"/>
  <c r="B53" i="1"/>
  <c r="B56" i="1" l="1"/>
  <c r="B16" i="1"/>
  <c r="B18" i="1"/>
  <c r="B7" i="1"/>
  <c r="B10" i="1"/>
  <c r="B8" i="1"/>
  <c r="B6" i="1"/>
  <c r="B5" i="1"/>
  <c r="B4" i="1"/>
  <c r="T1233" i="26"/>
  <c r="T1232" i="26"/>
  <c r="B696" i="26"/>
  <c r="T597" i="26"/>
  <c r="B60" i="26"/>
  <c r="T596" i="26"/>
  <c r="T1339" i="4"/>
  <c r="T1338" i="4"/>
  <c r="T1337" i="4"/>
  <c r="T1336" i="4"/>
  <c r="T1335" i="4"/>
  <c r="T1334" i="4"/>
  <c r="T1333" i="4"/>
  <c r="T1332" i="4"/>
  <c r="T1331" i="4"/>
  <c r="T1329" i="4"/>
  <c r="T1328" i="4"/>
  <c r="T1327" i="4"/>
  <c r="T1326" i="4"/>
  <c r="T1325" i="4"/>
  <c r="T1324" i="4"/>
  <c r="T1323" i="4"/>
  <c r="T1322" i="4"/>
  <c r="T1321" i="4"/>
  <c r="T1320" i="4"/>
  <c r="T1319" i="4"/>
  <c r="T1318" i="4"/>
  <c r="T1317" i="4"/>
  <c r="T1316" i="4"/>
  <c r="T1315" i="4"/>
  <c r="T1314" i="4"/>
  <c r="T1313" i="4"/>
  <c r="T1312" i="4"/>
  <c r="T1311" i="4"/>
  <c r="T1310" i="4"/>
  <c r="T1309" i="4"/>
  <c r="T1308" i="4"/>
  <c r="T1307" i="4"/>
  <c r="T1306" i="4"/>
  <c r="T1305" i="4"/>
  <c r="T1304" i="4"/>
  <c r="T1303" i="4"/>
  <c r="T1302" i="4"/>
  <c r="T1300" i="4"/>
  <c r="T1299" i="4"/>
  <c r="T1298" i="4"/>
  <c r="T1297" i="4"/>
  <c r="T1296" i="4"/>
  <c r="T1295" i="4"/>
  <c r="T1294" i="4"/>
  <c r="T1293" i="4"/>
  <c r="T1292" i="4"/>
  <c r="T1291" i="4"/>
  <c r="T1290" i="4"/>
  <c r="T1289" i="4"/>
  <c r="T1288" i="4"/>
  <c r="T1287" i="4"/>
  <c r="T1286" i="4"/>
  <c r="T1285" i="4"/>
  <c r="T1284" i="4"/>
  <c r="T1283" i="4"/>
  <c r="T1282" i="4"/>
  <c r="T1281" i="4"/>
  <c r="T1280" i="4"/>
  <c r="T1279" i="4"/>
  <c r="T1278" i="4"/>
  <c r="T1277" i="4"/>
  <c r="T1276" i="4"/>
  <c r="T1275" i="4"/>
  <c r="T1274" i="4"/>
  <c r="T1273" i="4"/>
  <c r="T1272" i="4"/>
  <c r="T1271" i="4"/>
  <c r="T1270" i="4"/>
  <c r="T1269" i="4"/>
  <c r="T1268" i="4"/>
  <c r="T1267" i="4"/>
  <c r="T1266" i="4"/>
  <c r="T1265" i="4"/>
  <c r="T1264" i="4"/>
  <c r="T1263" i="4"/>
  <c r="T1262" i="4"/>
  <c r="T1261" i="4"/>
  <c r="T1260" i="4"/>
  <c r="T1259" i="4"/>
  <c r="T1258" i="4"/>
  <c r="T1257" i="4"/>
  <c r="T1256" i="4"/>
  <c r="T1255" i="4"/>
  <c r="T1254" i="4"/>
  <c r="T1253" i="4"/>
  <c r="T1252" i="4"/>
  <c r="T1251" i="4"/>
  <c r="T1250" i="4"/>
  <c r="T1249" i="4"/>
  <c r="T1248" i="4"/>
  <c r="T1247" i="4"/>
  <c r="T1246" i="4"/>
  <c r="T1245" i="4"/>
  <c r="T1244" i="4"/>
  <c r="T1243" i="4"/>
  <c r="T1242" i="4"/>
  <c r="T1241" i="4"/>
  <c r="T1240" i="4"/>
  <c r="T1239" i="4"/>
  <c r="T1238" i="4"/>
  <c r="T1237" i="4"/>
  <c r="T1236" i="4"/>
  <c r="T1235" i="4"/>
  <c r="T1234" i="4"/>
  <c r="T1233" i="4"/>
  <c r="T1232" i="4"/>
  <c r="T1231" i="4"/>
  <c r="T1230" i="4"/>
  <c r="T1229" i="4"/>
  <c r="T1228" i="4"/>
  <c r="T1227" i="4"/>
  <c r="T1226" i="4"/>
  <c r="T1225" i="4"/>
  <c r="T1224" i="4"/>
  <c r="T1223" i="4"/>
  <c r="T1222" i="4"/>
  <c r="T1221" i="4"/>
  <c r="T1220" i="4"/>
  <c r="T1219" i="4"/>
  <c r="T1218" i="4"/>
  <c r="T1217" i="4"/>
  <c r="T1216" i="4"/>
  <c r="T1215" i="4"/>
  <c r="T1214" i="4"/>
  <c r="T1213" i="4"/>
  <c r="T1212" i="4"/>
  <c r="T1211" i="4"/>
  <c r="T1210" i="4"/>
  <c r="T1206" i="4"/>
  <c r="T1205" i="4"/>
  <c r="T1204" i="4"/>
  <c r="T1203" i="4"/>
  <c r="T1202" i="4"/>
  <c r="T1201" i="4"/>
  <c r="T1200" i="4"/>
  <c r="T1199" i="4"/>
  <c r="T1198" i="4"/>
  <c r="T1197" i="4"/>
  <c r="T1196" i="4"/>
  <c r="T1195" i="4"/>
  <c r="T1193" i="4"/>
  <c r="T1192" i="4"/>
  <c r="T1191" i="4"/>
  <c r="T1190" i="4"/>
  <c r="T1189" i="4"/>
  <c r="T1188" i="4"/>
  <c r="T1187" i="4"/>
  <c r="T1186" i="4"/>
  <c r="T1185" i="4"/>
  <c r="T1184" i="4"/>
  <c r="T1183" i="4"/>
  <c r="T1182" i="4"/>
  <c r="T1180" i="4"/>
  <c r="T1179" i="4"/>
  <c r="T1178" i="4"/>
  <c r="T1177" i="4"/>
  <c r="T1176" i="4"/>
  <c r="T1175" i="4"/>
  <c r="T1174" i="4"/>
  <c r="T1173" i="4"/>
  <c r="T1172" i="4"/>
  <c r="T1171" i="4"/>
  <c r="T1170" i="4"/>
  <c r="T1169" i="4"/>
  <c r="T1168" i="4"/>
  <c r="T1167" i="4"/>
  <c r="T1166" i="4"/>
  <c r="T1165" i="4"/>
  <c r="T1162" i="4"/>
  <c r="T1161" i="4"/>
  <c r="T1160" i="4"/>
  <c r="T1159" i="4"/>
  <c r="T1158" i="4"/>
  <c r="T1157" i="4"/>
  <c r="T1156" i="4"/>
  <c r="T1155" i="4"/>
  <c r="T1154" i="4"/>
  <c r="T1153" i="4"/>
  <c r="T1151" i="4"/>
  <c r="T1150" i="4"/>
  <c r="T1149" i="4"/>
  <c r="T1148" i="4"/>
  <c r="T1147" i="4"/>
  <c r="T1146" i="4"/>
  <c r="T1145" i="4"/>
  <c r="T1144" i="4"/>
  <c r="T1143" i="4"/>
  <c r="T1142" i="4"/>
  <c r="T1141" i="4"/>
  <c r="T1140" i="4"/>
  <c r="T1139" i="4"/>
  <c r="T1138" i="4"/>
  <c r="T1137" i="4"/>
  <c r="T1136" i="4"/>
  <c r="T1135" i="4"/>
  <c r="T1134" i="4"/>
  <c r="T1133" i="4"/>
  <c r="T1132" i="4"/>
  <c r="T1131" i="4"/>
  <c r="T1130" i="4"/>
  <c r="T1128" i="4"/>
  <c r="T1127" i="4"/>
  <c r="T1126" i="4"/>
  <c r="T1125" i="4"/>
  <c r="T1124" i="4"/>
  <c r="T1123" i="4"/>
  <c r="T1122" i="4"/>
  <c r="T1121" i="4"/>
  <c r="T1120" i="4"/>
  <c r="T1119" i="4"/>
  <c r="T1118" i="4"/>
  <c r="T1117" i="4"/>
  <c r="T1116" i="4"/>
  <c r="T1115" i="4"/>
  <c r="T1114" i="4"/>
  <c r="T1113" i="4"/>
  <c r="T1112" i="4"/>
  <c r="T1111" i="4"/>
  <c r="T1110" i="4"/>
  <c r="T1109" i="4"/>
  <c r="T1108" i="4"/>
  <c r="T1107" i="4"/>
  <c r="T1106" i="4"/>
  <c r="T1105" i="4"/>
  <c r="T1104" i="4"/>
  <c r="T1103" i="4"/>
  <c r="T1102" i="4"/>
  <c r="T1101" i="4"/>
  <c r="T1100" i="4"/>
  <c r="T1099" i="4"/>
  <c r="T1098" i="4"/>
  <c r="T1097" i="4"/>
  <c r="T1052" i="4"/>
  <c r="T1051" i="4"/>
  <c r="T1050" i="4"/>
  <c r="T1049" i="4"/>
  <c r="T1048" i="4"/>
  <c r="T1047" i="4"/>
  <c r="T1046" i="4"/>
  <c r="T1045" i="4"/>
  <c r="T1044" i="4"/>
  <c r="T1043" i="4"/>
  <c r="T1042" i="4"/>
  <c r="T1041" i="4"/>
  <c r="T1039" i="4"/>
  <c r="T1038" i="4"/>
  <c r="T1037" i="4"/>
  <c r="T1036" i="4"/>
  <c r="T1035" i="4"/>
  <c r="T1034" i="4"/>
  <c r="T1033" i="4"/>
  <c r="T1032" i="4"/>
  <c r="T1031" i="4"/>
  <c r="T1030" i="4"/>
  <c r="T1029" i="4"/>
  <c r="T1028" i="4"/>
  <c r="T1027" i="4"/>
  <c r="T1026" i="4"/>
  <c r="T1025" i="4"/>
  <c r="T1024" i="4"/>
  <c r="T1023" i="4"/>
  <c r="T1022" i="4"/>
  <c r="T1021" i="4"/>
  <c r="T1020" i="4"/>
  <c r="T1019" i="4"/>
  <c r="T1018" i="4"/>
  <c r="T1017" i="4"/>
  <c r="T1016" i="4"/>
  <c r="T1015" i="4"/>
  <c r="T1014" i="4"/>
  <c r="T1013" i="4"/>
  <c r="T1012" i="4"/>
  <c r="T1011" i="4"/>
  <c r="T1010" i="4"/>
  <c r="T1009" i="4"/>
  <c r="T1008" i="4"/>
  <c r="T1007" i="4"/>
  <c r="T1006" i="4"/>
  <c r="T1005" i="4"/>
  <c r="T1004" i="4"/>
  <c r="T1003" i="4"/>
  <c r="T1002" i="4"/>
  <c r="T1001" i="4"/>
  <c r="T1000" i="4"/>
  <c r="T999" i="4"/>
  <c r="T998" i="4"/>
  <c r="T997" i="4"/>
  <c r="T996" i="4"/>
  <c r="T995" i="4"/>
  <c r="T994" i="4"/>
  <c r="T993" i="4"/>
  <c r="T992" i="4"/>
  <c r="T991" i="4"/>
  <c r="T990" i="4"/>
  <c r="T989" i="4"/>
  <c r="T988" i="4"/>
  <c r="T987" i="4"/>
  <c r="T986" i="4"/>
  <c r="T985" i="4"/>
  <c r="T984" i="4"/>
  <c r="T983" i="4"/>
  <c r="T982" i="4"/>
  <c r="T981" i="4"/>
  <c r="T980" i="4"/>
  <c r="T978" i="4"/>
  <c r="T977" i="4"/>
  <c r="T976" i="4"/>
  <c r="T975" i="4"/>
  <c r="T974" i="4"/>
  <c r="T973" i="4"/>
  <c r="T972" i="4"/>
  <c r="T971" i="4"/>
  <c r="T970" i="4"/>
  <c r="T969" i="4"/>
  <c r="T968" i="4"/>
  <c r="T967" i="4"/>
  <c r="T966" i="4"/>
  <c r="T965" i="4"/>
  <c r="T964" i="4"/>
  <c r="T963" i="4"/>
  <c r="T962" i="4"/>
  <c r="T961" i="4"/>
  <c r="T960" i="4"/>
  <c r="T959" i="4"/>
  <c r="T958" i="4"/>
  <c r="T957" i="4"/>
  <c r="T956" i="4"/>
  <c r="T955" i="4"/>
  <c r="T954" i="4"/>
  <c r="T953" i="4"/>
  <c r="T952" i="4"/>
  <c r="T951" i="4"/>
  <c r="T950" i="4"/>
  <c r="T949" i="4"/>
  <c r="T948" i="4"/>
  <c r="T947" i="4"/>
  <c r="T946" i="4"/>
  <c r="T945" i="4"/>
  <c r="T944" i="4"/>
  <c r="T943" i="4"/>
  <c r="T942" i="4"/>
  <c r="T941" i="4"/>
  <c r="T940" i="4"/>
  <c r="T939" i="4"/>
  <c r="T938" i="4"/>
  <c r="T937" i="4"/>
  <c r="T936" i="4"/>
  <c r="T935" i="4"/>
  <c r="T934" i="4"/>
  <c r="T931" i="4"/>
  <c r="T930" i="4"/>
  <c r="T929" i="4"/>
  <c r="T928" i="4"/>
  <c r="T927" i="4"/>
  <c r="T926" i="4"/>
  <c r="T925" i="4"/>
  <c r="T924" i="4"/>
  <c r="T923" i="4"/>
  <c r="T922" i="4"/>
  <c r="T921" i="4"/>
  <c r="T920" i="4"/>
  <c r="T919" i="4"/>
  <c r="T918" i="4"/>
  <c r="T917" i="4"/>
  <c r="T916" i="4"/>
  <c r="T915" i="4"/>
  <c r="T914" i="4"/>
  <c r="T913" i="4"/>
  <c r="T912" i="4"/>
  <c r="T911" i="4"/>
  <c r="T910" i="4"/>
  <c r="T909" i="4"/>
  <c r="T908" i="4"/>
  <c r="T907" i="4"/>
  <c r="T906" i="4"/>
  <c r="T905" i="4"/>
  <c r="T904" i="4"/>
  <c r="T903" i="4"/>
  <c r="T902" i="4"/>
  <c r="T901" i="4"/>
  <c r="T900" i="4"/>
  <c r="T899" i="4"/>
  <c r="T898" i="4"/>
  <c r="T897" i="4"/>
  <c r="T896" i="4"/>
  <c r="T895" i="4"/>
  <c r="T894" i="4"/>
  <c r="T893" i="4"/>
  <c r="T892" i="4"/>
  <c r="T891" i="4"/>
  <c r="T890" i="4"/>
  <c r="T889" i="4"/>
  <c r="T888" i="4"/>
  <c r="T887" i="4"/>
  <c r="T886" i="4"/>
  <c r="T885" i="4"/>
  <c r="T884" i="4"/>
  <c r="T883" i="4"/>
  <c r="T882" i="4"/>
  <c r="T881" i="4"/>
  <c r="T880" i="4"/>
  <c r="T879" i="4"/>
  <c r="T878" i="4"/>
  <c r="T877" i="4"/>
  <c r="T876" i="4"/>
  <c r="T875" i="4"/>
  <c r="T874" i="4"/>
  <c r="T873" i="4"/>
  <c r="T872" i="4"/>
  <c r="T871" i="4"/>
  <c r="T870" i="4"/>
  <c r="T869" i="4"/>
  <c r="T868" i="4"/>
  <c r="T867" i="4"/>
  <c r="T866" i="4"/>
  <c r="T865" i="4"/>
  <c r="T864" i="4"/>
  <c r="T863" i="4"/>
  <c r="T862" i="4"/>
  <c r="T861" i="4"/>
  <c r="T860" i="4"/>
  <c r="T859" i="4"/>
  <c r="T858" i="4"/>
  <c r="T857" i="4"/>
  <c r="T856" i="4"/>
  <c r="T855" i="4"/>
  <c r="T854" i="4"/>
  <c r="T853" i="4"/>
  <c r="T852" i="4"/>
  <c r="T851" i="4"/>
  <c r="T850" i="4"/>
  <c r="T849" i="4"/>
  <c r="T848" i="4"/>
  <c r="T847" i="4"/>
  <c r="T846" i="4"/>
  <c r="T845" i="4"/>
  <c r="T844" i="4"/>
  <c r="T843" i="4"/>
  <c r="T842" i="4"/>
  <c r="T841" i="4"/>
  <c r="T840" i="4"/>
  <c r="T839" i="4"/>
  <c r="T838" i="4"/>
  <c r="T837" i="4"/>
  <c r="T836" i="4"/>
  <c r="T835" i="4"/>
  <c r="T834" i="4"/>
  <c r="T833" i="4"/>
  <c r="T832" i="4"/>
  <c r="T831" i="4"/>
  <c r="T830" i="4"/>
  <c r="T829" i="4"/>
  <c r="T828" i="4"/>
  <c r="T827" i="4"/>
  <c r="T826" i="4"/>
  <c r="T825" i="4"/>
  <c r="T824" i="4"/>
  <c r="T823" i="4"/>
  <c r="T822" i="4"/>
  <c r="T821" i="4"/>
  <c r="T820" i="4"/>
  <c r="T819" i="4"/>
  <c r="T818" i="4"/>
  <c r="T817" i="4"/>
  <c r="T816" i="4"/>
  <c r="T815" i="4"/>
  <c r="T814" i="4"/>
  <c r="T813" i="4"/>
  <c r="T812" i="4"/>
  <c r="T811" i="4"/>
  <c r="T810" i="4"/>
  <c r="T809" i="4"/>
  <c r="T808" i="4"/>
  <c r="T807" i="4"/>
  <c r="T806" i="4"/>
  <c r="T805" i="4"/>
  <c r="T804" i="4"/>
  <c r="T803" i="4"/>
  <c r="T802" i="4"/>
  <c r="T801" i="4"/>
  <c r="T800" i="4"/>
  <c r="T799" i="4"/>
  <c r="T798" i="4"/>
  <c r="T797" i="4"/>
  <c r="T796" i="4"/>
  <c r="T795" i="4"/>
  <c r="T794" i="4"/>
  <c r="T793" i="4"/>
  <c r="T792" i="4"/>
  <c r="T791" i="4"/>
  <c r="T790" i="4"/>
  <c r="T789" i="4"/>
  <c r="T788" i="4"/>
  <c r="T787" i="4"/>
  <c r="T786" i="4"/>
  <c r="T785" i="4"/>
  <c r="T784" i="4"/>
  <c r="T783" i="4"/>
  <c r="T782" i="4"/>
  <c r="T781" i="4"/>
  <c r="T780" i="4"/>
  <c r="T779" i="4"/>
  <c r="T778" i="4"/>
  <c r="T777" i="4"/>
  <c r="T776" i="4"/>
  <c r="T775" i="4"/>
  <c r="T774" i="4"/>
  <c r="T773" i="4"/>
  <c r="T772" i="4"/>
  <c r="T771" i="4"/>
  <c r="T770" i="4"/>
  <c r="T769" i="4"/>
  <c r="T768" i="4"/>
  <c r="T767" i="4"/>
  <c r="T766" i="4"/>
  <c r="T765" i="4"/>
  <c r="T764" i="4"/>
  <c r="T763" i="4"/>
  <c r="T762" i="4"/>
  <c r="T761" i="4"/>
  <c r="T760" i="4"/>
  <c r="T758" i="4"/>
  <c r="T757" i="4"/>
  <c r="T756" i="4"/>
  <c r="T755" i="4"/>
  <c r="T754" i="4"/>
  <c r="T753" i="4"/>
  <c r="T752" i="4"/>
  <c r="T751" i="4"/>
  <c r="T750" i="4"/>
  <c r="T749" i="4"/>
  <c r="T748" i="4"/>
  <c r="T747" i="4"/>
  <c r="T746" i="4"/>
  <c r="T745" i="4"/>
  <c r="T744" i="4"/>
  <c r="T743" i="4"/>
  <c r="T742" i="4"/>
  <c r="T741" i="4"/>
  <c r="T740" i="4"/>
  <c r="T739" i="4"/>
  <c r="T738" i="4"/>
  <c r="T737" i="4"/>
  <c r="T736" i="4"/>
  <c r="T735" i="4"/>
  <c r="T734" i="4"/>
  <c r="T733" i="4"/>
  <c r="T732" i="4"/>
  <c r="T731" i="4"/>
  <c r="T730" i="4"/>
  <c r="T729" i="4"/>
  <c r="T728" i="4"/>
  <c r="T727" i="4"/>
  <c r="T726" i="4"/>
  <c r="T724" i="4"/>
  <c r="T723" i="4"/>
  <c r="T722" i="4"/>
  <c r="T721" i="4"/>
  <c r="T720" i="4"/>
  <c r="T719" i="4"/>
  <c r="T718" i="4"/>
  <c r="T717" i="4"/>
  <c r="T716" i="4"/>
  <c r="T715" i="4"/>
  <c r="T714" i="4"/>
  <c r="T713" i="4"/>
  <c r="T712" i="4"/>
  <c r="T711" i="4"/>
  <c r="T710" i="4"/>
  <c r="T709" i="4"/>
  <c r="T708" i="4"/>
  <c r="T707" i="4"/>
  <c r="T706" i="4"/>
  <c r="T705" i="4"/>
  <c r="T704" i="4"/>
  <c r="T703" i="4"/>
  <c r="T702" i="4"/>
  <c r="T701" i="4"/>
  <c r="T700" i="4"/>
  <c r="T699" i="4"/>
  <c r="T698" i="4"/>
  <c r="T697" i="4"/>
  <c r="T696" i="4"/>
  <c r="T695" i="4"/>
  <c r="T694" i="4"/>
  <c r="T693" i="4"/>
  <c r="T692" i="4"/>
  <c r="T691" i="4"/>
  <c r="T690" i="4"/>
  <c r="T689" i="4"/>
  <c r="T688" i="4"/>
  <c r="T687" i="4"/>
  <c r="T686" i="4"/>
  <c r="T685" i="4"/>
  <c r="T684" i="4"/>
  <c r="T683" i="4"/>
  <c r="T682" i="4"/>
  <c r="T681" i="4"/>
  <c r="T680" i="4"/>
  <c r="T679" i="4"/>
  <c r="T678" i="4"/>
  <c r="T677" i="4"/>
  <c r="T676" i="4"/>
  <c r="T675" i="4"/>
  <c r="T674" i="4"/>
  <c r="T673" i="4"/>
  <c r="T672" i="4"/>
  <c r="T671" i="4"/>
  <c r="T670" i="4"/>
  <c r="T669" i="4"/>
  <c r="T668" i="4"/>
  <c r="T667" i="4"/>
  <c r="T666" i="4"/>
  <c r="T665" i="4"/>
  <c r="T664" i="4"/>
  <c r="T663" i="4"/>
  <c r="T662" i="4"/>
  <c r="T661" i="4"/>
  <c r="T660" i="4"/>
  <c r="T659" i="4"/>
  <c r="T658" i="4"/>
  <c r="T657" i="4"/>
  <c r="T656" i="4"/>
  <c r="T655" i="4"/>
  <c r="T654" i="4"/>
  <c r="T653" i="4"/>
  <c r="T652" i="4"/>
  <c r="T651" i="4"/>
  <c r="T650" i="4"/>
  <c r="T649" i="4"/>
  <c r="T648" i="4"/>
  <c r="T647" i="4"/>
  <c r="T646" i="4"/>
  <c r="T645" i="4"/>
  <c r="T644" i="4"/>
  <c r="T643" i="4"/>
  <c r="T642" i="4"/>
  <c r="T641" i="4"/>
  <c r="T640" i="4"/>
  <c r="T639" i="4"/>
  <c r="T638" i="4"/>
  <c r="T637" i="4"/>
  <c r="T636" i="4"/>
  <c r="T635" i="4"/>
  <c r="T634" i="4"/>
  <c r="T633" i="4"/>
  <c r="T632" i="4"/>
  <c r="T631" i="4"/>
  <c r="T630" i="4"/>
  <c r="T629" i="4"/>
  <c r="T628" i="4"/>
  <c r="T627" i="4"/>
  <c r="T626" i="4"/>
  <c r="T625" i="4"/>
  <c r="T624" i="4"/>
  <c r="T623" i="4"/>
  <c r="T622" i="4"/>
  <c r="T621" i="4"/>
  <c r="T620" i="4"/>
  <c r="T619" i="4"/>
  <c r="T617" i="4"/>
  <c r="T616" i="4"/>
  <c r="T615" i="4"/>
  <c r="T614" i="4"/>
  <c r="T613" i="4"/>
  <c r="T612" i="4"/>
  <c r="T611" i="4"/>
  <c r="T610" i="4"/>
  <c r="T609" i="4"/>
  <c r="T608" i="4"/>
  <c r="T607" i="4"/>
  <c r="T606" i="4"/>
  <c r="T605" i="4"/>
  <c r="T604" i="4"/>
  <c r="T603" i="4"/>
  <c r="T602" i="4"/>
  <c r="T601" i="4"/>
  <c r="T600" i="4"/>
  <c r="T599" i="4"/>
  <c r="T598" i="4"/>
  <c r="T597" i="4"/>
  <c r="T596" i="4"/>
  <c r="T595" i="4"/>
  <c r="T594" i="4"/>
  <c r="T593" i="4"/>
  <c r="T592" i="4"/>
  <c r="T591" i="4"/>
  <c r="T590" i="4"/>
  <c r="T589" i="4"/>
  <c r="T588" i="4"/>
  <c r="T587" i="4"/>
  <c r="T586" i="4"/>
  <c r="T585" i="4"/>
  <c r="T584" i="4"/>
  <c r="T583" i="4"/>
  <c r="T582" i="4"/>
  <c r="T581" i="4"/>
  <c r="T580" i="4"/>
  <c r="T579" i="4"/>
  <c r="T578" i="4"/>
  <c r="T577" i="4"/>
  <c r="T576" i="4"/>
  <c r="T575" i="4"/>
  <c r="T574" i="4"/>
  <c r="T573" i="4"/>
  <c r="T572" i="4"/>
  <c r="T571" i="4"/>
  <c r="T570" i="4"/>
  <c r="T569" i="4"/>
  <c r="T568" i="4"/>
  <c r="T567" i="4"/>
  <c r="T566" i="4"/>
  <c r="T565" i="4"/>
  <c r="T564" i="4"/>
  <c r="T563" i="4"/>
  <c r="T562" i="4"/>
  <c r="T561" i="4"/>
  <c r="T560" i="4"/>
  <c r="T559" i="4"/>
  <c r="T558" i="4"/>
  <c r="T557" i="4"/>
  <c r="T556" i="4"/>
  <c r="T555" i="4"/>
  <c r="T554" i="4"/>
  <c r="T553" i="4"/>
  <c r="T552" i="4"/>
  <c r="T551" i="4"/>
  <c r="T550" i="4"/>
  <c r="T549" i="4"/>
  <c r="T548" i="4"/>
  <c r="T547" i="4"/>
  <c r="T546" i="4"/>
  <c r="T545" i="4"/>
  <c r="T544" i="4"/>
  <c r="T543" i="4"/>
  <c r="T542" i="4"/>
  <c r="T541" i="4"/>
  <c r="T539" i="4"/>
  <c r="T538" i="4"/>
  <c r="T537" i="4"/>
  <c r="T536" i="4"/>
  <c r="T535" i="4"/>
  <c r="T534" i="4"/>
  <c r="T533" i="4"/>
  <c r="T532" i="4"/>
  <c r="T531" i="4"/>
  <c r="T530" i="4"/>
  <c r="T529" i="4"/>
  <c r="T528" i="4"/>
  <c r="T527" i="4"/>
  <c r="T526" i="4"/>
  <c r="T525" i="4"/>
  <c r="T524" i="4"/>
  <c r="T523" i="4"/>
  <c r="T522" i="4"/>
  <c r="T521" i="4"/>
  <c r="T520" i="4"/>
  <c r="T519" i="4"/>
  <c r="T518" i="4"/>
  <c r="T517" i="4"/>
  <c r="T516" i="4"/>
  <c r="T515" i="4"/>
  <c r="T514" i="4"/>
  <c r="T513" i="4"/>
  <c r="T512" i="4"/>
  <c r="T511" i="4"/>
  <c r="T510" i="4"/>
  <c r="T509" i="4"/>
  <c r="T508" i="4"/>
  <c r="T507" i="4"/>
  <c r="T506" i="4"/>
  <c r="T505" i="4"/>
  <c r="T504" i="4"/>
  <c r="T503" i="4"/>
  <c r="T502" i="4"/>
  <c r="T501" i="4"/>
  <c r="T500" i="4"/>
  <c r="T499" i="4"/>
  <c r="T498" i="4"/>
  <c r="T497" i="4"/>
  <c r="T496" i="4"/>
  <c r="T495" i="4"/>
  <c r="T494" i="4"/>
  <c r="T493" i="4"/>
  <c r="T492" i="4"/>
  <c r="T491" i="4"/>
  <c r="T490" i="4"/>
  <c r="T489" i="4"/>
  <c r="T488" i="4"/>
  <c r="T487" i="4"/>
  <c r="T486" i="4"/>
  <c r="T485" i="4"/>
  <c r="T484" i="4"/>
  <c r="T483" i="4"/>
  <c r="T482" i="4"/>
  <c r="T481" i="4"/>
  <c r="T480" i="4"/>
  <c r="T479" i="4"/>
  <c r="T478" i="4"/>
  <c r="T477" i="4"/>
  <c r="T476" i="4"/>
  <c r="T475" i="4"/>
  <c r="T474" i="4"/>
  <c r="T473" i="4"/>
  <c r="T472" i="4"/>
  <c r="T471" i="4"/>
  <c r="T470" i="4"/>
  <c r="T469" i="4"/>
  <c r="T468" i="4"/>
  <c r="T467" i="4"/>
  <c r="T466" i="4"/>
  <c r="T465" i="4"/>
  <c r="T464" i="4"/>
  <c r="T463" i="4"/>
  <c r="T462" i="4"/>
  <c r="T461" i="4"/>
  <c r="T253" i="4"/>
  <c r="T252" i="4"/>
  <c r="T251" i="4"/>
  <c r="T250" i="4"/>
  <c r="T249" i="4"/>
  <c r="T248" i="4"/>
  <c r="T247" i="4"/>
  <c r="T246" i="4"/>
  <c r="T245" i="4"/>
  <c r="T244" i="4"/>
  <c r="T243" i="4"/>
  <c r="T242" i="4"/>
  <c r="T241" i="4"/>
  <c r="T240" i="4"/>
  <c r="T239" i="4"/>
  <c r="T238" i="4"/>
  <c r="T237" i="4"/>
  <c r="T236" i="4"/>
  <c r="T235" i="4"/>
  <c r="T234" i="4"/>
  <c r="T233" i="4"/>
  <c r="T232" i="4"/>
  <c r="T231" i="4"/>
  <c r="T230" i="4"/>
  <c r="T229" i="4"/>
  <c r="T228" i="4"/>
  <c r="T227" i="4"/>
  <c r="T226" i="4"/>
  <c r="T225" i="4"/>
  <c r="T224" i="4"/>
  <c r="T223" i="4"/>
  <c r="T222" i="4"/>
  <c r="T221" i="4"/>
  <c r="T220" i="4"/>
  <c r="T219" i="4"/>
  <c r="T218" i="4"/>
  <c r="T116" i="4"/>
  <c r="T115" i="4"/>
  <c r="T114" i="4"/>
  <c r="T113" i="4"/>
  <c r="T112" i="4"/>
  <c r="T111" i="4"/>
  <c r="T110" i="4"/>
  <c r="T109" i="4"/>
  <c r="T108" i="4"/>
  <c r="T107" i="4"/>
  <c r="T106" i="4"/>
  <c r="T105" i="4"/>
  <c r="T104" i="4"/>
  <c r="T103" i="4"/>
  <c r="T102" i="4"/>
  <c r="T101" i="4"/>
  <c r="T100" i="4"/>
  <c r="T99" i="4"/>
  <c r="T98" i="4"/>
  <c r="T97" i="4"/>
  <c r="T96" i="4"/>
  <c r="T95" i="4"/>
  <c r="T94" i="4"/>
  <c r="T93" i="4"/>
  <c r="T92" i="4"/>
  <c r="T91" i="4"/>
  <c r="T90" i="4"/>
  <c r="T89" i="4"/>
  <c r="T88" i="4"/>
  <c r="T87" i="4"/>
  <c r="T86" i="4"/>
  <c r="T85" i="4"/>
  <c r="T84" i="4"/>
  <c r="T83" i="4"/>
  <c r="T82" i="4"/>
  <c r="T81" i="4"/>
  <c r="T80" i="4"/>
  <c r="T79" i="4"/>
  <c r="T78" i="4"/>
  <c r="T77" i="4"/>
  <c r="T76" i="4"/>
  <c r="T75" i="4"/>
  <c r="T74" i="4"/>
  <c r="T73" i="4"/>
  <c r="T72" i="4"/>
  <c r="T71" i="4"/>
  <c r="T70" i="4"/>
  <c r="T69" i="4"/>
  <c r="T68" i="4"/>
  <c r="T67" i="4"/>
  <c r="T117" i="4"/>
  <c r="T216" i="4"/>
  <c r="T215" i="4"/>
  <c r="T214" i="4"/>
  <c r="T213" i="4"/>
  <c r="T212" i="4"/>
  <c r="T211" i="4"/>
  <c r="T210" i="4"/>
  <c r="T209" i="4"/>
  <c r="T208" i="4"/>
  <c r="T207" i="4"/>
  <c r="T206" i="4"/>
  <c r="T205" i="4"/>
  <c r="T204" i="4"/>
  <c r="T203" i="4"/>
  <c r="T202" i="4"/>
  <c r="T201" i="4"/>
  <c r="T200" i="4"/>
  <c r="T199" i="4"/>
  <c r="T198" i="4"/>
  <c r="T197" i="4"/>
  <c r="T196" i="4"/>
  <c r="T195" i="4"/>
  <c r="T194" i="4"/>
  <c r="T193" i="4"/>
  <c r="T192" i="4"/>
  <c r="T191" i="4"/>
  <c r="T190" i="4"/>
  <c r="T189" i="4"/>
  <c r="T188" i="4"/>
  <c r="T187" i="4"/>
  <c r="T184" i="4"/>
  <c r="T183" i="4"/>
  <c r="T182" i="4"/>
  <c r="T181" i="4"/>
  <c r="T180" i="4"/>
  <c r="T179" i="4"/>
  <c r="T178" i="4"/>
  <c r="T177" i="4"/>
  <c r="T176" i="4"/>
  <c r="T175" i="4"/>
  <c r="T174" i="4"/>
  <c r="T173" i="4"/>
  <c r="T172" i="4"/>
  <c r="T171" i="4"/>
  <c r="T170" i="4"/>
  <c r="T169" i="4"/>
  <c r="T168" i="4"/>
  <c r="T167" i="4"/>
  <c r="T166" i="4"/>
  <c r="T165" i="4"/>
  <c r="T164" i="4"/>
  <c r="T163" i="4"/>
  <c r="T162" i="4"/>
  <c r="T161" i="4"/>
  <c r="T160" i="4"/>
  <c r="T159" i="4"/>
  <c r="T158" i="4"/>
  <c r="T157" i="4"/>
  <c r="T156" i="4"/>
  <c r="T155" i="4"/>
  <c r="T154" i="4"/>
  <c r="T153" i="4"/>
  <c r="T152" i="4"/>
  <c r="T151" i="4"/>
  <c r="T150" i="4"/>
  <c r="T149" i="4"/>
  <c r="T148" i="4"/>
  <c r="T147" i="4"/>
  <c r="T146" i="4"/>
  <c r="T145" i="4"/>
  <c r="T144" i="4"/>
  <c r="T143" i="4"/>
  <c r="T142" i="4"/>
  <c r="T141" i="4"/>
  <c r="T140" i="4"/>
  <c r="T139" i="4"/>
  <c r="T138" i="4"/>
  <c r="T137" i="4"/>
  <c r="T136" i="4"/>
  <c r="T135" i="4"/>
  <c r="T134" i="4"/>
  <c r="T133" i="4"/>
  <c r="T132" i="4"/>
  <c r="T131" i="4"/>
  <c r="T130" i="4"/>
  <c r="T129" i="4"/>
  <c r="T128" i="4"/>
  <c r="T127" i="4"/>
  <c r="T126" i="4"/>
  <c r="T125" i="4"/>
  <c r="T124" i="4"/>
  <c r="T123" i="4"/>
  <c r="T122" i="4"/>
  <c r="T121" i="4"/>
  <c r="T120" i="4"/>
  <c r="T119" i="4"/>
  <c r="T186" i="4"/>
  <c r="K1124" i="26"/>
  <c r="I1124" i="26"/>
  <c r="H1124" i="26" s="1"/>
  <c r="D1124" i="26"/>
  <c r="C1124" i="26"/>
  <c r="W1124" i="26" s="1"/>
  <c r="K1119" i="26"/>
  <c r="I1119" i="26"/>
  <c r="H1119" i="26" s="1"/>
  <c r="D1119" i="26"/>
  <c r="C1119" i="26"/>
  <c r="W1119" i="26" s="1"/>
  <c r="C1115" i="26"/>
  <c r="T1115" i="26" s="1"/>
  <c r="R1114" i="26"/>
  <c r="C1114" i="26"/>
  <c r="U1114" i="26" s="1"/>
  <c r="C1113" i="26"/>
  <c r="S1113" i="26" s="1"/>
  <c r="C1112" i="26"/>
  <c r="U1112" i="26" s="1"/>
  <c r="T1111" i="26"/>
  <c r="C1111" i="26"/>
  <c r="U1111" i="26" s="1"/>
  <c r="S1110" i="26"/>
  <c r="Q1110" i="26"/>
  <c r="N1110" i="26"/>
  <c r="C1110" i="26"/>
  <c r="M1110" i="26" s="1"/>
  <c r="C1109" i="26"/>
  <c r="R1109" i="26" s="1"/>
  <c r="Q1108" i="26"/>
  <c r="P1108" i="26"/>
  <c r="M1108" i="26"/>
  <c r="C1108" i="26"/>
  <c r="U1108" i="26" s="1"/>
  <c r="C1107" i="26"/>
  <c r="P1107" i="26" s="1"/>
  <c r="R1106" i="26"/>
  <c r="Q1106" i="26"/>
  <c r="P1106" i="26"/>
  <c r="C1106" i="26"/>
  <c r="L1106" i="26" s="1"/>
  <c r="C1105" i="26"/>
  <c r="T1105" i="26" s="1"/>
  <c r="U1104" i="26"/>
  <c r="T1104" i="26"/>
  <c r="S1104" i="26"/>
  <c r="C1104" i="26"/>
  <c r="R1104" i="26" s="1"/>
  <c r="U1103" i="26"/>
  <c r="T1103" i="26"/>
  <c r="R1103" i="26"/>
  <c r="Q1103" i="26"/>
  <c r="C1103" i="26"/>
  <c r="N1103" i="26" s="1"/>
  <c r="C1102" i="26"/>
  <c r="U1102" i="26" s="1"/>
  <c r="C1101" i="26"/>
  <c r="T1101" i="26" s="1"/>
  <c r="C1100" i="26"/>
  <c r="U1100" i="26" s="1"/>
  <c r="U1099" i="26"/>
  <c r="T1099" i="26"/>
  <c r="R1099" i="26"/>
  <c r="Q1099" i="26"/>
  <c r="P1099" i="26"/>
  <c r="N1099" i="26"/>
  <c r="M1099" i="26"/>
  <c r="L1099" i="26"/>
  <c r="C1099" i="26"/>
  <c r="S1099" i="26" s="1"/>
  <c r="N1098" i="26"/>
  <c r="M1098" i="26"/>
  <c r="C1098" i="26"/>
  <c r="U1098" i="26" s="1"/>
  <c r="T1097" i="26"/>
  <c r="C1097" i="26"/>
  <c r="U1097" i="26" s="1"/>
  <c r="T1096" i="26"/>
  <c r="S1096" i="26"/>
  <c r="R1096" i="26"/>
  <c r="Q1096" i="26"/>
  <c r="N1096" i="26"/>
  <c r="L1096" i="26"/>
  <c r="C1096" i="26"/>
  <c r="M1096" i="26" s="1"/>
  <c r="C1095" i="26"/>
  <c r="S1095" i="26" s="1"/>
  <c r="C1094" i="26"/>
  <c r="U1094" i="26" s="1"/>
  <c r="C1093" i="26"/>
  <c r="P1093" i="26" s="1"/>
  <c r="U1092" i="26"/>
  <c r="S1092" i="26"/>
  <c r="R1092" i="26"/>
  <c r="P1092" i="26"/>
  <c r="N1092" i="26"/>
  <c r="M1092" i="26"/>
  <c r="C1092" i="26"/>
  <c r="L1092" i="26" s="1"/>
  <c r="C1091" i="26"/>
  <c r="T1091" i="26" s="1"/>
  <c r="U1090" i="26"/>
  <c r="C1090" i="26"/>
  <c r="R1090" i="26" s="1"/>
  <c r="T1089" i="26"/>
  <c r="C1089" i="26"/>
  <c r="N1089" i="26" s="1"/>
  <c r="C1088" i="26"/>
  <c r="U1088" i="26" s="1"/>
  <c r="C1087" i="26"/>
  <c r="T1087" i="26" s="1"/>
  <c r="C1086" i="26"/>
  <c r="U1086" i="26" s="1"/>
  <c r="U1085" i="26"/>
  <c r="R1085" i="26"/>
  <c r="Q1085" i="26"/>
  <c r="N1085" i="26"/>
  <c r="M1085" i="26"/>
  <c r="L1085" i="26"/>
  <c r="C1085" i="26"/>
  <c r="S1085" i="26" s="1"/>
  <c r="N1084" i="26"/>
  <c r="M1084" i="26"/>
  <c r="C1084" i="26"/>
  <c r="U1084" i="26" s="1"/>
  <c r="C1083" i="26"/>
  <c r="U1083" i="26" s="1"/>
  <c r="S1082" i="26"/>
  <c r="C1082" i="26"/>
  <c r="M1082" i="26" s="1"/>
  <c r="C1081" i="26"/>
  <c r="S1081" i="26" s="1"/>
  <c r="S1080" i="26"/>
  <c r="R1080" i="26"/>
  <c r="Q1080" i="26"/>
  <c r="P1080" i="26"/>
  <c r="N1080" i="26"/>
  <c r="M1080" i="26"/>
  <c r="C1080" i="26"/>
  <c r="U1080" i="26" s="1"/>
  <c r="C1079" i="26"/>
  <c r="P1079" i="26" s="1"/>
  <c r="U1078" i="26"/>
  <c r="T1078" i="26"/>
  <c r="S1078" i="26"/>
  <c r="R1078" i="26"/>
  <c r="Q1078" i="26"/>
  <c r="P1078" i="26"/>
  <c r="N1078" i="26"/>
  <c r="M1078" i="26"/>
  <c r="C1078" i="26"/>
  <c r="L1078" i="26" s="1"/>
  <c r="C1077" i="26"/>
  <c r="S1077" i="26" s="1"/>
  <c r="C1076" i="26"/>
  <c r="R1076" i="26" s="1"/>
  <c r="C1075" i="26"/>
  <c r="N1075" i="26" s="1"/>
  <c r="C1074" i="26"/>
  <c r="R1074" i="26" s="1"/>
  <c r="C1073" i="26"/>
  <c r="T1073" i="26" s="1"/>
  <c r="T1072" i="26"/>
  <c r="S1072" i="26"/>
  <c r="R1072" i="26"/>
  <c r="C1072" i="26"/>
  <c r="Q1072" i="26" s="1"/>
  <c r="U1071" i="26"/>
  <c r="T1071" i="26"/>
  <c r="R1071" i="26"/>
  <c r="Q1071" i="26"/>
  <c r="P1071" i="26"/>
  <c r="N1071" i="26"/>
  <c r="M1071" i="26"/>
  <c r="L1071" i="26"/>
  <c r="C1071" i="26"/>
  <c r="S1071" i="26" s="1"/>
  <c r="C1070" i="26"/>
  <c r="U1070" i="26" s="1"/>
  <c r="C1069" i="26"/>
  <c r="U1069" i="26" s="1"/>
  <c r="R1068" i="26"/>
  <c r="Q1068" i="26"/>
  <c r="P1068" i="26"/>
  <c r="C1068" i="26"/>
  <c r="M1068" i="26" s="1"/>
  <c r="C1067" i="26"/>
  <c r="S1067" i="26" s="1"/>
  <c r="R1066" i="26"/>
  <c r="P1066" i="26"/>
  <c r="C1066" i="26"/>
  <c r="U1066" i="26" s="1"/>
  <c r="U1065" i="26"/>
  <c r="T1065" i="26"/>
  <c r="S1065" i="26"/>
  <c r="R1065" i="26"/>
  <c r="Q1065" i="26"/>
  <c r="P1065" i="26"/>
  <c r="S1060" i="26"/>
  <c r="R1060" i="26"/>
  <c r="Q1060" i="26"/>
  <c r="P1060" i="26"/>
  <c r="S1059" i="26"/>
  <c r="R1059" i="26"/>
  <c r="Q1059" i="26"/>
  <c r="P1059" i="26"/>
  <c r="K1059" i="26"/>
  <c r="J1059" i="26"/>
  <c r="I1059" i="26"/>
  <c r="G1059" i="26"/>
  <c r="E1059" i="26"/>
  <c r="S1058" i="26"/>
  <c r="R1058" i="26"/>
  <c r="Q1058" i="26"/>
  <c r="P1058" i="26"/>
  <c r="X1056" i="26"/>
  <c r="X1060" i="26" s="1"/>
  <c r="L1055" i="26"/>
  <c r="L1059" i="26" s="1"/>
  <c r="K1055" i="26"/>
  <c r="J1055" i="26"/>
  <c r="I1055" i="26"/>
  <c r="H1055" i="26"/>
  <c r="H1059" i="26" s="1"/>
  <c r="G1055" i="26"/>
  <c r="F1055" i="26"/>
  <c r="F1059" i="26" s="1"/>
  <c r="E1055" i="26"/>
  <c r="D1055" i="26"/>
  <c r="D1059" i="26" s="1"/>
  <c r="C1055" i="26"/>
  <c r="C1059" i="26" s="1"/>
  <c r="X1053" i="26"/>
  <c r="K1052" i="26"/>
  <c r="I1052" i="26"/>
  <c r="D1052" i="26"/>
  <c r="C1052" i="26"/>
  <c r="B1051" i="26"/>
  <c r="R677" i="26"/>
  <c r="R685" i="26"/>
  <c r="R49" i="26"/>
  <c r="R41" i="26"/>
  <c r="V1155" i="26"/>
  <c r="V519" i="26"/>
  <c r="S424" i="26"/>
  <c r="R424" i="26"/>
  <c r="Q424" i="26"/>
  <c r="P424" i="26"/>
  <c r="S423" i="26"/>
  <c r="R423" i="26"/>
  <c r="Q423" i="26"/>
  <c r="P423" i="26"/>
  <c r="S422" i="26"/>
  <c r="R422" i="26"/>
  <c r="Q422" i="26"/>
  <c r="P422" i="26"/>
  <c r="K488" i="26"/>
  <c r="I488" i="26"/>
  <c r="F488" i="26" s="1"/>
  <c r="D488" i="26"/>
  <c r="C488" i="26"/>
  <c r="W488" i="26" s="1"/>
  <c r="K483" i="26"/>
  <c r="I483" i="26"/>
  <c r="H483" i="26" s="1"/>
  <c r="D483" i="26"/>
  <c r="C483" i="26"/>
  <c r="W483" i="26" s="1"/>
  <c r="K416" i="26"/>
  <c r="I416" i="26"/>
  <c r="D416" i="26"/>
  <c r="C416" i="26"/>
  <c r="C479" i="26"/>
  <c r="T479" i="26" s="1"/>
  <c r="C478" i="26"/>
  <c r="S478" i="26" s="1"/>
  <c r="C477" i="26"/>
  <c r="S477" i="26" s="1"/>
  <c r="C476" i="26"/>
  <c r="L476" i="26" s="1"/>
  <c r="C475" i="26"/>
  <c r="N475" i="26" s="1"/>
  <c r="C474" i="26"/>
  <c r="M474" i="26" s="1"/>
  <c r="U473" i="26"/>
  <c r="C473" i="26"/>
  <c r="N473" i="26" s="1"/>
  <c r="C472" i="26"/>
  <c r="Q472" i="26" s="1"/>
  <c r="C471" i="26"/>
  <c r="P471" i="26" s="1"/>
  <c r="C470" i="26"/>
  <c r="Q470" i="26" s="1"/>
  <c r="C469" i="26"/>
  <c r="T469" i="26" s="1"/>
  <c r="C468" i="26"/>
  <c r="R468" i="26" s="1"/>
  <c r="C467" i="26"/>
  <c r="Q467" i="26" s="1"/>
  <c r="C466" i="26"/>
  <c r="S466" i="26" s="1"/>
  <c r="C465" i="26"/>
  <c r="T465" i="26" s="1"/>
  <c r="C464" i="26"/>
  <c r="S464" i="26" s="1"/>
  <c r="C463" i="26"/>
  <c r="S463" i="26" s="1"/>
  <c r="C462" i="26"/>
  <c r="L462" i="26" s="1"/>
  <c r="C461" i="26"/>
  <c r="U461" i="26" s="1"/>
  <c r="C460" i="26"/>
  <c r="M460" i="26" s="1"/>
  <c r="C459" i="26"/>
  <c r="N459" i="26" s="1"/>
  <c r="C458" i="26"/>
  <c r="Q458" i="26" s="1"/>
  <c r="C457" i="26"/>
  <c r="P457" i="26" s="1"/>
  <c r="C456" i="26"/>
  <c r="Q456" i="26" s="1"/>
  <c r="C455" i="26"/>
  <c r="S455" i="26" s="1"/>
  <c r="C454" i="26"/>
  <c r="R454" i="26" s="1"/>
  <c r="C453" i="26"/>
  <c r="U453" i="26" s="1"/>
  <c r="C452" i="26"/>
  <c r="U452" i="26" s="1"/>
  <c r="C451" i="26"/>
  <c r="T451" i="26" s="1"/>
  <c r="C450" i="26"/>
  <c r="S450" i="26" s="1"/>
  <c r="C449" i="26"/>
  <c r="U449" i="26" s="1"/>
  <c r="C448" i="26"/>
  <c r="L448" i="26" s="1"/>
  <c r="C447" i="26"/>
  <c r="U447" i="26" s="1"/>
  <c r="C446" i="26"/>
  <c r="M446" i="26" s="1"/>
  <c r="C445" i="26"/>
  <c r="N445" i="26" s="1"/>
  <c r="C444" i="26"/>
  <c r="P444" i="26" s="1"/>
  <c r="C443" i="26"/>
  <c r="P443" i="26" s="1"/>
  <c r="C442" i="26"/>
  <c r="Q442" i="26" s="1"/>
  <c r="C441" i="26"/>
  <c r="L441" i="26" s="1"/>
  <c r="C440" i="26"/>
  <c r="R440" i="26" s="1"/>
  <c r="C439" i="26"/>
  <c r="Q439" i="26" s="1"/>
  <c r="C438" i="26"/>
  <c r="T438" i="26" s="1"/>
  <c r="C437" i="26"/>
  <c r="T437" i="26" s="1"/>
  <c r="C436" i="26"/>
  <c r="S436" i="26" s="1"/>
  <c r="Q435" i="26"/>
  <c r="P435" i="26"/>
  <c r="C435" i="26"/>
  <c r="U435" i="26" s="1"/>
  <c r="U434" i="26"/>
  <c r="T434" i="26"/>
  <c r="S434" i="26"/>
  <c r="R434" i="26"/>
  <c r="Q434" i="26"/>
  <c r="N434" i="26"/>
  <c r="M434" i="26"/>
  <c r="C434" i="26"/>
  <c r="L434" i="26" s="1"/>
  <c r="C433" i="26"/>
  <c r="U433" i="26" s="1"/>
  <c r="C432" i="26"/>
  <c r="M432" i="26" s="1"/>
  <c r="C431" i="26"/>
  <c r="N431" i="26" s="1"/>
  <c r="C430" i="26"/>
  <c r="P430" i="26" s="1"/>
  <c r="U429" i="26"/>
  <c r="T429" i="26"/>
  <c r="S429" i="26"/>
  <c r="R429" i="26"/>
  <c r="Q429" i="26"/>
  <c r="P429" i="26"/>
  <c r="X420" i="26"/>
  <c r="X421" i="26" s="1"/>
  <c r="L419" i="26"/>
  <c r="L423" i="26" s="1"/>
  <c r="K419" i="26"/>
  <c r="K423" i="26" s="1"/>
  <c r="J419" i="26"/>
  <c r="J423" i="26" s="1"/>
  <c r="I419" i="26"/>
  <c r="I423" i="26" s="1"/>
  <c r="H419" i="26"/>
  <c r="H423" i="26" s="1"/>
  <c r="G419" i="26"/>
  <c r="G423" i="26" s="1"/>
  <c r="F419" i="26"/>
  <c r="F423" i="26" s="1"/>
  <c r="E419" i="26"/>
  <c r="E423" i="26" s="1"/>
  <c r="D419" i="26"/>
  <c r="D423" i="26" s="1"/>
  <c r="C419" i="26"/>
  <c r="C423" i="26" s="1"/>
  <c r="X417" i="26"/>
  <c r="B415" i="26"/>
  <c r="S1068" i="26" l="1"/>
  <c r="S1086" i="26"/>
  <c r="N1112" i="26"/>
  <c r="T1075" i="26"/>
  <c r="T1093" i="26"/>
  <c r="T1069" i="26"/>
  <c r="U1093" i="26"/>
  <c r="Q1107" i="26"/>
  <c r="S1076" i="26"/>
  <c r="L1082" i="26"/>
  <c r="M1094" i="26"/>
  <c r="R1107" i="26"/>
  <c r="N1113" i="26"/>
  <c r="U442" i="26"/>
  <c r="M1070" i="26"/>
  <c r="T1076" i="26"/>
  <c r="N1082" i="26"/>
  <c r="P1089" i="26"/>
  <c r="N1094" i="26"/>
  <c r="R1100" i="26"/>
  <c r="S1107" i="26"/>
  <c r="P1113" i="26"/>
  <c r="N1070" i="26"/>
  <c r="U1076" i="26"/>
  <c r="P1082" i="26"/>
  <c r="Q1089" i="26"/>
  <c r="P1094" i="26"/>
  <c r="T1107" i="26"/>
  <c r="Q1113" i="26"/>
  <c r="Q1082" i="26"/>
  <c r="R1089" i="26"/>
  <c r="Q1094" i="26"/>
  <c r="U1101" i="26"/>
  <c r="U1107" i="26"/>
  <c r="R1113" i="26"/>
  <c r="U1075" i="26"/>
  <c r="U1087" i="26"/>
  <c r="L1113" i="26"/>
  <c r="M1113" i="26"/>
  <c r="L1070" i="26"/>
  <c r="R1082" i="26"/>
  <c r="S1089" i="26"/>
  <c r="R1094" i="26"/>
  <c r="T1113" i="26"/>
  <c r="U1106" i="26"/>
  <c r="U1113" i="26"/>
  <c r="U446" i="26"/>
  <c r="T1082" i="26"/>
  <c r="U1089" i="26"/>
  <c r="P1103" i="26"/>
  <c r="N1108" i="26"/>
  <c r="Q1075" i="26"/>
  <c r="R1086" i="26"/>
  <c r="Q1093" i="26"/>
  <c r="M1112" i="26"/>
  <c r="S1075" i="26"/>
  <c r="R1075" i="26"/>
  <c r="R1093" i="26"/>
  <c r="S1106" i="26"/>
  <c r="T1068" i="26"/>
  <c r="T1086" i="26"/>
  <c r="S1093" i="26"/>
  <c r="T1106" i="26"/>
  <c r="P1112" i="26"/>
  <c r="T1083" i="26"/>
  <c r="S1090" i="26"/>
  <c r="T1090" i="26"/>
  <c r="P1096" i="26"/>
  <c r="S1103" i="26"/>
  <c r="R1108" i="26"/>
  <c r="U1115" i="26"/>
  <c r="P1075" i="26"/>
  <c r="R476" i="26"/>
  <c r="M1066" i="26"/>
  <c r="U476" i="26"/>
  <c r="N1066" i="26"/>
  <c r="L1110" i="26"/>
  <c r="Q1066" i="26"/>
  <c r="Q1079" i="26"/>
  <c r="P1110" i="26"/>
  <c r="U1072" i="26"/>
  <c r="S1079" i="26"/>
  <c r="P1085" i="26"/>
  <c r="Q1092" i="26"/>
  <c r="R1110" i="26"/>
  <c r="E1124" i="26"/>
  <c r="S456" i="26"/>
  <c r="R1079" i="26"/>
  <c r="T1079" i="26"/>
  <c r="M435" i="26"/>
  <c r="L1068" i="26"/>
  <c r="U1073" i="26"/>
  <c r="U1079" i="26"/>
  <c r="M1106" i="26"/>
  <c r="T1110" i="26"/>
  <c r="N435" i="26"/>
  <c r="N1068" i="26"/>
  <c r="T1085" i="26"/>
  <c r="T1092" i="26"/>
  <c r="N1106" i="26"/>
  <c r="X1061" i="26"/>
  <c r="I1060" i="26"/>
  <c r="D1060" i="26"/>
  <c r="Q443" i="26"/>
  <c r="H488" i="26"/>
  <c r="M1074" i="26"/>
  <c r="M1088" i="26"/>
  <c r="M1102" i="26"/>
  <c r="E1119" i="26"/>
  <c r="R443" i="26"/>
  <c r="L471" i="26"/>
  <c r="N1074" i="26"/>
  <c r="L1077" i="26"/>
  <c r="N1088" i="26"/>
  <c r="L1091" i="26"/>
  <c r="N1102" i="26"/>
  <c r="L1105" i="26"/>
  <c r="F1119" i="26"/>
  <c r="S443" i="26"/>
  <c r="N456" i="26"/>
  <c r="P1074" i="26"/>
  <c r="M1077" i="26"/>
  <c r="P1088" i="26"/>
  <c r="M1091" i="26"/>
  <c r="P1102" i="26"/>
  <c r="M1105" i="26"/>
  <c r="G1119" i="26"/>
  <c r="L435" i="26"/>
  <c r="T443" i="26"/>
  <c r="R456" i="26"/>
  <c r="L1066" i="26"/>
  <c r="U1068" i="26"/>
  <c r="Q1074" i="26"/>
  <c r="N1077" i="26"/>
  <c r="L1080" i="26"/>
  <c r="U1082" i="26"/>
  <c r="Q1088" i="26"/>
  <c r="N1091" i="26"/>
  <c r="L1094" i="26"/>
  <c r="U1096" i="26"/>
  <c r="Q1102" i="26"/>
  <c r="N1105" i="26"/>
  <c r="L1108" i="26"/>
  <c r="U1110" i="26"/>
  <c r="L1074" i="26"/>
  <c r="L1088" i="26"/>
  <c r="L1102" i="26"/>
  <c r="U443" i="26"/>
  <c r="T456" i="26"/>
  <c r="D420" i="26"/>
  <c r="D1056" i="26"/>
  <c r="L1069" i="26"/>
  <c r="S1074" i="26"/>
  <c r="Q1077" i="26"/>
  <c r="L1083" i="26"/>
  <c r="S1088" i="26"/>
  <c r="Q1091" i="26"/>
  <c r="L1097" i="26"/>
  <c r="S1102" i="26"/>
  <c r="Q1105" i="26"/>
  <c r="L1111" i="26"/>
  <c r="U456" i="26"/>
  <c r="I420" i="26"/>
  <c r="M1069" i="26"/>
  <c r="T1074" i="26"/>
  <c r="R1077" i="26"/>
  <c r="M1083" i="26"/>
  <c r="T1088" i="26"/>
  <c r="R1091" i="26"/>
  <c r="M1097" i="26"/>
  <c r="T1102" i="26"/>
  <c r="R1105" i="26"/>
  <c r="M1111" i="26"/>
  <c r="U1074" i="26"/>
  <c r="L1100" i="26"/>
  <c r="S1105" i="26"/>
  <c r="N1111" i="26"/>
  <c r="L446" i="26"/>
  <c r="P1069" i="26"/>
  <c r="T1077" i="26"/>
  <c r="M1086" i="26"/>
  <c r="P1097" i="26"/>
  <c r="M1114" i="26"/>
  <c r="N476" i="26"/>
  <c r="S1066" i="26"/>
  <c r="Q1069" i="26"/>
  <c r="N1072" i="26"/>
  <c r="L1075" i="26"/>
  <c r="U1077" i="26"/>
  <c r="Q1083" i="26"/>
  <c r="N1086" i="26"/>
  <c r="L1089" i="26"/>
  <c r="U1091" i="26"/>
  <c r="S1094" i="26"/>
  <c r="Q1097" i="26"/>
  <c r="N1100" i="26"/>
  <c r="L1103" i="26"/>
  <c r="U1105" i="26"/>
  <c r="S1108" i="26"/>
  <c r="Q1111" i="26"/>
  <c r="X424" i="26"/>
  <c r="T435" i="26"/>
  <c r="S446" i="26"/>
  <c r="S459" i="26"/>
  <c r="P476" i="26"/>
  <c r="S460" i="26"/>
  <c r="E483" i="26"/>
  <c r="N443" i="26"/>
  <c r="P1077" i="26"/>
  <c r="R1088" i="26"/>
  <c r="P1091" i="26"/>
  <c r="R1102" i="26"/>
  <c r="P1105" i="26"/>
  <c r="N1069" i="26"/>
  <c r="L1072" i="26"/>
  <c r="N1083" i="26"/>
  <c r="L1086" i="26"/>
  <c r="S1091" i="26"/>
  <c r="N1097" i="26"/>
  <c r="L1114" i="26"/>
  <c r="R435" i="26"/>
  <c r="M476" i="26"/>
  <c r="M1072" i="26"/>
  <c r="P1083" i="26"/>
  <c r="M1100" i="26"/>
  <c r="P1111" i="26"/>
  <c r="S435" i="26"/>
  <c r="Q446" i="26"/>
  <c r="N1114" i="26"/>
  <c r="I1056" i="26"/>
  <c r="T1066" i="26"/>
  <c r="R1069" i="26"/>
  <c r="P1072" i="26"/>
  <c r="M1075" i="26"/>
  <c r="T1080" i="26"/>
  <c r="R1083" i="26"/>
  <c r="P1086" i="26"/>
  <c r="M1089" i="26"/>
  <c r="T1094" i="26"/>
  <c r="R1097" i="26"/>
  <c r="P1100" i="26"/>
  <c r="M1103" i="26"/>
  <c r="T1108" i="26"/>
  <c r="R1111" i="26"/>
  <c r="P1114" i="26"/>
  <c r="T446" i="26"/>
  <c r="U459" i="26"/>
  <c r="Q476" i="26"/>
  <c r="S1069" i="26"/>
  <c r="S1083" i="26"/>
  <c r="Q1086" i="26"/>
  <c r="S1097" i="26"/>
  <c r="Q1100" i="26"/>
  <c r="S1111" i="26"/>
  <c r="Q1114" i="26"/>
  <c r="L1067" i="26"/>
  <c r="L1081" i="26"/>
  <c r="L1095" i="26"/>
  <c r="S1100" i="26"/>
  <c r="L1109" i="26"/>
  <c r="S1114" i="26"/>
  <c r="F1124" i="26"/>
  <c r="M1067" i="26"/>
  <c r="M1081" i="26"/>
  <c r="M1095" i="26"/>
  <c r="T1100" i="26"/>
  <c r="M1109" i="26"/>
  <c r="T1114" i="26"/>
  <c r="G1124" i="26"/>
  <c r="P448" i="26"/>
  <c r="U460" i="26"/>
  <c r="L477" i="26"/>
  <c r="N1067" i="26"/>
  <c r="N1081" i="26"/>
  <c r="L1084" i="26"/>
  <c r="N1095" i="26"/>
  <c r="L1098" i="26"/>
  <c r="N1109" i="26"/>
  <c r="L1112" i="26"/>
  <c r="U437" i="26"/>
  <c r="T460" i="26"/>
  <c r="Q1081" i="26"/>
  <c r="P1081" i="26"/>
  <c r="P1095" i="26"/>
  <c r="P1109" i="26"/>
  <c r="N477" i="26"/>
  <c r="Q1067" i="26"/>
  <c r="L1073" i="26"/>
  <c r="L1087" i="26"/>
  <c r="Q1095" i="26"/>
  <c r="L1101" i="26"/>
  <c r="Q1109" i="26"/>
  <c r="L1115" i="26"/>
  <c r="S440" i="26"/>
  <c r="S448" i="26"/>
  <c r="P477" i="26"/>
  <c r="S1109" i="26"/>
  <c r="Q1112" i="26"/>
  <c r="N1115" i="26"/>
  <c r="Q448" i="26"/>
  <c r="M477" i="26"/>
  <c r="R448" i="26"/>
  <c r="R1067" i="26"/>
  <c r="M1073" i="26"/>
  <c r="P1084" i="26"/>
  <c r="P1098" i="26"/>
  <c r="Q477" i="26"/>
  <c r="N1101" i="26"/>
  <c r="U448" i="26"/>
  <c r="R477" i="26"/>
  <c r="R1070" i="26"/>
  <c r="R1084" i="26"/>
  <c r="M1090" i="26"/>
  <c r="T1095" i="26"/>
  <c r="N442" i="26"/>
  <c r="T477" i="26"/>
  <c r="U1067" i="26"/>
  <c r="S1070" i="26"/>
  <c r="Q1073" i="26"/>
  <c r="N1076" i="26"/>
  <c r="L1079" i="26"/>
  <c r="U1081" i="26"/>
  <c r="S1084" i="26"/>
  <c r="Q1087" i="26"/>
  <c r="N1090" i="26"/>
  <c r="L1093" i="26"/>
  <c r="U1095" i="26"/>
  <c r="S1098" i="26"/>
  <c r="Q1101" i="26"/>
  <c r="N1104" i="26"/>
  <c r="L1107" i="26"/>
  <c r="U1109" i="26"/>
  <c r="S1112" i="26"/>
  <c r="Q1115" i="26"/>
  <c r="X1057" i="26"/>
  <c r="T448" i="26"/>
  <c r="Q1070" i="26"/>
  <c r="L1076" i="26"/>
  <c r="Q1084" i="26"/>
  <c r="L1090" i="26"/>
  <c r="L1104" i="26"/>
  <c r="U463" i="26"/>
  <c r="T1067" i="26"/>
  <c r="P1073" i="26"/>
  <c r="M1076" i="26"/>
  <c r="T1081" i="26"/>
  <c r="P1087" i="26"/>
  <c r="R1098" i="26"/>
  <c r="P1101" i="26"/>
  <c r="M1104" i="26"/>
  <c r="T1109" i="26"/>
  <c r="R1112" i="26"/>
  <c r="P1115" i="26"/>
  <c r="R442" i="26"/>
  <c r="U477" i="26"/>
  <c r="T1070" i="26"/>
  <c r="R1073" i="26"/>
  <c r="P1076" i="26"/>
  <c r="M1079" i="26"/>
  <c r="T1084" i="26"/>
  <c r="R1087" i="26"/>
  <c r="P1090" i="26"/>
  <c r="M1093" i="26"/>
  <c r="T1098" i="26"/>
  <c r="R1101" i="26"/>
  <c r="P1104" i="26"/>
  <c r="M1107" i="26"/>
  <c r="T1112" i="26"/>
  <c r="R1115" i="26"/>
  <c r="P1067" i="26"/>
  <c r="P1070" i="26"/>
  <c r="R1081" i="26"/>
  <c r="M1087" i="26"/>
  <c r="R1095" i="26"/>
  <c r="M1101" i="26"/>
  <c r="M1115" i="26"/>
  <c r="T463" i="26"/>
  <c r="N1073" i="26"/>
  <c r="N1087" i="26"/>
  <c r="Q1098" i="26"/>
  <c r="S442" i="26"/>
  <c r="S1073" i="26"/>
  <c r="Q1076" i="26"/>
  <c r="N1079" i="26"/>
  <c r="S1087" i="26"/>
  <c r="Q1090" i="26"/>
  <c r="N1093" i="26"/>
  <c r="S1101" i="26"/>
  <c r="Q1104" i="26"/>
  <c r="N1107" i="26"/>
  <c r="S1115" i="26"/>
  <c r="P434" i="26"/>
  <c r="T442" i="26"/>
  <c r="U451" i="26"/>
  <c r="L431" i="26"/>
  <c r="P431" i="26"/>
  <c r="S468" i="26"/>
  <c r="R431" i="26"/>
  <c r="L479" i="26"/>
  <c r="S431" i="26"/>
  <c r="U479" i="26"/>
  <c r="N462" i="26"/>
  <c r="L473" i="26"/>
  <c r="S454" i="26"/>
  <c r="L460" i="26"/>
  <c r="P473" i="26"/>
  <c r="T454" i="26"/>
  <c r="N460" i="26"/>
  <c r="Q473" i="26"/>
  <c r="U454" i="26"/>
  <c r="P460" i="26"/>
  <c r="L465" i="26"/>
  <c r="R473" i="26"/>
  <c r="M448" i="26"/>
  <c r="Q460" i="26"/>
  <c r="U465" i="26"/>
  <c r="S473" i="26"/>
  <c r="L443" i="26"/>
  <c r="N448" i="26"/>
  <c r="R460" i="26"/>
  <c r="T473" i="26"/>
  <c r="L432" i="26"/>
  <c r="P445" i="26"/>
  <c r="N449" i="26"/>
  <c r="R457" i="26"/>
  <c r="R462" i="26"/>
  <c r="S470" i="26"/>
  <c r="U474" i="26"/>
  <c r="F483" i="26"/>
  <c r="Q431" i="26"/>
  <c r="M462" i="26"/>
  <c r="U431" i="26"/>
  <c r="T474" i="26"/>
  <c r="N432" i="26"/>
  <c r="Q445" i="26"/>
  <c r="P449" i="26"/>
  <c r="S457" i="26"/>
  <c r="S462" i="26"/>
  <c r="T470" i="26"/>
  <c r="G483" i="26"/>
  <c r="U468" i="26"/>
  <c r="L457" i="26"/>
  <c r="P432" i="26"/>
  <c r="L437" i="26"/>
  <c r="R445" i="26"/>
  <c r="Q449" i="26"/>
  <c r="T457" i="26"/>
  <c r="T462" i="26"/>
  <c r="U470" i="26"/>
  <c r="P462" i="26"/>
  <c r="R470" i="26"/>
  <c r="Q432" i="26"/>
  <c r="S445" i="26"/>
  <c r="R449" i="26"/>
  <c r="U457" i="26"/>
  <c r="U462" i="26"/>
  <c r="R432" i="26"/>
  <c r="T445" i="26"/>
  <c r="S449" i="26"/>
  <c r="L474" i="26"/>
  <c r="N474" i="26"/>
  <c r="R474" i="26"/>
  <c r="L449" i="26"/>
  <c r="M449" i="26"/>
  <c r="S432" i="26"/>
  <c r="U445" i="26"/>
  <c r="T449" i="26"/>
  <c r="L463" i="26"/>
  <c r="N471" i="26"/>
  <c r="P474" i="26"/>
  <c r="Q474" i="26"/>
  <c r="S474" i="26"/>
  <c r="L445" i="26"/>
  <c r="T432" i="26"/>
  <c r="L459" i="26"/>
  <c r="M463" i="26"/>
  <c r="Q471" i="26"/>
  <c r="N470" i="26"/>
  <c r="Q457" i="26"/>
  <c r="U432" i="26"/>
  <c r="P459" i="26"/>
  <c r="N463" i="26"/>
  <c r="R471" i="26"/>
  <c r="Q462" i="26"/>
  <c r="T440" i="26"/>
  <c r="N446" i="26"/>
  <c r="Q459" i="26"/>
  <c r="P463" i="26"/>
  <c r="S471" i="26"/>
  <c r="S476" i="26"/>
  <c r="U440" i="26"/>
  <c r="P446" i="26"/>
  <c r="L451" i="26"/>
  <c r="R459" i="26"/>
  <c r="Q463" i="26"/>
  <c r="T471" i="26"/>
  <c r="T476" i="26"/>
  <c r="T468" i="26"/>
  <c r="T431" i="26"/>
  <c r="N457" i="26"/>
  <c r="R463" i="26"/>
  <c r="U471" i="26"/>
  <c r="R446" i="26"/>
  <c r="T459" i="26"/>
  <c r="N478" i="26"/>
  <c r="T430" i="26"/>
  <c r="R433" i="26"/>
  <c r="P436" i="26"/>
  <c r="M439" i="26"/>
  <c r="T444" i="26"/>
  <c r="R447" i="26"/>
  <c r="P450" i="26"/>
  <c r="M453" i="26"/>
  <c r="T458" i="26"/>
  <c r="R461" i="26"/>
  <c r="P464" i="26"/>
  <c r="M467" i="26"/>
  <c r="T472" i="26"/>
  <c r="R475" i="26"/>
  <c r="P478" i="26"/>
  <c r="L438" i="26"/>
  <c r="N438" i="26"/>
  <c r="M441" i="26"/>
  <c r="L430" i="26"/>
  <c r="Q438" i="26"/>
  <c r="L444" i="26"/>
  <c r="M430" i="26"/>
  <c r="R438" i="26"/>
  <c r="P441" i="26"/>
  <c r="M444" i="26"/>
  <c r="N430" i="26"/>
  <c r="L433" i="26"/>
  <c r="S438" i="26"/>
  <c r="Q441" i="26"/>
  <c r="N444" i="26"/>
  <c r="L447" i="26"/>
  <c r="L461" i="26"/>
  <c r="S441" i="26"/>
  <c r="R430" i="26"/>
  <c r="P433" i="26"/>
  <c r="M436" i="26"/>
  <c r="T441" i="26"/>
  <c r="R444" i="26"/>
  <c r="P447" i="26"/>
  <c r="S430" i="26"/>
  <c r="Q433" i="26"/>
  <c r="N436" i="26"/>
  <c r="L439" i="26"/>
  <c r="U441" i="26"/>
  <c r="S444" i="26"/>
  <c r="Q447" i="26"/>
  <c r="N450" i="26"/>
  <c r="L453" i="26"/>
  <c r="U455" i="26"/>
  <c r="S458" i="26"/>
  <c r="Q461" i="26"/>
  <c r="N464" i="26"/>
  <c r="L467" i="26"/>
  <c r="U469" i="26"/>
  <c r="S472" i="26"/>
  <c r="Q475" i="26"/>
  <c r="U430" i="26"/>
  <c r="S433" i="26"/>
  <c r="Q436" i="26"/>
  <c r="N439" i="26"/>
  <c r="L442" i="26"/>
  <c r="U444" i="26"/>
  <c r="S447" i="26"/>
  <c r="Q450" i="26"/>
  <c r="N453" i="26"/>
  <c r="L456" i="26"/>
  <c r="U458" i="26"/>
  <c r="S461" i="26"/>
  <c r="Q464" i="26"/>
  <c r="N467" i="26"/>
  <c r="L470" i="26"/>
  <c r="U472" i="26"/>
  <c r="S475" i="26"/>
  <c r="Q478" i="26"/>
  <c r="P469" i="26"/>
  <c r="Q455" i="26"/>
  <c r="R455" i="26"/>
  <c r="L450" i="26"/>
  <c r="M450" i="26"/>
  <c r="T433" i="26"/>
  <c r="R436" i="26"/>
  <c r="P439" i="26"/>
  <c r="M442" i="26"/>
  <c r="T447" i="26"/>
  <c r="R450" i="26"/>
  <c r="P453" i="26"/>
  <c r="M456" i="26"/>
  <c r="T461" i="26"/>
  <c r="R464" i="26"/>
  <c r="P467" i="26"/>
  <c r="M470" i="26"/>
  <c r="T475" i="26"/>
  <c r="R478" i="26"/>
  <c r="E488" i="26"/>
  <c r="L452" i="26"/>
  <c r="M452" i="26"/>
  <c r="N452" i="26"/>
  <c r="P452" i="26"/>
  <c r="R452" i="26"/>
  <c r="Q430" i="26"/>
  <c r="L436" i="26"/>
  <c r="Q444" i="26"/>
  <c r="M478" i="26"/>
  <c r="U475" i="26"/>
  <c r="M431" i="26"/>
  <c r="T436" i="26"/>
  <c r="R439" i="26"/>
  <c r="P442" i="26"/>
  <c r="M445" i="26"/>
  <c r="T450" i="26"/>
  <c r="R453" i="26"/>
  <c r="P456" i="26"/>
  <c r="M459" i="26"/>
  <c r="T464" i="26"/>
  <c r="R467" i="26"/>
  <c r="P470" i="26"/>
  <c r="M473" i="26"/>
  <c r="T478" i="26"/>
  <c r="G488" i="26"/>
  <c r="M466" i="26"/>
  <c r="P466" i="26"/>
  <c r="R466" i="26"/>
  <c r="N458" i="26"/>
  <c r="P458" i="26"/>
  <c r="N433" i="26"/>
  <c r="U438" i="26"/>
  <c r="N447" i="26"/>
  <c r="L478" i="26"/>
  <c r="P475" i="26"/>
  <c r="Q453" i="26"/>
  <c r="U436" i="26"/>
  <c r="S439" i="26"/>
  <c r="U450" i="26"/>
  <c r="S453" i="26"/>
  <c r="U464" i="26"/>
  <c r="S467" i="26"/>
  <c r="U478" i="26"/>
  <c r="M469" i="26"/>
  <c r="Q466" i="26"/>
  <c r="N472" i="26"/>
  <c r="N461" i="26"/>
  <c r="R472" i="26"/>
  <c r="T439" i="26"/>
  <c r="T453" i="26"/>
  <c r="T467" i="26"/>
  <c r="N469" i="26"/>
  <c r="Q469" i="26"/>
  <c r="M461" i="26"/>
  <c r="U466" i="26"/>
  <c r="R458" i="26"/>
  <c r="U439" i="26"/>
  <c r="U467" i="26"/>
  <c r="N466" i="26"/>
  <c r="L458" i="26"/>
  <c r="M458" i="26"/>
  <c r="S452" i="26"/>
  <c r="T452" i="26"/>
  <c r="M437" i="26"/>
  <c r="M451" i="26"/>
  <c r="M465" i="26"/>
  <c r="M479" i="26"/>
  <c r="M438" i="26"/>
  <c r="P438" i="26"/>
  <c r="N441" i="26"/>
  <c r="M475" i="26"/>
  <c r="L464" i="26"/>
  <c r="T455" i="26"/>
  <c r="N437" i="26"/>
  <c r="L440" i="26"/>
  <c r="N451" i="26"/>
  <c r="L454" i="26"/>
  <c r="N465" i="26"/>
  <c r="L468" i="26"/>
  <c r="N479" i="26"/>
  <c r="L466" i="26"/>
  <c r="L475" i="26"/>
  <c r="R441" i="26"/>
  <c r="P472" i="26"/>
  <c r="S469" i="26"/>
  <c r="P461" i="26"/>
  <c r="P437" i="26"/>
  <c r="M440" i="26"/>
  <c r="P451" i="26"/>
  <c r="M454" i="26"/>
  <c r="P465" i="26"/>
  <c r="M468" i="26"/>
  <c r="P479" i="26"/>
  <c r="L469" i="26"/>
  <c r="L472" i="26"/>
  <c r="M472" i="26"/>
  <c r="T466" i="26"/>
  <c r="Q437" i="26"/>
  <c r="N440" i="26"/>
  <c r="Q451" i="26"/>
  <c r="N454" i="26"/>
  <c r="Q465" i="26"/>
  <c r="N468" i="26"/>
  <c r="Q479" i="26"/>
  <c r="L455" i="26"/>
  <c r="M455" i="26"/>
  <c r="Q452" i="26"/>
  <c r="M433" i="26"/>
  <c r="R469" i="26"/>
  <c r="M464" i="26"/>
  <c r="R437" i="26"/>
  <c r="P440" i="26"/>
  <c r="M443" i="26"/>
  <c r="R451" i="26"/>
  <c r="P454" i="26"/>
  <c r="M457" i="26"/>
  <c r="R465" i="26"/>
  <c r="P468" i="26"/>
  <c r="M471" i="26"/>
  <c r="R479" i="26"/>
  <c r="N455" i="26"/>
  <c r="P455" i="26"/>
  <c r="S437" i="26"/>
  <c r="Q440" i="26"/>
  <c r="S451" i="26"/>
  <c r="Q454" i="26"/>
  <c r="S465" i="26"/>
  <c r="Q468" i="26"/>
  <c r="S479" i="26"/>
  <c r="M447" i="26"/>
  <c r="X1120" i="26" l="1"/>
  <c r="X1125" i="26"/>
  <c r="V1060" i="26"/>
  <c r="W1060" i="26" s="1"/>
  <c r="V1056" i="26"/>
  <c r="W1056" i="26" s="1"/>
  <c r="X425" i="26"/>
  <c r="I424" i="26"/>
  <c r="D424" i="26"/>
  <c r="V1052" i="26"/>
  <c r="W1052" i="26" s="1"/>
  <c r="X484" i="26"/>
  <c r="X489" i="26"/>
  <c r="V416" i="26"/>
  <c r="W416" i="26" s="1"/>
  <c r="V424" i="26"/>
  <c r="W424" i="26" s="1"/>
  <c r="V420" i="26"/>
  <c r="W420" i="26" s="1"/>
  <c r="U1124" i="26" l="1"/>
  <c r="U488" i="26"/>
  <c r="N2" i="28" l="1"/>
  <c r="M2" i="28"/>
  <c r="C2" i="28" s="1"/>
  <c r="M3" i="28"/>
  <c r="C3" i="28" s="1"/>
  <c r="M4" i="28"/>
  <c r="C4" i="28" s="1"/>
  <c r="M5" i="28"/>
  <c r="C5" i="28" s="1"/>
  <c r="M6" i="28"/>
  <c r="C6" i="28" s="1"/>
  <c r="M7" i="28"/>
  <c r="C7" i="28" s="1"/>
  <c r="M8" i="28"/>
  <c r="C8" i="28" s="1"/>
  <c r="M9" i="28"/>
  <c r="C9" i="28" s="1"/>
  <c r="M10" i="28"/>
  <c r="C10" i="28" s="1"/>
  <c r="M11" i="28"/>
  <c r="C11" i="28" s="1"/>
  <c r="M12" i="28"/>
  <c r="C12" i="28" s="1"/>
  <c r="M13" i="28"/>
  <c r="C13" i="28" s="1"/>
  <c r="M14" i="28"/>
  <c r="C14" i="28" s="1"/>
  <c r="M15" i="28"/>
  <c r="C15" i="28" s="1"/>
  <c r="M16" i="28"/>
  <c r="C16" i="28" s="1"/>
  <c r="M17" i="28"/>
  <c r="C17" i="28" s="1"/>
  <c r="M18" i="28"/>
  <c r="C18" i="28" s="1"/>
  <c r="M19" i="28"/>
  <c r="C19" i="28" s="1"/>
  <c r="M20" i="28"/>
  <c r="C20" i="28" s="1"/>
  <c r="M21" i="28"/>
  <c r="C21" i="28" s="1"/>
  <c r="M22" i="28"/>
  <c r="C22" i="28" s="1"/>
  <c r="M23" i="28"/>
  <c r="C23" i="28" s="1"/>
  <c r="M24" i="28"/>
  <c r="C24" i="28" s="1"/>
  <c r="M25" i="28"/>
  <c r="C25" i="28" s="1"/>
  <c r="M26" i="28"/>
  <c r="C26" i="28" s="1"/>
  <c r="M27" i="28"/>
  <c r="C27" i="28" s="1"/>
  <c r="M28" i="28"/>
  <c r="C28" i="28" s="1"/>
  <c r="M29" i="28"/>
  <c r="C29" i="28" s="1"/>
  <c r="M30" i="28"/>
  <c r="C30" i="28" s="1"/>
  <c r="M31" i="28"/>
  <c r="C31" i="28" s="1"/>
  <c r="M32" i="28"/>
  <c r="C32" i="28" s="1"/>
  <c r="M33" i="28"/>
  <c r="C33" i="28" s="1"/>
  <c r="M34" i="28"/>
  <c r="C34" i="28" s="1"/>
  <c r="M35" i="28"/>
  <c r="C35" i="28" s="1"/>
  <c r="M36" i="28"/>
  <c r="C36" i="28" s="1"/>
  <c r="M37" i="28"/>
  <c r="C37" i="28" s="1"/>
  <c r="M38" i="28"/>
  <c r="C38" i="28" s="1"/>
  <c r="I2" i="28"/>
  <c r="D2" i="28"/>
  <c r="L2" i="28" s="1" a="1"/>
  <c r="L2" i="28" s="1"/>
  <c r="B2" i="28"/>
  <c r="P2" i="28" s="1" a="1"/>
  <c r="P2" i="28" s="1"/>
  <c r="K2" i="28" l="1" a="1"/>
  <c r="K2" i="28" s="1"/>
  <c r="E58" i="1" l="1"/>
  <c r="E57" i="1"/>
  <c r="E56" i="1"/>
  <c r="E55" i="1"/>
  <c r="E54" i="1"/>
  <c r="E53" i="1"/>
  <c r="E49" i="1"/>
  <c r="E48" i="1"/>
  <c r="E47" i="1"/>
  <c r="E46" i="1"/>
  <c r="E45" i="1"/>
  <c r="E44" i="1"/>
  <c r="E43" i="1"/>
  <c r="E42" i="1"/>
  <c r="E41" i="1"/>
  <c r="E37" i="1"/>
  <c r="E36" i="1"/>
  <c r="E35" i="1"/>
  <c r="E34" i="1"/>
  <c r="E33" i="1"/>
  <c r="E32" i="1"/>
  <c r="E31" i="1"/>
  <c r="E30" i="1"/>
  <c r="E29" i="1"/>
  <c r="B58" i="1"/>
  <c r="B57" i="1"/>
  <c r="B55" i="1"/>
  <c r="B54" i="1"/>
  <c r="B49" i="1"/>
  <c r="B48" i="1"/>
  <c r="B47" i="1"/>
  <c r="B46" i="1"/>
  <c r="B45" i="1"/>
  <c r="B44" i="1"/>
  <c r="B43" i="1"/>
  <c r="B42" i="1"/>
  <c r="B41" i="1"/>
  <c r="B37" i="1"/>
  <c r="B36" i="1"/>
  <c r="B35" i="1"/>
  <c r="B34" i="1"/>
  <c r="B33" i="1"/>
  <c r="B32" i="1"/>
  <c r="B31" i="1"/>
  <c r="B30" i="1"/>
  <c r="B29" i="1"/>
  <c r="B25" i="1"/>
  <c r="B24" i="1"/>
  <c r="B23" i="1"/>
  <c r="B22" i="1"/>
  <c r="B21" i="1"/>
  <c r="B20" i="1"/>
  <c r="B19" i="1"/>
  <c r="B17" i="1"/>
  <c r="B12" i="1"/>
  <c r="B11" i="1"/>
  <c r="B9" i="1"/>
  <c r="C25" i="26"/>
  <c r="W25" i="26" s="1"/>
  <c r="Y7" i="10"/>
  <c r="I6" i="10"/>
  <c r="K1275" i="26"/>
  <c r="D1275" i="26"/>
  <c r="C1275" i="26"/>
  <c r="K1269" i="26"/>
  <c r="I1269" i="26"/>
  <c r="G1269" i="26" s="1"/>
  <c r="D1269" i="26"/>
  <c r="C1269" i="26"/>
  <c r="W1269" i="26" s="1"/>
  <c r="K1264" i="26"/>
  <c r="I1264" i="26"/>
  <c r="G1264" i="26" s="1"/>
  <c r="D1264" i="26"/>
  <c r="C1264" i="26"/>
  <c r="W1264" i="26" s="1"/>
  <c r="X1257" i="26"/>
  <c r="X1256" i="26"/>
  <c r="V1256" i="26"/>
  <c r="L1255" i="26"/>
  <c r="K1255" i="26"/>
  <c r="J1255" i="26"/>
  <c r="I1255" i="26"/>
  <c r="H1255" i="26"/>
  <c r="G1255" i="26"/>
  <c r="F1255" i="26"/>
  <c r="E1255" i="26"/>
  <c r="D1255" i="26"/>
  <c r="C1255" i="26"/>
  <c r="X1253" i="26"/>
  <c r="V1252" i="26"/>
  <c r="P1252" i="26"/>
  <c r="Q1252" i="26" s="1"/>
  <c r="K1252" i="26"/>
  <c r="I1252" i="26"/>
  <c r="D1252" i="26"/>
  <c r="C1252" i="26"/>
  <c r="W1252" i="26" s="1"/>
  <c r="B1251" i="26"/>
  <c r="T1248" i="26"/>
  <c r="K1244" i="26"/>
  <c r="D1244" i="26"/>
  <c r="C1244" i="26"/>
  <c r="B1243" i="26"/>
  <c r="K1237" i="26"/>
  <c r="K1238" i="26" s="1"/>
  <c r="K1239" i="26" s="1"/>
  <c r="K1240" i="26" s="1"/>
  <c r="I1237" i="26"/>
  <c r="I1238" i="26" s="1"/>
  <c r="I1239" i="26" s="1"/>
  <c r="I1240" i="26" s="1"/>
  <c r="D1237" i="26"/>
  <c r="C1237" i="26"/>
  <c r="W1237" i="26" s="1"/>
  <c r="B1236" i="26"/>
  <c r="V1233" i="26"/>
  <c r="V1232" i="26"/>
  <c r="N1230" i="26"/>
  <c r="N1231" i="26" s="1"/>
  <c r="K1229" i="26"/>
  <c r="K1230" i="26" s="1"/>
  <c r="K1231" i="26" s="1"/>
  <c r="K1232" i="26" s="1"/>
  <c r="I1229" i="26"/>
  <c r="I1230" i="26" s="1"/>
  <c r="I1231" i="26" s="1"/>
  <c r="I1232" i="26" s="1"/>
  <c r="D1229" i="26"/>
  <c r="C1229" i="26"/>
  <c r="W1229" i="26" s="1"/>
  <c r="B1228" i="26"/>
  <c r="K1223" i="26"/>
  <c r="I1223" i="26"/>
  <c r="F1223" i="26" s="1"/>
  <c r="D1223" i="26"/>
  <c r="C1223" i="26"/>
  <c r="K1218" i="26"/>
  <c r="I1218" i="26"/>
  <c r="F1218" i="26" s="1"/>
  <c r="D1218" i="26"/>
  <c r="C1218" i="26"/>
  <c r="W1218" i="26" s="1"/>
  <c r="O1167" i="26"/>
  <c r="O1168" i="26"/>
  <c r="O1169" i="26" s="1"/>
  <c r="O1170" i="26" s="1"/>
  <c r="O1171" i="26" s="1"/>
  <c r="O1172" i="26" s="1"/>
  <c r="O1173" i="26" s="1"/>
  <c r="O1174" i="26" s="1"/>
  <c r="O1175" i="26" s="1"/>
  <c r="O1176" i="26" s="1"/>
  <c r="O1177" i="26" s="1"/>
  <c r="O1178" i="26" s="1"/>
  <c r="O1179" i="26" s="1"/>
  <c r="O1180" i="26" s="1"/>
  <c r="O1181" i="26" s="1"/>
  <c r="O1182" i="26" s="1"/>
  <c r="O1183" i="26" s="1"/>
  <c r="O1184" i="26" s="1"/>
  <c r="O1185" i="26" s="1"/>
  <c r="O1186" i="26" s="1"/>
  <c r="O1187" i="26" s="1"/>
  <c r="O1188" i="26" s="1"/>
  <c r="O1189" i="26" s="1"/>
  <c r="O1190" i="26" s="1"/>
  <c r="O1191" i="26" s="1"/>
  <c r="O1192" i="26" s="1"/>
  <c r="O1193" i="26" s="1"/>
  <c r="O1194" i="26" s="1"/>
  <c r="O1195" i="26" s="1"/>
  <c r="O1196" i="26" s="1"/>
  <c r="O1197" i="26" s="1"/>
  <c r="O1198" i="26" s="1"/>
  <c r="O1199" i="26" s="1"/>
  <c r="O1200" i="26" s="1"/>
  <c r="O1201" i="26" s="1"/>
  <c r="O1202" i="26" s="1"/>
  <c r="O1203" i="26" s="1"/>
  <c r="O1204" i="26" s="1"/>
  <c r="O1205" i="26" s="1"/>
  <c r="O1206" i="26" s="1"/>
  <c r="O1207" i="26" s="1"/>
  <c r="O1208" i="26" s="1"/>
  <c r="O1209" i="26" s="1"/>
  <c r="O1210" i="26" s="1"/>
  <c r="O1211" i="26" s="1"/>
  <c r="O1212" i="26" s="1"/>
  <c r="O1213" i="26" s="1"/>
  <c r="O1214" i="26" s="1"/>
  <c r="O1215" i="26" s="1"/>
  <c r="I1166" i="26"/>
  <c r="I1167" i="26" s="1"/>
  <c r="I1168" i="26" s="1"/>
  <c r="I1169" i="26" s="1"/>
  <c r="I1170" i="26" s="1"/>
  <c r="I1171" i="26" s="1"/>
  <c r="I1172" i="26" s="1"/>
  <c r="I1173" i="26" s="1"/>
  <c r="I1174" i="26" s="1"/>
  <c r="I1175" i="26" s="1"/>
  <c r="I1176" i="26" s="1"/>
  <c r="I1177" i="26" s="1"/>
  <c r="I1178" i="26" s="1"/>
  <c r="I1179" i="26" s="1"/>
  <c r="I1180" i="26" s="1"/>
  <c r="I1181" i="26" s="1"/>
  <c r="I1182" i="26" s="1"/>
  <c r="I1183" i="26" s="1"/>
  <c r="I1184" i="26" s="1"/>
  <c r="I1185" i="26" s="1"/>
  <c r="I1186" i="26" s="1"/>
  <c r="I1187" i="26" s="1"/>
  <c r="I1188" i="26" s="1"/>
  <c r="I1189" i="26" s="1"/>
  <c r="I1190" i="26" s="1"/>
  <c r="I1191" i="26" s="1"/>
  <c r="I1192" i="26" s="1"/>
  <c r="I1193" i="26" s="1"/>
  <c r="I1194" i="26" s="1"/>
  <c r="I1195" i="26" s="1"/>
  <c r="I1196" i="26" s="1"/>
  <c r="I1197" i="26" s="1"/>
  <c r="I1198" i="26" s="1"/>
  <c r="I1199" i="26" s="1"/>
  <c r="I1200" i="26" s="1"/>
  <c r="I1201" i="26" s="1"/>
  <c r="I1202" i="26" s="1"/>
  <c r="I1203" i="26" s="1"/>
  <c r="I1204" i="26" s="1"/>
  <c r="I1205" i="26" s="1"/>
  <c r="I1206" i="26" s="1"/>
  <c r="I1207" i="26" s="1"/>
  <c r="I1208" i="26" s="1"/>
  <c r="I1209" i="26" s="1"/>
  <c r="I1210" i="26" s="1"/>
  <c r="I1211" i="26" s="1"/>
  <c r="I1212" i="26" s="1"/>
  <c r="I1213" i="26" s="1"/>
  <c r="I1214" i="26" s="1"/>
  <c r="I1215" i="26" s="1"/>
  <c r="H1166" i="26"/>
  <c r="H1167" i="26" s="1"/>
  <c r="H1168" i="26" s="1"/>
  <c r="H1169" i="26" s="1"/>
  <c r="H1170" i="26" s="1"/>
  <c r="H1171" i="26" s="1"/>
  <c r="H1172" i="26" s="1"/>
  <c r="H1173" i="26" s="1"/>
  <c r="H1174" i="26" s="1"/>
  <c r="H1175" i="26" s="1"/>
  <c r="H1176" i="26" s="1"/>
  <c r="H1177" i="26" s="1"/>
  <c r="H1178" i="26" s="1"/>
  <c r="H1179" i="26" s="1"/>
  <c r="H1180" i="26" s="1"/>
  <c r="H1181" i="26" s="1"/>
  <c r="H1182" i="26" s="1"/>
  <c r="H1183" i="26" s="1"/>
  <c r="H1184" i="26" s="1"/>
  <c r="H1185" i="26" s="1"/>
  <c r="H1186" i="26" s="1"/>
  <c r="H1187" i="26" s="1"/>
  <c r="H1188" i="26" s="1"/>
  <c r="H1189" i="26" s="1"/>
  <c r="H1190" i="26" s="1"/>
  <c r="H1191" i="26" s="1"/>
  <c r="H1192" i="26" s="1"/>
  <c r="H1193" i="26" s="1"/>
  <c r="H1194" i="26" s="1"/>
  <c r="H1195" i="26" s="1"/>
  <c r="H1196" i="26" s="1"/>
  <c r="H1197" i="26" s="1"/>
  <c r="H1198" i="26" s="1"/>
  <c r="H1199" i="26" s="1"/>
  <c r="H1200" i="26" s="1"/>
  <c r="H1201" i="26" s="1"/>
  <c r="H1202" i="26" s="1"/>
  <c r="H1203" i="26" s="1"/>
  <c r="H1204" i="26" s="1"/>
  <c r="H1205" i="26" s="1"/>
  <c r="H1206" i="26" s="1"/>
  <c r="H1207" i="26" s="1"/>
  <c r="H1208" i="26" s="1"/>
  <c r="H1209" i="26" s="1"/>
  <c r="H1210" i="26" s="1"/>
  <c r="H1211" i="26" s="1"/>
  <c r="H1212" i="26" s="1"/>
  <c r="H1213" i="26" s="1"/>
  <c r="H1214" i="26" s="1"/>
  <c r="H1215" i="26" s="1"/>
  <c r="D1166" i="26"/>
  <c r="D1167" i="26" s="1"/>
  <c r="D1168" i="26" s="1"/>
  <c r="D1169" i="26" s="1"/>
  <c r="D1170" i="26" s="1"/>
  <c r="D1171" i="26" s="1"/>
  <c r="D1172" i="26" s="1"/>
  <c r="D1173" i="26" s="1"/>
  <c r="D1174" i="26" s="1"/>
  <c r="D1175" i="26" s="1"/>
  <c r="D1176" i="26" s="1"/>
  <c r="D1177" i="26" s="1"/>
  <c r="D1178" i="26" s="1"/>
  <c r="D1179" i="26" s="1"/>
  <c r="D1180" i="26" s="1"/>
  <c r="D1181" i="26" s="1"/>
  <c r="D1182" i="26" s="1"/>
  <c r="D1183" i="26" s="1"/>
  <c r="D1184" i="26" s="1"/>
  <c r="D1185" i="26" s="1"/>
  <c r="D1186" i="26" s="1"/>
  <c r="D1187" i="26" s="1"/>
  <c r="D1188" i="26" s="1"/>
  <c r="D1189" i="26" s="1"/>
  <c r="D1190" i="26" s="1"/>
  <c r="D1191" i="26" s="1"/>
  <c r="D1192" i="26" s="1"/>
  <c r="D1193" i="26" s="1"/>
  <c r="D1194" i="26" s="1"/>
  <c r="D1195" i="26" s="1"/>
  <c r="D1196" i="26" s="1"/>
  <c r="D1197" i="26" s="1"/>
  <c r="D1198" i="26" s="1"/>
  <c r="D1199" i="26" s="1"/>
  <c r="D1200" i="26" s="1"/>
  <c r="D1201" i="26" s="1"/>
  <c r="D1202" i="26" s="1"/>
  <c r="D1203" i="26" s="1"/>
  <c r="D1204" i="26" s="1"/>
  <c r="D1205" i="26" s="1"/>
  <c r="D1206" i="26" s="1"/>
  <c r="D1207" i="26" s="1"/>
  <c r="D1208" i="26" s="1"/>
  <c r="D1209" i="26" s="1"/>
  <c r="D1210" i="26" s="1"/>
  <c r="D1211" i="26" s="1"/>
  <c r="D1212" i="26" s="1"/>
  <c r="D1213" i="26" s="1"/>
  <c r="D1214" i="26" s="1"/>
  <c r="D1215" i="26" s="1"/>
  <c r="C1166" i="26"/>
  <c r="K1159" i="26"/>
  <c r="I1159" i="26"/>
  <c r="D1159" i="26"/>
  <c r="C1159" i="26"/>
  <c r="L1158" i="26"/>
  <c r="K1158" i="26"/>
  <c r="J1158" i="26"/>
  <c r="I1158" i="26"/>
  <c r="H1158" i="26"/>
  <c r="G1158" i="26"/>
  <c r="F1158" i="26"/>
  <c r="E1158" i="26"/>
  <c r="D1158" i="26"/>
  <c r="C1158" i="26"/>
  <c r="X1156" i="26"/>
  <c r="P1155" i="26"/>
  <c r="K1155" i="26"/>
  <c r="I1155" i="26"/>
  <c r="D1155" i="26"/>
  <c r="C1155" i="26"/>
  <c r="W1155" i="26" s="1"/>
  <c r="U1223" i="26" s="1"/>
  <c r="B1154" i="26"/>
  <c r="K1149" i="26"/>
  <c r="I1149" i="26"/>
  <c r="G1149" i="26" s="1"/>
  <c r="D1149" i="26"/>
  <c r="C1149" i="26"/>
  <c r="W1149" i="26" s="1"/>
  <c r="K1144" i="26"/>
  <c r="I1144" i="26"/>
  <c r="F1144" i="26" s="1"/>
  <c r="D1144" i="26"/>
  <c r="C1144" i="26"/>
  <c r="W1144" i="26" s="1"/>
  <c r="B1140" i="26"/>
  <c r="K1134" i="26"/>
  <c r="I1134" i="26"/>
  <c r="D1134" i="26"/>
  <c r="C1134" i="26"/>
  <c r="L1133" i="26"/>
  <c r="K1133" i="26"/>
  <c r="J1133" i="26"/>
  <c r="I1133" i="26"/>
  <c r="H1133" i="26"/>
  <c r="G1133" i="26"/>
  <c r="F1133" i="26"/>
  <c r="E1133" i="26"/>
  <c r="D1133" i="26"/>
  <c r="C1133" i="26"/>
  <c r="X1131" i="26"/>
  <c r="V1130" i="26"/>
  <c r="T1130" i="26"/>
  <c r="P1130" i="26"/>
  <c r="Q1130" i="26" s="1"/>
  <c r="K1130" i="26"/>
  <c r="I1130" i="26"/>
  <c r="D1130" i="26"/>
  <c r="C1130" i="26"/>
  <c r="B1129" i="26"/>
  <c r="K1046" i="26"/>
  <c r="I1046" i="26"/>
  <c r="E1046" i="26" s="1"/>
  <c r="D1046" i="26"/>
  <c r="C1046" i="26"/>
  <c r="W1046" i="26" s="1"/>
  <c r="K1041" i="26"/>
  <c r="I1041" i="26"/>
  <c r="H1041" i="26" s="1"/>
  <c r="D1041" i="26"/>
  <c r="C1041" i="26"/>
  <c r="S989" i="26"/>
  <c r="S990" i="26" s="1"/>
  <c r="S991" i="26" s="1"/>
  <c r="S992" i="26" s="1"/>
  <c r="S993" i="26" s="1"/>
  <c r="S994" i="26" s="1"/>
  <c r="S995" i="26" s="1"/>
  <c r="S996" i="26" s="1"/>
  <c r="S997" i="26" s="1"/>
  <c r="S998" i="26" s="1"/>
  <c r="S999" i="26" s="1"/>
  <c r="S1000" i="26" s="1"/>
  <c r="S1001" i="26" s="1"/>
  <c r="S1002" i="26" s="1"/>
  <c r="S1003" i="26" s="1"/>
  <c r="S1004" i="26" s="1"/>
  <c r="S1005" i="26" s="1"/>
  <c r="S1006" i="26" s="1"/>
  <c r="S1007" i="26" s="1"/>
  <c r="S1008" i="26" s="1"/>
  <c r="S1009" i="26" s="1"/>
  <c r="S1010" i="26" s="1"/>
  <c r="S1011" i="26" s="1"/>
  <c r="S1012" i="26" s="1"/>
  <c r="S1013" i="26" s="1"/>
  <c r="S1014" i="26" s="1"/>
  <c r="S1015" i="26" s="1"/>
  <c r="S1016" i="26" s="1"/>
  <c r="S1017" i="26" s="1"/>
  <c r="S1018" i="26" s="1"/>
  <c r="S1019" i="26" s="1"/>
  <c r="S1020" i="26" s="1"/>
  <c r="S1021" i="26" s="1"/>
  <c r="S1022" i="26" s="1"/>
  <c r="S1023" i="26" s="1"/>
  <c r="S1024" i="26" s="1"/>
  <c r="S1025" i="26" s="1"/>
  <c r="S1026" i="26" s="1"/>
  <c r="S1027" i="26" s="1"/>
  <c r="S1028" i="26" s="1"/>
  <c r="S1029" i="26" s="1"/>
  <c r="S1030" i="26" s="1"/>
  <c r="S1031" i="26" s="1"/>
  <c r="S1032" i="26" s="1"/>
  <c r="S1033" i="26" s="1"/>
  <c r="S1034" i="26" s="1"/>
  <c r="S1035" i="26" s="1"/>
  <c r="S1036" i="26" s="1"/>
  <c r="S1037" i="26" s="1"/>
  <c r="Q989" i="26"/>
  <c r="J989" i="26" s="1"/>
  <c r="O989" i="26"/>
  <c r="H989" i="26" s="1"/>
  <c r="M989" i="26"/>
  <c r="M990" i="26" s="1"/>
  <c r="M991" i="26" s="1"/>
  <c r="K988" i="26"/>
  <c r="J988" i="26"/>
  <c r="I988" i="26"/>
  <c r="H988" i="26"/>
  <c r="G988" i="26"/>
  <c r="C988" i="26"/>
  <c r="G984" i="26"/>
  <c r="R983" i="26"/>
  <c r="Q983" i="26"/>
  <c r="P983" i="26"/>
  <c r="O983" i="26"/>
  <c r="M983" i="26"/>
  <c r="G983" i="26"/>
  <c r="R982" i="26"/>
  <c r="Q982" i="26"/>
  <c r="P982" i="26"/>
  <c r="O982" i="26"/>
  <c r="N982" i="26"/>
  <c r="G982" i="26"/>
  <c r="G981" i="26"/>
  <c r="V980" i="26"/>
  <c r="U980" i="26"/>
  <c r="T980" i="26"/>
  <c r="S980" i="26"/>
  <c r="Q980" i="26"/>
  <c r="P980" i="26"/>
  <c r="O980" i="26"/>
  <c r="N980" i="26"/>
  <c r="L980" i="26"/>
  <c r="G980" i="26"/>
  <c r="V979" i="26"/>
  <c r="U979" i="26"/>
  <c r="T979" i="26"/>
  <c r="S979" i="26"/>
  <c r="Q979" i="26"/>
  <c r="P979" i="26"/>
  <c r="O979" i="26"/>
  <c r="N979" i="26"/>
  <c r="L979" i="26"/>
  <c r="G979" i="26"/>
  <c r="V978" i="26"/>
  <c r="U978" i="26"/>
  <c r="T978" i="26"/>
  <c r="S978" i="26"/>
  <c r="Q978" i="26"/>
  <c r="P978" i="26"/>
  <c r="O978" i="26"/>
  <c r="N978" i="26"/>
  <c r="L978" i="26"/>
  <c r="G978" i="26"/>
  <c r="V977" i="26"/>
  <c r="U977" i="26"/>
  <c r="T977" i="26"/>
  <c r="S977" i="26"/>
  <c r="O977" i="26"/>
  <c r="Q977" i="26" s="1"/>
  <c r="N977" i="26"/>
  <c r="G977" i="26"/>
  <c r="V976" i="26"/>
  <c r="U976" i="26"/>
  <c r="O976" i="26"/>
  <c r="T976" i="26" s="1"/>
  <c r="N976" i="26"/>
  <c r="S976" i="26" s="1"/>
  <c r="G976" i="26"/>
  <c r="G975" i="26"/>
  <c r="X938" i="26"/>
  <c r="L937" i="26"/>
  <c r="L941" i="26" s="1"/>
  <c r="L945" i="26" s="1"/>
  <c r="L949" i="26" s="1"/>
  <c r="L953" i="26" s="1"/>
  <c r="L957" i="26" s="1"/>
  <c r="L961" i="26" s="1"/>
  <c r="L965" i="26" s="1"/>
  <c r="L969" i="26" s="1"/>
  <c r="K937" i="26"/>
  <c r="K941" i="26" s="1"/>
  <c r="K945" i="26" s="1"/>
  <c r="K949" i="26" s="1"/>
  <c r="K953" i="26" s="1"/>
  <c r="K957" i="26" s="1"/>
  <c r="K961" i="26" s="1"/>
  <c r="K965" i="26" s="1"/>
  <c r="K969" i="26" s="1"/>
  <c r="J937" i="26"/>
  <c r="J941" i="26" s="1"/>
  <c r="J945" i="26" s="1"/>
  <c r="J949" i="26" s="1"/>
  <c r="J953" i="26" s="1"/>
  <c r="J957" i="26" s="1"/>
  <c r="J961" i="26" s="1"/>
  <c r="J965" i="26" s="1"/>
  <c r="J969" i="26" s="1"/>
  <c r="I937" i="26"/>
  <c r="I941" i="26" s="1"/>
  <c r="I945" i="26" s="1"/>
  <c r="I949" i="26" s="1"/>
  <c r="I953" i="26" s="1"/>
  <c r="I957" i="26" s="1"/>
  <c r="I961" i="26" s="1"/>
  <c r="I965" i="26" s="1"/>
  <c r="I969" i="26" s="1"/>
  <c r="H937" i="26"/>
  <c r="H941" i="26" s="1"/>
  <c r="H945" i="26" s="1"/>
  <c r="H949" i="26" s="1"/>
  <c r="H953" i="26" s="1"/>
  <c r="H957" i="26" s="1"/>
  <c r="H961" i="26" s="1"/>
  <c r="H965" i="26" s="1"/>
  <c r="H969" i="26" s="1"/>
  <c r="G937" i="26"/>
  <c r="G941" i="26"/>
  <c r="G945" i="26" s="1"/>
  <c r="G949" i="26" s="1"/>
  <c r="G953" i="26" s="1"/>
  <c r="G957" i="26" s="1"/>
  <c r="G961" i="26" s="1"/>
  <c r="G965" i="26" s="1"/>
  <c r="G969" i="26" s="1"/>
  <c r="F937" i="26"/>
  <c r="F941" i="26"/>
  <c r="F945" i="26"/>
  <c r="F949" i="26"/>
  <c r="F953" i="26" s="1"/>
  <c r="F957" i="26" s="1"/>
  <c r="F961" i="26" s="1"/>
  <c r="F965" i="26" s="1"/>
  <c r="F969" i="26" s="1"/>
  <c r="E937" i="26"/>
  <c r="E941" i="26" s="1"/>
  <c r="E945" i="26" s="1"/>
  <c r="E949" i="26" s="1"/>
  <c r="E953" i="26" s="1"/>
  <c r="E957" i="26" s="1"/>
  <c r="E961" i="26" s="1"/>
  <c r="E965" i="26" s="1"/>
  <c r="E969" i="26" s="1"/>
  <c r="D937" i="26"/>
  <c r="D941" i="26" s="1"/>
  <c r="D945" i="26" s="1"/>
  <c r="D949" i="26" s="1"/>
  <c r="D953" i="26" s="1"/>
  <c r="D957" i="26" s="1"/>
  <c r="D961" i="26" s="1"/>
  <c r="D965" i="26" s="1"/>
  <c r="D969" i="26" s="1"/>
  <c r="C937" i="26"/>
  <c r="C941" i="26" s="1"/>
  <c r="C945" i="26" s="1"/>
  <c r="C949" i="26" s="1"/>
  <c r="C953" i="26" s="1"/>
  <c r="C957" i="26" s="1"/>
  <c r="C961" i="26" s="1"/>
  <c r="C965" i="26" s="1"/>
  <c r="C969" i="26" s="1"/>
  <c r="X935" i="26"/>
  <c r="K934" i="26"/>
  <c r="I934" i="26"/>
  <c r="D934" i="26"/>
  <c r="C934" i="26"/>
  <c r="B933" i="26"/>
  <c r="K928" i="26"/>
  <c r="I928" i="26"/>
  <c r="G928" i="26" s="1"/>
  <c r="D928" i="26"/>
  <c r="C928" i="26"/>
  <c r="W928" i="26" s="1"/>
  <c r="K923" i="26"/>
  <c r="I923" i="26"/>
  <c r="H923" i="26" s="1"/>
  <c r="D923" i="26"/>
  <c r="C923" i="26"/>
  <c r="W923" i="26" s="1"/>
  <c r="O872" i="26"/>
  <c r="O873" i="26" s="1"/>
  <c r="O874" i="26" s="1"/>
  <c r="O875" i="26" s="1"/>
  <c r="O876" i="26" s="1"/>
  <c r="O877" i="26" s="1"/>
  <c r="O878" i="26" s="1"/>
  <c r="O879" i="26" s="1"/>
  <c r="O880" i="26" s="1"/>
  <c r="O881" i="26" s="1"/>
  <c r="O882" i="26" s="1"/>
  <c r="O883" i="26" s="1"/>
  <c r="O884" i="26" s="1"/>
  <c r="O885" i="26" s="1"/>
  <c r="O886" i="26" s="1"/>
  <c r="O887" i="26" s="1"/>
  <c r="O888" i="26" s="1"/>
  <c r="O889" i="26" s="1"/>
  <c r="O890" i="26" s="1"/>
  <c r="O891" i="26" s="1"/>
  <c r="O892" i="26" s="1"/>
  <c r="O893" i="26" s="1"/>
  <c r="O894" i="26" s="1"/>
  <c r="O895" i="26" s="1"/>
  <c r="O896" i="26" s="1"/>
  <c r="O897" i="26" s="1"/>
  <c r="O898" i="26" s="1"/>
  <c r="O899" i="26" s="1"/>
  <c r="O900" i="26" s="1"/>
  <c r="O901" i="26" s="1"/>
  <c r="O902" i="26" s="1"/>
  <c r="O903" i="26" s="1"/>
  <c r="O904" i="26" s="1"/>
  <c r="O905" i="26" s="1"/>
  <c r="O906" i="26" s="1"/>
  <c r="O907" i="26" s="1"/>
  <c r="O908" i="26" s="1"/>
  <c r="O909" i="26" s="1"/>
  <c r="O910" i="26" s="1"/>
  <c r="O911" i="26" s="1"/>
  <c r="O912" i="26" s="1"/>
  <c r="O913" i="26" s="1"/>
  <c r="O914" i="26" s="1"/>
  <c r="O915" i="26" s="1"/>
  <c r="O916" i="26" s="1"/>
  <c r="O917" i="26" s="1"/>
  <c r="O918" i="26" s="1"/>
  <c r="O919" i="26" s="1"/>
  <c r="O920" i="26" s="1"/>
  <c r="K871" i="26"/>
  <c r="K872" i="26" s="1"/>
  <c r="K873" i="26" s="1"/>
  <c r="K874" i="26" s="1"/>
  <c r="K875" i="26" s="1"/>
  <c r="K876" i="26" s="1"/>
  <c r="K877" i="26" s="1"/>
  <c r="K878" i="26" s="1"/>
  <c r="K879" i="26" s="1"/>
  <c r="K880" i="26" s="1"/>
  <c r="K881" i="26" s="1"/>
  <c r="K882" i="26" s="1"/>
  <c r="K883" i="26" s="1"/>
  <c r="K884" i="26" s="1"/>
  <c r="K885" i="26" s="1"/>
  <c r="K886" i="26" s="1"/>
  <c r="K887" i="26" s="1"/>
  <c r="K888" i="26" s="1"/>
  <c r="K889" i="26" s="1"/>
  <c r="K890" i="26" s="1"/>
  <c r="K891" i="26" s="1"/>
  <c r="K892" i="26" s="1"/>
  <c r="K893" i="26" s="1"/>
  <c r="K894" i="26" s="1"/>
  <c r="K895" i="26" s="1"/>
  <c r="K896" i="26" s="1"/>
  <c r="K897" i="26" s="1"/>
  <c r="K898" i="26" s="1"/>
  <c r="K899" i="26" s="1"/>
  <c r="K900" i="26" s="1"/>
  <c r="K901" i="26" s="1"/>
  <c r="K902" i="26" s="1"/>
  <c r="K903" i="26" s="1"/>
  <c r="K904" i="26" s="1"/>
  <c r="K905" i="26" s="1"/>
  <c r="K906" i="26" s="1"/>
  <c r="K907" i="26" s="1"/>
  <c r="K908" i="26" s="1"/>
  <c r="K909" i="26" s="1"/>
  <c r="K910" i="26" s="1"/>
  <c r="K911" i="26" s="1"/>
  <c r="K912" i="26" s="1"/>
  <c r="K913" i="26" s="1"/>
  <c r="K914" i="26" s="1"/>
  <c r="K915" i="26" s="1"/>
  <c r="K916" i="26" s="1"/>
  <c r="K917" i="26" s="1"/>
  <c r="K918" i="26" s="1"/>
  <c r="K919" i="26" s="1"/>
  <c r="K920" i="26" s="1"/>
  <c r="J871" i="26"/>
  <c r="J872" i="26" s="1"/>
  <c r="J873" i="26" s="1"/>
  <c r="J874" i="26" s="1"/>
  <c r="J875" i="26" s="1"/>
  <c r="J876" i="26" s="1"/>
  <c r="J877" i="26" s="1"/>
  <c r="J878" i="26" s="1"/>
  <c r="J879" i="26" s="1"/>
  <c r="J880" i="26" s="1"/>
  <c r="J881" i="26" s="1"/>
  <c r="J882" i="26" s="1"/>
  <c r="J883" i="26" s="1"/>
  <c r="J884" i="26" s="1"/>
  <c r="J885" i="26" s="1"/>
  <c r="J886" i="26" s="1"/>
  <c r="J887" i="26" s="1"/>
  <c r="J888" i="26" s="1"/>
  <c r="J889" i="26" s="1"/>
  <c r="J890" i="26" s="1"/>
  <c r="J891" i="26" s="1"/>
  <c r="J892" i="26" s="1"/>
  <c r="J893" i="26" s="1"/>
  <c r="J894" i="26" s="1"/>
  <c r="J895" i="26" s="1"/>
  <c r="J896" i="26" s="1"/>
  <c r="J897" i="26" s="1"/>
  <c r="J898" i="26" s="1"/>
  <c r="J899" i="26" s="1"/>
  <c r="J900" i="26" s="1"/>
  <c r="J901" i="26" s="1"/>
  <c r="J902" i="26" s="1"/>
  <c r="J903" i="26" s="1"/>
  <c r="J904" i="26" s="1"/>
  <c r="J905" i="26" s="1"/>
  <c r="J906" i="26" s="1"/>
  <c r="J907" i="26" s="1"/>
  <c r="J908" i="26" s="1"/>
  <c r="J909" i="26" s="1"/>
  <c r="J910" i="26" s="1"/>
  <c r="J911" i="26" s="1"/>
  <c r="J912" i="26" s="1"/>
  <c r="J913" i="26" s="1"/>
  <c r="J914" i="26" s="1"/>
  <c r="J915" i="26" s="1"/>
  <c r="J916" i="26" s="1"/>
  <c r="J917" i="26" s="1"/>
  <c r="J918" i="26" s="1"/>
  <c r="J919" i="26" s="1"/>
  <c r="J920" i="26" s="1"/>
  <c r="D871" i="26"/>
  <c r="D872" i="26" s="1"/>
  <c r="D873" i="26" s="1"/>
  <c r="D874" i="26" s="1"/>
  <c r="D875" i="26" s="1"/>
  <c r="D876" i="26" s="1"/>
  <c r="D877" i="26" s="1"/>
  <c r="D878" i="26" s="1"/>
  <c r="D879" i="26" s="1"/>
  <c r="D880" i="26" s="1"/>
  <c r="D881" i="26" s="1"/>
  <c r="D882" i="26" s="1"/>
  <c r="D883" i="26" s="1"/>
  <c r="D884" i="26" s="1"/>
  <c r="D885" i="26" s="1"/>
  <c r="D886" i="26" s="1"/>
  <c r="D887" i="26" s="1"/>
  <c r="D888" i="26" s="1"/>
  <c r="D889" i="26" s="1"/>
  <c r="D890" i="26" s="1"/>
  <c r="D891" i="26" s="1"/>
  <c r="D892" i="26" s="1"/>
  <c r="D893" i="26" s="1"/>
  <c r="D894" i="26" s="1"/>
  <c r="D895" i="26" s="1"/>
  <c r="D896" i="26" s="1"/>
  <c r="D897" i="26" s="1"/>
  <c r="D898" i="26" s="1"/>
  <c r="D899" i="26" s="1"/>
  <c r="D900" i="26" s="1"/>
  <c r="D901" i="26" s="1"/>
  <c r="D902" i="26" s="1"/>
  <c r="D903" i="26" s="1"/>
  <c r="D904" i="26" s="1"/>
  <c r="D905" i="26" s="1"/>
  <c r="D906" i="26" s="1"/>
  <c r="D907" i="26" s="1"/>
  <c r="D908" i="26" s="1"/>
  <c r="D909" i="26" s="1"/>
  <c r="D910" i="26" s="1"/>
  <c r="D911" i="26" s="1"/>
  <c r="D912" i="26" s="1"/>
  <c r="D913" i="26" s="1"/>
  <c r="D914" i="26" s="1"/>
  <c r="D915" i="26" s="1"/>
  <c r="D916" i="26" s="1"/>
  <c r="D917" i="26" s="1"/>
  <c r="D918" i="26" s="1"/>
  <c r="D919" i="26" s="1"/>
  <c r="D920" i="26" s="1"/>
  <c r="C871" i="26"/>
  <c r="X865" i="26"/>
  <c r="X864" i="26"/>
  <c r="D864" i="26" s="1"/>
  <c r="V864" i="26"/>
  <c r="I864" i="26"/>
  <c r="L863" i="26"/>
  <c r="K863" i="26"/>
  <c r="J863" i="26"/>
  <c r="I863" i="26"/>
  <c r="H863" i="26"/>
  <c r="G863" i="26"/>
  <c r="F863" i="26"/>
  <c r="E863" i="26"/>
  <c r="D863" i="26"/>
  <c r="C863" i="26"/>
  <c r="X861" i="26"/>
  <c r="V860" i="26"/>
  <c r="K860" i="26"/>
  <c r="I860" i="26"/>
  <c r="D860" i="26"/>
  <c r="C860" i="26"/>
  <c r="W860" i="26" s="1"/>
  <c r="B859" i="26"/>
  <c r="K854" i="26"/>
  <c r="I854" i="26"/>
  <c r="F854" i="26" s="1"/>
  <c r="D854" i="26"/>
  <c r="C854" i="26"/>
  <c r="W854" i="26" s="1"/>
  <c r="K849" i="26"/>
  <c r="I849" i="26"/>
  <c r="H849" i="26" s="1"/>
  <c r="D849" i="26"/>
  <c r="C849" i="26"/>
  <c r="W849" i="26" s="1"/>
  <c r="O797" i="26"/>
  <c r="O798" i="26" s="1"/>
  <c r="O799" i="26" s="1"/>
  <c r="O800" i="26" s="1"/>
  <c r="O801" i="26" s="1"/>
  <c r="O802" i="26" s="1"/>
  <c r="O803" i="26" s="1"/>
  <c r="O804" i="26" s="1"/>
  <c r="O805" i="26" s="1"/>
  <c r="O806" i="26" s="1"/>
  <c r="O807" i="26" s="1"/>
  <c r="O808" i="26" s="1"/>
  <c r="O809" i="26" s="1"/>
  <c r="O810" i="26" s="1"/>
  <c r="O811" i="26" s="1"/>
  <c r="O812" i="26" s="1"/>
  <c r="O813" i="26" s="1"/>
  <c r="O814" i="26" s="1"/>
  <c r="O815" i="26" s="1"/>
  <c r="O816" i="26" s="1"/>
  <c r="O817" i="26" s="1"/>
  <c r="O818" i="26" s="1"/>
  <c r="O819" i="26" s="1"/>
  <c r="O820" i="26" s="1"/>
  <c r="O821" i="26" s="1"/>
  <c r="O822" i="26" s="1"/>
  <c r="O823" i="26" s="1"/>
  <c r="O824" i="26" s="1"/>
  <c r="O825" i="26" s="1"/>
  <c r="O826" i="26" s="1"/>
  <c r="O827" i="26" s="1"/>
  <c r="O828" i="26" s="1"/>
  <c r="O829" i="26" s="1"/>
  <c r="O830" i="26" s="1"/>
  <c r="O831" i="26" s="1"/>
  <c r="O832" i="26" s="1"/>
  <c r="O833" i="26" s="1"/>
  <c r="O834" i="26" s="1"/>
  <c r="O835" i="26" s="1"/>
  <c r="O836" i="26" s="1"/>
  <c r="O837" i="26" s="1"/>
  <c r="O838" i="26" s="1"/>
  <c r="O839" i="26" s="1"/>
  <c r="O840" i="26" s="1"/>
  <c r="O841" i="26" s="1"/>
  <c r="O842" i="26" s="1"/>
  <c r="O843" i="26" s="1"/>
  <c r="O844" i="26" s="1"/>
  <c r="O845" i="26" s="1"/>
  <c r="X791" i="26"/>
  <c r="X790" i="26"/>
  <c r="I790" i="26" s="1"/>
  <c r="V790" i="26"/>
  <c r="L789" i="26"/>
  <c r="K789" i="26"/>
  <c r="J789" i="26"/>
  <c r="I789" i="26"/>
  <c r="H789" i="26"/>
  <c r="G789" i="26"/>
  <c r="F789" i="26"/>
  <c r="E789" i="26"/>
  <c r="D789" i="26"/>
  <c r="C789" i="26"/>
  <c r="X787" i="26"/>
  <c r="V786" i="26"/>
  <c r="P786" i="26"/>
  <c r="Q786" i="26" s="1"/>
  <c r="K786" i="26"/>
  <c r="I786" i="26"/>
  <c r="D786" i="26"/>
  <c r="C786" i="26"/>
  <c r="W786" i="26" s="1"/>
  <c r="B785" i="26"/>
  <c r="K780" i="26"/>
  <c r="I780" i="26"/>
  <c r="H780" i="26" s="1"/>
  <c r="D780" i="26"/>
  <c r="C780" i="26"/>
  <c r="W780" i="26" s="1"/>
  <c r="K775" i="26"/>
  <c r="I775" i="26"/>
  <c r="F775" i="26" s="1"/>
  <c r="D775" i="26"/>
  <c r="C775" i="26"/>
  <c r="W775" i="26" s="1"/>
  <c r="B771" i="26"/>
  <c r="X766" i="26"/>
  <c r="X765" i="26"/>
  <c r="D765" i="26" s="1"/>
  <c r="V765" i="26"/>
  <c r="L764" i="26"/>
  <c r="K764" i="26"/>
  <c r="J764" i="26"/>
  <c r="I764" i="26"/>
  <c r="H764" i="26"/>
  <c r="G764" i="26"/>
  <c r="F764" i="26"/>
  <c r="E764" i="26"/>
  <c r="D764" i="26"/>
  <c r="C764" i="26"/>
  <c r="X762" i="26"/>
  <c r="V761" i="26"/>
  <c r="T761" i="26"/>
  <c r="P761" i="26"/>
  <c r="Q761" i="26" s="1"/>
  <c r="K761" i="26"/>
  <c r="I761" i="26"/>
  <c r="D761" i="26"/>
  <c r="C761" i="26"/>
  <c r="B760" i="26"/>
  <c r="K755" i="26"/>
  <c r="I755" i="26"/>
  <c r="G755" i="26" s="1"/>
  <c r="D755" i="26"/>
  <c r="C755" i="26"/>
  <c r="W755" i="26" s="1"/>
  <c r="K750" i="26"/>
  <c r="I750" i="26"/>
  <c r="G750" i="26" s="1"/>
  <c r="D750" i="26"/>
  <c r="C750" i="26"/>
  <c r="W750" i="26" s="1"/>
  <c r="V747" i="26"/>
  <c r="T747" i="26"/>
  <c r="V746" i="26"/>
  <c r="T746" i="26"/>
  <c r="N744" i="26"/>
  <c r="N745" i="26" s="1"/>
  <c r="N747" i="26" s="1"/>
  <c r="K743" i="26"/>
  <c r="K744" i="26" s="1"/>
  <c r="K745" i="26" s="1"/>
  <c r="I743" i="26"/>
  <c r="I744" i="26" s="1"/>
  <c r="I745" i="26" s="1"/>
  <c r="I746" i="26" s="1"/>
  <c r="D743" i="26"/>
  <c r="C743" i="26"/>
  <c r="W743" i="26" s="1"/>
  <c r="B742" i="26"/>
  <c r="M739" i="26"/>
  <c r="D735" i="26"/>
  <c r="V739" i="26" s="1"/>
  <c r="C735" i="26"/>
  <c r="B734" i="26"/>
  <c r="Q730" i="26"/>
  <c r="S730" i="26" s="1"/>
  <c r="T730" i="26" s="1"/>
  <c r="K729" i="26"/>
  <c r="D729" i="26"/>
  <c r="C729" i="26"/>
  <c r="K724" i="26"/>
  <c r="D724" i="26"/>
  <c r="C724" i="26"/>
  <c r="K720" i="26"/>
  <c r="D720" i="26"/>
  <c r="C720" i="26"/>
  <c r="T717" i="26"/>
  <c r="V717" i="26" s="1"/>
  <c r="M717" i="26"/>
  <c r="T716" i="26"/>
  <c r="V716" i="26" s="1"/>
  <c r="M716" i="26"/>
  <c r="T715" i="26"/>
  <c r="V715" i="26" s="1"/>
  <c r="K712" i="26"/>
  <c r="D712" i="26"/>
  <c r="C712" i="26"/>
  <c r="W712" i="26" s="1"/>
  <c r="B711" i="26"/>
  <c r="T708" i="26"/>
  <c r="V708" i="26" s="1"/>
  <c r="M708" i="26"/>
  <c r="T707" i="26"/>
  <c r="V707" i="26" s="1"/>
  <c r="M707" i="26"/>
  <c r="T706" i="26"/>
  <c r="V706" i="26" s="1"/>
  <c r="K703" i="26"/>
  <c r="D703" i="26"/>
  <c r="C703" i="26"/>
  <c r="W703" i="26" s="1"/>
  <c r="B702" i="26"/>
  <c r="I696" i="26"/>
  <c r="H696" i="26"/>
  <c r="G696" i="26"/>
  <c r="F696" i="26"/>
  <c r="D696" i="26"/>
  <c r="C696" i="26"/>
  <c r="T689" i="26"/>
  <c r="T688" i="26"/>
  <c r="K685" i="26"/>
  <c r="E685" i="26"/>
  <c r="I685" i="26" s="1"/>
  <c r="D685" i="26"/>
  <c r="C685" i="26"/>
  <c r="W685" i="26" s="1"/>
  <c r="T697" i="26" s="1"/>
  <c r="B684" i="26"/>
  <c r="T681" i="26"/>
  <c r="T680" i="26"/>
  <c r="K677" i="26"/>
  <c r="E677" i="26"/>
  <c r="F677" i="26" s="1"/>
  <c r="D677" i="26"/>
  <c r="C677" i="26"/>
  <c r="W677" i="26" s="1"/>
  <c r="B676" i="26"/>
  <c r="I671" i="26"/>
  <c r="F671" i="26" s="1"/>
  <c r="D671" i="26"/>
  <c r="C671" i="26"/>
  <c r="B670" i="26"/>
  <c r="I666" i="26"/>
  <c r="F666" i="26" s="1"/>
  <c r="D666" i="26"/>
  <c r="C666" i="26"/>
  <c r="B665" i="26"/>
  <c r="K661" i="26"/>
  <c r="I661" i="26"/>
  <c r="E661" i="26" s="1"/>
  <c r="D661" i="26"/>
  <c r="C661" i="26"/>
  <c r="W661" i="26" s="1"/>
  <c r="V658" i="26"/>
  <c r="T658" i="26"/>
  <c r="V657" i="26"/>
  <c r="T657" i="26"/>
  <c r="N655" i="26"/>
  <c r="N656" i="26" s="1"/>
  <c r="N658" i="26" s="1"/>
  <c r="K654" i="26"/>
  <c r="K655" i="26" s="1"/>
  <c r="K656" i="26" s="1"/>
  <c r="K657" i="26" s="1"/>
  <c r="I654" i="26"/>
  <c r="I655" i="26" s="1"/>
  <c r="I656" i="26" s="1"/>
  <c r="D654" i="26"/>
  <c r="C654" i="26"/>
  <c r="W654" i="26" s="1"/>
  <c r="B653" i="26"/>
  <c r="U340" i="26"/>
  <c r="V340" i="26"/>
  <c r="T341" i="26"/>
  <c r="T342" i="26"/>
  <c r="T343" i="26"/>
  <c r="T344" i="26"/>
  <c r="S344" i="26"/>
  <c r="S343" i="26"/>
  <c r="S342" i="26"/>
  <c r="K1259" i="26"/>
  <c r="G339" i="26"/>
  <c r="O340" i="26"/>
  <c r="T340" i="26" s="1"/>
  <c r="U1840" i="4"/>
  <c r="U1850" i="4" s="1"/>
  <c r="U1210" i="4"/>
  <c r="U1211" i="4" s="1"/>
  <c r="U1212" i="4" s="1"/>
  <c r="U1213" i="4" s="1"/>
  <c r="U1214" i="4" s="1"/>
  <c r="U1215" i="4" s="1"/>
  <c r="U1216" i="4" s="1"/>
  <c r="U1217" i="4" s="1"/>
  <c r="U1218" i="4" s="1"/>
  <c r="U1219" i="4" s="1"/>
  <c r="U1220" i="4" s="1"/>
  <c r="U1221" i="4" s="1"/>
  <c r="U1222" i="4" s="1"/>
  <c r="U1223" i="4" s="1"/>
  <c r="U1224" i="4" s="1"/>
  <c r="U1225" i="4" s="1"/>
  <c r="U1226" i="4" s="1"/>
  <c r="U1227" i="4" s="1"/>
  <c r="U1228" i="4" s="1"/>
  <c r="U1229" i="4" s="1"/>
  <c r="U1230" i="4" s="1"/>
  <c r="U1231" i="4" s="1"/>
  <c r="U1232" i="4" s="1"/>
  <c r="U1233" i="4" s="1"/>
  <c r="U1234" i="4" s="1"/>
  <c r="U1235" i="4" s="1"/>
  <c r="U1236" i="4" s="1"/>
  <c r="U1237" i="4" s="1"/>
  <c r="U1238" i="4" s="1"/>
  <c r="U1239" i="4" s="1"/>
  <c r="U1240" i="4" s="1"/>
  <c r="U1241" i="4" s="1"/>
  <c r="U1242" i="4" s="1"/>
  <c r="U1243" i="4" s="1"/>
  <c r="U1244" i="4" s="1"/>
  <c r="U1245" i="4" s="1"/>
  <c r="U1246" i="4" s="1"/>
  <c r="U1247" i="4" s="1"/>
  <c r="U1248" i="4" s="1"/>
  <c r="U1249" i="4" s="1"/>
  <c r="U1250" i="4" s="1"/>
  <c r="U1251" i="4" s="1"/>
  <c r="U1252" i="4" s="1"/>
  <c r="U1253" i="4" s="1"/>
  <c r="U1254" i="4" s="1"/>
  <c r="U1255" i="4" s="1"/>
  <c r="U1256" i="4" s="1"/>
  <c r="U1257" i="4" s="1"/>
  <c r="U1258" i="4" s="1"/>
  <c r="U1259" i="4" s="1"/>
  <c r="U1260" i="4" s="1"/>
  <c r="U1261" i="4" s="1"/>
  <c r="U1262" i="4" s="1"/>
  <c r="U1263" i="4" s="1"/>
  <c r="U1264" i="4" s="1"/>
  <c r="U1265" i="4" s="1"/>
  <c r="U1266" i="4" s="1"/>
  <c r="U1267" i="4" s="1"/>
  <c r="U1268" i="4" s="1"/>
  <c r="U1269" i="4" s="1"/>
  <c r="U1270" i="4" s="1"/>
  <c r="U1271" i="4" s="1"/>
  <c r="U1272" i="4" s="1"/>
  <c r="U1273" i="4" s="1"/>
  <c r="U1274" i="4" s="1"/>
  <c r="U1275" i="4" s="1"/>
  <c r="U1276" i="4" s="1"/>
  <c r="U1277" i="4" s="1"/>
  <c r="U1278" i="4" s="1"/>
  <c r="U1279" i="4" s="1"/>
  <c r="U1280" i="4" s="1"/>
  <c r="U1281" i="4" s="1"/>
  <c r="U1282" i="4" s="1"/>
  <c r="U1283" i="4" s="1"/>
  <c r="U1284" i="4" s="1"/>
  <c r="U1285" i="4" s="1"/>
  <c r="U1286" i="4" s="1"/>
  <c r="U1287" i="4" s="1"/>
  <c r="U1288" i="4" s="1"/>
  <c r="U1289" i="4" s="1"/>
  <c r="U1290" i="4" s="1"/>
  <c r="U1291" i="4" s="1"/>
  <c r="U1292" i="4" s="1"/>
  <c r="U1293" i="4" s="1"/>
  <c r="U1294" i="4" s="1"/>
  <c r="U1295" i="4" s="1"/>
  <c r="U1296" i="4" s="1"/>
  <c r="U1297" i="4" s="1"/>
  <c r="U1298" i="4" s="1"/>
  <c r="U1299" i="4" s="1"/>
  <c r="U1300" i="4" s="1"/>
  <c r="U1301" i="4" s="1"/>
  <c r="U1302" i="4" s="1"/>
  <c r="U1303" i="4" s="1"/>
  <c r="U1304" i="4" s="1"/>
  <c r="U1305" i="4" s="1"/>
  <c r="U1306" i="4" s="1"/>
  <c r="U1307" i="4" s="1"/>
  <c r="U1308" i="4" s="1"/>
  <c r="U1309" i="4" s="1"/>
  <c r="U1310" i="4" s="1"/>
  <c r="U1311" i="4" s="1"/>
  <c r="U1312" i="4" s="1"/>
  <c r="U1313" i="4" s="1"/>
  <c r="U1314" i="4" s="1"/>
  <c r="U1315" i="4" s="1"/>
  <c r="U1316" i="4" s="1"/>
  <c r="U1317" i="4" s="1"/>
  <c r="U1318" i="4" s="1"/>
  <c r="U1319" i="4" s="1"/>
  <c r="U1320" i="4" s="1"/>
  <c r="U1321" i="4" s="1"/>
  <c r="U1322" i="4" s="1"/>
  <c r="U1323" i="4" s="1"/>
  <c r="U1324" i="4" s="1"/>
  <c r="U1325" i="4" s="1"/>
  <c r="U1326" i="4" s="1"/>
  <c r="U1327" i="4" s="1"/>
  <c r="U1328" i="4" s="1"/>
  <c r="U1329" i="4" s="1"/>
  <c r="U1330" i="4" s="1"/>
  <c r="U1331" i="4" s="1"/>
  <c r="U1332" i="4" s="1"/>
  <c r="U1333" i="4" s="1"/>
  <c r="U1334" i="4" s="1"/>
  <c r="U1335" i="4" s="1"/>
  <c r="U1336" i="4" s="1"/>
  <c r="U1337" i="4" s="1"/>
  <c r="U1338" i="4" s="1"/>
  <c r="U1339" i="4" s="1"/>
  <c r="U1340" i="4" s="1"/>
  <c r="V947" i="4"/>
  <c r="V228" i="26"/>
  <c r="Q344" i="26"/>
  <c r="P344" i="26"/>
  <c r="Q343" i="26"/>
  <c r="P343" i="26"/>
  <c r="K498" i="26"/>
  <c r="I498" i="26"/>
  <c r="D498" i="26"/>
  <c r="C498" i="26"/>
  <c r="L497" i="26"/>
  <c r="K497" i="26"/>
  <c r="J497" i="26"/>
  <c r="I497" i="26"/>
  <c r="H497" i="26"/>
  <c r="G497" i="26"/>
  <c r="F497" i="26"/>
  <c r="E497" i="26"/>
  <c r="D497" i="26"/>
  <c r="C497" i="26"/>
  <c r="T125" i="26"/>
  <c r="B38" i="28"/>
  <c r="A38" i="28" a="1"/>
  <c r="A38" i="28" s="1"/>
  <c r="P39" i="28" s="1" a="1"/>
  <c r="P39" i="28" s="1"/>
  <c r="U39" i="28" s="1"/>
  <c r="D38" i="28"/>
  <c r="K38" i="28" s="1" a="1"/>
  <c r="K38" i="28" s="1"/>
  <c r="I38" i="28"/>
  <c r="J38" i="28"/>
  <c r="N38" i="28"/>
  <c r="O38" i="28"/>
  <c r="B37" i="28"/>
  <c r="A37" i="28" a="1"/>
  <c r="A37" i="28" s="1"/>
  <c r="D37" i="28"/>
  <c r="K37" i="28" s="1" a="1"/>
  <c r="K37" i="28" s="1"/>
  <c r="I37" i="28"/>
  <c r="J37" i="28"/>
  <c r="N37" i="28"/>
  <c r="O37" i="28"/>
  <c r="T37" i="28" s="1"/>
  <c r="B36" i="28"/>
  <c r="A36" i="28" a="1"/>
  <c r="A36" i="28" s="1"/>
  <c r="D36" i="28"/>
  <c r="K36" i="28" s="1" a="1"/>
  <c r="K36" i="28" s="1"/>
  <c r="I36" i="28"/>
  <c r="J36" i="28"/>
  <c r="N36" i="28"/>
  <c r="O36" i="28"/>
  <c r="B35" i="28"/>
  <c r="D35" i="28"/>
  <c r="L35" i="28" s="1" a="1"/>
  <c r="L35" i="28" s="1"/>
  <c r="I35" i="28"/>
  <c r="J35" i="28"/>
  <c r="N35" i="28"/>
  <c r="O35" i="28"/>
  <c r="B34" i="28"/>
  <c r="A34" i="28" a="1"/>
  <c r="A34" i="28" s="1"/>
  <c r="D34" i="28"/>
  <c r="K34" i="28" s="1" a="1"/>
  <c r="K34" i="28" s="1"/>
  <c r="I34" i="28"/>
  <c r="J34" i="28"/>
  <c r="N34" i="28"/>
  <c r="O34" i="28"/>
  <c r="T34" i="28" s="1"/>
  <c r="B33" i="28"/>
  <c r="A33" i="28" a="1"/>
  <c r="A33" i="28" s="1"/>
  <c r="D33" i="28"/>
  <c r="L33" i="28" s="1" a="1"/>
  <c r="L33" i="28" s="1"/>
  <c r="I33" i="28"/>
  <c r="J33" i="28"/>
  <c r="N33" i="28"/>
  <c r="O33" i="28"/>
  <c r="B32" i="28"/>
  <c r="A32" i="28" a="1"/>
  <c r="A32" i="28" s="1"/>
  <c r="D32" i="28"/>
  <c r="K32" i="28" s="1" a="1"/>
  <c r="K32" i="28" s="1"/>
  <c r="I32" i="28"/>
  <c r="J32" i="28"/>
  <c r="N32" i="28"/>
  <c r="O32" i="28"/>
  <c r="B31" i="28"/>
  <c r="A31" i="28" a="1"/>
  <c r="A31" i="28" s="1"/>
  <c r="D31" i="28"/>
  <c r="L31" i="28" s="1" a="1"/>
  <c r="L31" i="28" s="1"/>
  <c r="I31" i="28"/>
  <c r="J31" i="28"/>
  <c r="N31" i="28"/>
  <c r="O31" i="28"/>
  <c r="B30" i="28"/>
  <c r="A30" i="28" a="1"/>
  <c r="A30" i="28" s="1"/>
  <c r="D30" i="28"/>
  <c r="L30" i="28" s="1" a="1"/>
  <c r="L30" i="28" s="1"/>
  <c r="I30" i="28"/>
  <c r="J30" i="28"/>
  <c r="N30" i="28"/>
  <c r="O30" i="28"/>
  <c r="T30" i="28" s="1"/>
  <c r="B29" i="28"/>
  <c r="D29" i="28"/>
  <c r="K29" i="28" s="1" a="1"/>
  <c r="K29" i="28" s="1"/>
  <c r="I29" i="28"/>
  <c r="J29" i="28"/>
  <c r="N29" i="28"/>
  <c r="O29" i="28"/>
  <c r="B28" i="28"/>
  <c r="D28" i="28"/>
  <c r="L28" i="28" s="1" a="1"/>
  <c r="L28" i="28" s="1"/>
  <c r="I28" i="28"/>
  <c r="J28" i="28"/>
  <c r="N28" i="28"/>
  <c r="O28" i="28"/>
  <c r="B27" i="28"/>
  <c r="D27" i="28"/>
  <c r="L27" i="28" s="1" a="1"/>
  <c r="L27" i="28" s="1"/>
  <c r="I27" i="28"/>
  <c r="J27" i="28"/>
  <c r="N27" i="28"/>
  <c r="O27" i="28"/>
  <c r="B26" i="28"/>
  <c r="D26" i="28"/>
  <c r="K26" i="28" s="1" a="1"/>
  <c r="K26" i="28" s="1"/>
  <c r="I26" i="28"/>
  <c r="J26" i="28"/>
  <c r="N26" i="28"/>
  <c r="O26" i="28"/>
  <c r="T26" i="28" s="1"/>
  <c r="B25" i="28"/>
  <c r="D25" i="28"/>
  <c r="L25" i="28" s="1" a="1"/>
  <c r="L25" i="28" s="1"/>
  <c r="I25" i="28"/>
  <c r="J25" i="28"/>
  <c r="N25" i="28"/>
  <c r="O25" i="28"/>
  <c r="T25" i="28" s="1"/>
  <c r="B24" i="28"/>
  <c r="D24" i="28"/>
  <c r="K24" i="28" s="1" a="1"/>
  <c r="K24" i="28" s="1"/>
  <c r="I24" i="28"/>
  <c r="J24" i="28"/>
  <c r="N24" i="28"/>
  <c r="O24" i="28"/>
  <c r="B23" i="28"/>
  <c r="D23" i="28"/>
  <c r="L23" i="28" s="1" a="1"/>
  <c r="L23" i="28" s="1"/>
  <c r="I23" i="28"/>
  <c r="J23" i="28"/>
  <c r="N23" i="28"/>
  <c r="O23" i="28"/>
  <c r="T23" i="28" s="1"/>
  <c r="B22" i="28"/>
  <c r="D22" i="28"/>
  <c r="K22" i="28" s="1" a="1"/>
  <c r="K22" i="28" s="1"/>
  <c r="I22" i="28"/>
  <c r="J22" i="28"/>
  <c r="N22" i="28"/>
  <c r="O22" i="28"/>
  <c r="T22" i="28" s="1"/>
  <c r="B21" i="28"/>
  <c r="D21" i="28"/>
  <c r="K21" i="28" s="1" a="1"/>
  <c r="K21" i="28" s="1"/>
  <c r="I21" i="28"/>
  <c r="J21" i="28"/>
  <c r="N21" i="28"/>
  <c r="O21" i="28"/>
  <c r="B20" i="28"/>
  <c r="D20" i="28"/>
  <c r="K20" i="28" s="1" a="1"/>
  <c r="K20" i="28" s="1"/>
  <c r="I20" i="28"/>
  <c r="J20" i="28"/>
  <c r="N20" i="28"/>
  <c r="O20" i="28"/>
  <c r="B19" i="28"/>
  <c r="D19" i="28"/>
  <c r="K19" i="28" s="1" a="1"/>
  <c r="K19" i="28" s="1"/>
  <c r="I19" i="28"/>
  <c r="J19" i="28"/>
  <c r="N19" i="28"/>
  <c r="O19" i="28"/>
  <c r="T19" i="28" s="1"/>
  <c r="B18" i="28"/>
  <c r="D18" i="28"/>
  <c r="K18" i="28" s="1" a="1"/>
  <c r="K18" i="28" s="1"/>
  <c r="I18" i="28"/>
  <c r="J18" i="28"/>
  <c r="N18" i="28"/>
  <c r="O18" i="28"/>
  <c r="T18" i="28" s="1"/>
  <c r="B17" i="28"/>
  <c r="D17" i="28"/>
  <c r="K17" i="28" s="1" a="1"/>
  <c r="K17" i="28" s="1"/>
  <c r="I17" i="28"/>
  <c r="J17" i="28"/>
  <c r="N17" i="28"/>
  <c r="O17" i="28"/>
  <c r="T17" i="28" s="1"/>
  <c r="B16" i="28"/>
  <c r="D16" i="28"/>
  <c r="K16" i="28" s="1" a="1"/>
  <c r="K16" i="28" s="1"/>
  <c r="I16" i="28"/>
  <c r="J16" i="28"/>
  <c r="N16" i="28"/>
  <c r="O16" i="28"/>
  <c r="B15" i="28"/>
  <c r="A15" i="28" a="1"/>
  <c r="A15" i="28" s="1"/>
  <c r="A16" i="28" s="1" a="1"/>
  <c r="A16" i="28" s="1"/>
  <c r="A17" i="28" s="1" a="1"/>
  <c r="A17" i="28" s="1"/>
  <c r="A18" i="28" s="1" a="1"/>
  <c r="A18" i="28" s="1"/>
  <c r="A19" i="28" s="1" a="1"/>
  <c r="A19" i="28" s="1"/>
  <c r="A20" i="28" s="1" a="1"/>
  <c r="A20" i="28" s="1"/>
  <c r="A21" i="28" s="1" a="1"/>
  <c r="A21" i="28" s="1"/>
  <c r="A22" i="28" s="1" a="1"/>
  <c r="A22" i="28" s="1"/>
  <c r="A23" i="28" s="1" a="1"/>
  <c r="A23" i="28" s="1"/>
  <c r="A24" i="28" s="1" a="1"/>
  <c r="A24" i="28" s="1"/>
  <c r="A25" i="28" s="1" a="1"/>
  <c r="A25" i="28" s="1"/>
  <c r="A26" i="28" s="1" a="1"/>
  <c r="A26" i="28" s="1"/>
  <c r="A27" i="28" s="1" a="1"/>
  <c r="A27" i="28" s="1"/>
  <c r="A28" i="28" s="1" a="1"/>
  <c r="A28" i="28" s="1"/>
  <c r="A29" i="28" s="1" a="1"/>
  <c r="A29" i="28" s="1"/>
  <c r="D15" i="28"/>
  <c r="L15" i="28" s="1" a="1"/>
  <c r="L15" i="28" s="1"/>
  <c r="I15" i="28"/>
  <c r="J15" i="28"/>
  <c r="N15" i="28"/>
  <c r="O15" i="28"/>
  <c r="B14" i="28"/>
  <c r="A14" i="28" a="1"/>
  <c r="A14" i="28" s="1"/>
  <c r="D14" i="28"/>
  <c r="K14" i="28" s="1" a="1"/>
  <c r="K14" i="28" s="1"/>
  <c r="I14" i="28"/>
  <c r="J14" i="28"/>
  <c r="N14" i="28"/>
  <c r="O14" i="28"/>
  <c r="T14" i="28" s="1"/>
  <c r="B13" i="28"/>
  <c r="D13" i="28"/>
  <c r="L13" i="28" s="1" a="1"/>
  <c r="L13" i="28" s="1"/>
  <c r="I13" i="28"/>
  <c r="J13" i="28"/>
  <c r="N13" i="28"/>
  <c r="O13" i="28"/>
  <c r="T13" i="28" s="1"/>
  <c r="B12" i="28"/>
  <c r="A12" i="28" a="1"/>
  <c r="A12" i="28" s="1"/>
  <c r="A13" i="28" s="1" a="1"/>
  <c r="A13" i="28" s="1"/>
  <c r="D12" i="28"/>
  <c r="K12" i="28" s="1" a="1"/>
  <c r="K12" i="28" s="1"/>
  <c r="I12" i="28"/>
  <c r="J12" i="28"/>
  <c r="N12" i="28"/>
  <c r="O12" i="28"/>
  <c r="B11" i="28"/>
  <c r="D11" i="28"/>
  <c r="L11" i="28" s="1" a="1"/>
  <c r="I11" i="28"/>
  <c r="J11" i="28"/>
  <c r="N11" i="28"/>
  <c r="O11" i="28"/>
  <c r="B10" i="28"/>
  <c r="D10" i="28"/>
  <c r="L10" i="28" s="1" a="1"/>
  <c r="I10" i="28"/>
  <c r="J10" i="28"/>
  <c r="N10" i="28"/>
  <c r="O10" i="28"/>
  <c r="B9" i="28"/>
  <c r="A9" i="28" a="1"/>
  <c r="A9" i="28" s="1"/>
  <c r="A10" i="28" s="1" a="1"/>
  <c r="A10" i="28" s="1"/>
  <c r="A11" i="28" s="1" a="1"/>
  <c r="A11" i="28" s="1"/>
  <c r="D9" i="28"/>
  <c r="K9" i="28" s="1" a="1"/>
  <c r="K9" i="28" s="1"/>
  <c r="I9" i="28"/>
  <c r="J9" i="28"/>
  <c r="N9" i="28"/>
  <c r="O9" i="28"/>
  <c r="B8" i="28"/>
  <c r="A8" i="28" a="1"/>
  <c r="A8" i="28" s="1"/>
  <c r="D8" i="28"/>
  <c r="K8" i="28" s="1" a="1"/>
  <c r="K8" i="28" s="1"/>
  <c r="I8" i="28"/>
  <c r="J8" i="28"/>
  <c r="N8" i="28"/>
  <c r="O8" i="28"/>
  <c r="B7" i="28"/>
  <c r="A7" i="28" a="1"/>
  <c r="A7" i="28" s="1"/>
  <c r="D7" i="28"/>
  <c r="K7" i="28" s="1" a="1"/>
  <c r="K7" i="28" s="1"/>
  <c r="I7" i="28"/>
  <c r="J7" i="28"/>
  <c r="N7" i="28"/>
  <c r="O7" i="28"/>
  <c r="B6" i="28"/>
  <c r="A6" i="28" a="1"/>
  <c r="A6" i="28" s="1"/>
  <c r="D6" i="28"/>
  <c r="K6" i="28" s="1" a="1"/>
  <c r="K6" i="28" s="1"/>
  <c r="I6" i="28"/>
  <c r="J6" i="28"/>
  <c r="N6" i="28"/>
  <c r="O6" i="28"/>
  <c r="B5" i="28"/>
  <c r="A5" i="28" a="1"/>
  <c r="A5" i="28" s="1"/>
  <c r="D5" i="28"/>
  <c r="K5" i="28" s="1" a="1"/>
  <c r="K5" i="28" s="1"/>
  <c r="I5" i="28"/>
  <c r="J5" i="28"/>
  <c r="N5" i="28"/>
  <c r="O5" i="28"/>
  <c r="B4" i="28"/>
  <c r="A4" i="28" a="1"/>
  <c r="A4" i="28" s="1"/>
  <c r="D4" i="28"/>
  <c r="K4" i="28" s="1" a="1"/>
  <c r="K4" i="28" s="1"/>
  <c r="I4" i="28"/>
  <c r="J4" i="28"/>
  <c r="N4" i="28"/>
  <c r="O4" i="28"/>
  <c r="B3" i="28"/>
  <c r="A3" i="28" a="1"/>
  <c r="A3" i="28" s="1"/>
  <c r="D3" i="28"/>
  <c r="L3" i="28" s="1" a="1"/>
  <c r="L3" i="28" s="1"/>
  <c r="I3" i="28"/>
  <c r="J3" i="28"/>
  <c r="N3" i="28"/>
  <c r="O3" i="28"/>
  <c r="V1869" i="4"/>
  <c r="J1869" i="4"/>
  <c r="I1869" i="4"/>
  <c r="H1869" i="4"/>
  <c r="G1869" i="4"/>
  <c r="V1868" i="4"/>
  <c r="J1868" i="4"/>
  <c r="I1868" i="4"/>
  <c r="H1868" i="4"/>
  <c r="G1868" i="4"/>
  <c r="V1867" i="4"/>
  <c r="U1867" i="4"/>
  <c r="T1867" i="4" s="1"/>
  <c r="J1867" i="4"/>
  <c r="I1867" i="4"/>
  <c r="H1867" i="4"/>
  <c r="G1867" i="4"/>
  <c r="I57" i="1"/>
  <c r="I56" i="1"/>
  <c r="I33" i="1"/>
  <c r="I32" i="1"/>
  <c r="I7" i="1"/>
  <c r="I6" i="1"/>
  <c r="I55" i="1"/>
  <c r="I54" i="1"/>
  <c r="I53" i="1"/>
  <c r="I31" i="1"/>
  <c r="I30" i="1"/>
  <c r="I29" i="1"/>
  <c r="A35" i="28" a="1"/>
  <c r="A35" i="28" s="1"/>
  <c r="O2" i="28"/>
  <c r="J2" i="28"/>
  <c r="T21" i="26"/>
  <c r="T22" i="26"/>
  <c r="V596" i="26"/>
  <c r="V110" i="26"/>
  <c r="T110" i="26"/>
  <c r="T111" i="26"/>
  <c r="P519" i="26"/>
  <c r="O531" i="26"/>
  <c r="O532" i="26" s="1"/>
  <c r="O533" i="26" s="1"/>
  <c r="O534" i="26" s="1"/>
  <c r="O535" i="26" s="1"/>
  <c r="O536" i="26" s="1"/>
  <c r="O537" i="26" s="1"/>
  <c r="O538" i="26" s="1"/>
  <c r="O539" i="26" s="1"/>
  <c r="O540" i="26" s="1"/>
  <c r="O541" i="26" s="1"/>
  <c r="O542" i="26" s="1"/>
  <c r="O543" i="26" s="1"/>
  <c r="O544" i="26" s="1"/>
  <c r="O545" i="26" s="1"/>
  <c r="O546" i="26" s="1"/>
  <c r="O547" i="26" s="1"/>
  <c r="O548" i="26" s="1"/>
  <c r="O549" i="26" s="1"/>
  <c r="O550" i="26" s="1"/>
  <c r="O551" i="26" s="1"/>
  <c r="O552" i="26" s="1"/>
  <c r="O553" i="26" s="1"/>
  <c r="O554" i="26" s="1"/>
  <c r="O555" i="26" s="1"/>
  <c r="O556" i="26" s="1"/>
  <c r="O557" i="26" s="1"/>
  <c r="O558" i="26" s="1"/>
  <c r="O559" i="26" s="1"/>
  <c r="O560" i="26" s="1"/>
  <c r="O561" i="26" s="1"/>
  <c r="O562" i="26" s="1"/>
  <c r="O563" i="26" s="1"/>
  <c r="O564" i="26" s="1"/>
  <c r="O565" i="26" s="1"/>
  <c r="O566" i="26" s="1"/>
  <c r="O567" i="26" s="1"/>
  <c r="O568" i="26" s="1"/>
  <c r="O569" i="26" s="1"/>
  <c r="O570" i="26" s="1"/>
  <c r="O571" i="26" s="1"/>
  <c r="O572" i="26" s="1"/>
  <c r="O573" i="26" s="1"/>
  <c r="O574" i="26" s="1"/>
  <c r="O575" i="26" s="1"/>
  <c r="O576" i="26" s="1"/>
  <c r="O577" i="26" s="1"/>
  <c r="O578" i="26" s="1"/>
  <c r="O579" i="26" s="1"/>
  <c r="H530" i="26"/>
  <c r="H531" i="26" s="1"/>
  <c r="H532" i="26" s="1"/>
  <c r="H533" i="26" s="1"/>
  <c r="H534" i="26" s="1"/>
  <c r="H535" i="26" s="1"/>
  <c r="H536" i="26" s="1"/>
  <c r="H537" i="26" s="1"/>
  <c r="H538" i="26" s="1"/>
  <c r="H539" i="26" s="1"/>
  <c r="H540" i="26" s="1"/>
  <c r="H541" i="26" s="1"/>
  <c r="H542" i="26" s="1"/>
  <c r="H543" i="26" s="1"/>
  <c r="H544" i="26" s="1"/>
  <c r="H545" i="26" s="1"/>
  <c r="H546" i="26" s="1"/>
  <c r="H547" i="26" s="1"/>
  <c r="H548" i="26" s="1"/>
  <c r="H549" i="26" s="1"/>
  <c r="H550" i="26" s="1"/>
  <c r="H551" i="26" s="1"/>
  <c r="H552" i="26" s="1"/>
  <c r="H553" i="26" s="1"/>
  <c r="H554" i="26" s="1"/>
  <c r="H555" i="26" s="1"/>
  <c r="H556" i="26" s="1"/>
  <c r="H557" i="26" s="1"/>
  <c r="H558" i="26" s="1"/>
  <c r="H559" i="26" s="1"/>
  <c r="H560" i="26" s="1"/>
  <c r="H561" i="26" s="1"/>
  <c r="H562" i="26" s="1"/>
  <c r="H563" i="26" s="1"/>
  <c r="H564" i="26" s="1"/>
  <c r="H565" i="26" s="1"/>
  <c r="H566" i="26" s="1"/>
  <c r="H567" i="26" s="1"/>
  <c r="H568" i="26" s="1"/>
  <c r="H569" i="26" s="1"/>
  <c r="H570" i="26" s="1"/>
  <c r="H571" i="26" s="1"/>
  <c r="H572" i="26" s="1"/>
  <c r="H573" i="26" s="1"/>
  <c r="H574" i="26" s="1"/>
  <c r="H575" i="26" s="1"/>
  <c r="H576" i="26" s="1"/>
  <c r="H577" i="26" s="1"/>
  <c r="H578" i="26" s="1"/>
  <c r="H579" i="26" s="1"/>
  <c r="D530" i="26"/>
  <c r="D531" i="26" s="1"/>
  <c r="D532" i="26" s="1"/>
  <c r="D533" i="26" s="1"/>
  <c r="D534" i="26" s="1"/>
  <c r="D535" i="26" s="1"/>
  <c r="D536" i="26" s="1"/>
  <c r="D537" i="26" s="1"/>
  <c r="D538" i="26" s="1"/>
  <c r="D539" i="26" s="1"/>
  <c r="D540" i="26" s="1"/>
  <c r="D541" i="26" s="1"/>
  <c r="D542" i="26" s="1"/>
  <c r="D543" i="26" s="1"/>
  <c r="D544" i="26" s="1"/>
  <c r="D545" i="26" s="1"/>
  <c r="D546" i="26" s="1"/>
  <c r="D547" i="26" s="1"/>
  <c r="D548" i="26" s="1"/>
  <c r="D549" i="26" s="1"/>
  <c r="D550" i="26" s="1"/>
  <c r="D551" i="26" s="1"/>
  <c r="D552" i="26" s="1"/>
  <c r="D553" i="26" s="1"/>
  <c r="D554" i="26" s="1"/>
  <c r="D555" i="26" s="1"/>
  <c r="D556" i="26" s="1"/>
  <c r="D557" i="26" s="1"/>
  <c r="D558" i="26" s="1"/>
  <c r="D559" i="26" s="1"/>
  <c r="D560" i="26" s="1"/>
  <c r="D561" i="26" s="1"/>
  <c r="D562" i="26" s="1"/>
  <c r="D563" i="26" s="1"/>
  <c r="D564" i="26" s="1"/>
  <c r="D565" i="26" s="1"/>
  <c r="D566" i="26" s="1"/>
  <c r="D567" i="26" s="1"/>
  <c r="D568" i="26" s="1"/>
  <c r="D569" i="26" s="1"/>
  <c r="D570" i="26" s="1"/>
  <c r="D571" i="26" s="1"/>
  <c r="D572" i="26" s="1"/>
  <c r="D573" i="26" s="1"/>
  <c r="D574" i="26" s="1"/>
  <c r="D575" i="26" s="1"/>
  <c r="D576" i="26" s="1"/>
  <c r="D577" i="26" s="1"/>
  <c r="D578" i="26" s="1"/>
  <c r="D579" i="26" s="1"/>
  <c r="J235" i="26"/>
  <c r="J236" i="26" s="1"/>
  <c r="J237" i="26" s="1"/>
  <c r="J238" i="26" s="1"/>
  <c r="J239" i="26" s="1"/>
  <c r="J240" i="26" s="1"/>
  <c r="J241" i="26" s="1"/>
  <c r="J242" i="26" s="1"/>
  <c r="J243" i="26" s="1"/>
  <c r="J244" i="26" s="1"/>
  <c r="J245" i="26" s="1"/>
  <c r="J246" i="26" s="1"/>
  <c r="J247" i="26" s="1"/>
  <c r="J248" i="26" s="1"/>
  <c r="J249" i="26" s="1"/>
  <c r="J250" i="26" s="1"/>
  <c r="J251" i="26" s="1"/>
  <c r="J252" i="26" s="1"/>
  <c r="J253" i="26" s="1"/>
  <c r="J254" i="26" s="1"/>
  <c r="J255" i="26" s="1"/>
  <c r="J256" i="26" s="1"/>
  <c r="J257" i="26" s="1"/>
  <c r="J258" i="26" s="1"/>
  <c r="J259" i="26" s="1"/>
  <c r="J260" i="26" s="1"/>
  <c r="J261" i="26" s="1"/>
  <c r="J262" i="26" s="1"/>
  <c r="J263" i="26" s="1"/>
  <c r="J264" i="26" s="1"/>
  <c r="J265" i="26" s="1"/>
  <c r="J266" i="26" s="1"/>
  <c r="J267" i="26" s="1"/>
  <c r="J268" i="26" s="1"/>
  <c r="J269" i="26" s="1"/>
  <c r="J270" i="26" s="1"/>
  <c r="J271" i="26" s="1"/>
  <c r="J272" i="26" s="1"/>
  <c r="J273" i="26" s="1"/>
  <c r="J274" i="26" s="1"/>
  <c r="J275" i="26" s="1"/>
  <c r="J276" i="26" s="1"/>
  <c r="J277" i="26" s="1"/>
  <c r="J278" i="26" s="1"/>
  <c r="J279" i="26" s="1"/>
  <c r="J280" i="26" s="1"/>
  <c r="J281" i="26" s="1"/>
  <c r="J282" i="26" s="1"/>
  <c r="J283" i="26" s="1"/>
  <c r="J284" i="26" s="1"/>
  <c r="D235" i="26"/>
  <c r="D236" i="26" s="1"/>
  <c r="D237" i="26" s="1"/>
  <c r="D238" i="26" s="1"/>
  <c r="D239" i="26" s="1"/>
  <c r="D240" i="26" s="1"/>
  <c r="D241" i="26" s="1"/>
  <c r="D242" i="26" s="1"/>
  <c r="D243" i="26" s="1"/>
  <c r="D244" i="26" s="1"/>
  <c r="D245" i="26" s="1"/>
  <c r="D246" i="26" s="1"/>
  <c r="D247" i="26" s="1"/>
  <c r="D248" i="26" s="1"/>
  <c r="D249" i="26" s="1"/>
  <c r="D250" i="26" s="1"/>
  <c r="D251" i="26" s="1"/>
  <c r="D252" i="26" s="1"/>
  <c r="D253" i="26" s="1"/>
  <c r="D254" i="26" s="1"/>
  <c r="D255" i="26" s="1"/>
  <c r="D256" i="26" s="1"/>
  <c r="D257" i="26" s="1"/>
  <c r="D258" i="26" s="1"/>
  <c r="D259" i="26" s="1"/>
  <c r="D260" i="26" s="1"/>
  <c r="D261" i="26" s="1"/>
  <c r="D262" i="26" s="1"/>
  <c r="D263" i="26" s="1"/>
  <c r="D264" i="26" s="1"/>
  <c r="D265" i="26" s="1"/>
  <c r="D266" i="26" s="1"/>
  <c r="D267" i="26" s="1"/>
  <c r="D268" i="26" s="1"/>
  <c r="D269" i="26" s="1"/>
  <c r="D270" i="26" s="1"/>
  <c r="D271" i="26" s="1"/>
  <c r="D272" i="26" s="1"/>
  <c r="D273" i="26" s="1"/>
  <c r="D274" i="26" s="1"/>
  <c r="D275" i="26" s="1"/>
  <c r="D276" i="26" s="1"/>
  <c r="D277" i="26" s="1"/>
  <c r="D278" i="26" s="1"/>
  <c r="D279" i="26" s="1"/>
  <c r="D280" i="26" s="1"/>
  <c r="D281" i="26" s="1"/>
  <c r="D282" i="26" s="1"/>
  <c r="D283" i="26" s="1"/>
  <c r="D284" i="26" s="1"/>
  <c r="G1865" i="4"/>
  <c r="G1864" i="4"/>
  <c r="G1863" i="4"/>
  <c r="G1862" i="4"/>
  <c r="G1860" i="4"/>
  <c r="G1859" i="4"/>
  <c r="G1858" i="4"/>
  <c r="G1856" i="4"/>
  <c r="G1855" i="4"/>
  <c r="G1854" i="4"/>
  <c r="G1852" i="4"/>
  <c r="G1851" i="4"/>
  <c r="G1850" i="4"/>
  <c r="G1849" i="4"/>
  <c r="G1847" i="4"/>
  <c r="G1846" i="4"/>
  <c r="G1845" i="4"/>
  <c r="G1844" i="4"/>
  <c r="G1842" i="4"/>
  <c r="G1841" i="4"/>
  <c r="G1840" i="4"/>
  <c r="G1838" i="4"/>
  <c r="G1837" i="4"/>
  <c r="G1836" i="4"/>
  <c r="G1835" i="4"/>
  <c r="G1833" i="4"/>
  <c r="G1832" i="4"/>
  <c r="G1831" i="4"/>
  <c r="G1339" i="4"/>
  <c r="G1338" i="4"/>
  <c r="G1337" i="4"/>
  <c r="G1336" i="4"/>
  <c r="G1335" i="4"/>
  <c r="G1334" i="4"/>
  <c r="G1333" i="4"/>
  <c r="G1332" i="4"/>
  <c r="G1331" i="4"/>
  <c r="G1329" i="4"/>
  <c r="G1328" i="4"/>
  <c r="G1327" i="4"/>
  <c r="G1326" i="4"/>
  <c r="G1325" i="4"/>
  <c r="G1324" i="4"/>
  <c r="G1323" i="4"/>
  <c r="G1322" i="4"/>
  <c r="G1321" i="4"/>
  <c r="G1320" i="4"/>
  <c r="G1319" i="4"/>
  <c r="G1318" i="4"/>
  <c r="G1317" i="4"/>
  <c r="G1316" i="4"/>
  <c r="G1315" i="4"/>
  <c r="G1314" i="4"/>
  <c r="G1313" i="4"/>
  <c r="G1312" i="4"/>
  <c r="G1311" i="4"/>
  <c r="G1310" i="4"/>
  <c r="G1309" i="4"/>
  <c r="G1308" i="4"/>
  <c r="G1307" i="4"/>
  <c r="G1306" i="4"/>
  <c r="G1305" i="4"/>
  <c r="G1304" i="4"/>
  <c r="G1303" i="4"/>
  <c r="G1302" i="4"/>
  <c r="G1300" i="4"/>
  <c r="G1299" i="4"/>
  <c r="G1298" i="4"/>
  <c r="G1297" i="4"/>
  <c r="G1296" i="4"/>
  <c r="G1295" i="4"/>
  <c r="G1294" i="4"/>
  <c r="G1293" i="4"/>
  <c r="G1292" i="4"/>
  <c r="G1291" i="4"/>
  <c r="G1290" i="4"/>
  <c r="G1289" i="4"/>
  <c r="G1288" i="4"/>
  <c r="G1287" i="4"/>
  <c r="G1286" i="4"/>
  <c r="G1285" i="4"/>
  <c r="G1284" i="4"/>
  <c r="G1283" i="4"/>
  <c r="G1282" i="4"/>
  <c r="G1281" i="4"/>
  <c r="G1280" i="4"/>
  <c r="G1279" i="4"/>
  <c r="G1278" i="4"/>
  <c r="G1277" i="4"/>
  <c r="G1276" i="4"/>
  <c r="G1275" i="4"/>
  <c r="G1274" i="4"/>
  <c r="G1273" i="4"/>
  <c r="G1272" i="4"/>
  <c r="G1271" i="4"/>
  <c r="G1270" i="4"/>
  <c r="G1269" i="4"/>
  <c r="G1268" i="4"/>
  <c r="G1267" i="4"/>
  <c r="G1266" i="4"/>
  <c r="G1265" i="4"/>
  <c r="G1264" i="4"/>
  <c r="G1263" i="4"/>
  <c r="G1262" i="4"/>
  <c r="G1261" i="4"/>
  <c r="G1260" i="4"/>
  <c r="G1259" i="4"/>
  <c r="G1258" i="4"/>
  <c r="G1257" i="4"/>
  <c r="G1256" i="4"/>
  <c r="G1255" i="4"/>
  <c r="G1254" i="4"/>
  <c r="G1253" i="4"/>
  <c r="G1252" i="4"/>
  <c r="G1251" i="4"/>
  <c r="G1250" i="4"/>
  <c r="G1249" i="4"/>
  <c r="G1248" i="4"/>
  <c r="G1247" i="4"/>
  <c r="G1246" i="4"/>
  <c r="G1245" i="4"/>
  <c r="G1244" i="4"/>
  <c r="G1243" i="4"/>
  <c r="G1242" i="4"/>
  <c r="G1241" i="4"/>
  <c r="G1240" i="4"/>
  <c r="G1239" i="4"/>
  <c r="G1238" i="4"/>
  <c r="G1237" i="4"/>
  <c r="G1236" i="4"/>
  <c r="G1235" i="4"/>
  <c r="G1234" i="4"/>
  <c r="G1233" i="4"/>
  <c r="G1232" i="4"/>
  <c r="G1231" i="4"/>
  <c r="G1230" i="4"/>
  <c r="G1229" i="4"/>
  <c r="G1228" i="4"/>
  <c r="G1227" i="4"/>
  <c r="G1226" i="4"/>
  <c r="G1225" i="4"/>
  <c r="G1224" i="4"/>
  <c r="G1223" i="4"/>
  <c r="G1222" i="4"/>
  <c r="G1221" i="4"/>
  <c r="G1220" i="4"/>
  <c r="G1219" i="4"/>
  <c r="G1218" i="4"/>
  <c r="G1217" i="4"/>
  <c r="G1216" i="4"/>
  <c r="G1215" i="4"/>
  <c r="G1214" i="4"/>
  <c r="G1213" i="4"/>
  <c r="G1212" i="4"/>
  <c r="G1211" i="4"/>
  <c r="G1210" i="4"/>
  <c r="G1206" i="4"/>
  <c r="G1205" i="4"/>
  <c r="G1204" i="4"/>
  <c r="G1203" i="4"/>
  <c r="G1202" i="4"/>
  <c r="G1201" i="4"/>
  <c r="G1200" i="4"/>
  <c r="G1199" i="4"/>
  <c r="G1198" i="4"/>
  <c r="G1197" i="4"/>
  <c r="G1196" i="4"/>
  <c r="G1195" i="4"/>
  <c r="G1193" i="4"/>
  <c r="G1192" i="4"/>
  <c r="G1191" i="4"/>
  <c r="G1190" i="4"/>
  <c r="G1189" i="4"/>
  <c r="G1188" i="4"/>
  <c r="G1187" i="4"/>
  <c r="G1186" i="4"/>
  <c r="G1185" i="4"/>
  <c r="G1184" i="4"/>
  <c r="G1183" i="4"/>
  <c r="G1182" i="4"/>
  <c r="G1180" i="4"/>
  <c r="G1179" i="4"/>
  <c r="G1178" i="4"/>
  <c r="G1177" i="4"/>
  <c r="G1176" i="4"/>
  <c r="G1175" i="4"/>
  <c r="G1174" i="4"/>
  <c r="G1173" i="4"/>
  <c r="G1172" i="4"/>
  <c r="G1171" i="4"/>
  <c r="G1170" i="4"/>
  <c r="G1169" i="4"/>
  <c r="G1168" i="4"/>
  <c r="G1167" i="4"/>
  <c r="G1166" i="4"/>
  <c r="G1165" i="4"/>
  <c r="G1162" i="4"/>
  <c r="G1161" i="4"/>
  <c r="G1160" i="4"/>
  <c r="G1159" i="4"/>
  <c r="G1158" i="4"/>
  <c r="G1157" i="4"/>
  <c r="G1156" i="4"/>
  <c r="G1155" i="4"/>
  <c r="G1154" i="4"/>
  <c r="G1153" i="4"/>
  <c r="G1151" i="4"/>
  <c r="G1150" i="4"/>
  <c r="G1149" i="4"/>
  <c r="G1148" i="4"/>
  <c r="G1147" i="4"/>
  <c r="G1146" i="4"/>
  <c r="G1145" i="4"/>
  <c r="G1144" i="4"/>
  <c r="G1143" i="4"/>
  <c r="G1142" i="4"/>
  <c r="G1141" i="4"/>
  <c r="G1140" i="4"/>
  <c r="G1139" i="4"/>
  <c r="G1138" i="4"/>
  <c r="G1137" i="4"/>
  <c r="G1136" i="4"/>
  <c r="G1135" i="4"/>
  <c r="G1134" i="4"/>
  <c r="G1133" i="4"/>
  <c r="G1132" i="4"/>
  <c r="G1131" i="4"/>
  <c r="G1130" i="4"/>
  <c r="G1128" i="4"/>
  <c r="G1127" i="4"/>
  <c r="G1126" i="4"/>
  <c r="G1125" i="4"/>
  <c r="G1124" i="4"/>
  <c r="G1123" i="4"/>
  <c r="G1122" i="4"/>
  <c r="G1121" i="4"/>
  <c r="G1120" i="4"/>
  <c r="G1119" i="4"/>
  <c r="G1118" i="4"/>
  <c r="G1117" i="4"/>
  <c r="G1116" i="4"/>
  <c r="G1115" i="4"/>
  <c r="G1114" i="4"/>
  <c r="G1113" i="4"/>
  <c r="G1112" i="4"/>
  <c r="G1111" i="4"/>
  <c r="G1110" i="4"/>
  <c r="G1109" i="4"/>
  <c r="G1108" i="4"/>
  <c r="G1107" i="4"/>
  <c r="G1106" i="4"/>
  <c r="G1105" i="4"/>
  <c r="G1104" i="4"/>
  <c r="G1103" i="4"/>
  <c r="G1102" i="4"/>
  <c r="G1101" i="4"/>
  <c r="G1100" i="4"/>
  <c r="G1099" i="4"/>
  <c r="G1098" i="4"/>
  <c r="G1097" i="4"/>
  <c r="G1041" i="4"/>
  <c r="G758" i="4"/>
  <c r="G757" i="4"/>
  <c r="G756" i="4"/>
  <c r="G755" i="4"/>
  <c r="G754" i="4"/>
  <c r="G753" i="4"/>
  <c r="G752" i="4"/>
  <c r="G751" i="4"/>
  <c r="G750" i="4"/>
  <c r="G749" i="4"/>
  <c r="G748" i="4"/>
  <c r="G747" i="4"/>
  <c r="G746" i="4"/>
  <c r="G745" i="4"/>
  <c r="G744" i="4"/>
  <c r="G743" i="4"/>
  <c r="G742" i="4"/>
  <c r="G741" i="4"/>
  <c r="G740" i="4"/>
  <c r="G739" i="4"/>
  <c r="G738" i="4"/>
  <c r="G737" i="4"/>
  <c r="G736" i="4"/>
  <c r="G735" i="4"/>
  <c r="G734" i="4"/>
  <c r="G733" i="4"/>
  <c r="G732" i="4"/>
  <c r="G731" i="4"/>
  <c r="G730" i="4"/>
  <c r="G729" i="4"/>
  <c r="G728" i="4"/>
  <c r="G727" i="4"/>
  <c r="G726" i="4"/>
  <c r="G255" i="4"/>
  <c r="G253" i="4"/>
  <c r="G252" i="4"/>
  <c r="G251" i="4"/>
  <c r="G250" i="4"/>
  <c r="G249" i="4"/>
  <c r="G248" i="4"/>
  <c r="G247" i="4"/>
  <c r="G246" i="4"/>
  <c r="G245" i="4"/>
  <c r="G244" i="4"/>
  <c r="G243" i="4"/>
  <c r="G242" i="4"/>
  <c r="G241" i="4"/>
  <c r="G240" i="4"/>
  <c r="G239" i="4"/>
  <c r="G238" i="4"/>
  <c r="G237" i="4"/>
  <c r="G236" i="4"/>
  <c r="G235" i="4"/>
  <c r="G234" i="4"/>
  <c r="G233" i="4"/>
  <c r="G232" i="4"/>
  <c r="G231" i="4"/>
  <c r="G230" i="4"/>
  <c r="G229" i="4"/>
  <c r="G228" i="4"/>
  <c r="G227" i="4"/>
  <c r="G226" i="4"/>
  <c r="G225" i="4"/>
  <c r="G224" i="4"/>
  <c r="G223" i="4"/>
  <c r="G222" i="4"/>
  <c r="G221" i="4"/>
  <c r="G220" i="4"/>
  <c r="G219" i="4"/>
  <c r="G218"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186"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19"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67" i="4"/>
  <c r="S353" i="26"/>
  <c r="S354" i="26" s="1"/>
  <c r="S355" i="26" s="1"/>
  <c r="S356" i="26" s="1"/>
  <c r="S357" i="26" s="1"/>
  <c r="S358" i="26" s="1"/>
  <c r="S359" i="26" s="1"/>
  <c r="S360" i="26" s="1"/>
  <c r="S361" i="26" s="1"/>
  <c r="S362" i="26" s="1"/>
  <c r="S363" i="26" s="1"/>
  <c r="S364" i="26" s="1"/>
  <c r="S365" i="26" s="1"/>
  <c r="S366" i="26" s="1"/>
  <c r="S367" i="26" s="1"/>
  <c r="S368" i="26" s="1"/>
  <c r="S369" i="26" s="1"/>
  <c r="S370" i="26" s="1"/>
  <c r="S371" i="26" s="1"/>
  <c r="S372" i="26" s="1"/>
  <c r="S373" i="26" s="1"/>
  <c r="S374" i="26" s="1"/>
  <c r="S375" i="26" s="1"/>
  <c r="S376" i="26" s="1"/>
  <c r="S377" i="26" s="1"/>
  <c r="S378" i="26" s="1"/>
  <c r="S379" i="26" s="1"/>
  <c r="S380" i="26" s="1"/>
  <c r="S381" i="26" s="1"/>
  <c r="S382" i="26" s="1"/>
  <c r="S383" i="26" s="1"/>
  <c r="S384" i="26" s="1"/>
  <c r="S385" i="26" s="1"/>
  <c r="S386" i="26" s="1"/>
  <c r="S387" i="26" s="1"/>
  <c r="S388" i="26" s="1"/>
  <c r="S389" i="26" s="1"/>
  <c r="S390" i="26" s="1"/>
  <c r="S391" i="26" s="1"/>
  <c r="S392" i="26" s="1"/>
  <c r="S393" i="26" s="1"/>
  <c r="S394" i="26" s="1"/>
  <c r="S395" i="26" s="1"/>
  <c r="S396" i="26" s="1"/>
  <c r="S397" i="26" s="1"/>
  <c r="S398" i="26" s="1"/>
  <c r="S399" i="26" s="1"/>
  <c r="S400" i="26" s="1"/>
  <c r="S401" i="26" s="1"/>
  <c r="O236" i="26"/>
  <c r="O237" i="26"/>
  <c r="O238" i="26"/>
  <c r="O239" i="26" s="1"/>
  <c r="O240" i="26" s="1"/>
  <c r="O241" i="26" s="1"/>
  <c r="O242" i="26" s="1"/>
  <c r="O243" i="26" s="1"/>
  <c r="O244" i="26" s="1"/>
  <c r="O245" i="26" s="1"/>
  <c r="O246" i="26" s="1"/>
  <c r="O247" i="26" s="1"/>
  <c r="O248" i="26" s="1"/>
  <c r="O249" i="26" s="1"/>
  <c r="O250" i="26" s="1"/>
  <c r="O251" i="26" s="1"/>
  <c r="O252" i="26" s="1"/>
  <c r="O253" i="26" s="1"/>
  <c r="O254" i="26" s="1"/>
  <c r="O255" i="26" s="1"/>
  <c r="O256" i="26" s="1"/>
  <c r="O257" i="26" s="1"/>
  <c r="O258" i="26" s="1"/>
  <c r="O259" i="26" s="1"/>
  <c r="O260" i="26" s="1"/>
  <c r="O261" i="26" s="1"/>
  <c r="O262" i="26" s="1"/>
  <c r="O263" i="26" s="1"/>
  <c r="O264" i="26" s="1"/>
  <c r="O265" i="26" s="1"/>
  <c r="O266" i="26" s="1"/>
  <c r="O267" i="26" s="1"/>
  <c r="O268" i="26" s="1"/>
  <c r="O269" i="26" s="1"/>
  <c r="O270" i="26" s="1"/>
  <c r="O271" i="26" s="1"/>
  <c r="O272" i="26" s="1"/>
  <c r="O273" i="26" s="1"/>
  <c r="O274" i="26" s="1"/>
  <c r="O275" i="26" s="1"/>
  <c r="O276" i="26" s="1"/>
  <c r="O277" i="26" s="1"/>
  <c r="O278" i="26" s="1"/>
  <c r="O279" i="26" s="1"/>
  <c r="O280" i="26" s="1"/>
  <c r="O281" i="26" s="1"/>
  <c r="O282" i="26" s="1"/>
  <c r="O283" i="26" s="1"/>
  <c r="O284" i="26" s="1"/>
  <c r="O341" i="26"/>
  <c r="Q341" i="26" s="1"/>
  <c r="O342" i="26"/>
  <c r="O343" i="26"/>
  <c r="O344" i="26"/>
  <c r="N341" i="26"/>
  <c r="N342" i="26"/>
  <c r="N343" i="26"/>
  <c r="N344" i="26"/>
  <c r="N340" i="26"/>
  <c r="S340" i="26" s="1"/>
  <c r="S341" i="26"/>
  <c r="Q342" i="26"/>
  <c r="P342" i="26"/>
  <c r="V597" i="26"/>
  <c r="V111" i="26"/>
  <c r="M347" i="26"/>
  <c r="V344" i="26"/>
  <c r="U344" i="26"/>
  <c r="V343" i="26"/>
  <c r="U343" i="26"/>
  <c r="V342" i="26"/>
  <c r="U342" i="26"/>
  <c r="V341" i="26"/>
  <c r="U341" i="26"/>
  <c r="V1886" i="4"/>
  <c r="V1885" i="4"/>
  <c r="V1884" i="4"/>
  <c r="V1882" i="4"/>
  <c r="V1881" i="4"/>
  <c r="V1880" i="4"/>
  <c r="V1878" i="4"/>
  <c r="U1878" i="4"/>
  <c r="T1878" i="4" s="1"/>
  <c r="V1877" i="4"/>
  <c r="V1876" i="4"/>
  <c r="V1874" i="4"/>
  <c r="U1874" i="4"/>
  <c r="T1874" i="4" s="1"/>
  <c r="V1873" i="4"/>
  <c r="V1872" i="4"/>
  <c r="U1872" i="4"/>
  <c r="V1871" i="4"/>
  <c r="C628" i="26"/>
  <c r="W628" i="26" s="1"/>
  <c r="C616" i="26"/>
  <c r="W616" i="26" s="1"/>
  <c r="I49" i="1"/>
  <c r="I48" i="1"/>
  <c r="I47" i="1"/>
  <c r="I46" i="1"/>
  <c r="I45" i="1"/>
  <c r="I44" i="1"/>
  <c r="I43" i="1"/>
  <c r="I42" i="1"/>
  <c r="I41" i="1"/>
  <c r="I25" i="1"/>
  <c r="I24" i="1"/>
  <c r="I23" i="1"/>
  <c r="I22" i="1"/>
  <c r="I21" i="1"/>
  <c r="I20" i="1"/>
  <c r="I19" i="1"/>
  <c r="I18" i="1"/>
  <c r="I17" i="1"/>
  <c r="I16" i="1"/>
  <c r="I167" i="1"/>
  <c r="K696" i="26" s="1"/>
  <c r="I168" i="1"/>
  <c r="I169" i="1"/>
  <c r="K666" i="26" s="1"/>
  <c r="I170" i="1"/>
  <c r="I171" i="1"/>
  <c r="I172" i="1"/>
  <c r="K671" i="26" s="1"/>
  <c r="I173" i="1"/>
  <c r="I174" i="1"/>
  <c r="I166" i="1"/>
  <c r="I162" i="1"/>
  <c r="I161" i="1"/>
  <c r="I160" i="1"/>
  <c r="I159" i="1"/>
  <c r="I158" i="1"/>
  <c r="I157" i="1"/>
  <c r="I156" i="1"/>
  <c r="I155" i="1"/>
  <c r="I154" i="1"/>
  <c r="I153" i="1"/>
  <c r="I152" i="1"/>
  <c r="I151" i="1"/>
  <c r="I150" i="1"/>
  <c r="I149" i="1"/>
  <c r="I148" i="1"/>
  <c r="I147" i="1"/>
  <c r="I146" i="1"/>
  <c r="I145" i="1"/>
  <c r="I144" i="1"/>
  <c r="I143" i="1"/>
  <c r="I142" i="1"/>
  <c r="I141" i="1"/>
  <c r="I140" i="1"/>
  <c r="I139" i="1"/>
  <c r="I138" i="1"/>
  <c r="I137" i="1"/>
  <c r="I136" i="1"/>
  <c r="I135" i="1"/>
  <c r="I134" i="1"/>
  <c r="I133" i="1"/>
  <c r="I132" i="1"/>
  <c r="I131" i="1"/>
  <c r="I130" i="1"/>
  <c r="I129" i="1"/>
  <c r="I128" i="1"/>
  <c r="I127" i="1"/>
  <c r="I126" i="1"/>
  <c r="I125" i="1"/>
  <c r="I124" i="1"/>
  <c r="I123" i="1"/>
  <c r="I122" i="1"/>
  <c r="I121" i="1"/>
  <c r="I120" i="1"/>
  <c r="I119" i="1"/>
  <c r="I118" i="1"/>
  <c r="I117" i="1"/>
  <c r="I116" i="1"/>
  <c r="I115" i="1"/>
  <c r="I114" i="1"/>
  <c r="I113" i="1"/>
  <c r="I112" i="1"/>
  <c r="I111" i="1"/>
  <c r="I110" i="1"/>
  <c r="I109" i="1"/>
  <c r="I108" i="1"/>
  <c r="I107" i="1"/>
  <c r="I106" i="1"/>
  <c r="I105" i="1"/>
  <c r="I101" i="1"/>
  <c r="I100" i="1"/>
  <c r="I99" i="1"/>
  <c r="I98" i="1"/>
  <c r="I97" i="1"/>
  <c r="I96" i="1"/>
  <c r="I95" i="1"/>
  <c r="I94" i="1"/>
  <c r="I93" i="1"/>
  <c r="I92" i="1"/>
  <c r="I91" i="1"/>
  <c r="I90" i="1"/>
  <c r="I89" i="1"/>
  <c r="I88" i="1"/>
  <c r="I87" i="1"/>
  <c r="I86" i="1"/>
  <c r="I85" i="1"/>
  <c r="I84" i="1"/>
  <c r="I83" i="1"/>
  <c r="I82" i="1"/>
  <c r="I81" i="1"/>
  <c r="I80" i="1"/>
  <c r="I79" i="1"/>
  <c r="I75" i="1"/>
  <c r="I74" i="1"/>
  <c r="I73" i="1"/>
  <c r="I72" i="1"/>
  <c r="I71" i="1"/>
  <c r="K99" i="26" s="1"/>
  <c r="I70" i="1"/>
  <c r="I69" i="1"/>
  <c r="I68" i="1"/>
  <c r="I67" i="1"/>
  <c r="I66" i="1"/>
  <c r="I65" i="1"/>
  <c r="I64" i="1"/>
  <c r="I63" i="1"/>
  <c r="I62" i="1"/>
  <c r="I58" i="1"/>
  <c r="I37" i="1"/>
  <c r="I36" i="1"/>
  <c r="I35" i="1"/>
  <c r="I34" i="1"/>
  <c r="I4" i="1"/>
  <c r="I5" i="1"/>
  <c r="I8" i="1"/>
  <c r="I9" i="1"/>
  <c r="I10" i="1"/>
  <c r="I11" i="1"/>
  <c r="I12" i="1"/>
  <c r="I3" i="1"/>
  <c r="K864" i="26" s="1"/>
  <c r="O353" i="26"/>
  <c r="O354" i="26" s="1"/>
  <c r="M1659" i="4"/>
  <c r="K1659" i="4"/>
  <c r="G1659" i="4" s="1"/>
  <c r="A1659" i="4"/>
  <c r="M1658" i="4"/>
  <c r="K1658" i="4"/>
  <c r="G1658" i="4" s="1"/>
  <c r="A1658" i="4"/>
  <c r="M1657" i="4"/>
  <c r="K1657" i="4"/>
  <c r="G1657" i="4" s="1"/>
  <c r="A1657" i="4"/>
  <c r="J1339" i="4"/>
  <c r="I1339" i="4"/>
  <c r="H1339" i="4"/>
  <c r="J1338" i="4"/>
  <c r="I1338" i="4"/>
  <c r="H1338" i="4"/>
  <c r="J1337" i="4"/>
  <c r="I1337" i="4"/>
  <c r="H1337" i="4"/>
  <c r="J1336" i="4"/>
  <c r="I1336" i="4"/>
  <c r="H1336" i="4"/>
  <c r="J1335" i="4"/>
  <c r="I1335" i="4"/>
  <c r="H1335" i="4"/>
  <c r="J1334" i="4"/>
  <c r="I1334" i="4"/>
  <c r="H1334" i="4"/>
  <c r="J1333" i="4"/>
  <c r="I1333" i="4"/>
  <c r="H1333" i="4"/>
  <c r="J1332" i="4"/>
  <c r="I1332" i="4"/>
  <c r="H1332" i="4"/>
  <c r="J1331" i="4"/>
  <c r="I1331" i="4"/>
  <c r="H1331" i="4"/>
  <c r="J1330" i="4"/>
  <c r="I1330" i="4"/>
  <c r="H1330" i="4"/>
  <c r="G1330" i="4"/>
  <c r="J1329" i="4"/>
  <c r="I1329" i="4"/>
  <c r="H1329" i="4"/>
  <c r="J1328" i="4"/>
  <c r="I1328" i="4"/>
  <c r="H1328" i="4"/>
  <c r="J1327" i="4"/>
  <c r="I1327" i="4"/>
  <c r="H1327" i="4"/>
  <c r="J1326" i="4"/>
  <c r="I1326" i="4"/>
  <c r="H1326" i="4"/>
  <c r="J1325" i="4"/>
  <c r="I1325" i="4"/>
  <c r="H1325" i="4"/>
  <c r="J1324" i="4"/>
  <c r="I1324" i="4"/>
  <c r="H1324" i="4"/>
  <c r="J1323" i="4"/>
  <c r="I1323" i="4"/>
  <c r="H1323" i="4"/>
  <c r="J1322" i="4"/>
  <c r="I1322" i="4"/>
  <c r="H1322" i="4"/>
  <c r="J1321" i="4"/>
  <c r="I1321" i="4"/>
  <c r="H1321" i="4"/>
  <c r="J1320" i="4"/>
  <c r="I1320" i="4"/>
  <c r="H1320" i="4"/>
  <c r="J1319" i="4"/>
  <c r="I1319" i="4"/>
  <c r="H1319" i="4"/>
  <c r="J1318" i="4"/>
  <c r="I1318" i="4"/>
  <c r="H1318" i="4"/>
  <c r="J1317" i="4"/>
  <c r="I1317" i="4"/>
  <c r="H1317" i="4"/>
  <c r="J1316" i="4"/>
  <c r="I1316" i="4"/>
  <c r="H1316" i="4"/>
  <c r="J1315" i="4"/>
  <c r="I1315" i="4"/>
  <c r="H1315" i="4"/>
  <c r="J1314" i="4"/>
  <c r="I1314" i="4"/>
  <c r="H1314" i="4"/>
  <c r="J1313" i="4"/>
  <c r="I1313" i="4"/>
  <c r="H1313" i="4"/>
  <c r="J1312" i="4"/>
  <c r="I1312" i="4"/>
  <c r="H1312" i="4"/>
  <c r="J1311" i="4"/>
  <c r="I1311" i="4"/>
  <c r="H1311" i="4"/>
  <c r="J1310" i="4"/>
  <c r="I1310" i="4"/>
  <c r="H1310" i="4"/>
  <c r="J1309" i="4"/>
  <c r="I1309" i="4"/>
  <c r="H1309" i="4"/>
  <c r="J1308" i="4"/>
  <c r="I1308" i="4"/>
  <c r="H1308" i="4"/>
  <c r="J1307" i="4"/>
  <c r="I1307" i="4"/>
  <c r="H1307" i="4"/>
  <c r="J1306" i="4"/>
  <c r="I1306" i="4"/>
  <c r="H1306" i="4"/>
  <c r="J1305" i="4"/>
  <c r="I1305" i="4"/>
  <c r="H1305" i="4"/>
  <c r="J1304" i="4"/>
  <c r="I1304" i="4"/>
  <c r="H1304" i="4"/>
  <c r="J1303" i="4"/>
  <c r="I1303" i="4"/>
  <c r="H1303" i="4"/>
  <c r="J1302" i="4"/>
  <c r="I1302" i="4"/>
  <c r="H1302" i="4"/>
  <c r="J1301" i="4"/>
  <c r="I1301" i="4"/>
  <c r="H1301" i="4"/>
  <c r="G1301" i="4"/>
  <c r="J1300" i="4"/>
  <c r="I1300" i="4"/>
  <c r="H1300" i="4"/>
  <c r="J1299" i="4"/>
  <c r="I1299" i="4"/>
  <c r="H1299" i="4"/>
  <c r="J1298" i="4"/>
  <c r="I1298" i="4"/>
  <c r="H1298" i="4"/>
  <c r="J1297" i="4"/>
  <c r="I1297" i="4"/>
  <c r="H1297" i="4"/>
  <c r="J1296" i="4"/>
  <c r="I1296" i="4"/>
  <c r="H1296" i="4"/>
  <c r="J1295" i="4"/>
  <c r="I1295" i="4"/>
  <c r="H1295" i="4"/>
  <c r="J1294" i="4"/>
  <c r="I1294" i="4"/>
  <c r="H1294" i="4"/>
  <c r="J1293" i="4"/>
  <c r="I1293" i="4"/>
  <c r="H1293" i="4"/>
  <c r="J1292" i="4"/>
  <c r="I1292" i="4"/>
  <c r="H1292" i="4"/>
  <c r="J1291" i="4"/>
  <c r="I1291" i="4"/>
  <c r="H1291" i="4"/>
  <c r="J1290" i="4"/>
  <c r="I1290" i="4"/>
  <c r="H1290" i="4"/>
  <c r="J1289" i="4"/>
  <c r="I1289" i="4"/>
  <c r="H1289" i="4"/>
  <c r="J1288" i="4"/>
  <c r="I1288" i="4"/>
  <c r="H1288" i="4"/>
  <c r="J1287" i="4"/>
  <c r="I1287" i="4"/>
  <c r="H1287" i="4"/>
  <c r="J1286" i="4"/>
  <c r="I1286" i="4"/>
  <c r="H1286" i="4"/>
  <c r="J1285" i="4"/>
  <c r="I1285" i="4"/>
  <c r="H1285" i="4"/>
  <c r="J1284" i="4"/>
  <c r="I1284" i="4"/>
  <c r="H1284" i="4"/>
  <c r="J1283" i="4"/>
  <c r="I1283" i="4"/>
  <c r="H1283" i="4"/>
  <c r="J1282" i="4"/>
  <c r="I1282" i="4"/>
  <c r="H1282" i="4"/>
  <c r="J1281" i="4"/>
  <c r="I1281" i="4"/>
  <c r="H1281" i="4"/>
  <c r="J1280" i="4"/>
  <c r="I1280" i="4"/>
  <c r="H1280" i="4"/>
  <c r="J1279" i="4"/>
  <c r="I1279" i="4"/>
  <c r="H1279" i="4"/>
  <c r="J1278" i="4"/>
  <c r="I1278" i="4"/>
  <c r="H1278" i="4"/>
  <c r="J1277" i="4"/>
  <c r="I1277" i="4"/>
  <c r="H1277" i="4"/>
  <c r="J1276" i="4"/>
  <c r="I1276" i="4"/>
  <c r="H1276" i="4"/>
  <c r="J1275" i="4"/>
  <c r="I1275" i="4"/>
  <c r="H1275" i="4"/>
  <c r="J1274" i="4"/>
  <c r="I1274" i="4"/>
  <c r="H1274" i="4"/>
  <c r="J1273" i="4"/>
  <c r="I1273" i="4"/>
  <c r="H1273" i="4"/>
  <c r="J1272" i="4"/>
  <c r="I1272" i="4"/>
  <c r="H1272" i="4"/>
  <c r="J1271" i="4"/>
  <c r="I1271" i="4"/>
  <c r="H1271" i="4"/>
  <c r="J1270" i="4"/>
  <c r="I1270" i="4"/>
  <c r="H1270" i="4"/>
  <c r="J1269" i="4"/>
  <c r="I1269" i="4"/>
  <c r="H1269" i="4"/>
  <c r="J1268" i="4"/>
  <c r="I1268" i="4"/>
  <c r="H1268" i="4"/>
  <c r="J1267" i="4"/>
  <c r="I1267" i="4"/>
  <c r="H1267" i="4"/>
  <c r="J1266" i="4"/>
  <c r="I1266" i="4"/>
  <c r="H1266" i="4"/>
  <c r="J1265" i="4"/>
  <c r="I1265" i="4"/>
  <c r="H1265" i="4"/>
  <c r="J1264" i="4"/>
  <c r="I1264" i="4"/>
  <c r="H1264" i="4"/>
  <c r="J1263" i="4"/>
  <c r="I1263" i="4"/>
  <c r="H1263" i="4"/>
  <c r="J1262" i="4"/>
  <c r="I1262" i="4"/>
  <c r="H1262" i="4"/>
  <c r="J1261" i="4"/>
  <c r="I1261" i="4"/>
  <c r="H1261" i="4"/>
  <c r="J1260" i="4"/>
  <c r="I1260" i="4"/>
  <c r="H1260" i="4"/>
  <c r="J1259" i="4"/>
  <c r="I1259" i="4"/>
  <c r="H1259" i="4"/>
  <c r="J1258" i="4"/>
  <c r="I1258" i="4"/>
  <c r="H1258" i="4"/>
  <c r="J1257" i="4"/>
  <c r="I1257" i="4"/>
  <c r="H1257" i="4"/>
  <c r="J1256" i="4"/>
  <c r="I1256" i="4"/>
  <c r="H1256" i="4"/>
  <c r="J1255" i="4"/>
  <c r="I1255" i="4"/>
  <c r="H1255" i="4"/>
  <c r="J1254" i="4"/>
  <c r="I1254" i="4"/>
  <c r="H1254" i="4"/>
  <c r="J1253" i="4"/>
  <c r="I1253" i="4"/>
  <c r="H1253" i="4"/>
  <c r="J1252" i="4"/>
  <c r="I1252" i="4"/>
  <c r="H1252" i="4"/>
  <c r="J1251" i="4"/>
  <c r="I1251" i="4"/>
  <c r="H1251" i="4"/>
  <c r="J1250" i="4"/>
  <c r="I1250" i="4"/>
  <c r="H1250" i="4"/>
  <c r="J1249" i="4"/>
  <c r="I1249" i="4"/>
  <c r="H1249" i="4"/>
  <c r="J1248" i="4"/>
  <c r="I1248" i="4"/>
  <c r="H1248" i="4"/>
  <c r="J1247" i="4"/>
  <c r="I1247" i="4"/>
  <c r="H1247" i="4"/>
  <c r="J1246" i="4"/>
  <c r="I1246" i="4"/>
  <c r="H1246" i="4"/>
  <c r="J1245" i="4"/>
  <c r="I1245" i="4"/>
  <c r="H1245" i="4"/>
  <c r="J1244" i="4"/>
  <c r="I1244" i="4"/>
  <c r="H1244" i="4"/>
  <c r="J1243" i="4"/>
  <c r="I1243" i="4"/>
  <c r="H1243" i="4"/>
  <c r="J1242" i="4"/>
  <c r="I1242" i="4"/>
  <c r="H1242" i="4"/>
  <c r="J1241" i="4"/>
  <c r="I1241" i="4"/>
  <c r="H1241" i="4"/>
  <c r="J1240" i="4"/>
  <c r="I1240" i="4"/>
  <c r="H1240" i="4"/>
  <c r="J1239" i="4"/>
  <c r="I1239" i="4"/>
  <c r="H1239" i="4"/>
  <c r="J1238" i="4"/>
  <c r="I1238" i="4"/>
  <c r="H1238" i="4"/>
  <c r="J1237" i="4"/>
  <c r="I1237" i="4"/>
  <c r="H1237" i="4"/>
  <c r="J1236" i="4"/>
  <c r="I1236" i="4"/>
  <c r="H1236" i="4"/>
  <c r="J1235" i="4"/>
  <c r="I1235" i="4"/>
  <c r="H1235" i="4"/>
  <c r="J1234" i="4"/>
  <c r="I1234" i="4"/>
  <c r="H1234" i="4"/>
  <c r="J1233" i="4"/>
  <c r="I1233" i="4"/>
  <c r="H1233" i="4"/>
  <c r="J1232" i="4"/>
  <c r="I1232" i="4"/>
  <c r="H1232" i="4"/>
  <c r="J1231" i="4"/>
  <c r="I1231" i="4"/>
  <c r="H1231" i="4"/>
  <c r="J1230" i="4"/>
  <c r="I1230" i="4"/>
  <c r="H1230" i="4"/>
  <c r="J1229" i="4"/>
  <c r="I1229" i="4"/>
  <c r="H1229" i="4"/>
  <c r="J1228" i="4"/>
  <c r="I1228" i="4"/>
  <c r="H1228" i="4"/>
  <c r="J1227" i="4"/>
  <c r="I1227" i="4"/>
  <c r="H1227" i="4"/>
  <c r="J1226" i="4"/>
  <c r="I1226" i="4"/>
  <c r="H1226" i="4"/>
  <c r="J1225" i="4"/>
  <c r="I1225" i="4"/>
  <c r="H1225" i="4"/>
  <c r="J1224" i="4"/>
  <c r="I1224" i="4"/>
  <c r="H1224" i="4"/>
  <c r="J1223" i="4"/>
  <c r="I1223" i="4"/>
  <c r="H1223" i="4"/>
  <c r="J1222" i="4"/>
  <c r="I1222" i="4"/>
  <c r="H1222" i="4"/>
  <c r="J1221" i="4"/>
  <c r="I1221" i="4"/>
  <c r="H1221" i="4"/>
  <c r="J1220" i="4"/>
  <c r="I1220" i="4"/>
  <c r="H1220" i="4"/>
  <c r="J1219" i="4"/>
  <c r="I1219" i="4"/>
  <c r="H1219" i="4"/>
  <c r="J1218" i="4"/>
  <c r="I1218" i="4"/>
  <c r="H1218" i="4"/>
  <c r="J1217" i="4"/>
  <c r="I1217" i="4"/>
  <c r="H1217" i="4"/>
  <c r="J1216" i="4"/>
  <c r="I1216" i="4"/>
  <c r="H1216" i="4"/>
  <c r="J1215" i="4"/>
  <c r="I1215" i="4"/>
  <c r="H1215" i="4"/>
  <c r="J1214" i="4"/>
  <c r="I1214" i="4"/>
  <c r="H1214" i="4"/>
  <c r="J1213" i="4"/>
  <c r="I1213" i="4"/>
  <c r="H1213" i="4"/>
  <c r="J1212" i="4"/>
  <c r="I1212" i="4"/>
  <c r="H1212" i="4"/>
  <c r="J1211" i="4"/>
  <c r="I1211" i="4"/>
  <c r="H1211" i="4"/>
  <c r="J1210" i="4"/>
  <c r="I1210" i="4"/>
  <c r="H1210" i="4"/>
  <c r="V758" i="4"/>
  <c r="J758" i="4"/>
  <c r="I758" i="4"/>
  <c r="H758" i="4"/>
  <c r="V757" i="4"/>
  <c r="J757" i="4"/>
  <c r="I757" i="4"/>
  <c r="H757" i="4"/>
  <c r="V756" i="4"/>
  <c r="J756" i="4"/>
  <c r="I756" i="4"/>
  <c r="H756" i="4"/>
  <c r="V755" i="4"/>
  <c r="J755" i="4"/>
  <c r="I755" i="4"/>
  <c r="H755" i="4"/>
  <c r="V754" i="4"/>
  <c r="J754" i="4"/>
  <c r="I754" i="4"/>
  <c r="H754" i="4"/>
  <c r="V753" i="4"/>
  <c r="J753" i="4"/>
  <c r="I753" i="4"/>
  <c r="H753" i="4"/>
  <c r="V752" i="4"/>
  <c r="J752" i="4"/>
  <c r="I752" i="4"/>
  <c r="H752" i="4"/>
  <c r="V751" i="4"/>
  <c r="J751" i="4"/>
  <c r="I751" i="4"/>
  <c r="H751" i="4"/>
  <c r="V750" i="4"/>
  <c r="J750" i="4"/>
  <c r="I750" i="4"/>
  <c r="H750" i="4"/>
  <c r="V749" i="4"/>
  <c r="J749" i="4"/>
  <c r="I749" i="4"/>
  <c r="H749" i="4"/>
  <c r="V748" i="4"/>
  <c r="J748" i="4"/>
  <c r="I748" i="4"/>
  <c r="H748" i="4"/>
  <c r="V747" i="4"/>
  <c r="J747" i="4"/>
  <c r="I747" i="4"/>
  <c r="H747" i="4"/>
  <c r="V746" i="4"/>
  <c r="J746" i="4"/>
  <c r="I746" i="4"/>
  <c r="H746" i="4"/>
  <c r="V745" i="4"/>
  <c r="J745" i="4"/>
  <c r="I745" i="4"/>
  <c r="H745" i="4"/>
  <c r="V744" i="4"/>
  <c r="J744" i="4"/>
  <c r="I744" i="4"/>
  <c r="H744" i="4"/>
  <c r="V743" i="4"/>
  <c r="J743" i="4"/>
  <c r="I743" i="4"/>
  <c r="H743" i="4"/>
  <c r="V742" i="4"/>
  <c r="J742" i="4"/>
  <c r="I742" i="4"/>
  <c r="H742" i="4"/>
  <c r="V741" i="4"/>
  <c r="J741" i="4"/>
  <c r="I741" i="4"/>
  <c r="H741" i="4"/>
  <c r="V740" i="4"/>
  <c r="J740" i="4"/>
  <c r="I740" i="4"/>
  <c r="H740" i="4"/>
  <c r="V739" i="4"/>
  <c r="J739" i="4"/>
  <c r="I739" i="4"/>
  <c r="H739" i="4"/>
  <c r="V738" i="4"/>
  <c r="J738" i="4"/>
  <c r="I738" i="4"/>
  <c r="H738" i="4"/>
  <c r="V737" i="4"/>
  <c r="J737" i="4"/>
  <c r="I737" i="4"/>
  <c r="H737" i="4"/>
  <c r="V736" i="4"/>
  <c r="J736" i="4"/>
  <c r="I736" i="4"/>
  <c r="H736" i="4"/>
  <c r="V735" i="4"/>
  <c r="J735" i="4"/>
  <c r="I735" i="4"/>
  <c r="H735" i="4"/>
  <c r="V734" i="4"/>
  <c r="J734" i="4"/>
  <c r="I734" i="4"/>
  <c r="H734" i="4"/>
  <c r="V733" i="4"/>
  <c r="J733" i="4"/>
  <c r="I733" i="4"/>
  <c r="H733" i="4"/>
  <c r="V732" i="4"/>
  <c r="J732" i="4"/>
  <c r="I732" i="4"/>
  <c r="H732" i="4"/>
  <c r="V731" i="4"/>
  <c r="J731" i="4"/>
  <c r="I731" i="4"/>
  <c r="H731" i="4"/>
  <c r="V730" i="4"/>
  <c r="J730" i="4"/>
  <c r="I730" i="4"/>
  <c r="H730" i="4"/>
  <c r="V729" i="4"/>
  <c r="J729" i="4"/>
  <c r="I729" i="4"/>
  <c r="H729" i="4"/>
  <c r="V728" i="4"/>
  <c r="J728" i="4"/>
  <c r="I728" i="4"/>
  <c r="H728" i="4"/>
  <c r="V727" i="4"/>
  <c r="J727" i="4"/>
  <c r="I727" i="4"/>
  <c r="H727" i="4"/>
  <c r="V726" i="4"/>
  <c r="J726" i="4"/>
  <c r="I726" i="4"/>
  <c r="H726" i="4"/>
  <c r="R184" i="4"/>
  <c r="J184" i="4"/>
  <c r="I184" i="4"/>
  <c r="H184" i="4"/>
  <c r="J183" i="4"/>
  <c r="I183" i="4"/>
  <c r="H183" i="4"/>
  <c r="J182" i="4"/>
  <c r="I182" i="4"/>
  <c r="H182" i="4"/>
  <c r="J181" i="4"/>
  <c r="I181" i="4"/>
  <c r="H181" i="4"/>
  <c r="J180" i="4"/>
  <c r="I180" i="4"/>
  <c r="H180" i="4"/>
  <c r="J179" i="4"/>
  <c r="I179" i="4"/>
  <c r="H179" i="4"/>
  <c r="J178" i="4"/>
  <c r="I178" i="4"/>
  <c r="H178" i="4"/>
  <c r="J177" i="4"/>
  <c r="I177" i="4"/>
  <c r="H177" i="4"/>
  <c r="J176" i="4"/>
  <c r="I176" i="4"/>
  <c r="H176" i="4"/>
  <c r="R175" i="4"/>
  <c r="J175" i="4"/>
  <c r="I175" i="4"/>
  <c r="H175" i="4"/>
  <c r="R174" i="4"/>
  <c r="J174" i="4"/>
  <c r="I174" i="4"/>
  <c r="H174" i="4"/>
  <c r="J173" i="4"/>
  <c r="I173" i="4"/>
  <c r="H173" i="4"/>
  <c r="J172" i="4"/>
  <c r="I172" i="4"/>
  <c r="H172" i="4"/>
  <c r="J171" i="4"/>
  <c r="I171" i="4"/>
  <c r="H171" i="4"/>
  <c r="J170" i="4"/>
  <c r="I170" i="4"/>
  <c r="H170" i="4"/>
  <c r="J169" i="4"/>
  <c r="I169" i="4"/>
  <c r="H169" i="4"/>
  <c r="J168" i="4"/>
  <c r="I168" i="4"/>
  <c r="H168" i="4"/>
  <c r="J167" i="4"/>
  <c r="I167" i="4"/>
  <c r="H167" i="4"/>
  <c r="J166" i="4"/>
  <c r="I166" i="4"/>
  <c r="H166" i="4"/>
  <c r="R165" i="4"/>
  <c r="J165" i="4"/>
  <c r="I165" i="4"/>
  <c r="H165" i="4"/>
  <c r="R164" i="4"/>
  <c r="J164" i="4"/>
  <c r="I164" i="4"/>
  <c r="H164" i="4"/>
  <c r="R163" i="4"/>
  <c r="J163" i="4"/>
  <c r="I163" i="4"/>
  <c r="H163" i="4"/>
  <c r="R162" i="4"/>
  <c r="J162" i="4"/>
  <c r="I162" i="4"/>
  <c r="H162" i="4"/>
  <c r="R161" i="4"/>
  <c r="J161" i="4"/>
  <c r="I161" i="4"/>
  <c r="H161" i="4"/>
  <c r="R160" i="4"/>
  <c r="J160" i="4"/>
  <c r="I160" i="4"/>
  <c r="H160" i="4"/>
  <c r="R159" i="4"/>
  <c r="J159" i="4"/>
  <c r="I159" i="4"/>
  <c r="H159" i="4"/>
  <c r="R158" i="4"/>
  <c r="J158" i="4"/>
  <c r="I158" i="4"/>
  <c r="H158" i="4"/>
  <c r="J157" i="4"/>
  <c r="I157" i="4"/>
  <c r="H157" i="4"/>
  <c r="J156" i="4"/>
  <c r="I156" i="4"/>
  <c r="H156" i="4"/>
  <c r="J155" i="4"/>
  <c r="I155" i="4"/>
  <c r="H155" i="4"/>
  <c r="J154" i="4"/>
  <c r="I154" i="4"/>
  <c r="H154" i="4"/>
  <c r="J153" i="4"/>
  <c r="I153" i="4"/>
  <c r="H153" i="4"/>
  <c r="J152" i="4"/>
  <c r="I152" i="4"/>
  <c r="H152" i="4"/>
  <c r="J151" i="4"/>
  <c r="I151" i="4"/>
  <c r="H151" i="4"/>
  <c r="J150" i="4"/>
  <c r="I150" i="4"/>
  <c r="H150" i="4"/>
  <c r="J149" i="4"/>
  <c r="I149" i="4"/>
  <c r="H149" i="4"/>
  <c r="J148" i="4"/>
  <c r="I148" i="4"/>
  <c r="H148" i="4"/>
  <c r="J147" i="4"/>
  <c r="I147" i="4"/>
  <c r="H147" i="4"/>
  <c r="J146" i="4"/>
  <c r="I146" i="4"/>
  <c r="H146" i="4"/>
  <c r="J145" i="4"/>
  <c r="I145" i="4"/>
  <c r="H145" i="4"/>
  <c r="J144" i="4"/>
  <c r="I144" i="4"/>
  <c r="H144" i="4"/>
  <c r="J143" i="4"/>
  <c r="I143" i="4"/>
  <c r="H143" i="4"/>
  <c r="J142" i="4"/>
  <c r="I142" i="4"/>
  <c r="H142" i="4"/>
  <c r="J141" i="4"/>
  <c r="I141" i="4"/>
  <c r="H141" i="4"/>
  <c r="R140" i="4"/>
  <c r="J140" i="4"/>
  <c r="I140" i="4"/>
  <c r="H140" i="4"/>
  <c r="R139" i="4"/>
  <c r="J139" i="4"/>
  <c r="I139" i="4"/>
  <c r="H139" i="4"/>
  <c r="R138" i="4"/>
  <c r="J138" i="4"/>
  <c r="I138" i="4"/>
  <c r="H138" i="4"/>
  <c r="R137" i="4"/>
  <c r="J137" i="4"/>
  <c r="I137" i="4"/>
  <c r="H137" i="4"/>
  <c r="R136" i="4"/>
  <c r="J136" i="4"/>
  <c r="I136" i="4"/>
  <c r="H136" i="4"/>
  <c r="R135" i="4"/>
  <c r="J135" i="4"/>
  <c r="I135" i="4"/>
  <c r="H135" i="4"/>
  <c r="R134" i="4"/>
  <c r="J134" i="4"/>
  <c r="I134" i="4"/>
  <c r="H134" i="4"/>
  <c r="R133" i="4"/>
  <c r="J133" i="4"/>
  <c r="I133" i="4"/>
  <c r="H133" i="4"/>
  <c r="R132" i="4"/>
  <c r="J132" i="4"/>
  <c r="I132" i="4"/>
  <c r="H132" i="4"/>
  <c r="R131" i="4"/>
  <c r="J131" i="4"/>
  <c r="I131" i="4"/>
  <c r="H131" i="4"/>
  <c r="J130" i="4"/>
  <c r="I130" i="4"/>
  <c r="H130" i="4"/>
  <c r="J129" i="4"/>
  <c r="I129" i="4"/>
  <c r="H129" i="4"/>
  <c r="J128" i="4"/>
  <c r="I128" i="4"/>
  <c r="H128" i="4"/>
  <c r="J127" i="4"/>
  <c r="I127" i="4"/>
  <c r="H127" i="4"/>
  <c r="J126" i="4"/>
  <c r="I126" i="4"/>
  <c r="H126" i="4"/>
  <c r="J125" i="4"/>
  <c r="I125" i="4"/>
  <c r="H125" i="4"/>
  <c r="J124" i="4"/>
  <c r="I124" i="4"/>
  <c r="H124" i="4"/>
  <c r="J123" i="4"/>
  <c r="I123" i="4"/>
  <c r="H123" i="4"/>
  <c r="J122" i="4"/>
  <c r="I122" i="4"/>
  <c r="H122" i="4"/>
  <c r="J121" i="4"/>
  <c r="I121" i="4"/>
  <c r="H121" i="4"/>
  <c r="J120" i="4"/>
  <c r="I120" i="4"/>
  <c r="H120" i="4"/>
  <c r="J119" i="4"/>
  <c r="I119" i="4"/>
  <c r="H119" i="4"/>
  <c r="R117" i="4"/>
  <c r="J117" i="4"/>
  <c r="I117" i="4"/>
  <c r="H117" i="4"/>
  <c r="R116" i="4"/>
  <c r="J116" i="4"/>
  <c r="I116" i="4"/>
  <c r="H116" i="4"/>
  <c r="R115" i="4"/>
  <c r="J115" i="4"/>
  <c r="I115" i="4"/>
  <c r="H115" i="4"/>
  <c r="R114" i="4"/>
  <c r="J114" i="4"/>
  <c r="I114" i="4"/>
  <c r="H114" i="4"/>
  <c r="R113" i="4"/>
  <c r="J113" i="4"/>
  <c r="I113" i="4"/>
  <c r="H113" i="4"/>
  <c r="R112" i="4"/>
  <c r="J112" i="4"/>
  <c r="I112" i="4"/>
  <c r="H112" i="4"/>
  <c r="R111" i="4"/>
  <c r="J111" i="4"/>
  <c r="I111" i="4"/>
  <c r="H111" i="4"/>
  <c r="R110" i="4"/>
  <c r="J110" i="4"/>
  <c r="I110" i="4"/>
  <c r="H110" i="4"/>
  <c r="R109" i="4"/>
  <c r="J109" i="4"/>
  <c r="I109" i="4"/>
  <c r="H109" i="4"/>
  <c r="R108" i="4"/>
  <c r="J108" i="4"/>
  <c r="I108" i="4"/>
  <c r="H108" i="4"/>
  <c r="R107" i="4"/>
  <c r="J107" i="4"/>
  <c r="I107" i="4"/>
  <c r="H107" i="4"/>
  <c r="R106" i="4"/>
  <c r="J106" i="4"/>
  <c r="I106" i="4"/>
  <c r="H106" i="4"/>
  <c r="R105" i="4"/>
  <c r="J105" i="4"/>
  <c r="I105" i="4"/>
  <c r="H105" i="4"/>
  <c r="R104" i="4"/>
  <c r="J104" i="4"/>
  <c r="I104" i="4"/>
  <c r="H104" i="4"/>
  <c r="R103" i="4"/>
  <c r="J103" i="4"/>
  <c r="I103" i="4"/>
  <c r="H103" i="4"/>
  <c r="R102" i="4"/>
  <c r="J102" i="4"/>
  <c r="I102" i="4"/>
  <c r="H102" i="4"/>
  <c r="R101" i="4"/>
  <c r="J101" i="4"/>
  <c r="I101" i="4"/>
  <c r="H101" i="4"/>
  <c r="R100" i="4"/>
  <c r="J100" i="4"/>
  <c r="I100" i="4"/>
  <c r="H100" i="4"/>
  <c r="R99" i="4"/>
  <c r="J99" i="4"/>
  <c r="I99" i="4"/>
  <c r="H99" i="4"/>
  <c r="R98" i="4"/>
  <c r="J98" i="4"/>
  <c r="I98" i="4"/>
  <c r="H98" i="4"/>
  <c r="R97" i="4"/>
  <c r="J97" i="4"/>
  <c r="I97" i="4"/>
  <c r="H97" i="4"/>
  <c r="R96" i="4"/>
  <c r="J96" i="4"/>
  <c r="I96" i="4"/>
  <c r="H96" i="4"/>
  <c r="R95" i="4"/>
  <c r="J95" i="4"/>
  <c r="I95" i="4"/>
  <c r="H95" i="4"/>
  <c r="R94" i="4"/>
  <c r="J94" i="4"/>
  <c r="I94" i="4"/>
  <c r="H94" i="4"/>
  <c r="R93" i="4"/>
  <c r="J93" i="4"/>
  <c r="I93" i="4"/>
  <c r="H93" i="4"/>
  <c r="R92" i="4"/>
  <c r="J92" i="4"/>
  <c r="I92" i="4"/>
  <c r="H92" i="4"/>
  <c r="R91" i="4"/>
  <c r="J91" i="4"/>
  <c r="I91" i="4"/>
  <c r="H91" i="4"/>
  <c r="R90" i="4"/>
  <c r="J90" i="4"/>
  <c r="I90" i="4"/>
  <c r="H90" i="4"/>
  <c r="R89" i="4"/>
  <c r="J89" i="4"/>
  <c r="I89" i="4"/>
  <c r="H89" i="4"/>
  <c r="R88" i="4"/>
  <c r="J88" i="4"/>
  <c r="I88" i="4"/>
  <c r="H88" i="4"/>
  <c r="R87" i="4"/>
  <c r="J87" i="4"/>
  <c r="I87" i="4"/>
  <c r="H87" i="4"/>
  <c r="R86" i="4"/>
  <c r="J86" i="4"/>
  <c r="I86" i="4"/>
  <c r="H86" i="4"/>
  <c r="R85" i="4"/>
  <c r="J85" i="4"/>
  <c r="I85" i="4"/>
  <c r="H85" i="4"/>
  <c r="R84" i="4"/>
  <c r="J84" i="4"/>
  <c r="I84" i="4"/>
  <c r="H84" i="4"/>
  <c r="R83" i="4"/>
  <c r="J83" i="4"/>
  <c r="I83" i="4"/>
  <c r="H83" i="4"/>
  <c r="R82" i="4"/>
  <c r="J82" i="4"/>
  <c r="I82" i="4"/>
  <c r="H82" i="4"/>
  <c r="R81" i="4"/>
  <c r="J81" i="4"/>
  <c r="I81" i="4"/>
  <c r="H81" i="4"/>
  <c r="R80" i="4"/>
  <c r="J80" i="4"/>
  <c r="I80" i="4"/>
  <c r="H80" i="4"/>
  <c r="R79" i="4"/>
  <c r="J79" i="4"/>
  <c r="I79" i="4"/>
  <c r="H79" i="4"/>
  <c r="R78" i="4"/>
  <c r="J78" i="4"/>
  <c r="I78" i="4"/>
  <c r="H78" i="4"/>
  <c r="R77" i="4"/>
  <c r="J77" i="4"/>
  <c r="I77" i="4"/>
  <c r="H77" i="4"/>
  <c r="R76" i="4"/>
  <c r="J76" i="4"/>
  <c r="I76" i="4"/>
  <c r="H76" i="4"/>
  <c r="R75" i="4"/>
  <c r="J75" i="4"/>
  <c r="I75" i="4"/>
  <c r="H75" i="4"/>
  <c r="R74" i="4"/>
  <c r="J74" i="4"/>
  <c r="I74" i="4"/>
  <c r="H74" i="4"/>
  <c r="R73" i="4"/>
  <c r="J73" i="4"/>
  <c r="I73" i="4"/>
  <c r="H73" i="4"/>
  <c r="R72" i="4"/>
  <c r="J72" i="4"/>
  <c r="I72" i="4"/>
  <c r="H72" i="4"/>
  <c r="R71" i="4"/>
  <c r="J71" i="4"/>
  <c r="I71" i="4"/>
  <c r="H71" i="4"/>
  <c r="R70" i="4"/>
  <c r="J70" i="4"/>
  <c r="I70" i="4"/>
  <c r="H70" i="4"/>
  <c r="R69" i="4"/>
  <c r="J69" i="4"/>
  <c r="I69" i="4"/>
  <c r="H69" i="4"/>
  <c r="R68" i="4"/>
  <c r="J68" i="4"/>
  <c r="I68" i="4"/>
  <c r="H68" i="4"/>
  <c r="R67" i="4"/>
  <c r="J67" i="4"/>
  <c r="I67" i="4"/>
  <c r="H67" i="4"/>
  <c r="V65" i="4"/>
  <c r="R65" i="4"/>
  <c r="H65" i="4"/>
  <c r="F65" i="4"/>
  <c r="J65" i="4" s="1"/>
  <c r="V64" i="4"/>
  <c r="R64" i="4"/>
  <c r="H64" i="4"/>
  <c r="F64" i="4"/>
  <c r="G64" i="4" s="1"/>
  <c r="V63" i="4"/>
  <c r="R63" i="4"/>
  <c r="H63" i="4"/>
  <c r="F63" i="4"/>
  <c r="I63" i="4" s="1"/>
  <c r="V62" i="4"/>
  <c r="R62" i="4"/>
  <c r="H62" i="4"/>
  <c r="F62" i="4"/>
  <c r="V61" i="4"/>
  <c r="R61" i="4"/>
  <c r="H61" i="4"/>
  <c r="F61" i="4"/>
  <c r="V60" i="4"/>
  <c r="R60" i="4"/>
  <c r="H60" i="4"/>
  <c r="F60" i="4"/>
  <c r="V59" i="4"/>
  <c r="R59" i="4"/>
  <c r="H59" i="4"/>
  <c r="F59" i="4"/>
  <c r="I59" i="4" s="1"/>
  <c r="V58" i="4"/>
  <c r="R58" i="4"/>
  <c r="H58" i="4"/>
  <c r="F58" i="4"/>
  <c r="V57" i="4"/>
  <c r="R57" i="4"/>
  <c r="H57" i="4"/>
  <c r="F57" i="4"/>
  <c r="I57" i="4" s="1"/>
  <c r="V56" i="4"/>
  <c r="R56" i="4"/>
  <c r="H56" i="4"/>
  <c r="F56" i="4"/>
  <c r="G56" i="4" s="1"/>
  <c r="V55" i="4"/>
  <c r="R55" i="4"/>
  <c r="H55" i="4"/>
  <c r="F55" i="4"/>
  <c r="J55" i="4" s="1"/>
  <c r="V54" i="4"/>
  <c r="R54" i="4"/>
  <c r="H54" i="4"/>
  <c r="F54" i="4"/>
  <c r="J54" i="4" s="1"/>
  <c r="V53" i="4"/>
  <c r="R53" i="4"/>
  <c r="H53" i="4"/>
  <c r="F53" i="4"/>
  <c r="V52" i="4"/>
  <c r="R52" i="4"/>
  <c r="H52" i="4"/>
  <c r="F52" i="4"/>
  <c r="J52" i="4" s="1"/>
  <c r="V51" i="4"/>
  <c r="R51" i="4"/>
  <c r="H51" i="4"/>
  <c r="F51" i="4"/>
  <c r="I51" i="4" s="1"/>
  <c r="V50" i="4"/>
  <c r="R50" i="4"/>
  <c r="H50" i="4"/>
  <c r="F50" i="4"/>
  <c r="G50" i="4" s="1"/>
  <c r="V49" i="4"/>
  <c r="R49" i="4"/>
  <c r="H49" i="4"/>
  <c r="F49" i="4"/>
  <c r="J49" i="4" s="1"/>
  <c r="V48" i="4"/>
  <c r="R48" i="4"/>
  <c r="H48" i="4"/>
  <c r="F48" i="4"/>
  <c r="I48" i="4" s="1"/>
  <c r="V47" i="4"/>
  <c r="R47" i="4"/>
  <c r="H47" i="4"/>
  <c r="F47" i="4"/>
  <c r="J47" i="4" s="1"/>
  <c r="V46" i="4"/>
  <c r="R46" i="4"/>
  <c r="H46" i="4"/>
  <c r="F46" i="4"/>
  <c r="V45" i="4"/>
  <c r="R45" i="4"/>
  <c r="H45" i="4"/>
  <c r="F45" i="4"/>
  <c r="G45" i="4" s="1"/>
  <c r="V44" i="4"/>
  <c r="R44" i="4"/>
  <c r="H44" i="4"/>
  <c r="F44" i="4"/>
  <c r="V43" i="4"/>
  <c r="R43" i="4"/>
  <c r="H43" i="4"/>
  <c r="F43" i="4"/>
  <c r="V42" i="4"/>
  <c r="R42" i="4"/>
  <c r="H42" i="4"/>
  <c r="F42" i="4"/>
  <c r="I42" i="4" s="1"/>
  <c r="V41" i="4"/>
  <c r="R41" i="4"/>
  <c r="H41" i="4"/>
  <c r="F41" i="4"/>
  <c r="V40" i="4"/>
  <c r="R40" i="4"/>
  <c r="H40" i="4"/>
  <c r="F40" i="4"/>
  <c r="J40" i="4" s="1"/>
  <c r="V39" i="4"/>
  <c r="R39" i="4"/>
  <c r="H39" i="4"/>
  <c r="F39" i="4"/>
  <c r="V38" i="4"/>
  <c r="R38" i="4"/>
  <c r="H38" i="4"/>
  <c r="F38" i="4"/>
  <c r="I38" i="4" s="1"/>
  <c r="V37" i="4"/>
  <c r="R37" i="4"/>
  <c r="H37" i="4"/>
  <c r="F37" i="4"/>
  <c r="V36" i="4"/>
  <c r="R36" i="4"/>
  <c r="H36" i="4"/>
  <c r="F36" i="4"/>
  <c r="I36" i="4" s="1"/>
  <c r="V35" i="4"/>
  <c r="R35" i="4"/>
  <c r="H35" i="4"/>
  <c r="F35" i="4"/>
  <c r="J35" i="4" s="1"/>
  <c r="V34" i="4"/>
  <c r="R34" i="4"/>
  <c r="H34" i="4"/>
  <c r="F34" i="4"/>
  <c r="V33" i="4"/>
  <c r="R33" i="4"/>
  <c r="H33" i="4"/>
  <c r="F33" i="4"/>
  <c r="G33" i="4" s="1"/>
  <c r="V32" i="4"/>
  <c r="R32" i="4"/>
  <c r="H32" i="4"/>
  <c r="F32" i="4"/>
  <c r="V31" i="4"/>
  <c r="R31" i="4"/>
  <c r="H31" i="4"/>
  <c r="F31" i="4"/>
  <c r="I31" i="4" s="1"/>
  <c r="V30" i="4"/>
  <c r="R30" i="4"/>
  <c r="H30" i="4"/>
  <c r="F30" i="4"/>
  <c r="I30" i="4" s="1"/>
  <c r="V29" i="4"/>
  <c r="R29" i="4"/>
  <c r="H29" i="4"/>
  <c r="F29" i="4"/>
  <c r="I29" i="4" s="1"/>
  <c r="V28" i="4"/>
  <c r="R28" i="4"/>
  <c r="H28" i="4"/>
  <c r="F28" i="4"/>
  <c r="J28" i="4" s="1"/>
  <c r="V27" i="4"/>
  <c r="R27" i="4"/>
  <c r="H27" i="4"/>
  <c r="F27" i="4"/>
  <c r="I27" i="4" s="1"/>
  <c r="V26" i="4"/>
  <c r="R26" i="4"/>
  <c r="H26" i="4"/>
  <c r="F26" i="4"/>
  <c r="V25" i="4"/>
  <c r="R25" i="4"/>
  <c r="H25" i="4"/>
  <c r="F25" i="4"/>
  <c r="V24" i="4"/>
  <c r="R24" i="4"/>
  <c r="H24" i="4"/>
  <c r="F24" i="4"/>
  <c r="I24" i="4" s="1"/>
  <c r="V23" i="4"/>
  <c r="R23" i="4"/>
  <c r="H23" i="4"/>
  <c r="F23" i="4"/>
  <c r="V22" i="4"/>
  <c r="R22" i="4"/>
  <c r="H22" i="4"/>
  <c r="F22" i="4"/>
  <c r="J22" i="4" s="1"/>
  <c r="V21" i="4"/>
  <c r="R21" i="4"/>
  <c r="H21" i="4"/>
  <c r="F21" i="4"/>
  <c r="I21" i="4" s="1"/>
  <c r="V20" i="4"/>
  <c r="R20" i="4"/>
  <c r="H20" i="4"/>
  <c r="F20" i="4"/>
  <c r="I20" i="4" s="1"/>
  <c r="V19" i="4"/>
  <c r="R19" i="4"/>
  <c r="H19" i="4"/>
  <c r="F19" i="4"/>
  <c r="J19" i="4" s="1"/>
  <c r="V18" i="4"/>
  <c r="R18" i="4"/>
  <c r="H18" i="4"/>
  <c r="F18" i="4"/>
  <c r="V17" i="4"/>
  <c r="R17" i="4"/>
  <c r="H17" i="4"/>
  <c r="F17" i="4"/>
  <c r="G17" i="4" s="1"/>
  <c r="V16" i="4"/>
  <c r="R16" i="4"/>
  <c r="H16" i="4"/>
  <c r="F16" i="4"/>
  <c r="J16" i="4" s="1"/>
  <c r="V15" i="4"/>
  <c r="R15" i="4"/>
  <c r="H15" i="4"/>
  <c r="F15" i="4"/>
  <c r="G15" i="4" s="1"/>
  <c r="V14" i="4"/>
  <c r="R14" i="4"/>
  <c r="H14" i="4"/>
  <c r="F14" i="4"/>
  <c r="J14" i="4" s="1"/>
  <c r="V13" i="4"/>
  <c r="R13" i="4"/>
  <c r="H13" i="4"/>
  <c r="F13" i="4"/>
  <c r="V12" i="4"/>
  <c r="R12" i="4"/>
  <c r="H12" i="4"/>
  <c r="F12" i="4"/>
  <c r="J12" i="4" s="1"/>
  <c r="V11" i="4"/>
  <c r="R11" i="4"/>
  <c r="H11" i="4"/>
  <c r="F11" i="4"/>
  <c r="V10" i="4"/>
  <c r="R10" i="4"/>
  <c r="H10" i="4"/>
  <c r="F10" i="4"/>
  <c r="I10" i="4" s="1"/>
  <c r="V9" i="4"/>
  <c r="R9" i="4"/>
  <c r="H9" i="4"/>
  <c r="F9" i="4"/>
  <c r="J9" i="4" s="1"/>
  <c r="V8" i="4"/>
  <c r="R8" i="4"/>
  <c r="H8" i="4"/>
  <c r="F8" i="4"/>
  <c r="J8" i="4" s="1"/>
  <c r="V7" i="4"/>
  <c r="R7" i="4"/>
  <c r="H7" i="4"/>
  <c r="F7" i="4"/>
  <c r="G7" i="4" s="1"/>
  <c r="V6" i="4"/>
  <c r="R6" i="4"/>
  <c r="H6" i="4"/>
  <c r="F6" i="4"/>
  <c r="J6" i="4" s="1"/>
  <c r="V5" i="4"/>
  <c r="R5" i="4"/>
  <c r="H5" i="4"/>
  <c r="F5" i="4"/>
  <c r="V4" i="4"/>
  <c r="R4" i="4"/>
  <c r="H4" i="4"/>
  <c r="F4" i="4"/>
  <c r="V1865" i="4"/>
  <c r="J1865" i="4"/>
  <c r="I1865" i="4"/>
  <c r="H1865" i="4"/>
  <c r="V1864" i="4"/>
  <c r="J1864" i="4"/>
  <c r="I1864" i="4"/>
  <c r="H1864" i="4"/>
  <c r="V1863" i="4"/>
  <c r="J1863" i="4"/>
  <c r="I1863" i="4"/>
  <c r="H1863" i="4"/>
  <c r="V1862" i="4"/>
  <c r="J1862" i="4"/>
  <c r="I1862" i="4"/>
  <c r="H1862" i="4"/>
  <c r="V1860" i="4"/>
  <c r="U1860" i="4"/>
  <c r="U1877" i="4" s="1"/>
  <c r="T1877" i="4"/>
  <c r="J1860" i="4"/>
  <c r="I1860" i="4"/>
  <c r="H1860" i="4"/>
  <c r="V1859" i="4"/>
  <c r="J1859" i="4"/>
  <c r="I1859" i="4"/>
  <c r="H1859" i="4"/>
  <c r="V1858" i="4"/>
  <c r="J1858" i="4"/>
  <c r="I1858" i="4"/>
  <c r="H1858" i="4"/>
  <c r="V1856" i="4"/>
  <c r="J1856" i="4"/>
  <c r="I1856" i="4"/>
  <c r="H1856" i="4"/>
  <c r="V1855" i="4"/>
  <c r="J1855" i="4"/>
  <c r="I1855" i="4"/>
  <c r="H1855" i="4"/>
  <c r="V1854" i="4"/>
  <c r="U1854" i="4"/>
  <c r="T1854" i="4" s="1"/>
  <c r="J1854" i="4"/>
  <c r="I1854" i="4"/>
  <c r="H1854" i="4"/>
  <c r="V1852" i="4"/>
  <c r="J1852" i="4"/>
  <c r="I1852" i="4"/>
  <c r="H1852" i="4"/>
  <c r="V1851" i="4"/>
  <c r="J1851" i="4"/>
  <c r="I1851" i="4"/>
  <c r="H1851" i="4"/>
  <c r="V1850" i="4"/>
  <c r="J1850" i="4"/>
  <c r="I1850" i="4"/>
  <c r="H1850" i="4"/>
  <c r="V1849" i="4"/>
  <c r="U1849" i="4"/>
  <c r="U1862" i="4" s="1"/>
  <c r="T1862" i="4" s="1"/>
  <c r="J1849" i="4"/>
  <c r="I1849" i="4"/>
  <c r="H1849" i="4"/>
  <c r="V1847" i="4"/>
  <c r="J1847" i="4"/>
  <c r="I1847" i="4"/>
  <c r="H1847" i="4"/>
  <c r="V1846" i="4"/>
  <c r="J1846" i="4"/>
  <c r="I1846" i="4"/>
  <c r="H1846" i="4"/>
  <c r="V1845" i="4"/>
  <c r="J1845" i="4"/>
  <c r="I1845" i="4"/>
  <c r="H1845" i="4"/>
  <c r="V1844" i="4"/>
  <c r="J1844" i="4"/>
  <c r="I1844" i="4"/>
  <c r="H1844" i="4"/>
  <c r="V1842" i="4"/>
  <c r="J1842" i="4"/>
  <c r="I1842" i="4"/>
  <c r="H1842" i="4"/>
  <c r="V1841" i="4"/>
  <c r="J1841" i="4"/>
  <c r="I1841" i="4"/>
  <c r="H1841" i="4"/>
  <c r="V1840" i="4"/>
  <c r="J1840" i="4"/>
  <c r="I1840" i="4"/>
  <c r="H1840" i="4"/>
  <c r="V1838" i="4"/>
  <c r="J1838" i="4"/>
  <c r="I1838" i="4"/>
  <c r="H1838" i="4"/>
  <c r="V1837" i="4"/>
  <c r="U1837" i="4"/>
  <c r="T1837" i="4" s="1"/>
  <c r="J1837" i="4"/>
  <c r="I1837" i="4"/>
  <c r="H1837" i="4"/>
  <c r="V1836" i="4"/>
  <c r="J1836" i="4"/>
  <c r="I1836" i="4"/>
  <c r="H1836" i="4"/>
  <c r="V1835" i="4"/>
  <c r="J1835" i="4"/>
  <c r="I1835" i="4"/>
  <c r="H1835" i="4"/>
  <c r="V1833" i="4"/>
  <c r="U1833" i="4"/>
  <c r="J1833" i="4"/>
  <c r="I1833" i="4"/>
  <c r="H1833" i="4"/>
  <c r="V1832" i="4"/>
  <c r="U1832" i="4"/>
  <c r="U1838" i="4" s="1"/>
  <c r="T1838" i="4" s="1"/>
  <c r="J1832" i="4"/>
  <c r="I1832" i="4"/>
  <c r="H1832" i="4"/>
  <c r="V1831" i="4"/>
  <c r="U1831" i="4"/>
  <c r="U1835" i="4" s="1"/>
  <c r="U1841" i="4" s="1"/>
  <c r="U1851" i="4" s="1"/>
  <c r="J1831" i="4"/>
  <c r="I1831" i="4"/>
  <c r="H1831" i="4"/>
  <c r="A1410" i="4"/>
  <c r="A1411" i="4"/>
  <c r="A1412" i="4"/>
  <c r="A1413" i="4"/>
  <c r="A1414" i="4"/>
  <c r="A1415" i="4"/>
  <c r="A1416" i="4"/>
  <c r="A1350" i="4"/>
  <c r="A1351" i="4"/>
  <c r="A1352" i="4"/>
  <c r="A1353" i="4"/>
  <c r="A1354" i="4"/>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344" i="4"/>
  <c r="A1345" i="4"/>
  <c r="A1346" i="4"/>
  <c r="A1347" i="4"/>
  <c r="A1348" i="4"/>
  <c r="A1349" i="4"/>
  <c r="A1343" i="4"/>
  <c r="G724" i="4"/>
  <c r="G723" i="4"/>
  <c r="G722" i="4"/>
  <c r="G721" i="4"/>
  <c r="G720" i="4"/>
  <c r="G719" i="4"/>
  <c r="G718" i="4"/>
  <c r="G717" i="4"/>
  <c r="G716" i="4"/>
  <c r="G715" i="4"/>
  <c r="G714" i="4"/>
  <c r="G713" i="4"/>
  <c r="G712" i="4"/>
  <c r="G711" i="4"/>
  <c r="G710" i="4"/>
  <c r="G709" i="4"/>
  <c r="G708" i="4"/>
  <c r="G707" i="4"/>
  <c r="G706" i="4"/>
  <c r="G705" i="4"/>
  <c r="G704" i="4"/>
  <c r="G703" i="4"/>
  <c r="G702" i="4"/>
  <c r="G701" i="4"/>
  <c r="G700" i="4"/>
  <c r="G699" i="4"/>
  <c r="G698" i="4"/>
  <c r="G697" i="4"/>
  <c r="G696" i="4"/>
  <c r="G695" i="4"/>
  <c r="G694" i="4"/>
  <c r="G693" i="4"/>
  <c r="G692" i="4"/>
  <c r="G691" i="4"/>
  <c r="G690" i="4"/>
  <c r="G689" i="4"/>
  <c r="G688" i="4"/>
  <c r="G687" i="4"/>
  <c r="G686" i="4"/>
  <c r="G685" i="4"/>
  <c r="G684" i="4"/>
  <c r="G683" i="4"/>
  <c r="G682" i="4"/>
  <c r="G681" i="4"/>
  <c r="G680" i="4"/>
  <c r="G679" i="4"/>
  <c r="G678" i="4"/>
  <c r="G677" i="4"/>
  <c r="G676" i="4"/>
  <c r="G675" i="4"/>
  <c r="G674" i="4"/>
  <c r="G673" i="4"/>
  <c r="G672" i="4"/>
  <c r="G671" i="4"/>
  <c r="G670" i="4"/>
  <c r="G669" i="4"/>
  <c r="G668" i="4"/>
  <c r="G667" i="4"/>
  <c r="G666" i="4"/>
  <c r="G665" i="4"/>
  <c r="G664" i="4"/>
  <c r="G663" i="4"/>
  <c r="G662" i="4"/>
  <c r="G661" i="4"/>
  <c r="G660" i="4"/>
  <c r="G659" i="4"/>
  <c r="G658" i="4"/>
  <c r="G657" i="4"/>
  <c r="G656" i="4"/>
  <c r="G655" i="4"/>
  <c r="G654" i="4"/>
  <c r="G653" i="4"/>
  <c r="G652" i="4"/>
  <c r="G651" i="4"/>
  <c r="G650" i="4"/>
  <c r="G649" i="4"/>
  <c r="G648" i="4"/>
  <c r="G647" i="4"/>
  <c r="G646" i="4"/>
  <c r="G645" i="4"/>
  <c r="G644" i="4"/>
  <c r="G643" i="4"/>
  <c r="G642" i="4"/>
  <c r="G641" i="4"/>
  <c r="G640" i="4"/>
  <c r="G639" i="4"/>
  <c r="G638" i="4"/>
  <c r="G637" i="4"/>
  <c r="G636" i="4"/>
  <c r="G635" i="4"/>
  <c r="G634" i="4"/>
  <c r="G633" i="4"/>
  <c r="G632" i="4"/>
  <c r="G631" i="4"/>
  <c r="G630" i="4"/>
  <c r="G629" i="4"/>
  <c r="G628" i="4"/>
  <c r="G627" i="4"/>
  <c r="G626" i="4"/>
  <c r="G625" i="4"/>
  <c r="G624" i="4"/>
  <c r="G623" i="4"/>
  <c r="G622" i="4"/>
  <c r="G621" i="4"/>
  <c r="G620" i="4"/>
  <c r="G619" i="4"/>
  <c r="J187" i="4"/>
  <c r="I187" i="4"/>
  <c r="H187" i="4"/>
  <c r="B493" i="26"/>
  <c r="K513" i="26"/>
  <c r="I513" i="26"/>
  <c r="E513" i="26" s="1"/>
  <c r="D513" i="26"/>
  <c r="C513" i="26"/>
  <c r="K508" i="26"/>
  <c r="I508" i="26"/>
  <c r="G508" i="26" s="1"/>
  <c r="D508" i="26"/>
  <c r="C508" i="26"/>
  <c r="W508" i="26" s="1"/>
  <c r="B504" i="26"/>
  <c r="X495" i="26"/>
  <c r="T494" i="26"/>
  <c r="P494" i="26"/>
  <c r="Q494" i="26" s="1"/>
  <c r="K494" i="26"/>
  <c r="I494" i="26"/>
  <c r="D494" i="26"/>
  <c r="C494" i="26"/>
  <c r="W494" i="26" s="1"/>
  <c r="V1068" i="4"/>
  <c r="V1066" i="4"/>
  <c r="V1058" i="4"/>
  <c r="V1062" i="4"/>
  <c r="V1067" i="4"/>
  <c r="V1072" i="4"/>
  <c r="V1076" i="4"/>
  <c r="V1080" i="4"/>
  <c r="V1084" i="4"/>
  <c r="V1088" i="4"/>
  <c r="V1092" i="4"/>
  <c r="V1054" i="4"/>
  <c r="V1057" i="4"/>
  <c r="V1061" i="4"/>
  <c r="V1065" i="4"/>
  <c r="V1071" i="4"/>
  <c r="V1075" i="4"/>
  <c r="V1079" i="4"/>
  <c r="V1083" i="4"/>
  <c r="V1087" i="4"/>
  <c r="V1091" i="4"/>
  <c r="B518" i="26"/>
  <c r="V1094" i="4"/>
  <c r="V1093" i="4"/>
  <c r="V1090" i="4"/>
  <c r="V1089" i="4"/>
  <c r="V1086" i="4"/>
  <c r="V1085" i="4"/>
  <c r="V1082" i="4"/>
  <c r="V1081" i="4"/>
  <c r="V1078" i="4"/>
  <c r="V1077" i="4"/>
  <c r="V1074" i="4"/>
  <c r="V1073" i="4"/>
  <c r="V1070" i="4"/>
  <c r="V1069" i="4"/>
  <c r="V1064" i="4"/>
  <c r="V1063" i="4"/>
  <c r="V1060" i="4"/>
  <c r="V1059" i="4"/>
  <c r="C1056" i="4"/>
  <c r="V1056" i="4" s="1"/>
  <c r="C1055" i="4"/>
  <c r="V1055" i="4" s="1"/>
  <c r="T1057" i="4"/>
  <c r="T1054" i="4"/>
  <c r="K587" i="26"/>
  <c r="I587" i="26"/>
  <c r="F587" i="26" s="1"/>
  <c r="D587" i="26"/>
  <c r="C587" i="26"/>
  <c r="W587" i="26" s="1"/>
  <c r="K582" i="26"/>
  <c r="I582" i="26"/>
  <c r="F582" i="26" s="1"/>
  <c r="D582" i="26"/>
  <c r="C582" i="26"/>
  <c r="W582" i="26" s="1"/>
  <c r="I530" i="26"/>
  <c r="I531" i="26" s="1"/>
  <c r="I532" i="26" s="1"/>
  <c r="I533" i="26" s="1"/>
  <c r="I534" i="26" s="1"/>
  <c r="I535" i="26" s="1"/>
  <c r="I536" i="26" s="1"/>
  <c r="I537" i="26" s="1"/>
  <c r="I538" i="26" s="1"/>
  <c r="I539" i="26" s="1"/>
  <c r="I540" i="26" s="1"/>
  <c r="I541" i="26" s="1"/>
  <c r="I542" i="26" s="1"/>
  <c r="I543" i="26" s="1"/>
  <c r="I544" i="26" s="1"/>
  <c r="I545" i="26" s="1"/>
  <c r="I546" i="26" s="1"/>
  <c r="I547" i="26" s="1"/>
  <c r="I548" i="26" s="1"/>
  <c r="I549" i="26" s="1"/>
  <c r="I550" i="26" s="1"/>
  <c r="I551" i="26" s="1"/>
  <c r="I552" i="26" s="1"/>
  <c r="I553" i="26" s="1"/>
  <c r="I554" i="26" s="1"/>
  <c r="I555" i="26" s="1"/>
  <c r="I556" i="26" s="1"/>
  <c r="I557" i="26" s="1"/>
  <c r="I558" i="26" s="1"/>
  <c r="I559" i="26" s="1"/>
  <c r="I560" i="26" s="1"/>
  <c r="I561" i="26" s="1"/>
  <c r="I562" i="26" s="1"/>
  <c r="I563" i="26" s="1"/>
  <c r="I564" i="26" s="1"/>
  <c r="I565" i="26" s="1"/>
  <c r="I566" i="26" s="1"/>
  <c r="I567" i="26" s="1"/>
  <c r="I568" i="26" s="1"/>
  <c r="I569" i="26" s="1"/>
  <c r="I570" i="26" s="1"/>
  <c r="I571" i="26" s="1"/>
  <c r="I572" i="26" s="1"/>
  <c r="I573" i="26" s="1"/>
  <c r="I574" i="26" s="1"/>
  <c r="I575" i="26" s="1"/>
  <c r="I576" i="26" s="1"/>
  <c r="I577" i="26" s="1"/>
  <c r="I578" i="26" s="1"/>
  <c r="I579" i="26" s="1"/>
  <c r="C530" i="26"/>
  <c r="K523" i="26"/>
  <c r="I523" i="26"/>
  <c r="D523" i="26"/>
  <c r="C523" i="26"/>
  <c r="L522" i="26"/>
  <c r="K522" i="26"/>
  <c r="J522" i="26"/>
  <c r="I522" i="26"/>
  <c r="H522" i="26"/>
  <c r="G522" i="26"/>
  <c r="F522" i="26"/>
  <c r="E522" i="26"/>
  <c r="D522" i="26"/>
  <c r="C522" i="26"/>
  <c r="X520" i="26"/>
  <c r="K519" i="26"/>
  <c r="I519" i="26"/>
  <c r="D519" i="26"/>
  <c r="C519" i="26"/>
  <c r="W519" i="26" s="1"/>
  <c r="U587" i="26" s="1"/>
  <c r="G1601" i="4"/>
  <c r="B297" i="26"/>
  <c r="B223" i="26"/>
  <c r="K35" i="26"/>
  <c r="I35" i="26"/>
  <c r="F35" i="26" s="1"/>
  <c r="D35" i="26"/>
  <c r="C35" i="26"/>
  <c r="B34" i="26"/>
  <c r="B29" i="26"/>
  <c r="I30" i="26"/>
  <c r="E30" i="26" s="1"/>
  <c r="D30" i="26"/>
  <c r="C30" i="26"/>
  <c r="B106" i="26"/>
  <c r="B17" i="26"/>
  <c r="K119" i="26"/>
  <c r="I119" i="26"/>
  <c r="E119" i="26" s="1"/>
  <c r="D119" i="26"/>
  <c r="C119" i="26"/>
  <c r="W119" i="26" s="1"/>
  <c r="K114" i="26"/>
  <c r="I114" i="26"/>
  <c r="E114" i="26" s="1"/>
  <c r="D114" i="26"/>
  <c r="C114" i="26"/>
  <c r="W114" i="26" s="1"/>
  <c r="N108" i="26"/>
  <c r="N109" i="26"/>
  <c r="K107" i="26"/>
  <c r="K108" i="26" s="1"/>
  <c r="K109" i="26" s="1"/>
  <c r="K111" i="26" s="1"/>
  <c r="I107" i="26"/>
  <c r="I108" i="26" s="1"/>
  <c r="I109" i="26" s="1"/>
  <c r="I110" i="26" s="1"/>
  <c r="D107" i="26"/>
  <c r="C107" i="26"/>
  <c r="W107" i="26" s="1"/>
  <c r="U119" i="26" s="1"/>
  <c r="O161" i="26"/>
  <c r="O162" i="26" s="1"/>
  <c r="O163" i="26" s="1"/>
  <c r="O164" i="26" s="1"/>
  <c r="O165" i="26" s="1"/>
  <c r="O166" i="26" s="1"/>
  <c r="O167" i="26" s="1"/>
  <c r="O168" i="26" s="1"/>
  <c r="O169" i="26" s="1"/>
  <c r="O170" i="26" s="1"/>
  <c r="O171" i="26" s="1"/>
  <c r="O172" i="26" s="1"/>
  <c r="O173" i="26" s="1"/>
  <c r="O174" i="26" s="1"/>
  <c r="O175" i="26" s="1"/>
  <c r="O176" i="26" s="1"/>
  <c r="O177" i="26" s="1"/>
  <c r="O178" i="26" s="1"/>
  <c r="O179" i="26" s="1"/>
  <c r="O180" i="26" s="1"/>
  <c r="O181" i="26" s="1"/>
  <c r="O182" i="26" s="1"/>
  <c r="O183" i="26" s="1"/>
  <c r="O184" i="26" s="1"/>
  <c r="O185" i="26" s="1"/>
  <c r="O186" i="26" s="1"/>
  <c r="O187" i="26" s="1"/>
  <c r="O188" i="26" s="1"/>
  <c r="O189" i="26" s="1"/>
  <c r="O190" i="26" s="1"/>
  <c r="O191" i="26" s="1"/>
  <c r="O192" i="26" s="1"/>
  <c r="O193" i="26" s="1"/>
  <c r="O194" i="26" s="1"/>
  <c r="O195" i="26" s="1"/>
  <c r="O196" i="26" s="1"/>
  <c r="O197" i="26" s="1"/>
  <c r="O198" i="26" s="1"/>
  <c r="O199" i="26" s="1"/>
  <c r="O200" i="26" s="1"/>
  <c r="O201" i="26" s="1"/>
  <c r="O202" i="26" s="1"/>
  <c r="O203" i="26" s="1"/>
  <c r="O204" i="26" s="1"/>
  <c r="O205" i="26" s="1"/>
  <c r="O206" i="26" s="1"/>
  <c r="O207" i="26" s="1"/>
  <c r="O208" i="26" s="1"/>
  <c r="O209" i="26" s="1"/>
  <c r="K218" i="26"/>
  <c r="I218" i="26"/>
  <c r="H218" i="26" s="1"/>
  <c r="D218" i="26"/>
  <c r="C218" i="26"/>
  <c r="K213" i="26"/>
  <c r="I213" i="26"/>
  <c r="E213" i="26" s="1"/>
  <c r="D213" i="26"/>
  <c r="C213" i="26"/>
  <c r="W213" i="26" s="1"/>
  <c r="X155" i="26"/>
  <c r="X154" i="26"/>
  <c r="L153" i="26"/>
  <c r="K153" i="26"/>
  <c r="J153" i="26"/>
  <c r="I153" i="26"/>
  <c r="H153" i="26"/>
  <c r="G153" i="26"/>
  <c r="F153" i="26"/>
  <c r="E153" i="26"/>
  <c r="D153" i="26"/>
  <c r="C153" i="26"/>
  <c r="X151" i="26"/>
  <c r="P150" i="26"/>
  <c r="Q150" i="26" s="1"/>
  <c r="K150" i="26"/>
  <c r="I150" i="26"/>
  <c r="D150" i="26"/>
  <c r="C150" i="26"/>
  <c r="W150" i="26" s="1"/>
  <c r="B149" i="26"/>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538" i="4"/>
  <c r="G514" i="4"/>
  <c r="G495" i="4"/>
  <c r="G1430" i="4"/>
  <c r="G1431" i="4"/>
  <c r="G1432" i="4"/>
  <c r="G1433" i="4"/>
  <c r="G1434" i="4"/>
  <c r="G1435" i="4"/>
  <c r="F1435" i="4"/>
  <c r="F1434" i="4"/>
  <c r="F1433" i="4"/>
  <c r="F1432" i="4"/>
  <c r="F1431" i="4"/>
  <c r="F1430" i="4"/>
  <c r="G1429" i="4"/>
  <c r="F1429" i="4"/>
  <c r="G1428" i="4"/>
  <c r="F1428" i="4"/>
  <c r="G1427" i="4"/>
  <c r="F1427" i="4"/>
  <c r="G1426" i="4"/>
  <c r="F1426" i="4"/>
  <c r="G1425" i="4"/>
  <c r="F1425" i="4"/>
  <c r="G1424" i="4"/>
  <c r="F1424" i="4"/>
  <c r="G1423" i="4"/>
  <c r="F1423" i="4"/>
  <c r="G1422" i="4"/>
  <c r="F1422" i="4"/>
  <c r="G1421" i="4"/>
  <c r="F1421" i="4"/>
  <c r="G1420" i="4"/>
  <c r="G1419" i="4"/>
  <c r="G1418"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F1416" i="4"/>
  <c r="F1415" i="4"/>
  <c r="F1414" i="4"/>
  <c r="F1413" i="4"/>
  <c r="F1412" i="4"/>
  <c r="F1411" i="4"/>
  <c r="F1410" i="4"/>
  <c r="F1407" i="4"/>
  <c r="F1406" i="4"/>
  <c r="F1405" i="4"/>
  <c r="F1404" i="4"/>
  <c r="F1403" i="4"/>
  <c r="F1402" i="4"/>
  <c r="F1401" i="4"/>
  <c r="F1389" i="4"/>
  <c r="F1388" i="4"/>
  <c r="F1387" i="4"/>
  <c r="F1386" i="4"/>
  <c r="F1385" i="4"/>
  <c r="F1384" i="4"/>
  <c r="F1383" i="4"/>
  <c r="F1382" i="4"/>
  <c r="F1400" i="4"/>
  <c r="F1399" i="4"/>
  <c r="F1398" i="4"/>
  <c r="F1397" i="4"/>
  <c r="F1396" i="4"/>
  <c r="F1409" i="4"/>
  <c r="F1408" i="4"/>
  <c r="F1395" i="4"/>
  <c r="F1394" i="4"/>
  <c r="F1393" i="4"/>
  <c r="F1392" i="4"/>
  <c r="F1391" i="4"/>
  <c r="F1390" i="4"/>
  <c r="F1381" i="4"/>
  <c r="F1380" i="4"/>
  <c r="F1379" i="4"/>
  <c r="F1378" i="4"/>
  <c r="F1377" i="4"/>
  <c r="F1376" i="4"/>
  <c r="F1375" i="4"/>
  <c r="F1374" i="4"/>
  <c r="F1373" i="4"/>
  <c r="F1372" i="4"/>
  <c r="F1371" i="4"/>
  <c r="F1370" i="4"/>
  <c r="F1369" i="4"/>
  <c r="F1368" i="4"/>
  <c r="F1367" i="4"/>
  <c r="F1366" i="4"/>
  <c r="F1365" i="4"/>
  <c r="F1364" i="4"/>
  <c r="F1363" i="4"/>
  <c r="F1362" i="4"/>
  <c r="F1348" i="4"/>
  <c r="K1670" i="4"/>
  <c r="G1670" i="4" s="1"/>
  <c r="K1669" i="4"/>
  <c r="G1669" i="4" s="1"/>
  <c r="K1667" i="4"/>
  <c r="G1667" i="4" s="1"/>
  <c r="K1666" i="4"/>
  <c r="G1666" i="4" s="1"/>
  <c r="K1664" i="4"/>
  <c r="G1664" i="4" s="1"/>
  <c r="K1663" i="4"/>
  <c r="G1663" i="4" s="1"/>
  <c r="K1668" i="4"/>
  <c r="G1668" i="4" s="1"/>
  <c r="K1665" i="4"/>
  <c r="G1665" i="4" s="1"/>
  <c r="K1662" i="4"/>
  <c r="G1662" i="4" s="1"/>
  <c r="A1670" i="4"/>
  <c r="A1669" i="4"/>
  <c r="A1667" i="4"/>
  <c r="A1666" i="4"/>
  <c r="A1664" i="4"/>
  <c r="A1663" i="4"/>
  <c r="A1668" i="4"/>
  <c r="A1665" i="4"/>
  <c r="A1662" i="4"/>
  <c r="K1652" i="4"/>
  <c r="G1652" i="4" s="1"/>
  <c r="K1651" i="4"/>
  <c r="G1651" i="4" s="1"/>
  <c r="K1650" i="4"/>
  <c r="G1650" i="4" s="1"/>
  <c r="K1649" i="4"/>
  <c r="G1649" i="4" s="1"/>
  <c r="K1648" i="4"/>
  <c r="G1648" i="4" s="1"/>
  <c r="K1646" i="4"/>
  <c r="G1646" i="4" s="1"/>
  <c r="K1645" i="4"/>
  <c r="G1645" i="4" s="1"/>
  <c r="K1647" i="4"/>
  <c r="G1647" i="4" s="1"/>
  <c r="K1644" i="4"/>
  <c r="G1644" i="4" s="1"/>
  <c r="K1643" i="4"/>
  <c r="G1643" i="4" s="1"/>
  <c r="K1642" i="4"/>
  <c r="G1642" i="4" s="1"/>
  <c r="K1641" i="4"/>
  <c r="G1641" i="4" s="1"/>
  <c r="K1640" i="4"/>
  <c r="G1640" i="4" s="1"/>
  <c r="K1639" i="4"/>
  <c r="G1639" i="4" s="1"/>
  <c r="K1638" i="4"/>
  <c r="G1638" i="4" s="1"/>
  <c r="K1637" i="4"/>
  <c r="G1637" i="4" s="1"/>
  <c r="K1636" i="4"/>
  <c r="G1636" i="4" s="1"/>
  <c r="K1635" i="4"/>
  <c r="G1635" i="4" s="1"/>
  <c r="K1634" i="4"/>
  <c r="G1634" i="4" s="1"/>
  <c r="K1633" i="4"/>
  <c r="G1633" i="4" s="1"/>
  <c r="K1632" i="4"/>
  <c r="G1632" i="4" s="1"/>
  <c r="K1631" i="4"/>
  <c r="G1631" i="4" s="1"/>
  <c r="K1630" i="4"/>
  <c r="G1630" i="4" s="1"/>
  <c r="K1629" i="4"/>
  <c r="G1629" i="4" s="1"/>
  <c r="K1628" i="4"/>
  <c r="G1628" i="4" s="1"/>
  <c r="K1627" i="4"/>
  <c r="G1627" i="4" s="1"/>
  <c r="K1626" i="4"/>
  <c r="G1626" i="4" s="1"/>
  <c r="K1625" i="4"/>
  <c r="G1625" i="4" s="1"/>
  <c r="K1624" i="4"/>
  <c r="G1624" i="4" s="1"/>
  <c r="K1623" i="4"/>
  <c r="G1623" i="4" s="1"/>
  <c r="K1622" i="4"/>
  <c r="G1622" i="4" s="1"/>
  <c r="K1621" i="4"/>
  <c r="G1621" i="4" s="1"/>
  <c r="K1620" i="4"/>
  <c r="G1620" i="4" s="1"/>
  <c r="K1619" i="4"/>
  <c r="G1619" i="4" s="1"/>
  <c r="K1618" i="4"/>
  <c r="G1618" i="4" s="1"/>
  <c r="K1616" i="4"/>
  <c r="G1616" i="4" s="1"/>
  <c r="K1615" i="4"/>
  <c r="G1615" i="4" s="1"/>
  <c r="K1614" i="4"/>
  <c r="G1614" i="4" s="1"/>
  <c r="K1617" i="4"/>
  <c r="G1617" i="4" s="1"/>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H1166" i="4"/>
  <c r="I1166" i="4"/>
  <c r="J1166" i="4"/>
  <c r="H1167" i="4"/>
  <c r="I1167" i="4"/>
  <c r="J1167" i="4"/>
  <c r="H1168" i="4"/>
  <c r="I1168" i="4"/>
  <c r="J1168" i="4"/>
  <c r="H1169" i="4"/>
  <c r="I1169" i="4"/>
  <c r="J1169" i="4"/>
  <c r="H1170" i="4"/>
  <c r="I1170" i="4"/>
  <c r="J1170" i="4"/>
  <c r="H1171" i="4"/>
  <c r="I1171" i="4"/>
  <c r="J1171" i="4"/>
  <c r="H1172" i="4"/>
  <c r="I1172" i="4"/>
  <c r="J1172" i="4"/>
  <c r="H1173" i="4"/>
  <c r="I1173" i="4"/>
  <c r="J1173" i="4"/>
  <c r="H1174" i="4"/>
  <c r="I1174" i="4"/>
  <c r="J1174" i="4"/>
  <c r="H1175" i="4"/>
  <c r="I1175" i="4"/>
  <c r="J1175" i="4"/>
  <c r="H1176" i="4"/>
  <c r="I1176" i="4"/>
  <c r="J1176" i="4"/>
  <c r="H1177" i="4"/>
  <c r="I1177" i="4"/>
  <c r="J1177" i="4"/>
  <c r="H1178" i="4"/>
  <c r="I1178" i="4"/>
  <c r="J1178" i="4"/>
  <c r="H1179" i="4"/>
  <c r="I1179" i="4"/>
  <c r="J1179" i="4"/>
  <c r="H1180" i="4"/>
  <c r="I1180" i="4"/>
  <c r="J1180" i="4"/>
  <c r="H1181" i="4"/>
  <c r="I1181" i="4"/>
  <c r="G1181" i="4" s="1"/>
  <c r="J1181" i="4"/>
  <c r="H1182" i="4"/>
  <c r="I1182" i="4"/>
  <c r="J1182" i="4"/>
  <c r="H1183" i="4"/>
  <c r="I1183" i="4"/>
  <c r="J1183" i="4"/>
  <c r="H1184" i="4"/>
  <c r="I1184" i="4"/>
  <c r="J1184" i="4"/>
  <c r="H1185" i="4"/>
  <c r="I1185" i="4"/>
  <c r="J1185" i="4"/>
  <c r="H1186" i="4"/>
  <c r="I1186" i="4"/>
  <c r="J1186" i="4"/>
  <c r="H1187" i="4"/>
  <c r="I1187" i="4"/>
  <c r="J1187" i="4"/>
  <c r="H1188" i="4"/>
  <c r="I1188" i="4"/>
  <c r="J1188" i="4"/>
  <c r="H1189" i="4"/>
  <c r="I1189" i="4"/>
  <c r="J1189" i="4"/>
  <c r="H1190" i="4"/>
  <c r="I1190" i="4"/>
  <c r="J1190" i="4"/>
  <c r="H1191" i="4"/>
  <c r="I1191" i="4"/>
  <c r="J1191" i="4"/>
  <c r="H1192" i="4"/>
  <c r="I1192" i="4"/>
  <c r="J1192" i="4"/>
  <c r="H1193" i="4"/>
  <c r="I1193" i="4"/>
  <c r="J1193" i="4"/>
  <c r="H1194" i="4"/>
  <c r="I1194" i="4"/>
  <c r="G1194" i="4" s="1"/>
  <c r="J1194" i="4"/>
  <c r="H1195" i="4"/>
  <c r="I1195" i="4"/>
  <c r="J1195" i="4"/>
  <c r="H1196" i="4"/>
  <c r="I1196" i="4"/>
  <c r="J1196" i="4"/>
  <c r="H1197" i="4"/>
  <c r="I1197" i="4"/>
  <c r="J1197" i="4"/>
  <c r="H1198" i="4"/>
  <c r="I1198" i="4"/>
  <c r="J1198" i="4"/>
  <c r="H1199" i="4"/>
  <c r="I1199" i="4"/>
  <c r="J1199" i="4"/>
  <c r="H1200" i="4"/>
  <c r="I1200" i="4"/>
  <c r="J1200" i="4"/>
  <c r="H1201" i="4"/>
  <c r="I1201" i="4"/>
  <c r="J1201" i="4"/>
  <c r="H1202" i="4"/>
  <c r="I1202" i="4"/>
  <c r="J1202" i="4"/>
  <c r="H1203" i="4"/>
  <c r="I1203" i="4"/>
  <c r="J1203" i="4"/>
  <c r="H1204" i="4"/>
  <c r="I1204" i="4"/>
  <c r="J1204" i="4"/>
  <c r="H1205" i="4"/>
  <c r="I1205" i="4"/>
  <c r="J1205" i="4"/>
  <c r="H1206" i="4"/>
  <c r="I1206" i="4"/>
  <c r="J1206" i="4"/>
  <c r="J1165" i="4"/>
  <c r="I1165" i="4"/>
  <c r="H1165" i="4"/>
  <c r="H1108" i="4"/>
  <c r="I1108" i="4"/>
  <c r="J1108" i="4"/>
  <c r="H1109" i="4"/>
  <c r="I1109" i="4"/>
  <c r="J1109" i="4"/>
  <c r="H1110" i="4"/>
  <c r="I1110" i="4"/>
  <c r="J1110" i="4"/>
  <c r="H1111" i="4"/>
  <c r="I1111" i="4"/>
  <c r="J1111" i="4"/>
  <c r="H1112" i="4"/>
  <c r="I1112" i="4"/>
  <c r="J1112" i="4"/>
  <c r="H1113" i="4"/>
  <c r="I1113" i="4"/>
  <c r="J1113" i="4"/>
  <c r="H1114" i="4"/>
  <c r="I1114" i="4"/>
  <c r="J1114" i="4"/>
  <c r="H1115" i="4"/>
  <c r="I1115" i="4"/>
  <c r="J1115" i="4"/>
  <c r="H1116" i="4"/>
  <c r="I1116" i="4"/>
  <c r="J1116" i="4"/>
  <c r="H1117" i="4"/>
  <c r="I1117" i="4"/>
  <c r="J1117" i="4"/>
  <c r="H1118" i="4"/>
  <c r="I1118" i="4"/>
  <c r="J1118" i="4"/>
  <c r="H1119" i="4"/>
  <c r="I1119" i="4"/>
  <c r="J1119" i="4"/>
  <c r="H1120" i="4"/>
  <c r="I1120" i="4"/>
  <c r="J1120" i="4"/>
  <c r="H1121" i="4"/>
  <c r="I1121" i="4"/>
  <c r="J1121" i="4"/>
  <c r="H1122" i="4"/>
  <c r="I1122" i="4"/>
  <c r="J1122" i="4"/>
  <c r="H1123" i="4"/>
  <c r="I1123" i="4"/>
  <c r="J1123" i="4"/>
  <c r="H1124" i="4"/>
  <c r="I1124" i="4"/>
  <c r="J1124" i="4"/>
  <c r="H1125" i="4"/>
  <c r="I1125" i="4"/>
  <c r="J1125" i="4"/>
  <c r="H1126" i="4"/>
  <c r="I1126" i="4"/>
  <c r="J1126" i="4"/>
  <c r="H1127" i="4"/>
  <c r="I1127" i="4"/>
  <c r="J1127" i="4"/>
  <c r="H1128" i="4"/>
  <c r="I1128" i="4"/>
  <c r="J1128" i="4"/>
  <c r="H1129" i="4"/>
  <c r="I1129" i="4"/>
  <c r="G1129" i="4"/>
  <c r="J1129" i="4"/>
  <c r="H1130" i="4"/>
  <c r="I1130" i="4"/>
  <c r="J1130" i="4"/>
  <c r="H1131" i="4"/>
  <c r="I1131" i="4"/>
  <c r="J1131" i="4"/>
  <c r="H1132" i="4"/>
  <c r="I1132" i="4"/>
  <c r="J1132" i="4"/>
  <c r="H1133" i="4"/>
  <c r="I1133" i="4"/>
  <c r="J1133" i="4"/>
  <c r="H1134" i="4"/>
  <c r="I1134" i="4"/>
  <c r="J1134" i="4"/>
  <c r="H1135" i="4"/>
  <c r="I1135" i="4"/>
  <c r="J1135" i="4"/>
  <c r="H1136" i="4"/>
  <c r="I1136" i="4"/>
  <c r="J1136" i="4"/>
  <c r="H1137" i="4"/>
  <c r="I1137" i="4"/>
  <c r="J1137" i="4"/>
  <c r="H1138" i="4"/>
  <c r="I1138" i="4"/>
  <c r="J1138" i="4"/>
  <c r="H1139" i="4"/>
  <c r="I1139" i="4"/>
  <c r="J1139" i="4"/>
  <c r="H1140" i="4"/>
  <c r="I1140" i="4"/>
  <c r="J1140" i="4"/>
  <c r="H1141" i="4"/>
  <c r="I1141" i="4"/>
  <c r="J1141" i="4"/>
  <c r="H1142" i="4"/>
  <c r="I1142" i="4"/>
  <c r="J1142" i="4"/>
  <c r="H1143" i="4"/>
  <c r="I1143" i="4"/>
  <c r="J1143" i="4"/>
  <c r="H1144" i="4"/>
  <c r="I1144" i="4"/>
  <c r="J1144" i="4"/>
  <c r="H1145" i="4"/>
  <c r="I1145" i="4"/>
  <c r="J1145" i="4"/>
  <c r="H1146" i="4"/>
  <c r="I1146" i="4"/>
  <c r="J1146" i="4"/>
  <c r="H1147" i="4"/>
  <c r="I1147" i="4"/>
  <c r="J1147" i="4"/>
  <c r="H1148" i="4"/>
  <c r="I1148" i="4"/>
  <c r="J1148" i="4"/>
  <c r="H1149" i="4"/>
  <c r="I1149" i="4"/>
  <c r="J1149" i="4"/>
  <c r="H1150" i="4"/>
  <c r="I1150" i="4"/>
  <c r="J1150" i="4"/>
  <c r="H1151" i="4"/>
  <c r="I1151" i="4"/>
  <c r="J1151" i="4"/>
  <c r="H1152" i="4"/>
  <c r="I1152" i="4"/>
  <c r="G1152" i="4" s="1"/>
  <c r="J1152" i="4"/>
  <c r="H1153" i="4"/>
  <c r="I1153" i="4"/>
  <c r="J1153" i="4"/>
  <c r="H1154" i="4"/>
  <c r="I1154" i="4"/>
  <c r="J1154" i="4"/>
  <c r="H1155" i="4"/>
  <c r="I1155" i="4"/>
  <c r="J1155" i="4"/>
  <c r="H1156" i="4"/>
  <c r="I1156" i="4"/>
  <c r="J1156" i="4"/>
  <c r="H1157" i="4"/>
  <c r="I1157" i="4"/>
  <c r="J1157" i="4"/>
  <c r="H1158" i="4"/>
  <c r="I1158" i="4"/>
  <c r="J1158" i="4"/>
  <c r="H1159" i="4"/>
  <c r="I1159" i="4"/>
  <c r="J1159" i="4"/>
  <c r="H1160" i="4"/>
  <c r="I1160" i="4"/>
  <c r="J1160" i="4"/>
  <c r="H1161" i="4"/>
  <c r="I1161" i="4"/>
  <c r="J1161" i="4"/>
  <c r="H1162" i="4"/>
  <c r="I1162" i="4"/>
  <c r="J1162" i="4"/>
  <c r="J1107" i="4"/>
  <c r="I1107" i="4"/>
  <c r="H1107" i="4"/>
  <c r="J1106" i="4"/>
  <c r="I1106" i="4"/>
  <c r="H1106" i="4"/>
  <c r="J1105" i="4"/>
  <c r="I1105" i="4"/>
  <c r="H1105" i="4"/>
  <c r="J1104" i="4"/>
  <c r="I1104" i="4"/>
  <c r="H1104" i="4"/>
  <c r="J1103" i="4"/>
  <c r="I1103" i="4"/>
  <c r="H1103" i="4"/>
  <c r="J1102" i="4"/>
  <c r="I1102" i="4"/>
  <c r="H1102" i="4"/>
  <c r="J1101" i="4"/>
  <c r="I1101" i="4"/>
  <c r="H1101" i="4"/>
  <c r="J1100" i="4"/>
  <c r="I1100" i="4"/>
  <c r="H1100" i="4"/>
  <c r="J1099" i="4"/>
  <c r="I1099" i="4"/>
  <c r="H1099" i="4"/>
  <c r="J1098" i="4"/>
  <c r="I1098" i="4"/>
  <c r="H1098" i="4"/>
  <c r="U1097" i="4"/>
  <c r="U1098" i="4" s="1"/>
  <c r="U1099" i="4" s="1"/>
  <c r="U1100" i="4" s="1"/>
  <c r="U1101" i="4" s="1"/>
  <c r="U1102" i="4" s="1"/>
  <c r="U1103" i="4" s="1"/>
  <c r="U1104" i="4" s="1"/>
  <c r="U1105" i="4" s="1"/>
  <c r="U1106" i="4" s="1"/>
  <c r="U1107" i="4" s="1"/>
  <c r="U1108" i="4" s="1"/>
  <c r="U1109" i="4" s="1"/>
  <c r="U1110" i="4" s="1"/>
  <c r="U1111" i="4" s="1"/>
  <c r="U1112" i="4" s="1"/>
  <c r="U1113" i="4" s="1"/>
  <c r="U1114" i="4" s="1"/>
  <c r="U1115" i="4" s="1"/>
  <c r="U1116" i="4" s="1"/>
  <c r="U1117" i="4" s="1"/>
  <c r="U1118" i="4" s="1"/>
  <c r="U1119" i="4" s="1"/>
  <c r="U1120" i="4" s="1"/>
  <c r="U1121" i="4" s="1"/>
  <c r="U1122" i="4" s="1"/>
  <c r="U1123" i="4" s="1"/>
  <c r="U1124" i="4" s="1"/>
  <c r="U1125" i="4" s="1"/>
  <c r="U1126" i="4" s="1"/>
  <c r="U1127" i="4" s="1"/>
  <c r="U1128" i="4" s="1"/>
  <c r="U1129" i="4" s="1"/>
  <c r="U1130" i="4" s="1"/>
  <c r="U1131" i="4" s="1"/>
  <c r="U1132" i="4" s="1"/>
  <c r="U1133" i="4" s="1"/>
  <c r="U1134" i="4" s="1"/>
  <c r="U1135" i="4" s="1"/>
  <c r="U1136" i="4" s="1"/>
  <c r="U1137" i="4" s="1"/>
  <c r="U1138" i="4" s="1"/>
  <c r="U1139" i="4" s="1"/>
  <c r="U1140" i="4" s="1"/>
  <c r="U1141" i="4" s="1"/>
  <c r="U1142" i="4" s="1"/>
  <c r="U1143" i="4" s="1"/>
  <c r="U1144" i="4" s="1"/>
  <c r="U1145" i="4" s="1"/>
  <c r="U1146" i="4" s="1"/>
  <c r="U1147" i="4" s="1"/>
  <c r="U1148" i="4" s="1"/>
  <c r="U1149" i="4" s="1"/>
  <c r="U1150" i="4" s="1"/>
  <c r="U1151" i="4" s="1"/>
  <c r="U1152" i="4" s="1"/>
  <c r="U1153" i="4" s="1"/>
  <c r="U1154" i="4" s="1"/>
  <c r="U1155" i="4" s="1"/>
  <c r="U1156" i="4" s="1"/>
  <c r="U1157" i="4" s="1"/>
  <c r="U1158" i="4" s="1"/>
  <c r="U1159" i="4" s="1"/>
  <c r="U1160" i="4" s="1"/>
  <c r="U1161" i="4" s="1"/>
  <c r="U1162" i="4" s="1"/>
  <c r="U1163" i="4" s="1"/>
  <c r="U1164" i="4" s="1"/>
  <c r="U1165" i="4" s="1"/>
  <c r="U1166" i="4" s="1"/>
  <c r="U1167" i="4" s="1"/>
  <c r="U1168" i="4" s="1"/>
  <c r="U1169" i="4" s="1"/>
  <c r="U1170" i="4" s="1"/>
  <c r="U1171" i="4" s="1"/>
  <c r="U1172" i="4" s="1"/>
  <c r="U1173" i="4" s="1"/>
  <c r="U1174" i="4" s="1"/>
  <c r="U1175" i="4" s="1"/>
  <c r="U1176" i="4" s="1"/>
  <c r="U1177" i="4" s="1"/>
  <c r="U1178" i="4" s="1"/>
  <c r="U1179" i="4" s="1"/>
  <c r="U1180" i="4" s="1"/>
  <c r="U1181" i="4" s="1"/>
  <c r="U1182" i="4" s="1"/>
  <c r="U1183" i="4" s="1"/>
  <c r="U1184" i="4" s="1"/>
  <c r="U1185" i="4" s="1"/>
  <c r="U1186" i="4" s="1"/>
  <c r="U1187" i="4" s="1"/>
  <c r="U1188" i="4" s="1"/>
  <c r="U1189" i="4" s="1"/>
  <c r="U1190" i="4" s="1"/>
  <c r="U1191" i="4" s="1"/>
  <c r="U1192" i="4" s="1"/>
  <c r="U1193" i="4" s="1"/>
  <c r="U1194" i="4" s="1"/>
  <c r="U1195" i="4" s="1"/>
  <c r="U1196" i="4" s="1"/>
  <c r="U1197" i="4" s="1"/>
  <c r="U1198" i="4" s="1"/>
  <c r="U1199" i="4" s="1"/>
  <c r="U1200" i="4" s="1"/>
  <c r="U1201" i="4" s="1"/>
  <c r="U1202" i="4" s="1"/>
  <c r="U1203" i="4" s="1"/>
  <c r="U1204" i="4" s="1"/>
  <c r="U1205" i="4" s="1"/>
  <c r="U1206" i="4" s="1"/>
  <c r="U1207" i="4" s="1"/>
  <c r="U1208" i="4" s="1"/>
  <c r="J1097" i="4"/>
  <c r="I1097" i="4"/>
  <c r="H1097" i="4"/>
  <c r="G541" i="4"/>
  <c r="G543" i="4"/>
  <c r="G544" i="4"/>
  <c r="G545" i="4"/>
  <c r="G547" i="4"/>
  <c r="G546" i="4"/>
  <c r="G548" i="4"/>
  <c r="G549" i="4"/>
  <c r="G551" i="4"/>
  <c r="G578" i="4"/>
  <c r="G585" i="4"/>
  <c r="G580" i="4"/>
  <c r="G568" i="4"/>
  <c r="G569" i="4"/>
  <c r="G570" i="4"/>
  <c r="G583" i="4"/>
  <c r="G584" i="4"/>
  <c r="G582" i="4"/>
  <c r="G576" i="4"/>
  <c r="G553" i="4"/>
  <c r="G552" i="4"/>
  <c r="G577" i="4"/>
  <c r="G550" i="4"/>
  <c r="G579" i="4"/>
  <c r="G573" i="4"/>
  <c r="G574" i="4"/>
  <c r="G555" i="4"/>
  <c r="G588" i="4"/>
  <c r="G567" i="4"/>
  <c r="G581" i="4"/>
  <c r="G586" i="4"/>
  <c r="G558" i="4"/>
  <c r="G554" i="4"/>
  <c r="G572" i="4"/>
  <c r="G575" i="4"/>
  <c r="G559" i="4"/>
  <c r="G560" i="4"/>
  <c r="G571" i="4"/>
  <c r="G587" i="4"/>
  <c r="G556" i="4"/>
  <c r="G565" i="4"/>
  <c r="G561" i="4"/>
  <c r="G589" i="4"/>
  <c r="G557" i="4"/>
  <c r="G566" i="4"/>
  <c r="G562" i="4"/>
  <c r="G563" i="4"/>
  <c r="G564" i="4"/>
  <c r="G542" i="4"/>
  <c r="G462" i="4"/>
  <c r="G463" i="4"/>
  <c r="G464" i="4"/>
  <c r="G474" i="4"/>
  <c r="G470" i="4"/>
  <c r="G469" i="4"/>
  <c r="G494" i="4"/>
  <c r="G490" i="4"/>
  <c r="G491" i="4"/>
  <c r="G476" i="4"/>
  <c r="G479" i="4"/>
  <c r="G472" i="4"/>
  <c r="G471" i="4"/>
  <c r="G478" i="4"/>
  <c r="G480" i="4"/>
  <c r="G492" i="4"/>
  <c r="G477" i="4"/>
  <c r="G475" i="4"/>
  <c r="G466" i="4"/>
  <c r="G473" i="4"/>
  <c r="G467" i="4"/>
  <c r="G482" i="4"/>
  <c r="G483" i="4"/>
  <c r="G484" i="4"/>
  <c r="G488" i="4"/>
  <c r="G485" i="4"/>
  <c r="G465" i="4"/>
  <c r="G489" i="4"/>
  <c r="G486" i="4"/>
  <c r="G487" i="4"/>
  <c r="G481" i="4"/>
  <c r="G493" i="4"/>
  <c r="G496" i="4"/>
  <c r="G468" i="4"/>
  <c r="G498" i="4"/>
  <c r="G499" i="4"/>
  <c r="G500" i="4"/>
  <c r="G501" i="4"/>
  <c r="G503" i="4"/>
  <c r="G506" i="4"/>
  <c r="G511" i="4"/>
  <c r="G504" i="4"/>
  <c r="G502" i="4"/>
  <c r="G510" i="4"/>
  <c r="G505" i="4"/>
  <c r="G507" i="4"/>
  <c r="G497" i="4"/>
  <c r="G512" i="4"/>
  <c r="G508" i="4"/>
  <c r="G509" i="4"/>
  <c r="G513" i="4"/>
  <c r="G515" i="4"/>
  <c r="G521" i="4"/>
  <c r="G520" i="4"/>
  <c r="G522" i="4"/>
  <c r="G516" i="4"/>
  <c r="G517" i="4"/>
  <c r="G519" i="4"/>
  <c r="G518" i="4"/>
  <c r="G523" i="4"/>
  <c r="G524" i="4"/>
  <c r="G525" i="4"/>
  <c r="G527" i="4"/>
  <c r="G528" i="4"/>
  <c r="G529" i="4"/>
  <c r="G526" i="4"/>
  <c r="G531" i="4"/>
  <c r="G530" i="4"/>
  <c r="G532" i="4"/>
  <c r="G533" i="4"/>
  <c r="G534" i="4"/>
  <c r="G539" i="4"/>
  <c r="G536" i="4"/>
  <c r="G535" i="4"/>
  <c r="G537" i="4"/>
  <c r="G461" i="4"/>
  <c r="G262" i="4"/>
  <c r="G261" i="4"/>
  <c r="G260" i="4"/>
  <c r="G264" i="4"/>
  <c r="G256" i="4"/>
  <c r="G265" i="4"/>
  <c r="G263" i="4"/>
  <c r="G259" i="4"/>
  <c r="G258" i="4"/>
  <c r="G257" i="4"/>
  <c r="G274" i="4"/>
  <c r="G272" i="4"/>
  <c r="G273" i="4"/>
  <c r="G270" i="4"/>
  <c r="G275" i="4"/>
  <c r="G271" i="4"/>
  <c r="G267" i="4"/>
  <c r="G269" i="4"/>
  <c r="G266" i="4"/>
  <c r="G268" i="4"/>
  <c r="G279" i="4"/>
  <c r="G276" i="4"/>
  <c r="G277" i="4"/>
  <c r="G278" i="4"/>
  <c r="G280" i="4"/>
  <c r="G306" i="4"/>
  <c r="G288" i="4"/>
  <c r="G291" i="4"/>
  <c r="G297" i="4"/>
  <c r="G302" i="4"/>
  <c r="G303" i="4"/>
  <c r="G304" i="4"/>
  <c r="G308" i="4"/>
  <c r="G323" i="4"/>
  <c r="G325" i="4"/>
  <c r="G282" i="4"/>
  <c r="G283" i="4"/>
  <c r="G287" i="4"/>
  <c r="G295" i="4"/>
  <c r="G322" i="4"/>
  <c r="G314" i="4"/>
  <c r="G324" i="4"/>
  <c r="G284" i="4"/>
  <c r="G294" i="4"/>
  <c r="G305" i="4"/>
  <c r="G289" i="4"/>
  <c r="G321" i="4"/>
  <c r="G285" i="4"/>
  <c r="G319" i="4"/>
  <c r="G320" i="4"/>
  <c r="G307" i="4"/>
  <c r="G281" i="4"/>
  <c r="G310" i="4"/>
  <c r="G311" i="4"/>
  <c r="G300" i="4"/>
  <c r="G318" i="4"/>
  <c r="G286" i="4"/>
  <c r="G301" i="4"/>
  <c r="G312" i="4"/>
  <c r="G317" i="4"/>
  <c r="G309" i="4"/>
  <c r="G296" i="4"/>
  <c r="G326" i="4"/>
  <c r="G315" i="4"/>
  <c r="G313" i="4"/>
  <c r="G316" i="4"/>
  <c r="G298" i="4"/>
  <c r="G299" i="4"/>
  <c r="G292" i="4"/>
  <c r="G290" i="4"/>
  <c r="G293" i="4"/>
  <c r="G343" i="4"/>
  <c r="G332" i="4"/>
  <c r="G337" i="4"/>
  <c r="G339" i="4"/>
  <c r="G345" i="4"/>
  <c r="G352" i="4"/>
  <c r="G353" i="4"/>
  <c r="G355" i="4"/>
  <c r="G357" i="4"/>
  <c r="G364" i="4"/>
  <c r="G344" i="4"/>
  <c r="G347" i="4"/>
  <c r="G356" i="4"/>
  <c r="G327" i="4"/>
  <c r="G333" i="4"/>
  <c r="G342" i="4"/>
  <c r="G354" i="4"/>
  <c r="G340" i="4"/>
  <c r="G341" i="4"/>
  <c r="G361" i="4"/>
  <c r="G366" i="4"/>
  <c r="G351" i="4"/>
  <c r="G331" i="4"/>
  <c r="G334" i="4"/>
  <c r="G371" i="4"/>
  <c r="G370" i="4"/>
  <c r="G368" i="4"/>
  <c r="G359" i="4"/>
  <c r="G348" i="4"/>
  <c r="G328" i="4"/>
  <c r="G335" i="4"/>
  <c r="G338" i="4"/>
  <c r="G346" i="4"/>
  <c r="G350" i="4"/>
  <c r="G369" i="4"/>
  <c r="G329" i="4"/>
  <c r="G362" i="4"/>
  <c r="G363" i="4"/>
  <c r="G360" i="4"/>
  <c r="G330" i="4"/>
  <c r="G336" i="4"/>
  <c r="G349" i="4"/>
  <c r="G358" i="4"/>
  <c r="G367" i="4"/>
  <c r="G365" i="4"/>
  <c r="G372" i="4"/>
  <c r="G381" i="4"/>
  <c r="G382" i="4"/>
  <c r="G383" i="4"/>
  <c r="G386" i="4"/>
  <c r="G387" i="4"/>
  <c r="G373" i="4"/>
  <c r="G376" i="4"/>
  <c r="G390" i="4"/>
  <c r="G378" i="4"/>
  <c r="G380" i="4"/>
  <c r="G377" i="4"/>
  <c r="G384" i="4"/>
  <c r="G388" i="4"/>
  <c r="G391" i="4"/>
  <c r="G402" i="4"/>
  <c r="G394" i="4"/>
  <c r="G374" i="4"/>
  <c r="G385" i="4"/>
  <c r="G392" i="4"/>
  <c r="G399" i="4"/>
  <c r="G400" i="4"/>
  <c r="G397" i="4"/>
  <c r="G393" i="4"/>
  <c r="G406" i="4"/>
  <c r="G396" i="4"/>
  <c r="G404" i="4"/>
  <c r="G405" i="4"/>
  <c r="G407" i="4"/>
  <c r="G398" i="4"/>
  <c r="G375" i="4"/>
  <c r="G403" i="4"/>
  <c r="G395" i="4"/>
  <c r="G401" i="4"/>
  <c r="G379" i="4"/>
  <c r="G389" i="4"/>
  <c r="G411" i="4"/>
  <c r="G408" i="4"/>
  <c r="G409" i="4"/>
  <c r="G412" i="4"/>
  <c r="G413" i="4"/>
  <c r="G420" i="4"/>
  <c r="G423" i="4"/>
  <c r="G424" i="4"/>
  <c r="G425" i="4"/>
  <c r="G422" i="4"/>
  <c r="G426" i="4"/>
  <c r="G436" i="4"/>
  <c r="G443" i="4"/>
  <c r="G410" i="4"/>
  <c r="G421" i="4"/>
  <c r="G428" i="4"/>
  <c r="G431" i="4"/>
  <c r="G432" i="4"/>
  <c r="G442" i="4"/>
  <c r="G414" i="4"/>
  <c r="G437" i="4"/>
  <c r="G440" i="4"/>
  <c r="G441" i="4"/>
  <c r="G415" i="4"/>
  <c r="G417" i="4"/>
  <c r="G430" i="4"/>
  <c r="G438" i="4"/>
  <c r="G418" i="4"/>
  <c r="G439" i="4"/>
  <c r="G445" i="4"/>
  <c r="G434" i="4"/>
  <c r="G433" i="4"/>
  <c r="G419" i="4"/>
  <c r="G427" i="4"/>
  <c r="G435" i="4"/>
  <c r="G444" i="4"/>
  <c r="G429" i="4"/>
  <c r="G416" i="4"/>
  <c r="G448" i="4"/>
  <c r="G453" i="4"/>
  <c r="G447" i="4"/>
  <c r="G451" i="4"/>
  <c r="G449" i="4"/>
  <c r="G454" i="4"/>
  <c r="G446" i="4"/>
  <c r="G458" i="4"/>
  <c r="G457" i="4"/>
  <c r="G456" i="4"/>
  <c r="G455" i="4"/>
  <c r="G459" i="4"/>
  <c r="G452" i="4"/>
  <c r="G450" i="4"/>
  <c r="A1726" i="4"/>
  <c r="G1732" i="4"/>
  <c r="G1731" i="4"/>
  <c r="G1730" i="4"/>
  <c r="G1729" i="4"/>
  <c r="G1728" i="4"/>
  <c r="G1727" i="4"/>
  <c r="G1726" i="4"/>
  <c r="A1727" i="4"/>
  <c r="A1728" i="4"/>
  <c r="A1729" i="4"/>
  <c r="A1730" i="4"/>
  <c r="A1731" i="4"/>
  <c r="A1732" i="4"/>
  <c r="G1724" i="4"/>
  <c r="A1724" i="4"/>
  <c r="G1723" i="4"/>
  <c r="A1723" i="4"/>
  <c r="G1722" i="4"/>
  <c r="A1722" i="4"/>
  <c r="G1721" i="4"/>
  <c r="A1721" i="4"/>
  <c r="G1720" i="4"/>
  <c r="A1720" i="4"/>
  <c r="G1719" i="4"/>
  <c r="A1719" i="4"/>
  <c r="G1718" i="4"/>
  <c r="A1718" i="4"/>
  <c r="G1717" i="4"/>
  <c r="A1717" i="4"/>
  <c r="G1716" i="4"/>
  <c r="A1716" i="4"/>
  <c r="A1714" i="4"/>
  <c r="A1713" i="4"/>
  <c r="A1712" i="4"/>
  <c r="A1711" i="4"/>
  <c r="A1710" i="4"/>
  <c r="A1709" i="4"/>
  <c r="A1708" i="4"/>
  <c r="A1707" i="4"/>
  <c r="A1706" i="4"/>
  <c r="A1704" i="4"/>
  <c r="G1702" i="4"/>
  <c r="G1701" i="4"/>
  <c r="G1700" i="4"/>
  <c r="G1699" i="4"/>
  <c r="G1698" i="4"/>
  <c r="A1702" i="4"/>
  <c r="A1701" i="4"/>
  <c r="A1700" i="4"/>
  <c r="A1699" i="4"/>
  <c r="A1698" i="4"/>
  <c r="G1696" i="4"/>
  <c r="A1696" i="4"/>
  <c r="G1694" i="4"/>
  <c r="A1694" i="4"/>
  <c r="G1693" i="4"/>
  <c r="A1693" i="4"/>
  <c r="G1692" i="4"/>
  <c r="A1692" i="4"/>
  <c r="G1691" i="4"/>
  <c r="A1691" i="4"/>
  <c r="G1690" i="4"/>
  <c r="A1690" i="4"/>
  <c r="G1689" i="4"/>
  <c r="G1688" i="4"/>
  <c r="G1687" i="4"/>
  <c r="A1689" i="4"/>
  <c r="A1688" i="4"/>
  <c r="A1687" i="4"/>
  <c r="A1685" i="4"/>
  <c r="G1685" i="4"/>
  <c r="G1683" i="4"/>
  <c r="A1683" i="4"/>
  <c r="G1682" i="4"/>
  <c r="A1682" i="4"/>
  <c r="G1681" i="4"/>
  <c r="A1681" i="4"/>
  <c r="G1680" i="4"/>
  <c r="A1680" i="4"/>
  <c r="G1679" i="4"/>
  <c r="A1679" i="4"/>
  <c r="G1678" i="4"/>
  <c r="A1678" i="4"/>
  <c r="G1677" i="4"/>
  <c r="A1677" i="4"/>
  <c r="G1676" i="4"/>
  <c r="A1676" i="4"/>
  <c r="G1675" i="4"/>
  <c r="A1675" i="4"/>
  <c r="G1674" i="4"/>
  <c r="G1673" i="4"/>
  <c r="A1674" i="4"/>
  <c r="A1673" i="4"/>
  <c r="A1654" i="4"/>
  <c r="A1653" i="4"/>
  <c r="G1654" i="4"/>
  <c r="G1653" i="4"/>
  <c r="T52" i="26"/>
  <c r="B48" i="26"/>
  <c r="I60" i="26"/>
  <c r="H60" i="26"/>
  <c r="G60" i="26"/>
  <c r="F60" i="26"/>
  <c r="K60" i="26"/>
  <c r="D60" i="26"/>
  <c r="C60" i="26"/>
  <c r="T53" i="26"/>
  <c r="K49" i="26"/>
  <c r="E49" i="26"/>
  <c r="F49" i="26" s="1"/>
  <c r="D49" i="26"/>
  <c r="C49" i="26"/>
  <c r="C52" i="26" s="1"/>
  <c r="X61" i="26"/>
  <c r="B592" i="26"/>
  <c r="N594" i="26"/>
  <c r="N595" i="26"/>
  <c r="K593" i="26"/>
  <c r="K594" i="26" s="1"/>
  <c r="K595" i="26" s="1"/>
  <c r="I593" i="26"/>
  <c r="I594" i="26" s="1"/>
  <c r="I595" i="26" s="1"/>
  <c r="I597" i="26" s="1"/>
  <c r="D593" i="26"/>
  <c r="C593" i="26"/>
  <c r="W593" i="26" s="1"/>
  <c r="B600" i="26"/>
  <c r="K601" i="26"/>
  <c r="K602" i="26" s="1"/>
  <c r="K603" i="26" s="1"/>
  <c r="K604" i="26" s="1"/>
  <c r="I601" i="26"/>
  <c r="I602" i="26" s="1"/>
  <c r="I603" i="26" s="1"/>
  <c r="I604" i="26" s="1"/>
  <c r="D601" i="26"/>
  <c r="C601" i="26"/>
  <c r="W601" i="26" s="1"/>
  <c r="B98" i="26"/>
  <c r="G1600" i="4"/>
  <c r="G1599" i="4"/>
  <c r="G1597" i="4"/>
  <c r="G1598" i="4"/>
  <c r="B615" i="26"/>
  <c r="T612" i="26"/>
  <c r="K608" i="26"/>
  <c r="D608" i="26"/>
  <c r="C608" i="26"/>
  <c r="C612" i="26" s="1"/>
  <c r="V612" i="26" s="1"/>
  <c r="W608" i="26" s="1"/>
  <c r="B607" i="26"/>
  <c r="M103" i="26"/>
  <c r="D99" i="26"/>
  <c r="V103" i="26" s="1"/>
  <c r="C99" i="26"/>
  <c r="L344" i="26"/>
  <c r="R347" i="26"/>
  <c r="G352" i="26"/>
  <c r="L343" i="26"/>
  <c r="K235" i="26"/>
  <c r="K236" i="26"/>
  <c r="K237" i="26" s="1"/>
  <c r="K238" i="26" s="1"/>
  <c r="K239" i="26" s="1"/>
  <c r="K240" i="26" s="1"/>
  <c r="K241" i="26" s="1"/>
  <c r="K242" i="26" s="1"/>
  <c r="K243" i="26" s="1"/>
  <c r="K244" i="26" s="1"/>
  <c r="K245" i="26" s="1"/>
  <c r="K246" i="26" s="1"/>
  <c r="K247" i="26" s="1"/>
  <c r="K248" i="26" s="1"/>
  <c r="K249" i="26" s="1"/>
  <c r="K250" i="26" s="1"/>
  <c r="K251" i="26" s="1"/>
  <c r="K252" i="26" s="1"/>
  <c r="K253" i="26" s="1"/>
  <c r="K254" i="26" s="1"/>
  <c r="K255" i="26" s="1"/>
  <c r="K256" i="26" s="1"/>
  <c r="K257" i="26" s="1"/>
  <c r="K258" i="26" s="1"/>
  <c r="K259" i="26" s="1"/>
  <c r="K260" i="26" s="1"/>
  <c r="K261" i="26" s="1"/>
  <c r="K262" i="26" s="1"/>
  <c r="K263" i="26" s="1"/>
  <c r="K264" i="26" s="1"/>
  <c r="K265" i="26" s="1"/>
  <c r="K266" i="26" s="1"/>
  <c r="K267" i="26" s="1"/>
  <c r="K268" i="26" s="1"/>
  <c r="K269" i="26" s="1"/>
  <c r="K270" i="26" s="1"/>
  <c r="K271" i="26" s="1"/>
  <c r="K272" i="26" s="1"/>
  <c r="K273" i="26" s="1"/>
  <c r="K274" i="26" s="1"/>
  <c r="K275" i="26" s="1"/>
  <c r="K276" i="26" s="1"/>
  <c r="K277" i="26" s="1"/>
  <c r="K278" i="26" s="1"/>
  <c r="K279" i="26" s="1"/>
  <c r="K280" i="26" s="1"/>
  <c r="K281" i="26" s="1"/>
  <c r="K282" i="26" s="1"/>
  <c r="K283" i="26" s="1"/>
  <c r="K284" i="26" s="1"/>
  <c r="Q347" i="26"/>
  <c r="P347" i="26"/>
  <c r="L342" i="26"/>
  <c r="Q353" i="26"/>
  <c r="Q354" i="26" s="1"/>
  <c r="M353" i="26"/>
  <c r="K410" i="26"/>
  <c r="I410" i="26"/>
  <c r="H410" i="26" s="1"/>
  <c r="D410" i="26"/>
  <c r="C410" i="26"/>
  <c r="K405" i="26"/>
  <c r="I405" i="26"/>
  <c r="E405" i="26" s="1"/>
  <c r="D405" i="26"/>
  <c r="C405" i="26"/>
  <c r="W405" i="26" s="1"/>
  <c r="C352" i="26"/>
  <c r="O347" i="26"/>
  <c r="G348" i="26"/>
  <c r="G347" i="26"/>
  <c r="G346" i="26"/>
  <c r="G345" i="26"/>
  <c r="G344" i="26"/>
  <c r="G343" i="26"/>
  <c r="G342" i="26"/>
  <c r="G341" i="26"/>
  <c r="G340" i="26"/>
  <c r="I340" i="26" s="1"/>
  <c r="X299" i="26"/>
  <c r="O346" i="26"/>
  <c r="P346" i="26"/>
  <c r="Q346" i="26"/>
  <c r="R346" i="26"/>
  <c r="N346" i="26"/>
  <c r="X302" i="26"/>
  <c r="L301" i="26"/>
  <c r="L305" i="26" s="1"/>
  <c r="L309" i="26" s="1"/>
  <c r="L313" i="26" s="1"/>
  <c r="L317" i="26" s="1"/>
  <c r="L321" i="26" s="1"/>
  <c r="L325" i="26" s="1"/>
  <c r="L329" i="26" s="1"/>
  <c r="L333" i="26" s="1"/>
  <c r="K301" i="26"/>
  <c r="K305" i="26" s="1"/>
  <c r="K309" i="26" s="1"/>
  <c r="K313" i="26" s="1"/>
  <c r="K317" i="26" s="1"/>
  <c r="K321" i="26" s="1"/>
  <c r="K325" i="26" s="1"/>
  <c r="K329" i="26" s="1"/>
  <c r="K333" i="26" s="1"/>
  <c r="J301" i="26"/>
  <c r="J305" i="26" s="1"/>
  <c r="J309" i="26" s="1"/>
  <c r="J313" i="26" s="1"/>
  <c r="J317" i="26" s="1"/>
  <c r="J321" i="26" s="1"/>
  <c r="J325" i="26" s="1"/>
  <c r="J329" i="26" s="1"/>
  <c r="J333" i="26" s="1"/>
  <c r="I301" i="26"/>
  <c r="I305" i="26" s="1"/>
  <c r="I309" i="26" s="1"/>
  <c r="I313" i="26" s="1"/>
  <c r="I317" i="26" s="1"/>
  <c r="I321" i="26" s="1"/>
  <c r="I325" i="26" s="1"/>
  <c r="I329" i="26" s="1"/>
  <c r="I333" i="26" s="1"/>
  <c r="H301" i="26"/>
  <c r="H305" i="26" s="1"/>
  <c r="H309" i="26" s="1"/>
  <c r="H313" i="26" s="1"/>
  <c r="H317" i="26" s="1"/>
  <c r="H321" i="26" s="1"/>
  <c r="H325" i="26" s="1"/>
  <c r="H329" i="26" s="1"/>
  <c r="H333" i="26" s="1"/>
  <c r="G301" i="26"/>
  <c r="G305" i="26" s="1"/>
  <c r="G309" i="26" s="1"/>
  <c r="G313" i="26" s="1"/>
  <c r="G317" i="26" s="1"/>
  <c r="G321" i="26" s="1"/>
  <c r="G325" i="26" s="1"/>
  <c r="G329" i="26" s="1"/>
  <c r="G333" i="26" s="1"/>
  <c r="F301" i="26"/>
  <c r="F305" i="26" s="1"/>
  <c r="F309" i="26" s="1"/>
  <c r="F313" i="26" s="1"/>
  <c r="F317" i="26" s="1"/>
  <c r="F321" i="26" s="1"/>
  <c r="F325" i="26" s="1"/>
  <c r="F329" i="26" s="1"/>
  <c r="F333" i="26" s="1"/>
  <c r="E301" i="26"/>
  <c r="E305" i="26" s="1"/>
  <c r="E309" i="26" s="1"/>
  <c r="E313" i="26" s="1"/>
  <c r="E317" i="26" s="1"/>
  <c r="E321" i="26" s="1"/>
  <c r="E325" i="26" s="1"/>
  <c r="E329" i="26" s="1"/>
  <c r="E333" i="26" s="1"/>
  <c r="D301" i="26"/>
  <c r="D305" i="26" s="1"/>
  <c r="D309" i="26" s="1"/>
  <c r="D313" i="26" s="1"/>
  <c r="D317" i="26" s="1"/>
  <c r="D321" i="26" s="1"/>
  <c r="D325" i="26" s="1"/>
  <c r="D329" i="26" s="1"/>
  <c r="D333" i="26" s="1"/>
  <c r="C301" i="26"/>
  <c r="C305" i="26" s="1"/>
  <c r="C309" i="26" s="1"/>
  <c r="C313" i="26" s="1"/>
  <c r="C317" i="26" s="1"/>
  <c r="C321" i="26" s="1"/>
  <c r="C325" i="26" s="1"/>
  <c r="C329" i="26" s="1"/>
  <c r="C333" i="26" s="1"/>
  <c r="K298" i="26"/>
  <c r="I298" i="26"/>
  <c r="D298" i="26"/>
  <c r="C298" i="26"/>
  <c r="T80" i="26"/>
  <c r="V80" i="26" s="1"/>
  <c r="M80" i="26"/>
  <c r="T72" i="26"/>
  <c r="V72" i="26" s="1"/>
  <c r="M72" i="26"/>
  <c r="I3" i="18"/>
  <c r="I3" i="10"/>
  <c r="B75" i="26"/>
  <c r="T71" i="26"/>
  <c r="V71" i="26" s="1"/>
  <c r="B66" i="26"/>
  <c r="Q94" i="26"/>
  <c r="S94" i="26" s="1"/>
  <c r="T94" i="26" s="1"/>
  <c r="K93" i="26"/>
  <c r="D93" i="26"/>
  <c r="C93" i="26"/>
  <c r="K88" i="26"/>
  <c r="D88" i="26"/>
  <c r="C88" i="26"/>
  <c r="K84" i="26"/>
  <c r="D84" i="26"/>
  <c r="C84" i="26"/>
  <c r="T81" i="26"/>
  <c r="V81" i="26" s="1"/>
  <c r="M81" i="26"/>
  <c r="T79" i="26"/>
  <c r="V79" i="26"/>
  <c r="K76" i="26"/>
  <c r="D76" i="26"/>
  <c r="C76" i="26"/>
  <c r="W76" i="26" s="1"/>
  <c r="U94" i="26" s="1"/>
  <c r="V94" i="26" s="1"/>
  <c r="M71" i="26"/>
  <c r="T70" i="26"/>
  <c r="V70" i="26" s="1"/>
  <c r="K67" i="26"/>
  <c r="D67" i="26"/>
  <c r="C67" i="26"/>
  <c r="W67" i="26" s="1"/>
  <c r="K25" i="26"/>
  <c r="I25" i="26"/>
  <c r="G25" i="26" s="1"/>
  <c r="D25" i="26"/>
  <c r="B40" i="26"/>
  <c r="T45" i="26"/>
  <c r="T44" i="26"/>
  <c r="K41" i="26"/>
  <c r="E41" i="26"/>
  <c r="H41" i="26" s="1"/>
  <c r="D41" i="26"/>
  <c r="C41" i="26"/>
  <c r="C44" i="26" s="1"/>
  <c r="K633" i="26"/>
  <c r="I633" i="26"/>
  <c r="G633" i="26" s="1"/>
  <c r="D633" i="26"/>
  <c r="C633" i="26"/>
  <c r="W633" i="26" s="1"/>
  <c r="K628" i="26"/>
  <c r="I628" i="26"/>
  <c r="F628" i="26" s="1"/>
  <c r="D628" i="26"/>
  <c r="X621" i="26"/>
  <c r="X620" i="26"/>
  <c r="D620" i="26" s="1"/>
  <c r="L619" i="26"/>
  <c r="K619" i="26"/>
  <c r="J619" i="26"/>
  <c r="I619" i="26"/>
  <c r="H619" i="26"/>
  <c r="G619" i="26"/>
  <c r="F619" i="26"/>
  <c r="E619" i="26"/>
  <c r="D619" i="26"/>
  <c r="C619" i="26"/>
  <c r="X617" i="26"/>
  <c r="P616" i="26"/>
  <c r="Q616" i="26" s="1"/>
  <c r="K616" i="26"/>
  <c r="I616" i="26"/>
  <c r="D616" i="26"/>
  <c r="K144" i="26"/>
  <c r="I144" i="26"/>
  <c r="E144" i="26" s="1"/>
  <c r="D144" i="26"/>
  <c r="C144" i="26"/>
  <c r="W144" i="26" s="1"/>
  <c r="K139" i="26"/>
  <c r="I139" i="26"/>
  <c r="G139" i="26" s="1"/>
  <c r="D139" i="26"/>
  <c r="C139" i="26"/>
  <c r="W139" i="26" s="1"/>
  <c r="B135" i="26"/>
  <c r="X130" i="26"/>
  <c r="X129" i="26"/>
  <c r="D129" i="26" s="1"/>
  <c r="L128" i="26"/>
  <c r="K128" i="26"/>
  <c r="J128" i="26"/>
  <c r="I128" i="26"/>
  <c r="H128" i="26"/>
  <c r="G128" i="26"/>
  <c r="F128" i="26"/>
  <c r="E128" i="26"/>
  <c r="D128" i="26"/>
  <c r="C128" i="26"/>
  <c r="X126" i="26"/>
  <c r="P125" i="26"/>
  <c r="Q125" i="26" s="1"/>
  <c r="K125" i="26"/>
  <c r="I125" i="26"/>
  <c r="D125" i="26"/>
  <c r="C125" i="26"/>
  <c r="B124" i="26"/>
  <c r="N19" i="26"/>
  <c r="N20" i="26" s="1"/>
  <c r="K18" i="26"/>
  <c r="K19" i="26" s="1"/>
  <c r="K20" i="26" s="1"/>
  <c r="I18" i="26"/>
  <c r="I19" i="26" s="1"/>
  <c r="I20" i="26" s="1"/>
  <c r="I21" i="26" s="1"/>
  <c r="D18" i="26"/>
  <c r="C18" i="26"/>
  <c r="W18" i="26" s="1"/>
  <c r="K292" i="26"/>
  <c r="I292" i="26"/>
  <c r="E292" i="26" s="1"/>
  <c r="D292" i="26"/>
  <c r="C292" i="26"/>
  <c r="K287" i="26"/>
  <c r="I287" i="26"/>
  <c r="H287" i="26" s="1"/>
  <c r="D287" i="26"/>
  <c r="C287" i="26"/>
  <c r="W287" i="26" s="1"/>
  <c r="C235" i="26"/>
  <c r="X229" i="26"/>
  <c r="X228" i="26"/>
  <c r="D228" i="26" s="1"/>
  <c r="L227" i="26"/>
  <c r="K227" i="26"/>
  <c r="J227" i="26"/>
  <c r="I227" i="26"/>
  <c r="H227" i="26"/>
  <c r="G227" i="26"/>
  <c r="F227" i="26"/>
  <c r="E227" i="26"/>
  <c r="D227" i="26"/>
  <c r="C227" i="26"/>
  <c r="X225" i="26"/>
  <c r="K224" i="26"/>
  <c r="I224" i="26"/>
  <c r="D224" i="26"/>
  <c r="C224" i="26"/>
  <c r="W224" i="26" s="1"/>
  <c r="V7" i="10"/>
  <c r="Y6" i="10"/>
  <c r="V6" i="10"/>
  <c r="G1595" i="4"/>
  <c r="G1594" i="4"/>
  <c r="G1593" i="4"/>
  <c r="G1592" i="4"/>
  <c r="I3" i="19"/>
  <c r="I3" i="27"/>
  <c r="I1" i="18"/>
  <c r="I7" i="18"/>
  <c r="K639" i="26"/>
  <c r="D639" i="26"/>
  <c r="C639" i="26"/>
  <c r="Y3" i="26"/>
  <c r="AI3" i="21"/>
  <c r="A3" i="21" s="1"/>
  <c r="Y7" i="19"/>
  <c r="W7" i="27"/>
  <c r="V7" i="19"/>
  <c r="T7" i="27"/>
  <c r="Y6" i="19"/>
  <c r="W6" i="27"/>
  <c r="V6" i="19"/>
  <c r="T6" i="27"/>
  <c r="I6" i="19"/>
  <c r="I6" i="27"/>
  <c r="G1343" i="4"/>
  <c r="F1349" i="4"/>
  <c r="F1347" i="4"/>
  <c r="F1346" i="4"/>
  <c r="H186" i="4"/>
  <c r="I186" i="4"/>
  <c r="J186" i="4"/>
  <c r="H188" i="4"/>
  <c r="I188" i="4"/>
  <c r="J188" i="4"/>
  <c r="H189" i="4"/>
  <c r="I189" i="4"/>
  <c r="J189" i="4"/>
  <c r="H190" i="4"/>
  <c r="I190" i="4"/>
  <c r="J190" i="4"/>
  <c r="H191" i="4"/>
  <c r="I191" i="4"/>
  <c r="J191" i="4"/>
  <c r="H192" i="4"/>
  <c r="I192" i="4"/>
  <c r="J192" i="4"/>
  <c r="H193" i="4"/>
  <c r="I193" i="4"/>
  <c r="J193" i="4"/>
  <c r="H194" i="4"/>
  <c r="I194" i="4"/>
  <c r="J194" i="4"/>
  <c r="H195" i="4"/>
  <c r="I195" i="4"/>
  <c r="J195" i="4"/>
  <c r="H196" i="4"/>
  <c r="I196" i="4"/>
  <c r="J196" i="4"/>
  <c r="H197" i="4"/>
  <c r="I197" i="4"/>
  <c r="J197" i="4"/>
  <c r="H198" i="4"/>
  <c r="I198" i="4"/>
  <c r="J198" i="4"/>
  <c r="H199" i="4"/>
  <c r="I199" i="4"/>
  <c r="J199" i="4"/>
  <c r="H200" i="4"/>
  <c r="I200" i="4"/>
  <c r="J200" i="4"/>
  <c r="H201" i="4"/>
  <c r="I201" i="4"/>
  <c r="J201" i="4"/>
  <c r="H202" i="4"/>
  <c r="I202" i="4"/>
  <c r="J202" i="4"/>
  <c r="H203" i="4"/>
  <c r="I203" i="4"/>
  <c r="J203" i="4"/>
  <c r="H204" i="4"/>
  <c r="I204" i="4"/>
  <c r="J204" i="4"/>
  <c r="H205" i="4"/>
  <c r="I205" i="4"/>
  <c r="J205" i="4"/>
  <c r="H206" i="4"/>
  <c r="I206" i="4"/>
  <c r="J206" i="4"/>
  <c r="H207" i="4"/>
  <c r="I207" i="4"/>
  <c r="J207" i="4"/>
  <c r="H208" i="4"/>
  <c r="I208" i="4"/>
  <c r="J208" i="4"/>
  <c r="H209" i="4"/>
  <c r="I209" i="4"/>
  <c r="J209" i="4"/>
  <c r="H210" i="4"/>
  <c r="I210" i="4"/>
  <c r="J210" i="4"/>
  <c r="H211" i="4"/>
  <c r="I211" i="4"/>
  <c r="J211" i="4"/>
  <c r="H212" i="4"/>
  <c r="I212" i="4"/>
  <c r="J212" i="4"/>
  <c r="H213" i="4"/>
  <c r="I213" i="4"/>
  <c r="J213" i="4"/>
  <c r="H214" i="4"/>
  <c r="I214" i="4"/>
  <c r="J214" i="4"/>
  <c r="H215" i="4"/>
  <c r="I215" i="4"/>
  <c r="J215" i="4"/>
  <c r="H216" i="4"/>
  <c r="I216" i="4"/>
  <c r="J216" i="4"/>
  <c r="H218" i="4"/>
  <c r="I218" i="4"/>
  <c r="J218" i="4"/>
  <c r="R218" i="4"/>
  <c r="H219" i="4"/>
  <c r="I219" i="4"/>
  <c r="J219" i="4"/>
  <c r="R219" i="4"/>
  <c r="H220" i="4"/>
  <c r="I220" i="4"/>
  <c r="J220" i="4"/>
  <c r="R220" i="4"/>
  <c r="H221" i="4"/>
  <c r="I221" i="4"/>
  <c r="J221" i="4"/>
  <c r="R221" i="4"/>
  <c r="H222" i="4"/>
  <c r="I222" i="4"/>
  <c r="J222" i="4"/>
  <c r="R222" i="4"/>
  <c r="H223" i="4"/>
  <c r="I223" i="4"/>
  <c r="J223" i="4"/>
  <c r="R223" i="4"/>
  <c r="H224" i="4"/>
  <c r="I224" i="4"/>
  <c r="J224" i="4"/>
  <c r="R224" i="4"/>
  <c r="H225" i="4"/>
  <c r="I225" i="4"/>
  <c r="J225" i="4"/>
  <c r="R225" i="4"/>
  <c r="H226" i="4"/>
  <c r="I226" i="4"/>
  <c r="J226" i="4"/>
  <c r="R226" i="4"/>
  <c r="H227" i="4"/>
  <c r="I227" i="4"/>
  <c r="J227" i="4"/>
  <c r="R227" i="4"/>
  <c r="H228" i="4"/>
  <c r="I228" i="4"/>
  <c r="J228" i="4"/>
  <c r="R228" i="4"/>
  <c r="H229" i="4"/>
  <c r="I229" i="4"/>
  <c r="J229" i="4"/>
  <c r="R229" i="4"/>
  <c r="H230" i="4"/>
  <c r="I230" i="4"/>
  <c r="J230" i="4"/>
  <c r="R230" i="4"/>
  <c r="H231" i="4"/>
  <c r="I231" i="4"/>
  <c r="J231" i="4"/>
  <c r="R231" i="4"/>
  <c r="H232" i="4"/>
  <c r="I232" i="4"/>
  <c r="J232" i="4"/>
  <c r="R232" i="4"/>
  <c r="H233" i="4"/>
  <c r="I233" i="4"/>
  <c r="J233" i="4"/>
  <c r="R233" i="4"/>
  <c r="H234" i="4"/>
  <c r="I234" i="4"/>
  <c r="J234" i="4"/>
  <c r="R234" i="4"/>
  <c r="H235" i="4"/>
  <c r="I235" i="4"/>
  <c r="J235" i="4"/>
  <c r="R235" i="4"/>
  <c r="H236" i="4"/>
  <c r="I236" i="4"/>
  <c r="J236" i="4"/>
  <c r="R236" i="4"/>
  <c r="H237" i="4"/>
  <c r="I237" i="4"/>
  <c r="J237" i="4"/>
  <c r="R237" i="4"/>
  <c r="H238" i="4"/>
  <c r="I238" i="4"/>
  <c r="J238" i="4"/>
  <c r="R238" i="4"/>
  <c r="H239" i="4"/>
  <c r="I239" i="4"/>
  <c r="J239" i="4"/>
  <c r="R239" i="4"/>
  <c r="H240" i="4"/>
  <c r="I240" i="4"/>
  <c r="J240" i="4"/>
  <c r="R240" i="4"/>
  <c r="H241" i="4"/>
  <c r="I241" i="4"/>
  <c r="J241" i="4"/>
  <c r="R241" i="4"/>
  <c r="H242" i="4"/>
  <c r="I242" i="4"/>
  <c r="J242" i="4"/>
  <c r="R242" i="4"/>
  <c r="H243" i="4"/>
  <c r="I243" i="4"/>
  <c r="J243" i="4"/>
  <c r="R243" i="4"/>
  <c r="H244" i="4"/>
  <c r="I244" i="4"/>
  <c r="J244" i="4"/>
  <c r="R244" i="4"/>
  <c r="H245" i="4"/>
  <c r="I245" i="4"/>
  <c r="J245" i="4"/>
  <c r="R245" i="4"/>
  <c r="H246" i="4"/>
  <c r="I246" i="4"/>
  <c r="J246" i="4"/>
  <c r="R246" i="4"/>
  <c r="H247" i="4"/>
  <c r="I247" i="4"/>
  <c r="J247" i="4"/>
  <c r="R247" i="4"/>
  <c r="H248" i="4"/>
  <c r="I248" i="4"/>
  <c r="J248" i="4"/>
  <c r="R248" i="4"/>
  <c r="H249" i="4"/>
  <c r="I249" i="4"/>
  <c r="J249" i="4"/>
  <c r="R249" i="4"/>
  <c r="H250" i="4"/>
  <c r="I250" i="4"/>
  <c r="J250" i="4"/>
  <c r="R250" i="4"/>
  <c r="H251" i="4"/>
  <c r="I251" i="4"/>
  <c r="J251" i="4"/>
  <c r="R251" i="4"/>
  <c r="H252" i="4"/>
  <c r="I252" i="4"/>
  <c r="J252" i="4"/>
  <c r="R252" i="4"/>
  <c r="H253" i="4"/>
  <c r="I253" i="4"/>
  <c r="J253" i="4"/>
  <c r="R253" i="4"/>
  <c r="V760" i="4"/>
  <c r="V761" i="4"/>
  <c r="V762" i="4"/>
  <c r="V763" i="4"/>
  <c r="V764" i="4"/>
  <c r="V765" i="4"/>
  <c r="V766" i="4"/>
  <c r="V767" i="4"/>
  <c r="V768" i="4"/>
  <c r="V769" i="4"/>
  <c r="V770" i="4"/>
  <c r="V771" i="4"/>
  <c r="V772" i="4"/>
  <c r="V774" i="4"/>
  <c r="V775" i="4"/>
  <c r="V776" i="4"/>
  <c r="V777" i="4"/>
  <c r="V778" i="4"/>
  <c r="V779" i="4"/>
  <c r="V780" i="4"/>
  <c r="V781" i="4"/>
  <c r="V782" i="4"/>
  <c r="V783" i="4"/>
  <c r="V784" i="4"/>
  <c r="V785" i="4"/>
  <c r="V786" i="4"/>
  <c r="V787" i="4"/>
  <c r="V788" i="4"/>
  <c r="V789" i="4"/>
  <c r="V790" i="4"/>
  <c r="V791" i="4"/>
  <c r="V792" i="4"/>
  <c r="V793" i="4"/>
  <c r="V794" i="4"/>
  <c r="V795" i="4"/>
  <c r="V796" i="4"/>
  <c r="V797" i="4"/>
  <c r="V798" i="4"/>
  <c r="V799" i="4"/>
  <c r="V800" i="4"/>
  <c r="V801" i="4"/>
  <c r="V802" i="4"/>
  <c r="V803" i="4"/>
  <c r="V804" i="4"/>
  <c r="V805" i="4"/>
  <c r="V806" i="4"/>
  <c r="V807" i="4"/>
  <c r="V808" i="4"/>
  <c r="V809" i="4"/>
  <c r="V810" i="4"/>
  <c r="V811" i="4"/>
  <c r="V812" i="4"/>
  <c r="V813" i="4"/>
  <c r="V814" i="4"/>
  <c r="V815" i="4"/>
  <c r="V816" i="4"/>
  <c r="V817" i="4"/>
  <c r="V818" i="4"/>
  <c r="V819" i="4"/>
  <c r="V820" i="4"/>
  <c r="V821" i="4"/>
  <c r="V822" i="4"/>
  <c r="V823" i="4"/>
  <c r="V824" i="4"/>
  <c r="V825" i="4"/>
  <c r="V826" i="4"/>
  <c r="V827" i="4"/>
  <c r="V828" i="4"/>
  <c r="V829" i="4"/>
  <c r="V830" i="4"/>
  <c r="V831" i="4"/>
  <c r="V832" i="4"/>
  <c r="V833" i="4"/>
  <c r="V834" i="4"/>
  <c r="V835" i="4"/>
  <c r="V836" i="4"/>
  <c r="V837" i="4"/>
  <c r="V838" i="4"/>
  <c r="V839" i="4"/>
  <c r="V840" i="4"/>
  <c r="V841" i="4"/>
  <c r="V842" i="4"/>
  <c r="V843" i="4"/>
  <c r="V844" i="4"/>
  <c r="V845" i="4"/>
  <c r="V846" i="4"/>
  <c r="V847" i="4"/>
  <c r="V848" i="4"/>
  <c r="V849" i="4"/>
  <c r="V850" i="4"/>
  <c r="V851" i="4"/>
  <c r="V852" i="4"/>
  <c r="V853" i="4"/>
  <c r="V854" i="4"/>
  <c r="V855" i="4"/>
  <c r="V856" i="4"/>
  <c r="V857" i="4"/>
  <c r="V858" i="4"/>
  <c r="V859" i="4"/>
  <c r="V860" i="4"/>
  <c r="V861" i="4"/>
  <c r="V862" i="4"/>
  <c r="V863" i="4"/>
  <c r="V864" i="4"/>
  <c r="V865" i="4"/>
  <c r="V866" i="4"/>
  <c r="V867" i="4"/>
  <c r="V868" i="4"/>
  <c r="V869" i="4"/>
  <c r="V870" i="4"/>
  <c r="V871" i="4"/>
  <c r="V872" i="4"/>
  <c r="V873" i="4"/>
  <c r="V874" i="4"/>
  <c r="V875" i="4"/>
  <c r="V876" i="4"/>
  <c r="V877" i="4"/>
  <c r="V878" i="4"/>
  <c r="V879" i="4"/>
  <c r="V880" i="4"/>
  <c r="V881" i="4"/>
  <c r="V882" i="4"/>
  <c r="V883" i="4"/>
  <c r="V884" i="4"/>
  <c r="V885" i="4"/>
  <c r="V886" i="4"/>
  <c r="V887" i="4"/>
  <c r="V888" i="4"/>
  <c r="V889" i="4"/>
  <c r="V890" i="4"/>
  <c r="V891" i="4"/>
  <c r="V892" i="4"/>
  <c r="V893" i="4"/>
  <c r="V894" i="4"/>
  <c r="V895" i="4"/>
  <c r="V896" i="4"/>
  <c r="V897" i="4"/>
  <c r="V898" i="4"/>
  <c r="V899" i="4"/>
  <c r="V900" i="4"/>
  <c r="V901" i="4"/>
  <c r="V902" i="4"/>
  <c r="V903" i="4"/>
  <c r="V904" i="4"/>
  <c r="V905" i="4"/>
  <c r="V906" i="4"/>
  <c r="V907" i="4"/>
  <c r="V908" i="4"/>
  <c r="V909" i="4"/>
  <c r="V910" i="4"/>
  <c r="V911" i="4"/>
  <c r="V912" i="4"/>
  <c r="V913" i="4"/>
  <c r="V914" i="4"/>
  <c r="V915" i="4"/>
  <c r="V916" i="4"/>
  <c r="V917" i="4"/>
  <c r="V918" i="4"/>
  <c r="V919" i="4"/>
  <c r="V920" i="4"/>
  <c r="V921" i="4"/>
  <c r="V922" i="4"/>
  <c r="V923" i="4"/>
  <c r="V924" i="4"/>
  <c r="V925" i="4"/>
  <c r="V926" i="4"/>
  <c r="V927" i="4"/>
  <c r="V928" i="4"/>
  <c r="V929" i="4"/>
  <c r="V930" i="4"/>
  <c r="V931" i="4"/>
  <c r="V934" i="4"/>
  <c r="V935" i="4"/>
  <c r="V936" i="4"/>
  <c r="V937" i="4"/>
  <c r="V938" i="4"/>
  <c r="V939" i="4"/>
  <c r="V940" i="4"/>
  <c r="V941" i="4"/>
  <c r="V942" i="4"/>
  <c r="V943" i="4"/>
  <c r="V944" i="4"/>
  <c r="V945" i="4"/>
  <c r="V946" i="4"/>
  <c r="V948" i="4"/>
  <c r="V949" i="4"/>
  <c r="V950" i="4"/>
  <c r="V951" i="4"/>
  <c r="V952" i="4"/>
  <c r="V953" i="4"/>
  <c r="V954" i="4"/>
  <c r="V955" i="4"/>
  <c r="V956" i="4"/>
  <c r="V957" i="4"/>
  <c r="V958" i="4"/>
  <c r="V959" i="4"/>
  <c r="V960" i="4"/>
  <c r="V961" i="4"/>
  <c r="V962" i="4"/>
  <c r="V963" i="4"/>
  <c r="V964" i="4"/>
  <c r="V965" i="4"/>
  <c r="V966" i="4"/>
  <c r="V967" i="4"/>
  <c r="V968" i="4"/>
  <c r="V969" i="4"/>
  <c r="V970" i="4"/>
  <c r="V971" i="4"/>
  <c r="V972" i="4"/>
  <c r="V973" i="4"/>
  <c r="V974" i="4"/>
  <c r="V975" i="4"/>
  <c r="V976" i="4"/>
  <c r="V977" i="4"/>
  <c r="V978" i="4"/>
  <c r="V980" i="4"/>
  <c r="V981" i="4"/>
  <c r="V982" i="4"/>
  <c r="V983" i="4"/>
  <c r="V984" i="4"/>
  <c r="V985" i="4"/>
  <c r="V986" i="4"/>
  <c r="V987" i="4"/>
  <c r="V988" i="4"/>
  <c r="V989" i="4"/>
  <c r="V990" i="4"/>
  <c r="V991" i="4"/>
  <c r="V992" i="4"/>
  <c r="V993" i="4"/>
  <c r="V994" i="4"/>
  <c r="V995" i="4"/>
  <c r="V996" i="4"/>
  <c r="V997" i="4"/>
  <c r="V998" i="4"/>
  <c r="V999" i="4"/>
  <c r="V1000" i="4"/>
  <c r="V1001" i="4"/>
  <c r="V1002" i="4"/>
  <c r="V1003" i="4"/>
  <c r="V1004" i="4"/>
  <c r="V1005" i="4"/>
  <c r="V1006" i="4"/>
  <c r="V1007" i="4"/>
  <c r="V1008" i="4"/>
  <c r="V1009" i="4"/>
  <c r="V1010" i="4"/>
  <c r="V1011" i="4"/>
  <c r="V1012" i="4"/>
  <c r="V1013" i="4"/>
  <c r="V1014" i="4"/>
  <c r="V1015" i="4"/>
  <c r="V1016" i="4"/>
  <c r="V1017" i="4"/>
  <c r="V1018" i="4"/>
  <c r="V1019" i="4"/>
  <c r="V1020" i="4"/>
  <c r="V1021" i="4"/>
  <c r="V1022" i="4"/>
  <c r="V1023" i="4"/>
  <c r="V1024" i="4"/>
  <c r="V1025" i="4"/>
  <c r="V1026" i="4"/>
  <c r="V1027" i="4"/>
  <c r="V1028" i="4"/>
  <c r="V1029" i="4"/>
  <c r="V1030" i="4"/>
  <c r="V1031" i="4"/>
  <c r="V1032" i="4"/>
  <c r="V1033" i="4"/>
  <c r="V1034" i="4"/>
  <c r="V1035" i="4"/>
  <c r="V1036" i="4"/>
  <c r="V1037" i="4"/>
  <c r="V1038" i="4"/>
  <c r="V1039" i="4"/>
  <c r="H1041" i="4"/>
  <c r="I1041" i="4"/>
  <c r="J1041" i="4"/>
  <c r="V1041" i="4"/>
  <c r="G1042" i="4"/>
  <c r="H1042" i="4"/>
  <c r="I1042" i="4"/>
  <c r="J1042" i="4"/>
  <c r="V1042" i="4"/>
  <c r="G1043" i="4"/>
  <c r="H1043" i="4"/>
  <c r="I1043" i="4"/>
  <c r="J1043" i="4"/>
  <c r="V1043" i="4"/>
  <c r="G1044" i="4"/>
  <c r="H1044" i="4"/>
  <c r="I1044" i="4"/>
  <c r="J1044" i="4"/>
  <c r="V1044" i="4"/>
  <c r="G1045" i="4"/>
  <c r="H1045" i="4"/>
  <c r="I1045" i="4"/>
  <c r="J1045" i="4"/>
  <c r="V1045" i="4"/>
  <c r="G1046" i="4"/>
  <c r="H1046" i="4"/>
  <c r="I1046" i="4"/>
  <c r="J1046" i="4"/>
  <c r="V1046" i="4"/>
  <c r="G1047" i="4"/>
  <c r="H1047" i="4"/>
  <c r="I1047" i="4"/>
  <c r="J1047" i="4"/>
  <c r="V1047" i="4"/>
  <c r="G1048" i="4"/>
  <c r="H1048" i="4"/>
  <c r="I1048" i="4"/>
  <c r="J1048" i="4"/>
  <c r="V1048" i="4"/>
  <c r="G1049" i="4"/>
  <c r="H1049" i="4"/>
  <c r="I1049" i="4"/>
  <c r="J1049" i="4"/>
  <c r="V1049" i="4"/>
  <c r="G1050" i="4"/>
  <c r="H1050" i="4"/>
  <c r="I1050" i="4"/>
  <c r="J1050" i="4"/>
  <c r="V1050" i="4"/>
  <c r="G1051" i="4"/>
  <c r="H1051" i="4"/>
  <c r="I1051" i="4"/>
  <c r="J1051" i="4"/>
  <c r="V1051" i="4"/>
  <c r="G1052" i="4"/>
  <c r="H1052" i="4"/>
  <c r="I1052" i="4"/>
  <c r="J1052" i="4"/>
  <c r="V1052" i="4"/>
  <c r="F1350" i="4"/>
  <c r="F1351" i="4"/>
  <c r="F1352" i="4"/>
  <c r="F1353" i="4"/>
  <c r="F1354" i="4"/>
  <c r="F1355" i="4"/>
  <c r="F1356" i="4"/>
  <c r="F1357" i="4"/>
  <c r="F1358" i="4"/>
  <c r="F1359" i="4"/>
  <c r="F1360" i="4"/>
  <c r="F1361" i="4"/>
  <c r="I1" i="10"/>
  <c r="I1" i="19"/>
  <c r="I1" i="27"/>
  <c r="I7" i="10"/>
  <c r="I7" i="19"/>
  <c r="I7" i="27"/>
  <c r="H352" i="26"/>
  <c r="A1" i="26"/>
  <c r="J352" i="26"/>
  <c r="K352" i="26"/>
  <c r="I352" i="26"/>
  <c r="V22" i="26"/>
  <c r="V21" i="26"/>
  <c r="V125" i="26"/>
  <c r="V620" i="26"/>
  <c r="V616" i="26"/>
  <c r="V129" i="26"/>
  <c r="V494" i="26"/>
  <c r="V224" i="26"/>
  <c r="V154" i="26"/>
  <c r="V150" i="26"/>
  <c r="I339" i="26"/>
  <c r="T21" i="28" l="1"/>
  <c r="T6" i="28"/>
  <c r="T10" i="28"/>
  <c r="T33" i="28"/>
  <c r="T29" i="28"/>
  <c r="K735" i="26"/>
  <c r="K938" i="26"/>
  <c r="K30" i="26"/>
  <c r="K302" i="26"/>
  <c r="K1056" i="26"/>
  <c r="K1060" i="26"/>
  <c r="K420" i="26"/>
  <c r="K424" i="26"/>
  <c r="C1248" i="26"/>
  <c r="V1248" i="26" s="1"/>
  <c r="W1244" i="26" s="1"/>
  <c r="C1060" i="26"/>
  <c r="C1056" i="26"/>
  <c r="J1052" i="26"/>
  <c r="J1056" i="26"/>
  <c r="J1060" i="26"/>
  <c r="F1052" i="26"/>
  <c r="G1052" i="26"/>
  <c r="H1052" i="26"/>
  <c r="E1052" i="26"/>
  <c r="E1056" i="26"/>
  <c r="H1060" i="26"/>
  <c r="G1060" i="26"/>
  <c r="G1056" i="26"/>
  <c r="H1056" i="26"/>
  <c r="F1056" i="26"/>
  <c r="F1060" i="26"/>
  <c r="E1060" i="26"/>
  <c r="J1124" i="26"/>
  <c r="J1119" i="26"/>
  <c r="I341" i="26"/>
  <c r="I342" i="26"/>
  <c r="H342" i="26" s="1"/>
  <c r="V310" i="26" s="1"/>
  <c r="W310" i="26" s="1"/>
  <c r="K623" i="26"/>
  <c r="H420" i="26"/>
  <c r="E424" i="26"/>
  <c r="F416" i="26"/>
  <c r="F424" i="26"/>
  <c r="E420" i="26"/>
  <c r="E416" i="26"/>
  <c r="F420" i="26"/>
  <c r="H424" i="26"/>
  <c r="G420" i="26"/>
  <c r="G424" i="26"/>
  <c r="H416" i="26"/>
  <c r="G416" i="26"/>
  <c r="J483" i="26"/>
  <c r="J488" i="26"/>
  <c r="T1849" i="4"/>
  <c r="J420" i="26"/>
  <c r="J416" i="26"/>
  <c r="J424" i="26"/>
  <c r="C424" i="26"/>
  <c r="C420" i="26"/>
  <c r="Q355" i="26"/>
  <c r="K355" i="26" s="1"/>
  <c r="J354" i="26"/>
  <c r="K354" i="26"/>
  <c r="I129" i="26"/>
  <c r="I344" i="26"/>
  <c r="K129" i="26"/>
  <c r="K353" i="26"/>
  <c r="J353" i="26"/>
  <c r="I348" i="26"/>
  <c r="H348" i="26" s="1"/>
  <c r="V334" i="26" s="1"/>
  <c r="W334" i="26" s="1"/>
  <c r="N353" i="26"/>
  <c r="T353" i="26" s="1"/>
  <c r="X303" i="26"/>
  <c r="I346" i="26"/>
  <c r="H346" i="26" s="1"/>
  <c r="V326" i="26" s="1"/>
  <c r="W326" i="26" s="1"/>
  <c r="I989" i="26"/>
  <c r="X939" i="26"/>
  <c r="G938" i="26" s="1"/>
  <c r="N352" i="26"/>
  <c r="T352" i="26" s="1"/>
  <c r="G989" i="26"/>
  <c r="O990" i="26"/>
  <c r="O991" i="26" s="1"/>
  <c r="O992" i="26" s="1"/>
  <c r="H992" i="26" s="1"/>
  <c r="D302" i="26"/>
  <c r="N1232" i="26"/>
  <c r="N1233" i="26"/>
  <c r="I228" i="26"/>
  <c r="H353" i="26"/>
  <c r="I620" i="26"/>
  <c r="I353" i="26"/>
  <c r="G990" i="26"/>
  <c r="K620" i="26"/>
  <c r="G353" i="26"/>
  <c r="I938" i="26"/>
  <c r="H990" i="26"/>
  <c r="M354" i="26"/>
  <c r="M355" i="26" s="1"/>
  <c r="K228" i="26"/>
  <c r="N746" i="26"/>
  <c r="X697" i="26"/>
  <c r="J696" i="26" s="1"/>
  <c r="W761" i="26"/>
  <c r="I345" i="26"/>
  <c r="H345" i="26" s="1"/>
  <c r="V322" i="26" s="1"/>
  <c r="W322" i="26" s="1"/>
  <c r="W125" i="26"/>
  <c r="N597" i="26"/>
  <c r="N596" i="26"/>
  <c r="O355" i="26"/>
  <c r="I354" i="26"/>
  <c r="H354" i="26"/>
  <c r="K1256" i="26"/>
  <c r="I1256" i="26"/>
  <c r="D1256" i="26"/>
  <c r="N110" i="26"/>
  <c r="N111" i="26"/>
  <c r="I984" i="26"/>
  <c r="H984" i="26" s="1"/>
  <c r="V970" i="26" s="1"/>
  <c r="W970" i="26" s="1"/>
  <c r="I977" i="26"/>
  <c r="I976" i="26"/>
  <c r="I982" i="26"/>
  <c r="H982" i="26" s="1"/>
  <c r="V962" i="26" s="1"/>
  <c r="W962" i="26" s="1"/>
  <c r="I980" i="26"/>
  <c r="I975" i="26"/>
  <c r="N989" i="26"/>
  <c r="T989" i="26" s="1"/>
  <c r="I981" i="26"/>
  <c r="H981" i="26" s="1"/>
  <c r="V958" i="26" s="1"/>
  <c r="W958" i="26" s="1"/>
  <c r="I983" i="26"/>
  <c r="H983" i="26" s="1"/>
  <c r="V966" i="26" s="1"/>
  <c r="W966" i="26" s="1"/>
  <c r="N22" i="26"/>
  <c r="N21" i="26"/>
  <c r="K790" i="26"/>
  <c r="D790" i="26"/>
  <c r="K154" i="26"/>
  <c r="I154" i="26"/>
  <c r="D154" i="26"/>
  <c r="K765" i="26"/>
  <c r="I765" i="26"/>
  <c r="I343" i="26"/>
  <c r="H343" i="26" s="1"/>
  <c r="V314" i="26" s="1"/>
  <c r="W314" i="26" s="1"/>
  <c r="G991" i="26"/>
  <c r="M992" i="26"/>
  <c r="N991" i="26"/>
  <c r="T991" i="26" s="1"/>
  <c r="I347" i="26"/>
  <c r="H347" i="26" s="1"/>
  <c r="V330" i="26" s="1"/>
  <c r="W330" i="26" s="1"/>
  <c r="N988" i="26"/>
  <c r="I978" i="26"/>
  <c r="H978" i="26" s="1"/>
  <c r="V946" i="26" s="1"/>
  <c r="W946" i="26" s="1"/>
  <c r="N990" i="26"/>
  <c r="T990" i="26" s="1"/>
  <c r="I302" i="26"/>
  <c r="D938" i="26"/>
  <c r="X942" i="26"/>
  <c r="C942" i="26" s="1"/>
  <c r="I990" i="26"/>
  <c r="I991" i="26"/>
  <c r="H991" i="26"/>
  <c r="X306" i="26"/>
  <c r="C306" i="26" s="1"/>
  <c r="K989" i="26"/>
  <c r="Q990" i="26"/>
  <c r="W1130" i="26"/>
  <c r="U1149" i="26" s="1"/>
  <c r="F1149" i="26"/>
  <c r="I979" i="26"/>
  <c r="H979" i="26" s="1"/>
  <c r="V950" i="26" s="1"/>
  <c r="W950" i="26" s="1"/>
  <c r="P976" i="26"/>
  <c r="N657" i="26"/>
  <c r="L11" i="28"/>
  <c r="L10" i="28"/>
  <c r="Q23" i="28"/>
  <c r="Q19" i="28"/>
  <c r="Q36" i="28"/>
  <c r="T36" i="28"/>
  <c r="Q4" i="28"/>
  <c r="S4" i="28" s="1"/>
  <c r="T4" i="28"/>
  <c r="Q8" i="28"/>
  <c r="S8" i="28" s="1"/>
  <c r="T8" i="28"/>
  <c r="Q12" i="28"/>
  <c r="T12" i="28"/>
  <c r="Q16" i="28"/>
  <c r="T16" i="28"/>
  <c r="Q20" i="28"/>
  <c r="T20" i="28"/>
  <c r="Q24" i="28"/>
  <c r="T24" i="28"/>
  <c r="Q32" i="28"/>
  <c r="T32" i="28"/>
  <c r="Q2" i="28"/>
  <c r="T2" i="28"/>
  <c r="Q28" i="28"/>
  <c r="T28" i="28"/>
  <c r="Q5" i="28"/>
  <c r="T5" i="28"/>
  <c r="Q9" i="28"/>
  <c r="T9" i="28"/>
  <c r="Q38" i="28"/>
  <c r="S38" i="28" s="1"/>
  <c r="T38" i="28"/>
  <c r="Q3" i="28"/>
  <c r="T3" i="28"/>
  <c r="Q7" i="28"/>
  <c r="T7" i="28"/>
  <c r="Q11" i="28"/>
  <c r="T11" i="28"/>
  <c r="Q15" i="28"/>
  <c r="T15" i="28"/>
  <c r="Q27" i="28"/>
  <c r="T27" i="28"/>
  <c r="Q31" i="28"/>
  <c r="T31" i="28"/>
  <c r="Q35" i="28"/>
  <c r="T35" i="28"/>
  <c r="Q13" i="28"/>
  <c r="Q17" i="28"/>
  <c r="Q21" i="28"/>
  <c r="Q25" i="28"/>
  <c r="Q29" i="28"/>
  <c r="Q33" i="28"/>
  <c r="Q37" i="28"/>
  <c r="Q6" i="28"/>
  <c r="Q10" i="28"/>
  <c r="Q14" i="28"/>
  <c r="Q18" i="28"/>
  <c r="Q22" i="28"/>
  <c r="Q26" i="28"/>
  <c r="Q30" i="28"/>
  <c r="Q34" i="28"/>
  <c r="R8" i="28"/>
  <c r="R20" i="28"/>
  <c r="S20" i="28" s="1"/>
  <c r="R36" i="28"/>
  <c r="S36" i="28" s="1"/>
  <c r="R5" i="28"/>
  <c r="R9" i="28"/>
  <c r="R17" i="28"/>
  <c r="S17" i="28" s="1"/>
  <c r="R29" i="28"/>
  <c r="S29" i="28" s="1"/>
  <c r="R37" i="28"/>
  <c r="S37" i="28" s="1"/>
  <c r="R4" i="28"/>
  <c r="R16" i="28"/>
  <c r="S16" i="28" s="1"/>
  <c r="R32" i="28"/>
  <c r="S32" i="28" s="1"/>
  <c r="R21" i="28"/>
  <c r="S21" i="28" s="1"/>
  <c r="R12" i="28"/>
  <c r="R24" i="28"/>
  <c r="S24" i="28" s="1"/>
  <c r="K15" i="28" a="1"/>
  <c r="K15" i="28" s="1"/>
  <c r="R15" i="28" s="1"/>
  <c r="S15" i="28" s="1"/>
  <c r="Q976" i="26"/>
  <c r="J36" i="4"/>
  <c r="G29" i="4"/>
  <c r="G42" i="4"/>
  <c r="J42" i="4"/>
  <c r="J33" i="4"/>
  <c r="I33" i="4"/>
  <c r="I19" i="4"/>
  <c r="J7" i="4"/>
  <c r="I50" i="4"/>
  <c r="C353" i="26"/>
  <c r="C354" i="26" s="1"/>
  <c r="C355" i="26" s="1"/>
  <c r="J56" i="4"/>
  <c r="I56" i="4"/>
  <c r="J50" i="4"/>
  <c r="I28" i="4"/>
  <c r="I35" i="4"/>
  <c r="I22" i="4"/>
  <c r="G49" i="4"/>
  <c r="G28" i="4"/>
  <c r="G14" i="4"/>
  <c r="I49" i="4"/>
  <c r="I14" i="4"/>
  <c r="G22" i="4"/>
  <c r="J29" i="4"/>
  <c r="G21" i="4"/>
  <c r="J21" i="4"/>
  <c r="G63" i="4"/>
  <c r="I15" i="4"/>
  <c r="G57" i="4"/>
  <c r="P340" i="26"/>
  <c r="C989" i="26"/>
  <c r="Q340" i="26"/>
  <c r="F593" i="26"/>
  <c r="F594" i="26" s="1"/>
  <c r="F595" i="26" s="1"/>
  <c r="F597" i="26" s="1"/>
  <c r="G24" i="4"/>
  <c r="J24" i="4"/>
  <c r="U1846" i="4"/>
  <c r="G19" i="4"/>
  <c r="N347" i="26"/>
  <c r="J45" i="4"/>
  <c r="G47" i="4"/>
  <c r="G35" i="4"/>
  <c r="I45" i="4"/>
  <c r="J1275" i="26"/>
  <c r="U1844" i="4"/>
  <c r="I7" i="4"/>
  <c r="T1841" i="4"/>
  <c r="U1847" i="4"/>
  <c r="U1859" i="4" s="1"/>
  <c r="E1258" i="26"/>
  <c r="G654" i="26"/>
  <c r="G655" i="26" s="1"/>
  <c r="G656" i="26" s="1"/>
  <c r="G658" i="26" s="1"/>
  <c r="T1055" i="4"/>
  <c r="T1832" i="4"/>
  <c r="J17" i="4"/>
  <c r="T1835" i="4"/>
  <c r="T1840" i="4"/>
  <c r="J38" i="4"/>
  <c r="G59" i="4"/>
  <c r="I52" i="4"/>
  <c r="G31" i="4"/>
  <c r="J59" i="4"/>
  <c r="J31" i="4"/>
  <c r="P341" i="26"/>
  <c r="L341" i="26" s="1"/>
  <c r="P977" i="26"/>
  <c r="I17" i="4"/>
  <c r="G52" i="4"/>
  <c r="G620" i="26"/>
  <c r="I47" i="4"/>
  <c r="J593" i="26"/>
  <c r="J594" i="26" s="1"/>
  <c r="J595" i="26" s="1"/>
  <c r="J596" i="26" s="1"/>
  <c r="G38" i="4"/>
  <c r="J10" i="4"/>
  <c r="J63" i="4"/>
  <c r="G10" i="4"/>
  <c r="J1130" i="26" s="1"/>
  <c r="E231" i="26"/>
  <c r="T1860" i="4"/>
  <c r="N983" i="26"/>
  <c r="F228" i="26"/>
  <c r="H235" i="26" s="1"/>
  <c r="H236" i="26" s="1"/>
  <c r="H237" i="26" s="1"/>
  <c r="H238" i="26" s="1"/>
  <c r="H239" i="26" s="1"/>
  <c r="H240" i="26" s="1"/>
  <c r="H241" i="26" s="1"/>
  <c r="H242" i="26" s="1"/>
  <c r="H243" i="26" s="1"/>
  <c r="H244" i="26" s="1"/>
  <c r="H245" i="26" s="1"/>
  <c r="H246" i="26" s="1"/>
  <c r="H247" i="26" s="1"/>
  <c r="H248" i="26" s="1"/>
  <c r="H249" i="26" s="1"/>
  <c r="H250" i="26" s="1"/>
  <c r="H251" i="26" s="1"/>
  <c r="H252" i="26" s="1"/>
  <c r="H253" i="26" s="1"/>
  <c r="H254" i="26" s="1"/>
  <c r="H255" i="26" s="1"/>
  <c r="H256" i="26" s="1"/>
  <c r="H257" i="26" s="1"/>
  <c r="H258" i="26" s="1"/>
  <c r="H259" i="26" s="1"/>
  <c r="H260" i="26" s="1"/>
  <c r="H261" i="26" s="1"/>
  <c r="H262" i="26" s="1"/>
  <c r="H263" i="26" s="1"/>
  <c r="H264" i="26" s="1"/>
  <c r="H265" i="26" s="1"/>
  <c r="H266" i="26" s="1"/>
  <c r="H267" i="26" s="1"/>
  <c r="H268" i="26" s="1"/>
  <c r="H269" i="26" s="1"/>
  <c r="H270" i="26" s="1"/>
  <c r="H271" i="26" s="1"/>
  <c r="H272" i="26" s="1"/>
  <c r="H273" i="26" s="1"/>
  <c r="H274" i="26" s="1"/>
  <c r="H275" i="26" s="1"/>
  <c r="H276" i="26" s="1"/>
  <c r="H277" i="26" s="1"/>
  <c r="H278" i="26" s="1"/>
  <c r="H279" i="26" s="1"/>
  <c r="H280" i="26" s="1"/>
  <c r="H281" i="26" s="1"/>
  <c r="H282" i="26" s="1"/>
  <c r="H283" i="26" s="1"/>
  <c r="H284" i="26" s="1"/>
  <c r="H601" i="26"/>
  <c r="H602" i="26" s="1"/>
  <c r="H603" i="26" s="1"/>
  <c r="H604" i="26" s="1"/>
  <c r="G601" i="26"/>
  <c r="G602" i="26" s="1"/>
  <c r="G603" i="26" s="1"/>
  <c r="G604" i="26" s="1"/>
  <c r="J67" i="26"/>
  <c r="G298" i="26"/>
  <c r="F18" i="26"/>
  <c r="F19" i="26" s="1"/>
  <c r="F20" i="26" s="1"/>
  <c r="G18" i="26"/>
  <c r="G19" i="26" s="1"/>
  <c r="G20" i="26" s="1"/>
  <c r="J88" i="26"/>
  <c r="H743" i="26"/>
  <c r="H744" i="26" s="1"/>
  <c r="H745" i="26" s="1"/>
  <c r="E601" i="26"/>
  <c r="E602" i="26" s="1"/>
  <c r="E603" i="26" s="1"/>
  <c r="E604" i="26" s="1"/>
  <c r="E129" i="26"/>
  <c r="P132" i="26" s="1"/>
  <c r="G228" i="26"/>
  <c r="F620" i="26"/>
  <c r="Q623" i="26" s="1"/>
  <c r="E864" i="26"/>
  <c r="G871" i="26" s="1"/>
  <c r="G872" i="26" s="1"/>
  <c r="G873" i="26" s="1"/>
  <c r="G874" i="26" s="1"/>
  <c r="G875" i="26" s="1"/>
  <c r="G876" i="26" s="1"/>
  <c r="G877" i="26" s="1"/>
  <c r="G878" i="26" s="1"/>
  <c r="G879" i="26" s="1"/>
  <c r="G880" i="26" s="1"/>
  <c r="G881" i="26" s="1"/>
  <c r="G882" i="26" s="1"/>
  <c r="G883" i="26" s="1"/>
  <c r="G884" i="26" s="1"/>
  <c r="G885" i="26" s="1"/>
  <c r="G886" i="26" s="1"/>
  <c r="G887" i="26" s="1"/>
  <c r="G888" i="26" s="1"/>
  <c r="G889" i="26" s="1"/>
  <c r="G890" i="26" s="1"/>
  <c r="G891" i="26" s="1"/>
  <c r="G892" i="26" s="1"/>
  <c r="G893" i="26" s="1"/>
  <c r="G894" i="26" s="1"/>
  <c r="G895" i="26" s="1"/>
  <c r="G896" i="26" s="1"/>
  <c r="G897" i="26" s="1"/>
  <c r="G898" i="26" s="1"/>
  <c r="G899" i="26" s="1"/>
  <c r="G900" i="26" s="1"/>
  <c r="G901" i="26" s="1"/>
  <c r="G902" i="26" s="1"/>
  <c r="G903" i="26" s="1"/>
  <c r="G904" i="26" s="1"/>
  <c r="G905" i="26" s="1"/>
  <c r="G906" i="26" s="1"/>
  <c r="G907" i="26" s="1"/>
  <c r="G908" i="26" s="1"/>
  <c r="G909" i="26" s="1"/>
  <c r="G910" i="26" s="1"/>
  <c r="G911" i="26" s="1"/>
  <c r="G912" i="26" s="1"/>
  <c r="G913" i="26" s="1"/>
  <c r="G914" i="26" s="1"/>
  <c r="G915" i="26" s="1"/>
  <c r="G916" i="26" s="1"/>
  <c r="G917" i="26" s="1"/>
  <c r="G918" i="26" s="1"/>
  <c r="G919" i="26" s="1"/>
  <c r="G920" i="26" s="1"/>
  <c r="H593" i="26"/>
  <c r="H594" i="26" s="1"/>
  <c r="H595" i="26" s="1"/>
  <c r="F601" i="26"/>
  <c r="F602" i="26" s="1"/>
  <c r="F603" i="26" s="1"/>
  <c r="F604" i="26" s="1"/>
  <c r="G616" i="26"/>
  <c r="H302" i="26"/>
  <c r="F302" i="26"/>
  <c r="H620" i="26"/>
  <c r="I4" i="4"/>
  <c r="G4" i="4"/>
  <c r="J4" i="4"/>
  <c r="I11" i="4"/>
  <c r="J11" i="4"/>
  <c r="G11" i="4"/>
  <c r="J18" i="4"/>
  <c r="G18" i="4"/>
  <c r="I18" i="4"/>
  <c r="G25" i="4"/>
  <c r="I25" i="4"/>
  <c r="J25" i="4"/>
  <c r="G32" i="4"/>
  <c r="I32" i="4"/>
  <c r="J32" i="4"/>
  <c r="J39" i="4"/>
  <c r="G39" i="4"/>
  <c r="I39" i="4"/>
  <c r="J46" i="4"/>
  <c r="I46" i="4"/>
  <c r="G46" i="4"/>
  <c r="I53" i="4"/>
  <c r="G53" i="4"/>
  <c r="J53" i="4"/>
  <c r="I60" i="4"/>
  <c r="J60" i="4"/>
  <c r="G60" i="4"/>
  <c r="J154" i="26"/>
  <c r="J150" i="26"/>
  <c r="J519" i="26"/>
  <c r="J302" i="26"/>
  <c r="J298" i="26"/>
  <c r="J494" i="26"/>
  <c r="J860" i="26"/>
  <c r="J620" i="26"/>
  <c r="J125" i="26"/>
  <c r="J228" i="26"/>
  <c r="J616" i="26"/>
  <c r="E228" i="26"/>
  <c r="G235" i="26" s="1"/>
  <c r="G236" i="26" s="1"/>
  <c r="G237" i="26" s="1"/>
  <c r="G238" i="26" s="1"/>
  <c r="G239" i="26" s="1"/>
  <c r="G240" i="26" s="1"/>
  <c r="G241" i="26" s="1"/>
  <c r="G242" i="26" s="1"/>
  <c r="G243" i="26" s="1"/>
  <c r="G244" i="26" s="1"/>
  <c r="G245" i="26" s="1"/>
  <c r="G246" i="26" s="1"/>
  <c r="G247" i="26" s="1"/>
  <c r="G248" i="26" s="1"/>
  <c r="G249" i="26" s="1"/>
  <c r="G250" i="26" s="1"/>
  <c r="G251" i="26" s="1"/>
  <c r="G252" i="26" s="1"/>
  <c r="G253" i="26" s="1"/>
  <c r="G254" i="26" s="1"/>
  <c r="G255" i="26" s="1"/>
  <c r="G256" i="26" s="1"/>
  <c r="G257" i="26" s="1"/>
  <c r="G258" i="26" s="1"/>
  <c r="G259" i="26" s="1"/>
  <c r="G260" i="26" s="1"/>
  <c r="G261" i="26" s="1"/>
  <c r="G262" i="26" s="1"/>
  <c r="G263" i="26" s="1"/>
  <c r="G264" i="26" s="1"/>
  <c r="G265" i="26" s="1"/>
  <c r="G266" i="26" s="1"/>
  <c r="G267" i="26" s="1"/>
  <c r="G268" i="26" s="1"/>
  <c r="G269" i="26" s="1"/>
  <c r="G270" i="26" s="1"/>
  <c r="G271" i="26" s="1"/>
  <c r="G272" i="26" s="1"/>
  <c r="G273" i="26" s="1"/>
  <c r="G274" i="26" s="1"/>
  <c r="G275" i="26" s="1"/>
  <c r="G276" i="26" s="1"/>
  <c r="G277" i="26" s="1"/>
  <c r="G278" i="26" s="1"/>
  <c r="G279" i="26" s="1"/>
  <c r="G280" i="26" s="1"/>
  <c r="G281" i="26" s="1"/>
  <c r="G282" i="26" s="1"/>
  <c r="G283" i="26" s="1"/>
  <c r="G284" i="26" s="1"/>
  <c r="E622" i="26"/>
  <c r="F129" i="26"/>
  <c r="Q132" i="26" s="1"/>
  <c r="E302" i="26"/>
  <c r="G519" i="26"/>
  <c r="T1833" i="4"/>
  <c r="U1836" i="4"/>
  <c r="G129" i="26"/>
  <c r="H616" i="26"/>
  <c r="G154" i="26"/>
  <c r="E230" i="26"/>
  <c r="U1863" i="4"/>
  <c r="T1850" i="4"/>
  <c r="J93" i="26"/>
  <c r="J720" i="26"/>
  <c r="G743" i="26"/>
  <c r="F93" i="26"/>
  <c r="F743" i="26"/>
  <c r="F744" i="26" s="1"/>
  <c r="F745" i="26" s="1"/>
  <c r="E790" i="26"/>
  <c r="P793" i="26" s="1"/>
  <c r="G761" i="26"/>
  <c r="E743" i="26"/>
  <c r="E744" i="26" s="1"/>
  <c r="E745" i="26" s="1"/>
  <c r="G765" i="26"/>
  <c r="G1130" i="26"/>
  <c r="F1130" i="26"/>
  <c r="H298" i="26"/>
  <c r="G302" i="26"/>
  <c r="E157" i="26"/>
  <c r="E593" i="26"/>
  <c r="E594" i="26" s="1"/>
  <c r="E595" i="26" s="1"/>
  <c r="J654" i="26"/>
  <c r="J655" i="26" s="1"/>
  <c r="J656" i="26" s="1"/>
  <c r="E1130" i="26"/>
  <c r="J639" i="26"/>
  <c r="H654" i="26"/>
  <c r="H655" i="26" s="1"/>
  <c r="H656" i="26" s="1"/>
  <c r="F729" i="26"/>
  <c r="G860" i="26"/>
  <c r="J601" i="26"/>
  <c r="J602" i="26" s="1"/>
  <c r="J603" i="26" s="1"/>
  <c r="J604" i="26" s="1"/>
  <c r="G93" i="26"/>
  <c r="J608" i="26"/>
  <c r="J99" i="26"/>
  <c r="J76" i="26"/>
  <c r="J703" i="26"/>
  <c r="J724" i="26"/>
  <c r="J523" i="26"/>
  <c r="E1155" i="26"/>
  <c r="J107" i="26"/>
  <c r="J108" i="26" s="1"/>
  <c r="J109" i="26" s="1"/>
  <c r="H1155" i="26"/>
  <c r="G593" i="26"/>
  <c r="G594" i="26" s="1"/>
  <c r="G595" i="26" s="1"/>
  <c r="G934" i="26"/>
  <c r="E494" i="26"/>
  <c r="E18" i="26"/>
  <c r="E19" i="26" s="1"/>
  <c r="E20" i="26" s="1"/>
  <c r="H107" i="26"/>
  <c r="H108" i="26" s="1"/>
  <c r="H109" i="26" s="1"/>
  <c r="J498" i="26"/>
  <c r="F494" i="26"/>
  <c r="G494" i="26"/>
  <c r="H154" i="26"/>
  <c r="H494" i="26"/>
  <c r="E156" i="26"/>
  <c r="E519" i="26"/>
  <c r="F519" i="26"/>
  <c r="E93" i="26"/>
  <c r="H129" i="26"/>
  <c r="E623" i="26"/>
  <c r="E132" i="26"/>
  <c r="E131" i="26"/>
  <c r="F107" i="26"/>
  <c r="F108" i="26" s="1"/>
  <c r="F109" i="26" s="1"/>
  <c r="G224" i="26"/>
  <c r="E107" i="26"/>
  <c r="E108" i="26" s="1"/>
  <c r="E109" i="26" s="1"/>
  <c r="H228" i="26"/>
  <c r="E620" i="26"/>
  <c r="F154" i="26"/>
  <c r="Q157" i="26" s="1"/>
  <c r="E298" i="26"/>
  <c r="E154" i="26"/>
  <c r="P157" i="26" s="1"/>
  <c r="F298" i="26"/>
  <c r="G125" i="26"/>
  <c r="J84" i="26"/>
  <c r="H18" i="26"/>
  <c r="H19" i="26" s="1"/>
  <c r="H20" i="26" s="1"/>
  <c r="J60" i="26"/>
  <c r="F934" i="26"/>
  <c r="J18" i="26"/>
  <c r="J19" i="26" s="1"/>
  <c r="J20" i="26" s="1"/>
  <c r="G9" i="4"/>
  <c r="I9" i="4"/>
  <c r="G16" i="4"/>
  <c r="I16" i="4"/>
  <c r="G23" i="4"/>
  <c r="J23" i="4"/>
  <c r="I23" i="4"/>
  <c r="J30" i="4"/>
  <c r="G30" i="4"/>
  <c r="I37" i="4"/>
  <c r="J37" i="4"/>
  <c r="G37" i="4"/>
  <c r="G44" i="4"/>
  <c r="I44" i="4"/>
  <c r="J44" i="4"/>
  <c r="J51" i="4"/>
  <c r="G51" i="4"/>
  <c r="I58" i="4"/>
  <c r="J58" i="4"/>
  <c r="G58" i="4"/>
  <c r="G65" i="4"/>
  <c r="I65" i="4"/>
  <c r="U1864" i="4"/>
  <c r="T1851" i="4"/>
  <c r="J5" i="4"/>
  <c r="G5" i="4"/>
  <c r="I5" i="4"/>
  <c r="I12" i="4"/>
  <c r="G12" i="4"/>
  <c r="I26" i="4"/>
  <c r="J26" i="4"/>
  <c r="G26" i="4"/>
  <c r="I40" i="4"/>
  <c r="G40" i="4"/>
  <c r="I54" i="4"/>
  <c r="G54" i="4"/>
  <c r="G61" i="4"/>
  <c r="J61" i="4"/>
  <c r="I61" i="4"/>
  <c r="T1056" i="4"/>
  <c r="G6" i="4"/>
  <c r="I6" i="4"/>
  <c r="J13" i="4"/>
  <c r="I13" i="4"/>
  <c r="G13" i="4"/>
  <c r="G20" i="4"/>
  <c r="J20" i="4"/>
  <c r="G27" i="4"/>
  <c r="J27" i="4"/>
  <c r="I34" i="4"/>
  <c r="J34" i="4"/>
  <c r="G34" i="4"/>
  <c r="G41" i="4"/>
  <c r="J41" i="4"/>
  <c r="J48" i="4"/>
  <c r="G48" i="4"/>
  <c r="I55" i="4"/>
  <c r="G55" i="4"/>
  <c r="I62" i="4"/>
  <c r="G62" i="4"/>
  <c r="J62" i="4"/>
  <c r="I41" i="4"/>
  <c r="J1252" i="26"/>
  <c r="J1256" i="26"/>
  <c r="J934" i="26"/>
  <c r="J864" i="26"/>
  <c r="J938" i="26"/>
  <c r="J786" i="26"/>
  <c r="J1155" i="26"/>
  <c r="J761" i="26"/>
  <c r="J790" i="26"/>
  <c r="J765" i="26"/>
  <c r="J224" i="26"/>
  <c r="J129" i="26"/>
  <c r="U1842" i="4"/>
  <c r="J57" i="4"/>
  <c r="J15" i="4"/>
  <c r="I8" i="4"/>
  <c r="G8" i="4"/>
  <c r="J43" i="4"/>
  <c r="I43" i="4"/>
  <c r="I64" i="4"/>
  <c r="J64" i="4"/>
  <c r="G43" i="4"/>
  <c r="T1831" i="4"/>
  <c r="U1885" i="4"/>
  <c r="T1885" i="4" s="1"/>
  <c r="T1872" i="4"/>
  <c r="G36" i="4"/>
  <c r="H519" i="26"/>
  <c r="G107" i="26"/>
  <c r="E866" i="26"/>
  <c r="F765" i="26"/>
  <c r="Q768" i="26" s="1"/>
  <c r="E765" i="26"/>
  <c r="P768" i="26" s="1"/>
  <c r="J712" i="26"/>
  <c r="G864" i="26"/>
  <c r="F864" i="26"/>
  <c r="H871" i="26" s="1"/>
  <c r="H872" i="26" s="1"/>
  <c r="H873" i="26" s="1"/>
  <c r="H874" i="26" s="1"/>
  <c r="H875" i="26" s="1"/>
  <c r="H876" i="26" s="1"/>
  <c r="H877" i="26" s="1"/>
  <c r="H878" i="26" s="1"/>
  <c r="H879" i="26" s="1"/>
  <c r="H880" i="26" s="1"/>
  <c r="H881" i="26" s="1"/>
  <c r="H882" i="26" s="1"/>
  <c r="H883" i="26" s="1"/>
  <c r="H884" i="26" s="1"/>
  <c r="H885" i="26" s="1"/>
  <c r="H886" i="26" s="1"/>
  <c r="H887" i="26" s="1"/>
  <c r="H888" i="26" s="1"/>
  <c r="H889" i="26" s="1"/>
  <c r="H890" i="26" s="1"/>
  <c r="H891" i="26" s="1"/>
  <c r="H892" i="26" s="1"/>
  <c r="H893" i="26" s="1"/>
  <c r="H894" i="26" s="1"/>
  <c r="H895" i="26" s="1"/>
  <c r="H896" i="26" s="1"/>
  <c r="H897" i="26" s="1"/>
  <c r="H898" i="26" s="1"/>
  <c r="H899" i="26" s="1"/>
  <c r="H900" i="26" s="1"/>
  <c r="H901" i="26" s="1"/>
  <c r="H902" i="26" s="1"/>
  <c r="H903" i="26" s="1"/>
  <c r="H904" i="26" s="1"/>
  <c r="H905" i="26" s="1"/>
  <c r="H906" i="26" s="1"/>
  <c r="H907" i="26" s="1"/>
  <c r="H908" i="26" s="1"/>
  <c r="H909" i="26" s="1"/>
  <c r="H910" i="26" s="1"/>
  <c r="H911" i="26" s="1"/>
  <c r="H912" i="26" s="1"/>
  <c r="H913" i="26" s="1"/>
  <c r="H914" i="26" s="1"/>
  <c r="H915" i="26" s="1"/>
  <c r="H916" i="26" s="1"/>
  <c r="H917" i="26" s="1"/>
  <c r="H918" i="26" s="1"/>
  <c r="H919" i="26" s="1"/>
  <c r="H920" i="26" s="1"/>
  <c r="F1155" i="26"/>
  <c r="H1130" i="26"/>
  <c r="G1155" i="26"/>
  <c r="J1159" i="26"/>
  <c r="E729" i="26"/>
  <c r="H93" i="26"/>
  <c r="G150" i="26"/>
  <c r="H864" i="26"/>
  <c r="E1259" i="26"/>
  <c r="G1237" i="26"/>
  <c r="G1238" i="26" s="1"/>
  <c r="G1239" i="26" s="1"/>
  <c r="G1240" i="26" s="1"/>
  <c r="F1237" i="26"/>
  <c r="F1238" i="26" s="1"/>
  <c r="F1239" i="26" s="1"/>
  <c r="F1240" i="26" s="1"/>
  <c r="H1252" i="26"/>
  <c r="J1134" i="26"/>
  <c r="G1252" i="26"/>
  <c r="F1229" i="26"/>
  <c r="F1230" i="26" s="1"/>
  <c r="F1231" i="26" s="1"/>
  <c r="E792" i="26"/>
  <c r="E1237" i="26"/>
  <c r="E1238" i="26" s="1"/>
  <c r="E1239" i="26" s="1"/>
  <c r="E1240" i="26" s="1"/>
  <c r="E1229" i="26"/>
  <c r="E1230" i="26" s="1"/>
  <c r="E1231" i="26" s="1"/>
  <c r="H1256" i="26"/>
  <c r="H938" i="26"/>
  <c r="G1256" i="26"/>
  <c r="E938" i="26"/>
  <c r="E793" i="26"/>
  <c r="F1256" i="26"/>
  <c r="Q1259" i="26" s="1"/>
  <c r="J1244" i="26"/>
  <c r="F654" i="26"/>
  <c r="F655" i="26" s="1"/>
  <c r="F656" i="26" s="1"/>
  <c r="E1256" i="26"/>
  <c r="G790" i="26"/>
  <c r="E654" i="26"/>
  <c r="E655" i="26" s="1"/>
  <c r="E656" i="26" s="1"/>
  <c r="J735" i="26"/>
  <c r="J729" i="26"/>
  <c r="E867" i="26"/>
  <c r="J1229" i="26"/>
  <c r="J1230" i="26" s="1"/>
  <c r="J1231" i="26" s="1"/>
  <c r="H1229" i="26"/>
  <c r="H1230" i="26" s="1"/>
  <c r="H1231" i="26" s="1"/>
  <c r="G1229" i="26"/>
  <c r="G1230" i="26" s="1"/>
  <c r="G1231" i="26" s="1"/>
  <c r="J1237" i="26"/>
  <c r="J1238" i="26" s="1"/>
  <c r="J1239" i="26" s="1"/>
  <c r="J1240" i="26" s="1"/>
  <c r="H790" i="26"/>
  <c r="H934" i="26"/>
  <c r="F790" i="26"/>
  <c r="Q793" i="26" s="1"/>
  <c r="E767" i="26"/>
  <c r="H729" i="26"/>
  <c r="G786" i="26"/>
  <c r="G729" i="26"/>
  <c r="H1237" i="26"/>
  <c r="H1238" i="26" s="1"/>
  <c r="H1239" i="26" s="1"/>
  <c r="H1240" i="26" s="1"/>
  <c r="E934" i="26"/>
  <c r="J743" i="26"/>
  <c r="J744" i="26" s="1"/>
  <c r="J745" i="26" s="1"/>
  <c r="E768" i="26"/>
  <c r="U1868" i="4"/>
  <c r="T1868" i="4" s="1"/>
  <c r="H765" i="26"/>
  <c r="L5" i="28" a="1"/>
  <c r="L5" i="28" s="1"/>
  <c r="K3" i="28" a="1"/>
  <c r="K3" i="28" s="1"/>
  <c r="R3" i="28" s="1"/>
  <c r="S3" i="28" s="1"/>
  <c r="L7" i="28" a="1"/>
  <c r="L7" i="28" s="1"/>
  <c r="K13" i="28" a="1"/>
  <c r="K13" i="28" s="1"/>
  <c r="R13" i="28" s="1"/>
  <c r="S13" i="28" s="1"/>
  <c r="L14" i="28" a="1"/>
  <c r="L14" i="28" s="1"/>
  <c r="L17" i="28" a="1"/>
  <c r="L17" i="28" s="1"/>
  <c r="L21" i="28" a="1"/>
  <c r="L21" i="28" s="1"/>
  <c r="K23" i="28" a="1"/>
  <c r="K23" i="28" s="1"/>
  <c r="R23" i="28" s="1"/>
  <c r="S23" i="28" s="1"/>
  <c r="K30" i="28" a="1"/>
  <c r="K30" i="28" s="1"/>
  <c r="R30" i="28" s="1"/>
  <c r="S30" i="28" s="1"/>
  <c r="L26" i="28" a="1"/>
  <c r="L26" i="28" s="1"/>
  <c r="K31" i="28" a="1"/>
  <c r="K31" i="28" s="1"/>
  <c r="R31" i="28" s="1"/>
  <c r="S31" i="28" s="1"/>
  <c r="K33" i="28" a="1"/>
  <c r="K33" i="28" s="1"/>
  <c r="R33" i="28" s="1"/>
  <c r="S33" i="28" s="1"/>
  <c r="K35" i="28" a="1"/>
  <c r="K35" i="28" s="1"/>
  <c r="R35" i="28" s="1"/>
  <c r="S35" i="28" s="1"/>
  <c r="P32" i="28" a="1"/>
  <c r="P32" i="28" s="1"/>
  <c r="F213" i="26"/>
  <c r="G1223" i="26"/>
  <c r="R6" i="28"/>
  <c r="S6" i="28" s="1"/>
  <c r="R14" i="28"/>
  <c r="S14" i="28" s="1"/>
  <c r="R18" i="28"/>
  <c r="S18" i="28" s="1"/>
  <c r="R22" i="28"/>
  <c r="S22" i="28" s="1"/>
  <c r="R26" i="28"/>
  <c r="S26" i="28" s="1"/>
  <c r="R34" i="28"/>
  <c r="S34" i="28" s="1"/>
  <c r="R38" i="28"/>
  <c r="R7" i="28"/>
  <c r="S7" i="28" s="1"/>
  <c r="R19" i="28"/>
  <c r="S19" i="28" s="1"/>
  <c r="P33" i="28" a="1"/>
  <c r="P33" i="28" s="1"/>
  <c r="L9" i="28" a="1"/>
  <c r="L9" i="28" s="1"/>
  <c r="P36" i="28" a="1"/>
  <c r="P36" i="28" s="1"/>
  <c r="P38" i="28" a="1"/>
  <c r="P38" i="28" s="1"/>
  <c r="L16" i="28" a="1"/>
  <c r="L16" i="28" s="1"/>
  <c r="P14" i="28" a="1"/>
  <c r="P14" i="28" s="1"/>
  <c r="P22" i="28" a="1"/>
  <c r="P22" i="28" s="1"/>
  <c r="P26" i="28" a="1"/>
  <c r="P26" i="28" s="1"/>
  <c r="P30" i="28" a="1"/>
  <c r="P30" i="28" s="1"/>
  <c r="L29" i="28" a="1"/>
  <c r="L29" i="28" s="1"/>
  <c r="L19" i="28" a="1"/>
  <c r="L19" i="28" s="1"/>
  <c r="K27" i="28" a="1"/>
  <c r="K27" i="28" s="1"/>
  <c r="R27" i="28" s="1"/>
  <c r="S27" i="28" s="1"/>
  <c r="L32" i="28" a="1"/>
  <c r="L32" i="28" s="1"/>
  <c r="L36" i="28" a="1"/>
  <c r="L36" i="28" s="1"/>
  <c r="R2" i="28"/>
  <c r="P34" i="28" a="1"/>
  <c r="P34" i="28" s="1"/>
  <c r="L4" i="28" a="1"/>
  <c r="L4" i="28" s="1"/>
  <c r="L8" i="28" a="1"/>
  <c r="L8" i="28" s="1"/>
  <c r="P18" i="28" a="1"/>
  <c r="P18" i="28" s="1"/>
  <c r="P31" i="28" a="1"/>
  <c r="P31" i="28" s="1"/>
  <c r="L34" i="28" a="1"/>
  <c r="L34" i="28" s="1"/>
  <c r="L12" i="28" a="1"/>
  <c r="L12" i="28" s="1"/>
  <c r="P10" i="28" a="1"/>
  <c r="P10" i="28" s="1"/>
  <c r="L37" i="28" a="1"/>
  <c r="L37" i="28" s="1"/>
  <c r="P27" i="28" a="1"/>
  <c r="P27" i="28" s="1"/>
  <c r="L18" i="28" a="1"/>
  <c r="L18" i="28" s="1"/>
  <c r="L38" i="28" a="1"/>
  <c r="L38" i="28" s="1"/>
  <c r="L20" i="28" a="1"/>
  <c r="L20" i="28" s="1"/>
  <c r="L6" i="28" a="1"/>
  <c r="L6" i="28" s="1"/>
  <c r="L22" i="28" a="1"/>
  <c r="L22" i="28" s="1"/>
  <c r="P15" i="28" a="1"/>
  <c r="P15" i="28" s="1"/>
  <c r="P20" i="28" a="1"/>
  <c r="P20" i="28" s="1"/>
  <c r="L24" i="28" a="1"/>
  <c r="L24" i="28" s="1"/>
  <c r="K25" i="28" a="1"/>
  <c r="K25" i="28" s="1"/>
  <c r="R25" i="28" s="1"/>
  <c r="S25" i="28" s="1"/>
  <c r="P7" i="28" a="1"/>
  <c r="P7" i="28" s="1"/>
  <c r="K28" i="28" a="1"/>
  <c r="K28" i="28" s="1"/>
  <c r="R28" i="28" s="1"/>
  <c r="S28" i="28" s="1"/>
  <c r="P11" i="28" a="1"/>
  <c r="P11" i="28" s="1"/>
  <c r="P4" i="28" a="1"/>
  <c r="P4" i="28" s="1"/>
  <c r="P23" i="28" a="1"/>
  <c r="P23" i="28" s="1"/>
  <c r="P19" i="28" a="1"/>
  <c r="P19" i="28" s="1"/>
  <c r="P17" i="28" a="1"/>
  <c r="P17" i="28" s="1"/>
  <c r="S12" i="28"/>
  <c r="P12" i="28" a="1"/>
  <c r="P12" i="28" s="1"/>
  <c r="P13" i="28" a="1"/>
  <c r="P13" i="28" s="1"/>
  <c r="P16" i="28" a="1"/>
  <c r="P16" i="28" s="1"/>
  <c r="P24" i="28" a="1"/>
  <c r="P24" i="28" s="1"/>
  <c r="P25" i="28" a="1"/>
  <c r="P25" i="28" s="1"/>
  <c r="P28" i="28" a="1"/>
  <c r="P28" i="28" s="1"/>
  <c r="P8" i="28" a="1"/>
  <c r="P8" i="28" s="1"/>
  <c r="P5" i="28" a="1"/>
  <c r="P5" i="28" s="1"/>
  <c r="S5" i="28"/>
  <c r="P9" i="28" a="1"/>
  <c r="P9" i="28" s="1"/>
  <c r="S9" i="28"/>
  <c r="P37" i="28" a="1"/>
  <c r="P37" i="28" s="1"/>
  <c r="P6" i="28" a="1"/>
  <c r="P6" i="28" s="1"/>
  <c r="P21" i="28" a="1"/>
  <c r="P21" i="28" s="1"/>
  <c r="P29" i="28" a="1"/>
  <c r="P29" i="28" s="1"/>
  <c r="P35" i="28" a="1"/>
  <c r="P35" i="28" s="1"/>
  <c r="A2" i="28" a="1"/>
  <c r="A2" i="28" s="1"/>
  <c r="E1223" i="26"/>
  <c r="H750" i="26"/>
  <c r="G671" i="26"/>
  <c r="E1218" i="26"/>
  <c r="G1218" i="26"/>
  <c r="F1269" i="26"/>
  <c r="E1269" i="26"/>
  <c r="H114" i="26"/>
  <c r="H1269" i="26"/>
  <c r="G587" i="26"/>
  <c r="H677" i="26"/>
  <c r="F1264" i="26"/>
  <c r="E1264" i="26"/>
  <c r="H633" i="26"/>
  <c r="G119" i="26"/>
  <c r="G287" i="26"/>
  <c r="E287" i="26"/>
  <c r="H139" i="26"/>
  <c r="G41" i="26"/>
  <c r="F287" i="26"/>
  <c r="H25" i="26"/>
  <c r="G923" i="26"/>
  <c r="E775" i="26"/>
  <c r="H666" i="26"/>
  <c r="G582" i="26"/>
  <c r="E750" i="26"/>
  <c r="H292" i="26"/>
  <c r="F750" i="26"/>
  <c r="E923" i="26"/>
  <c r="E1149" i="26"/>
  <c r="G666" i="26"/>
  <c r="H1046" i="26"/>
  <c r="G1046" i="26"/>
  <c r="F119" i="26"/>
  <c r="F661" i="26"/>
  <c r="E587" i="26"/>
  <c r="F923" i="26"/>
  <c r="G677" i="26"/>
  <c r="F218" i="26"/>
  <c r="E35" i="26"/>
  <c r="G292" i="26"/>
  <c r="F292" i="26"/>
  <c r="F114" i="26"/>
  <c r="G35" i="26"/>
  <c r="K1233" i="26"/>
  <c r="H35" i="26"/>
  <c r="H213" i="26"/>
  <c r="H854" i="26"/>
  <c r="H1223" i="26"/>
  <c r="G218" i="26"/>
  <c r="G49" i="26"/>
  <c r="H49" i="26"/>
  <c r="C765" i="26"/>
  <c r="W765" i="26" s="1"/>
  <c r="C864" i="26"/>
  <c r="W864" i="26" s="1"/>
  <c r="C129" i="26"/>
  <c r="W129" i="26" s="1"/>
  <c r="C302" i="26"/>
  <c r="C790" i="26"/>
  <c r="W790" i="26" s="1"/>
  <c r="U854" i="26" s="1"/>
  <c r="C228" i="26"/>
  <c r="W228" i="26" s="1"/>
  <c r="U292" i="26" s="1"/>
  <c r="C620" i="26"/>
  <c r="W620" i="26" s="1"/>
  <c r="C154" i="26"/>
  <c r="W154" i="26" s="1"/>
  <c r="U218" i="26" s="1"/>
  <c r="C938" i="26"/>
  <c r="K597" i="26"/>
  <c r="K596" i="26"/>
  <c r="H587" i="26"/>
  <c r="F144" i="26"/>
  <c r="G114" i="26"/>
  <c r="G849" i="26"/>
  <c r="F405" i="26"/>
  <c r="E139" i="26"/>
  <c r="H30" i="26"/>
  <c r="H1218" i="26"/>
  <c r="G144" i="26"/>
  <c r="F633" i="26"/>
  <c r="G30" i="26"/>
  <c r="I677" i="26"/>
  <c r="F849" i="26"/>
  <c r="H119" i="26"/>
  <c r="G513" i="26"/>
  <c r="E1041" i="26"/>
  <c r="H661" i="26"/>
  <c r="H1264" i="26"/>
  <c r="C1256" i="26"/>
  <c r="W1256" i="26" s="1"/>
  <c r="G1041" i="26"/>
  <c r="H928" i="26"/>
  <c r="G685" i="26"/>
  <c r="H775" i="26"/>
  <c r="K110" i="26"/>
  <c r="F928" i="26"/>
  <c r="E671" i="26"/>
  <c r="F41" i="26"/>
  <c r="G661" i="26"/>
  <c r="H582" i="26"/>
  <c r="E849" i="26"/>
  <c r="I41" i="26"/>
  <c r="G775" i="26"/>
  <c r="G405" i="26"/>
  <c r="F139" i="26"/>
  <c r="E928" i="26"/>
  <c r="F780" i="26"/>
  <c r="H628" i="26"/>
  <c r="F30" i="26"/>
  <c r="F1041" i="26"/>
  <c r="I657" i="26"/>
  <c r="I658" i="26"/>
  <c r="K746" i="26"/>
  <c r="K747" i="26"/>
  <c r="K22" i="26"/>
  <c r="K21" i="26"/>
  <c r="V738" i="26"/>
  <c r="W735" i="26" s="1"/>
  <c r="I22" i="26"/>
  <c r="F513" i="26"/>
  <c r="I49" i="26"/>
  <c r="E508" i="26"/>
  <c r="G854" i="26"/>
  <c r="I747" i="26"/>
  <c r="E410" i="26"/>
  <c r="I596" i="26"/>
  <c r="H1144" i="26"/>
  <c r="V102" i="26"/>
  <c r="W99" i="26" s="1"/>
  <c r="E582" i="26"/>
  <c r="H144" i="26"/>
  <c r="H508" i="26"/>
  <c r="E666" i="26"/>
  <c r="F25" i="26"/>
  <c r="E25" i="26"/>
  <c r="F508" i="26"/>
  <c r="G780" i="26"/>
  <c r="F410" i="26"/>
  <c r="I111" i="26"/>
  <c r="G213" i="26"/>
  <c r="E780" i="26"/>
  <c r="E628" i="26"/>
  <c r="H513" i="26"/>
  <c r="C688" i="26"/>
  <c r="H1149" i="26"/>
  <c r="E633" i="26"/>
  <c r="W41" i="26"/>
  <c r="H405" i="26"/>
  <c r="W49" i="26"/>
  <c r="T61" i="26" s="1"/>
  <c r="V61" i="26" s="1"/>
  <c r="W60" i="26" s="1"/>
  <c r="E218" i="26"/>
  <c r="K658" i="26"/>
  <c r="H671" i="26"/>
  <c r="H685" i="26"/>
  <c r="I1233" i="26"/>
  <c r="E755" i="26"/>
  <c r="G410" i="26"/>
  <c r="F755" i="26"/>
  <c r="F685" i="26"/>
  <c r="E1144" i="26"/>
  <c r="H755" i="26"/>
  <c r="G1144" i="26"/>
  <c r="E854" i="26"/>
  <c r="G628" i="26"/>
  <c r="F1046" i="26"/>
  <c r="V44" i="26"/>
  <c r="C45" i="26"/>
  <c r="V45" i="26" s="1"/>
  <c r="C53" i="26"/>
  <c r="V53" i="26" s="1"/>
  <c r="V52" i="26"/>
  <c r="C680" i="26"/>
  <c r="W1041" i="26"/>
  <c r="V697" i="26"/>
  <c r="W696" i="26" s="1"/>
  <c r="W84" i="26"/>
  <c r="W88" i="26" s="1"/>
  <c r="U730" i="26"/>
  <c r="V730" i="26" s="1"/>
  <c r="W729" i="26" s="1"/>
  <c r="W720" i="26"/>
  <c r="W724" i="26" s="1"/>
  <c r="W93" i="26"/>
  <c r="U513" i="26"/>
  <c r="U755" i="26"/>
  <c r="W218" i="26"/>
  <c r="W1223" i="26"/>
  <c r="W292" i="26"/>
  <c r="W410" i="26"/>
  <c r="W513" i="26"/>
  <c r="K10" i="28" a="1"/>
  <c r="K11" i="28" a="1"/>
  <c r="T604" i="26" l="1"/>
  <c r="T1240" i="26"/>
  <c r="V1240" i="26" s="1"/>
  <c r="R1124" i="26"/>
  <c r="T1124" i="26" s="1"/>
  <c r="V1124" i="26" s="1"/>
  <c r="V1119" i="26"/>
  <c r="J355" i="26"/>
  <c r="Q356" i="26"/>
  <c r="I992" i="26"/>
  <c r="O993" i="26"/>
  <c r="I993" i="26" s="1"/>
  <c r="F938" i="26"/>
  <c r="J356" i="26"/>
  <c r="O994" i="26"/>
  <c r="O995" i="26" s="1"/>
  <c r="H993" i="26"/>
  <c r="R488" i="26"/>
  <c r="T488" i="26" s="1"/>
  <c r="V488" i="26" s="1"/>
  <c r="V483" i="26"/>
  <c r="E352" i="26"/>
  <c r="F352" i="26" s="1"/>
  <c r="P352" i="26" s="1"/>
  <c r="U352" i="26" s="1"/>
  <c r="D988" i="26"/>
  <c r="L988" i="26" s="1"/>
  <c r="U780" i="26"/>
  <c r="G354" i="26"/>
  <c r="N354" i="26"/>
  <c r="T354" i="26" s="1"/>
  <c r="E988" i="26"/>
  <c r="F988" i="26" s="1"/>
  <c r="P988" i="26" s="1"/>
  <c r="U988" i="26" s="1"/>
  <c r="T988" i="26"/>
  <c r="H355" i="26"/>
  <c r="I355" i="26"/>
  <c r="O356" i="26"/>
  <c r="J990" i="26"/>
  <c r="K990" i="26"/>
  <c r="Q991" i="26"/>
  <c r="X943" i="26"/>
  <c r="K942" i="26"/>
  <c r="I942" i="26"/>
  <c r="X946" i="26"/>
  <c r="D942" i="26"/>
  <c r="M356" i="26"/>
  <c r="G355" i="26"/>
  <c r="N355" i="26"/>
  <c r="T355" i="26" s="1"/>
  <c r="N992" i="26"/>
  <c r="T992" i="26" s="1"/>
  <c r="G992" i="26"/>
  <c r="M993" i="26"/>
  <c r="E989" i="26"/>
  <c r="F989" i="26" s="1"/>
  <c r="P989" i="26" s="1"/>
  <c r="U989" i="26" s="1"/>
  <c r="L976" i="26"/>
  <c r="X307" i="26"/>
  <c r="X310" i="26"/>
  <c r="I306" i="26"/>
  <c r="K306" i="26"/>
  <c r="D306" i="26"/>
  <c r="I994" i="26"/>
  <c r="H994" i="26"/>
  <c r="K11" i="28"/>
  <c r="R11" i="28" s="1"/>
  <c r="S11" i="28" s="1"/>
  <c r="U11" i="28" s="1"/>
  <c r="K10" i="28"/>
  <c r="R10" i="28" s="1"/>
  <c r="S10" i="28" s="1"/>
  <c r="U10" i="28" s="1"/>
  <c r="U4" i="28"/>
  <c r="U12" i="28"/>
  <c r="U9" i="28"/>
  <c r="U5" i="28"/>
  <c r="U8" i="28"/>
  <c r="U14" i="28"/>
  <c r="U26" i="28"/>
  <c r="U22" i="28"/>
  <c r="U6" i="28"/>
  <c r="U35" i="28"/>
  <c r="U27" i="28"/>
  <c r="U33" i="28"/>
  <c r="U36" i="28"/>
  <c r="U37" i="28"/>
  <c r="U34" i="28"/>
  <c r="U21" i="28"/>
  <c r="U32" i="28"/>
  <c r="U16" i="28"/>
  <c r="U29" i="28"/>
  <c r="U17" i="28"/>
  <c r="U20" i="28"/>
  <c r="U30" i="28"/>
  <c r="U23" i="28"/>
  <c r="U25" i="28"/>
  <c r="U28" i="28"/>
  <c r="U13" i="28"/>
  <c r="U38" i="28"/>
  <c r="U31" i="28"/>
  <c r="U19" i="28"/>
  <c r="U18" i="28"/>
  <c r="U7" i="28"/>
  <c r="U15" i="28"/>
  <c r="U24" i="28"/>
  <c r="S2" i="28"/>
  <c r="U2" i="28" s="1"/>
  <c r="E353" i="26"/>
  <c r="F353" i="26" s="1"/>
  <c r="P353" i="26" s="1"/>
  <c r="U353" i="26" s="1"/>
  <c r="L977" i="26"/>
  <c r="L340" i="26"/>
  <c r="D989" i="26"/>
  <c r="L989" i="26" s="1"/>
  <c r="C990" i="26"/>
  <c r="C991" i="26" s="1"/>
  <c r="T1847" i="4"/>
  <c r="F596" i="26"/>
  <c r="J597" i="26"/>
  <c r="T661" i="26"/>
  <c r="V661" i="26" s="1"/>
  <c r="V628" i="26"/>
  <c r="T30" i="26"/>
  <c r="V30" i="26" s="1"/>
  <c r="W30" i="26" s="1"/>
  <c r="F1252" i="26"/>
  <c r="O1259" i="26" s="1"/>
  <c r="T671" i="26"/>
  <c r="V671" i="26" s="1"/>
  <c r="W671" i="26" s="1"/>
  <c r="U1858" i="4"/>
  <c r="T1858" i="4" s="1"/>
  <c r="T1846" i="4"/>
  <c r="V508" i="26"/>
  <c r="G657" i="26"/>
  <c r="V1144" i="26"/>
  <c r="V139" i="26"/>
  <c r="V750" i="26"/>
  <c r="V582" i="26"/>
  <c r="R410" i="26"/>
  <c r="T410" i="26" s="1"/>
  <c r="D353" i="26"/>
  <c r="L353" i="26" s="1"/>
  <c r="T1844" i="4"/>
  <c r="U1855" i="4"/>
  <c r="V923" i="26"/>
  <c r="V1218" i="26"/>
  <c r="T666" i="26"/>
  <c r="V666" i="26" s="1"/>
  <c r="W666" i="26" s="1"/>
  <c r="V604" i="26"/>
  <c r="D352" i="26"/>
  <c r="L352" i="26" s="1"/>
  <c r="D354" i="26"/>
  <c r="L354" i="26" s="1"/>
  <c r="T25" i="26"/>
  <c r="V25" i="26" s="1"/>
  <c r="F21" i="26"/>
  <c r="F22" i="26"/>
  <c r="E150" i="26"/>
  <c r="N157" i="26" s="1"/>
  <c r="F150" i="26"/>
  <c r="O157" i="26" s="1"/>
  <c r="H150" i="26"/>
  <c r="H1232" i="26"/>
  <c r="H1233" i="26"/>
  <c r="J1233" i="26"/>
  <c r="J1232" i="26"/>
  <c r="H786" i="26"/>
  <c r="E786" i="26"/>
  <c r="N793" i="26" s="1"/>
  <c r="F786" i="26"/>
  <c r="O793" i="26" s="1"/>
  <c r="R513" i="26"/>
  <c r="T513" i="26" s="1"/>
  <c r="V513" i="26" s="1"/>
  <c r="G498" i="26"/>
  <c r="F1232" i="26"/>
  <c r="F1233" i="26"/>
  <c r="E746" i="26"/>
  <c r="E747" i="26"/>
  <c r="U1852" i="4"/>
  <c r="T1842" i="4"/>
  <c r="F616" i="26"/>
  <c r="O623" i="26" s="1"/>
  <c r="E616" i="26"/>
  <c r="R633" i="26" s="1"/>
  <c r="T633" i="26" s="1"/>
  <c r="H597" i="26"/>
  <c r="H596" i="26"/>
  <c r="R1223" i="26"/>
  <c r="T1223" i="26" s="1"/>
  <c r="V1223" i="26" s="1"/>
  <c r="G1159" i="26"/>
  <c r="T1864" i="4"/>
  <c r="U1881" i="4"/>
  <c r="T1881" i="4" s="1"/>
  <c r="D355" i="26"/>
  <c r="L355" i="26" s="1"/>
  <c r="C356" i="26"/>
  <c r="P623" i="26"/>
  <c r="H110" i="26"/>
  <c r="H111" i="26"/>
  <c r="F746" i="26"/>
  <c r="F747" i="26"/>
  <c r="E21" i="26"/>
  <c r="E22" i="26"/>
  <c r="E1252" i="26"/>
  <c r="E761" i="26"/>
  <c r="N768" i="26" s="1"/>
  <c r="H761" i="26"/>
  <c r="F761" i="26"/>
  <c r="O768" i="26" s="1"/>
  <c r="E498" i="26"/>
  <c r="F498" i="26"/>
  <c r="H498" i="26"/>
  <c r="G744" i="26"/>
  <c r="G745" i="26" s="1"/>
  <c r="R755" i="26"/>
  <c r="T755" i="26" s="1"/>
  <c r="V755" i="26" s="1"/>
  <c r="F224" i="26"/>
  <c r="F235" i="26" s="1"/>
  <c r="H224" i="26"/>
  <c r="I235" i="26" s="1"/>
  <c r="I236" i="26" s="1"/>
  <c r="E224" i="26"/>
  <c r="E235" i="26" s="1"/>
  <c r="F523" i="26"/>
  <c r="F530" i="26" s="1"/>
  <c r="E523" i="26"/>
  <c r="E530" i="26" s="1"/>
  <c r="H523" i="26"/>
  <c r="J22" i="26"/>
  <c r="J21" i="26"/>
  <c r="U1876" i="4"/>
  <c r="T1876" i="4" s="1"/>
  <c r="T1859" i="4"/>
  <c r="E110" i="26"/>
  <c r="E111" i="26"/>
  <c r="J110" i="26"/>
  <c r="J111" i="26"/>
  <c r="E1232" i="26"/>
  <c r="E1233" i="26"/>
  <c r="V114" i="26"/>
  <c r="R1046" i="26"/>
  <c r="T1046" i="26" s="1"/>
  <c r="G523" i="26"/>
  <c r="R587" i="26"/>
  <c r="T587" i="26" s="1"/>
  <c r="V587" i="26" s="1"/>
  <c r="E860" i="26"/>
  <c r="E871" i="26" s="1"/>
  <c r="F860" i="26"/>
  <c r="F871" i="26" s="1"/>
  <c r="H860" i="26"/>
  <c r="H657" i="26"/>
  <c r="H658" i="26"/>
  <c r="H747" i="26"/>
  <c r="H746" i="26"/>
  <c r="H21" i="26"/>
  <c r="H22" i="26"/>
  <c r="F110" i="26"/>
  <c r="F111" i="26"/>
  <c r="F658" i="26"/>
  <c r="F657" i="26"/>
  <c r="E1159" i="26"/>
  <c r="E1166" i="26" s="1"/>
  <c r="H1159" i="26"/>
  <c r="F1159" i="26"/>
  <c r="F1166" i="26" s="1"/>
  <c r="G1134" i="26"/>
  <c r="R1149" i="26"/>
  <c r="T1149" i="26" s="1"/>
  <c r="V1149" i="26" s="1"/>
  <c r="G1232" i="26"/>
  <c r="G1233" i="26"/>
  <c r="G597" i="26"/>
  <c r="G596" i="26"/>
  <c r="J746" i="26"/>
  <c r="J747" i="26"/>
  <c r="H1134" i="26"/>
  <c r="E1134" i="26"/>
  <c r="F1134" i="26"/>
  <c r="T1863" i="4"/>
  <c r="U1880" i="4"/>
  <c r="T1880" i="4" s="1"/>
  <c r="E597" i="26"/>
  <c r="E596" i="26"/>
  <c r="U1845" i="4"/>
  <c r="T1836" i="4"/>
  <c r="R119" i="26"/>
  <c r="T119" i="26" s="1"/>
  <c r="V119" i="26" s="1"/>
  <c r="G108" i="26"/>
  <c r="G109" i="26" s="1"/>
  <c r="E658" i="26"/>
  <c r="E657" i="26"/>
  <c r="V1264" i="26"/>
  <c r="T35" i="26"/>
  <c r="V35" i="26" s="1"/>
  <c r="W35" i="26" s="1"/>
  <c r="P1259" i="26"/>
  <c r="E125" i="26"/>
  <c r="N132" i="26" s="1"/>
  <c r="H125" i="26"/>
  <c r="F125" i="26"/>
  <c r="O132" i="26" s="1"/>
  <c r="J658" i="26"/>
  <c r="J657" i="26"/>
  <c r="G22" i="26"/>
  <c r="G21" i="26"/>
  <c r="P3" i="28" a="1"/>
  <c r="P3" i="28" s="1"/>
  <c r="U3" i="28" s="1"/>
  <c r="X1224" i="26"/>
  <c r="J1223" i="26" s="1"/>
  <c r="X1219" i="26"/>
  <c r="J1218" i="26" s="1"/>
  <c r="X1270" i="26"/>
  <c r="J1269" i="26" s="1"/>
  <c r="X1265" i="26"/>
  <c r="J1264" i="26" s="1"/>
  <c r="X751" i="26"/>
  <c r="J750" i="26" s="1"/>
  <c r="X588" i="26"/>
  <c r="J587" i="26" s="1"/>
  <c r="X288" i="26"/>
  <c r="J287" i="26" s="1"/>
  <c r="X1150" i="26"/>
  <c r="J1149" i="26" s="1"/>
  <c r="X662" i="26"/>
  <c r="J661" i="26" s="1"/>
  <c r="X1042" i="26"/>
  <c r="J1041" i="26" s="1"/>
  <c r="X26" i="26"/>
  <c r="J25" i="26" s="1"/>
  <c r="X31" i="26"/>
  <c r="J30" i="26" s="1"/>
  <c r="U928" i="26"/>
  <c r="X583" i="26"/>
  <c r="J582" i="26" s="1"/>
  <c r="X672" i="26"/>
  <c r="J671" i="26" s="1"/>
  <c r="X776" i="26"/>
  <c r="J775" i="26" s="1"/>
  <c r="X1145" i="26"/>
  <c r="J1144" i="26" s="1"/>
  <c r="X293" i="26"/>
  <c r="J292" i="26" s="1"/>
  <c r="U144" i="26"/>
  <c r="X42" i="26"/>
  <c r="J41" i="26" s="1"/>
  <c r="X924" i="26"/>
  <c r="J923" i="26" s="1"/>
  <c r="X1047" i="26"/>
  <c r="J1046" i="26" s="1"/>
  <c r="X120" i="26"/>
  <c r="J119" i="26" s="1"/>
  <c r="X678" i="26"/>
  <c r="J677" i="26" s="1"/>
  <c r="X667" i="26"/>
  <c r="J666" i="26" s="1"/>
  <c r="X929" i="26"/>
  <c r="J928" i="26" s="1"/>
  <c r="X140" i="26"/>
  <c r="J139" i="26" s="1"/>
  <c r="X36" i="26"/>
  <c r="J35" i="26" s="1"/>
  <c r="V775" i="26"/>
  <c r="X219" i="26"/>
  <c r="J218" i="26" s="1"/>
  <c r="X50" i="26"/>
  <c r="J49" i="26" s="1"/>
  <c r="X115" i="26"/>
  <c r="J114" i="26" s="1"/>
  <c r="V287" i="26"/>
  <c r="X214" i="26"/>
  <c r="J213" i="26" s="1"/>
  <c r="X855" i="26"/>
  <c r="J854" i="26" s="1"/>
  <c r="X850" i="26"/>
  <c r="J849" i="26" s="1"/>
  <c r="X686" i="26"/>
  <c r="J685" i="26" s="1"/>
  <c r="X756" i="26"/>
  <c r="J755" i="26" s="1"/>
  <c r="U633" i="26"/>
  <c r="V849" i="26"/>
  <c r="V213" i="26"/>
  <c r="U1269" i="26"/>
  <c r="X634" i="26"/>
  <c r="J633" i="26" s="1"/>
  <c r="X406" i="26"/>
  <c r="J405" i="26" s="1"/>
  <c r="X411" i="26"/>
  <c r="J410" i="26" s="1"/>
  <c r="X781" i="26"/>
  <c r="J780" i="26" s="1"/>
  <c r="X145" i="26"/>
  <c r="J144" i="26" s="1"/>
  <c r="V688" i="26"/>
  <c r="C689" i="26"/>
  <c r="V689" i="26" s="1"/>
  <c r="X514" i="26"/>
  <c r="J513" i="26" s="1"/>
  <c r="X509" i="26"/>
  <c r="J508" i="26" s="1"/>
  <c r="X629" i="26"/>
  <c r="J628" i="26" s="1"/>
  <c r="V680" i="26"/>
  <c r="C681" i="26"/>
  <c r="V681" i="26" s="1"/>
  <c r="R352" i="26" l="1"/>
  <c r="V352" i="26" s="1"/>
  <c r="Q357" i="26"/>
  <c r="K356" i="26"/>
  <c r="E354" i="26"/>
  <c r="F354" i="26" s="1"/>
  <c r="P354" i="26" s="1"/>
  <c r="U354" i="26" s="1"/>
  <c r="R988" i="26"/>
  <c r="V988" i="26" s="1"/>
  <c r="R144" i="26"/>
  <c r="T144" i="26" s="1"/>
  <c r="V144" i="26" s="1"/>
  <c r="G306" i="26"/>
  <c r="E306" i="26"/>
  <c r="J306" i="26"/>
  <c r="H306" i="26"/>
  <c r="F306" i="26"/>
  <c r="G993" i="26"/>
  <c r="M994" i="26"/>
  <c r="N993" i="26"/>
  <c r="T993" i="26" s="1"/>
  <c r="E942" i="26"/>
  <c r="F942" i="26"/>
  <c r="H942" i="26"/>
  <c r="J942" i="26"/>
  <c r="G942" i="26"/>
  <c r="X314" i="26"/>
  <c r="I310" i="26"/>
  <c r="K310" i="26"/>
  <c r="D310" i="26"/>
  <c r="X311" i="26"/>
  <c r="C310" i="26"/>
  <c r="M357" i="26"/>
  <c r="G356" i="26"/>
  <c r="N356" i="26"/>
  <c r="T356" i="26" s="1"/>
  <c r="Q992" i="26"/>
  <c r="K991" i="26"/>
  <c r="J991" i="26"/>
  <c r="K946" i="26"/>
  <c r="X947" i="26"/>
  <c r="I946" i="26"/>
  <c r="X950" i="26"/>
  <c r="D946" i="26"/>
  <c r="C946" i="26"/>
  <c r="I356" i="26"/>
  <c r="H356" i="26"/>
  <c r="O357" i="26"/>
  <c r="D990" i="26"/>
  <c r="L990" i="26" s="1"/>
  <c r="E990" i="26"/>
  <c r="F990" i="26" s="1"/>
  <c r="P990" i="26" s="1"/>
  <c r="U990" i="26" s="1"/>
  <c r="E355" i="26"/>
  <c r="F355" i="26" s="1"/>
  <c r="P355" i="26" s="1"/>
  <c r="U355" i="26" s="1"/>
  <c r="H995" i="26"/>
  <c r="O996" i="26"/>
  <c r="I995" i="26"/>
  <c r="R218" i="26"/>
  <c r="T218" i="26" s="1"/>
  <c r="V218" i="26" s="1"/>
  <c r="R780" i="26"/>
  <c r="T780" i="26" s="1"/>
  <c r="V780" i="26" s="1"/>
  <c r="R989" i="26"/>
  <c r="V989" i="26" s="1"/>
  <c r="H977" i="26" s="1"/>
  <c r="V942" i="26" s="1"/>
  <c r="W942" i="26" s="1"/>
  <c r="R928" i="26"/>
  <c r="T928" i="26" s="1"/>
  <c r="V928" i="26" s="1"/>
  <c r="H768" i="26"/>
  <c r="R768" i="26" s="1"/>
  <c r="R292" i="26"/>
  <c r="T292" i="26" s="1"/>
  <c r="V292" i="26" s="1"/>
  <c r="R353" i="26"/>
  <c r="V353" i="26" s="1"/>
  <c r="H341" i="26" s="1"/>
  <c r="V306" i="26" s="1"/>
  <c r="W306" i="26" s="1"/>
  <c r="U1871" i="4"/>
  <c r="T1855" i="4"/>
  <c r="U1869" i="4"/>
  <c r="T1869" i="4" s="1"/>
  <c r="H132" i="26"/>
  <c r="U1865" i="4"/>
  <c r="T1852" i="4"/>
  <c r="I871" i="26"/>
  <c r="I872" i="26" s="1"/>
  <c r="N1259" i="26"/>
  <c r="H1259" i="26" s="1"/>
  <c r="G110" i="26"/>
  <c r="G111" i="26"/>
  <c r="E1167" i="26"/>
  <c r="K1166" i="26"/>
  <c r="P1166" i="26" s="1"/>
  <c r="H793" i="26"/>
  <c r="F872" i="26"/>
  <c r="F531" i="26"/>
  <c r="E531" i="26"/>
  <c r="K530" i="26"/>
  <c r="P530" i="26" s="1"/>
  <c r="L871" i="26"/>
  <c r="E872" i="26"/>
  <c r="N1137" i="26"/>
  <c r="H1137" i="26"/>
  <c r="R1137" i="26" s="1"/>
  <c r="P1140" i="26" s="1"/>
  <c r="C236" i="26"/>
  <c r="I237" i="26"/>
  <c r="I238" i="26" s="1"/>
  <c r="I239" i="26" s="1"/>
  <c r="I240" i="26" s="1"/>
  <c r="I241" i="26" s="1"/>
  <c r="I242" i="26" s="1"/>
  <c r="I243" i="26" s="1"/>
  <c r="I244" i="26" s="1"/>
  <c r="I245" i="26" s="1"/>
  <c r="I246" i="26" s="1"/>
  <c r="I247" i="26" s="1"/>
  <c r="I248" i="26" s="1"/>
  <c r="I249" i="26" s="1"/>
  <c r="I250" i="26" s="1"/>
  <c r="I251" i="26" s="1"/>
  <c r="I252" i="26" s="1"/>
  <c r="I253" i="26" s="1"/>
  <c r="I254" i="26" s="1"/>
  <c r="I255" i="26" s="1"/>
  <c r="I256" i="26" s="1"/>
  <c r="I257" i="26" s="1"/>
  <c r="I258" i="26" s="1"/>
  <c r="I259" i="26" s="1"/>
  <c r="I260" i="26" s="1"/>
  <c r="I261" i="26" s="1"/>
  <c r="I262" i="26" s="1"/>
  <c r="I263" i="26" s="1"/>
  <c r="I264" i="26" s="1"/>
  <c r="I265" i="26" s="1"/>
  <c r="I266" i="26" s="1"/>
  <c r="I267" i="26" s="1"/>
  <c r="I268" i="26" s="1"/>
  <c r="I269" i="26" s="1"/>
  <c r="I270" i="26" s="1"/>
  <c r="I271" i="26" s="1"/>
  <c r="I272" i="26" s="1"/>
  <c r="I273" i="26" s="1"/>
  <c r="I274" i="26" s="1"/>
  <c r="I275" i="26" s="1"/>
  <c r="I276" i="26" s="1"/>
  <c r="I277" i="26" s="1"/>
  <c r="I278" i="26" s="1"/>
  <c r="I279" i="26" s="1"/>
  <c r="I280" i="26" s="1"/>
  <c r="I281" i="26" s="1"/>
  <c r="I282" i="26" s="1"/>
  <c r="I283" i="26" s="1"/>
  <c r="I284" i="26" s="1"/>
  <c r="C357" i="26"/>
  <c r="D356" i="26"/>
  <c r="L356" i="26" s="1"/>
  <c r="O1137" i="26"/>
  <c r="G530" i="26"/>
  <c r="G531" i="26" s="1"/>
  <c r="L235" i="26"/>
  <c r="E236" i="26"/>
  <c r="R854" i="26"/>
  <c r="T854" i="26" s="1"/>
  <c r="V854" i="26" s="1"/>
  <c r="G1166" i="26"/>
  <c r="G1167" i="26" s="1"/>
  <c r="F236" i="26"/>
  <c r="T1845" i="4"/>
  <c r="U1856" i="4"/>
  <c r="H157" i="26"/>
  <c r="G747" i="26"/>
  <c r="G746" i="26"/>
  <c r="R1269" i="26"/>
  <c r="T1269" i="26" s="1"/>
  <c r="V1269" i="26" s="1"/>
  <c r="O501" i="26"/>
  <c r="N623" i="26"/>
  <c r="H623" i="26" s="1"/>
  <c r="D991" i="26"/>
  <c r="L991" i="26" s="1"/>
  <c r="C992" i="26"/>
  <c r="E991" i="26"/>
  <c r="N501" i="26"/>
  <c r="H501" i="26"/>
  <c r="R501" i="26" s="1"/>
  <c r="P504" i="26" s="1"/>
  <c r="F1167" i="26"/>
  <c r="V633" i="26"/>
  <c r="S530" i="26" l="1"/>
  <c r="R354" i="26"/>
  <c r="V354" i="26" s="1"/>
  <c r="E356" i="26"/>
  <c r="F356" i="26" s="1"/>
  <c r="P356" i="26" s="1"/>
  <c r="U356" i="26" s="1"/>
  <c r="J357" i="26"/>
  <c r="Q358" i="26"/>
  <c r="K357" i="26"/>
  <c r="T504" i="26"/>
  <c r="J992" i="26"/>
  <c r="Q993" i="26"/>
  <c r="K992" i="26"/>
  <c r="M358" i="26"/>
  <c r="G357" i="26"/>
  <c r="N357" i="26"/>
  <c r="T357" i="26" s="1"/>
  <c r="G310" i="26"/>
  <c r="J310" i="26"/>
  <c r="H310" i="26"/>
  <c r="F310" i="26"/>
  <c r="E310" i="26"/>
  <c r="G946" i="26"/>
  <c r="H946" i="26"/>
  <c r="J946" i="26"/>
  <c r="E946" i="26"/>
  <c r="F946" i="26"/>
  <c r="H996" i="26"/>
  <c r="I996" i="26"/>
  <c r="O997" i="26"/>
  <c r="X315" i="26"/>
  <c r="D314" i="26"/>
  <c r="K314" i="26"/>
  <c r="X318" i="26"/>
  <c r="I314" i="26"/>
  <c r="C314" i="26"/>
  <c r="O358" i="26"/>
  <c r="I357" i="26"/>
  <c r="H357" i="26"/>
  <c r="N994" i="26"/>
  <c r="T994" i="26" s="1"/>
  <c r="M995" i="26"/>
  <c r="G994" i="26"/>
  <c r="X951" i="26"/>
  <c r="K950" i="26"/>
  <c r="D950" i="26"/>
  <c r="I950" i="26"/>
  <c r="X954" i="26"/>
  <c r="C950" i="26"/>
  <c r="I768" i="26"/>
  <c r="Q771" i="26" s="1"/>
  <c r="T1166" i="26"/>
  <c r="I132" i="26"/>
  <c r="P135" i="26" s="1"/>
  <c r="R132" i="26"/>
  <c r="T1871" i="4"/>
  <c r="U1884" i="4"/>
  <c r="T1884" i="4" s="1"/>
  <c r="R355" i="26"/>
  <c r="V355" i="26" s="1"/>
  <c r="T1140" i="26"/>
  <c r="U504" i="26"/>
  <c r="U1140" i="26"/>
  <c r="F1168" i="26"/>
  <c r="G1168" i="26"/>
  <c r="G1169" i="26" s="1"/>
  <c r="G1170" i="26" s="1"/>
  <c r="G1171" i="26" s="1"/>
  <c r="G1172" i="26" s="1"/>
  <c r="G1173" i="26" s="1"/>
  <c r="G1174" i="26" s="1"/>
  <c r="G1175" i="26" s="1"/>
  <c r="G1176" i="26" s="1"/>
  <c r="G1177" i="26" s="1"/>
  <c r="G1178" i="26" s="1"/>
  <c r="G1179" i="26" s="1"/>
  <c r="G1180" i="26" s="1"/>
  <c r="G1181" i="26" s="1"/>
  <c r="G1182" i="26" s="1"/>
  <c r="G1183" i="26" s="1"/>
  <c r="G1184" i="26" s="1"/>
  <c r="G1185" i="26" s="1"/>
  <c r="G1186" i="26" s="1"/>
  <c r="G1187" i="26" s="1"/>
  <c r="G1188" i="26" s="1"/>
  <c r="G1189" i="26" s="1"/>
  <c r="G1190" i="26" s="1"/>
  <c r="G1191" i="26" s="1"/>
  <c r="G1192" i="26" s="1"/>
  <c r="G1193" i="26" s="1"/>
  <c r="G1194" i="26" s="1"/>
  <c r="G1195" i="26" s="1"/>
  <c r="G1196" i="26" s="1"/>
  <c r="G1197" i="26" s="1"/>
  <c r="G1198" i="26" s="1"/>
  <c r="G1199" i="26" s="1"/>
  <c r="G1200" i="26" s="1"/>
  <c r="G1201" i="26" s="1"/>
  <c r="G1202" i="26" s="1"/>
  <c r="G1203" i="26" s="1"/>
  <c r="G1204" i="26" s="1"/>
  <c r="G1205" i="26" s="1"/>
  <c r="G1206" i="26" s="1"/>
  <c r="G1207" i="26" s="1"/>
  <c r="G1208" i="26" s="1"/>
  <c r="G1209" i="26" s="1"/>
  <c r="G1210" i="26" s="1"/>
  <c r="G1211" i="26" s="1"/>
  <c r="G1212" i="26" s="1"/>
  <c r="G1213" i="26" s="1"/>
  <c r="G1214" i="26" s="1"/>
  <c r="G1215" i="26" s="1"/>
  <c r="C1167" i="26"/>
  <c r="R990" i="26"/>
  <c r="V990" i="26" s="1"/>
  <c r="E873" i="26"/>
  <c r="M871" i="26"/>
  <c r="I157" i="26"/>
  <c r="H160" i="26"/>
  <c r="R157" i="26"/>
  <c r="E532" i="26"/>
  <c r="T1856" i="4"/>
  <c r="U1873" i="4"/>
  <c r="T530" i="26"/>
  <c r="F532" i="26"/>
  <c r="F873" i="26"/>
  <c r="F237" i="26"/>
  <c r="R793" i="26"/>
  <c r="I793" i="26"/>
  <c r="H796" i="26"/>
  <c r="L236" i="26"/>
  <c r="M236" i="26" s="1"/>
  <c r="Q236" i="26" s="1"/>
  <c r="E237" i="26"/>
  <c r="E1168" i="26"/>
  <c r="S1166" i="26"/>
  <c r="M235" i="26"/>
  <c r="G532" i="26"/>
  <c r="G533" i="26" s="1"/>
  <c r="G534" i="26" s="1"/>
  <c r="G535" i="26" s="1"/>
  <c r="G536" i="26" s="1"/>
  <c r="G537" i="26" s="1"/>
  <c r="G538" i="26" s="1"/>
  <c r="G539" i="26" s="1"/>
  <c r="G540" i="26" s="1"/>
  <c r="G541" i="26" s="1"/>
  <c r="G542" i="26" s="1"/>
  <c r="G543" i="26" s="1"/>
  <c r="G544" i="26" s="1"/>
  <c r="G545" i="26" s="1"/>
  <c r="G546" i="26" s="1"/>
  <c r="G547" i="26" s="1"/>
  <c r="G548" i="26" s="1"/>
  <c r="G549" i="26" s="1"/>
  <c r="G550" i="26" s="1"/>
  <c r="G551" i="26" s="1"/>
  <c r="G552" i="26" s="1"/>
  <c r="G553" i="26" s="1"/>
  <c r="G554" i="26" s="1"/>
  <c r="G555" i="26" s="1"/>
  <c r="G556" i="26" s="1"/>
  <c r="G557" i="26" s="1"/>
  <c r="G558" i="26" s="1"/>
  <c r="G559" i="26" s="1"/>
  <c r="G560" i="26" s="1"/>
  <c r="G561" i="26" s="1"/>
  <c r="G562" i="26" s="1"/>
  <c r="G563" i="26" s="1"/>
  <c r="G564" i="26" s="1"/>
  <c r="G565" i="26" s="1"/>
  <c r="G566" i="26" s="1"/>
  <c r="G567" i="26" s="1"/>
  <c r="G568" i="26" s="1"/>
  <c r="G569" i="26" s="1"/>
  <c r="G570" i="26" s="1"/>
  <c r="G571" i="26" s="1"/>
  <c r="G572" i="26" s="1"/>
  <c r="G573" i="26" s="1"/>
  <c r="G574" i="26" s="1"/>
  <c r="G575" i="26" s="1"/>
  <c r="G576" i="26" s="1"/>
  <c r="G577" i="26" s="1"/>
  <c r="G578" i="26" s="1"/>
  <c r="G579" i="26" s="1"/>
  <c r="C531" i="26"/>
  <c r="I1259" i="26"/>
  <c r="I1260" i="26" s="1"/>
  <c r="S1259" i="26" s="1"/>
  <c r="C872" i="26"/>
  <c r="L872" i="26" s="1"/>
  <c r="I873" i="26"/>
  <c r="I874" i="26" s="1"/>
  <c r="I875" i="26" s="1"/>
  <c r="I876" i="26" s="1"/>
  <c r="I877" i="26" s="1"/>
  <c r="I878" i="26" s="1"/>
  <c r="I879" i="26" s="1"/>
  <c r="I880" i="26" s="1"/>
  <c r="I881" i="26" s="1"/>
  <c r="I882" i="26" s="1"/>
  <c r="I883" i="26" s="1"/>
  <c r="I884" i="26" s="1"/>
  <c r="I885" i="26" s="1"/>
  <c r="I886" i="26" s="1"/>
  <c r="I887" i="26" s="1"/>
  <c r="I888" i="26" s="1"/>
  <c r="I889" i="26" s="1"/>
  <c r="I890" i="26" s="1"/>
  <c r="I891" i="26" s="1"/>
  <c r="I892" i="26" s="1"/>
  <c r="I893" i="26" s="1"/>
  <c r="I894" i="26" s="1"/>
  <c r="I895" i="26" s="1"/>
  <c r="I896" i="26" s="1"/>
  <c r="I897" i="26" s="1"/>
  <c r="I898" i="26" s="1"/>
  <c r="I899" i="26" s="1"/>
  <c r="I900" i="26" s="1"/>
  <c r="I901" i="26" s="1"/>
  <c r="I902" i="26" s="1"/>
  <c r="I903" i="26" s="1"/>
  <c r="I904" i="26" s="1"/>
  <c r="I905" i="26" s="1"/>
  <c r="I906" i="26" s="1"/>
  <c r="I907" i="26" s="1"/>
  <c r="I908" i="26" s="1"/>
  <c r="I909" i="26" s="1"/>
  <c r="I910" i="26" s="1"/>
  <c r="I911" i="26" s="1"/>
  <c r="I912" i="26" s="1"/>
  <c r="I913" i="26" s="1"/>
  <c r="I914" i="26" s="1"/>
  <c r="I915" i="26" s="1"/>
  <c r="I916" i="26" s="1"/>
  <c r="I917" i="26" s="1"/>
  <c r="I918" i="26" s="1"/>
  <c r="I919" i="26" s="1"/>
  <c r="I920" i="26" s="1"/>
  <c r="F991" i="26"/>
  <c r="P991" i="26" s="1"/>
  <c r="U991" i="26" s="1"/>
  <c r="C358" i="26"/>
  <c r="D357" i="26"/>
  <c r="L357" i="26" s="1"/>
  <c r="U1882" i="4"/>
  <c r="T1882" i="4" s="1"/>
  <c r="T1865" i="4"/>
  <c r="C993" i="26"/>
  <c r="D992" i="26"/>
  <c r="L992" i="26" s="1"/>
  <c r="E992" i="26"/>
  <c r="C237" i="26"/>
  <c r="I623" i="26"/>
  <c r="I624" i="26" s="1"/>
  <c r="S623" i="26" s="1"/>
  <c r="Q359" i="26" l="1"/>
  <c r="J358" i="26"/>
  <c r="K358" i="26"/>
  <c r="Q135" i="26"/>
  <c r="S132" i="26"/>
  <c r="E357" i="26"/>
  <c r="F357" i="26" s="1"/>
  <c r="P357" i="26" s="1"/>
  <c r="U357" i="26" s="1"/>
  <c r="K954" i="26"/>
  <c r="X958" i="26"/>
  <c r="I954" i="26"/>
  <c r="D954" i="26"/>
  <c r="X955" i="26"/>
  <c r="C954" i="26"/>
  <c r="M996" i="26"/>
  <c r="G995" i="26"/>
  <c r="N995" i="26"/>
  <c r="T995" i="26" s="1"/>
  <c r="D318" i="26"/>
  <c r="I318" i="26"/>
  <c r="X319" i="26"/>
  <c r="K318" i="26"/>
  <c r="X322" i="26"/>
  <c r="C318" i="26"/>
  <c r="F950" i="26"/>
  <c r="E950" i="26"/>
  <c r="J950" i="26"/>
  <c r="G950" i="26"/>
  <c r="H950" i="26"/>
  <c r="M359" i="26"/>
  <c r="G358" i="26"/>
  <c r="N358" i="26"/>
  <c r="T358" i="26" s="1"/>
  <c r="O359" i="26"/>
  <c r="H358" i="26"/>
  <c r="I358" i="26"/>
  <c r="E314" i="26"/>
  <c r="G314" i="26"/>
  <c r="H314" i="26"/>
  <c r="F314" i="26"/>
  <c r="J314" i="26"/>
  <c r="O998" i="26"/>
  <c r="I997" i="26"/>
  <c r="H997" i="26"/>
  <c r="K993" i="26"/>
  <c r="J993" i="26"/>
  <c r="Q994" i="26"/>
  <c r="P771" i="26"/>
  <c r="S768" i="26"/>
  <c r="R356" i="26"/>
  <c r="V356" i="26" s="1"/>
  <c r="D993" i="26"/>
  <c r="L993" i="26" s="1"/>
  <c r="C994" i="26"/>
  <c r="E993" i="26"/>
  <c r="R991" i="26"/>
  <c r="V991" i="26" s="1"/>
  <c r="T1873" i="4"/>
  <c r="U1886" i="4"/>
  <c r="T1886" i="4" s="1"/>
  <c r="E533" i="26"/>
  <c r="S793" i="26"/>
  <c r="I796" i="26"/>
  <c r="P796" i="26" s="1"/>
  <c r="F238" i="26"/>
  <c r="D358" i="26"/>
  <c r="L358" i="26" s="1"/>
  <c r="C359" i="26"/>
  <c r="F874" i="26"/>
  <c r="F533" i="26"/>
  <c r="M872" i="26"/>
  <c r="C873" i="26"/>
  <c r="H1260" i="26"/>
  <c r="R1259" i="26" s="1"/>
  <c r="C532" i="26"/>
  <c r="K531" i="26"/>
  <c r="H161" i="26"/>
  <c r="S157" i="26"/>
  <c r="I160" i="26"/>
  <c r="P160" i="26" s="1"/>
  <c r="Q235" i="26"/>
  <c r="Q871" i="26"/>
  <c r="P235" i="26"/>
  <c r="P871" i="26"/>
  <c r="E874" i="26"/>
  <c r="H624" i="26"/>
  <c r="R623" i="26" s="1"/>
  <c r="E1169" i="26"/>
  <c r="C1168" i="26"/>
  <c r="K1167" i="26"/>
  <c r="C238" i="26"/>
  <c r="L237" i="26"/>
  <c r="E238" i="26"/>
  <c r="P236" i="26"/>
  <c r="T236" i="26" s="1"/>
  <c r="F1169" i="26"/>
  <c r="F992" i="26"/>
  <c r="P992" i="26" s="1"/>
  <c r="U992" i="26" s="1"/>
  <c r="H797" i="26"/>
  <c r="J359" i="26" l="1"/>
  <c r="K359" i="26"/>
  <c r="Q360" i="26"/>
  <c r="E358" i="26"/>
  <c r="F358" i="26" s="1"/>
  <c r="P358" i="26" s="1"/>
  <c r="U358" i="26" s="1"/>
  <c r="O360" i="26"/>
  <c r="I359" i="26"/>
  <c r="H359" i="26"/>
  <c r="M360" i="26"/>
  <c r="G359" i="26"/>
  <c r="N359" i="26"/>
  <c r="T359" i="26" s="1"/>
  <c r="O999" i="26"/>
  <c r="I998" i="26"/>
  <c r="H998" i="26"/>
  <c r="X326" i="26"/>
  <c r="I322" i="26"/>
  <c r="D322" i="26"/>
  <c r="K322" i="26"/>
  <c r="X323" i="26"/>
  <c r="C322" i="26"/>
  <c r="G996" i="26"/>
  <c r="M997" i="26"/>
  <c r="N996" i="26"/>
  <c r="T996" i="26" s="1"/>
  <c r="F318" i="26"/>
  <c r="J318" i="26"/>
  <c r="H318" i="26"/>
  <c r="E318" i="26"/>
  <c r="G318" i="26"/>
  <c r="Q995" i="26"/>
  <c r="K994" i="26"/>
  <c r="J994" i="26"/>
  <c r="G954" i="26"/>
  <c r="F954" i="26"/>
  <c r="H954" i="26"/>
  <c r="J954" i="26"/>
  <c r="E954" i="26"/>
  <c r="K958" i="26"/>
  <c r="I958" i="26"/>
  <c r="D958" i="26"/>
  <c r="X962" i="26"/>
  <c r="X959" i="26"/>
  <c r="C958" i="26"/>
  <c r="S871" i="26"/>
  <c r="T235" i="26"/>
  <c r="H162" i="26"/>
  <c r="Q872" i="26"/>
  <c r="S236" i="26"/>
  <c r="C239" i="26"/>
  <c r="F239" i="26"/>
  <c r="R992" i="26"/>
  <c r="V992" i="26" s="1"/>
  <c r="M237" i="26"/>
  <c r="Q237" i="26" s="1"/>
  <c r="F875" i="26"/>
  <c r="C1169" i="26"/>
  <c r="K1168" i="26"/>
  <c r="P872" i="26"/>
  <c r="P531" i="26"/>
  <c r="S531" i="26"/>
  <c r="T531" i="26"/>
  <c r="F1170" i="26"/>
  <c r="C874" i="26"/>
  <c r="L874" i="26" s="1"/>
  <c r="F534" i="26"/>
  <c r="D359" i="26"/>
  <c r="L359" i="26" s="1"/>
  <c r="C360" i="26"/>
  <c r="E1170" i="26"/>
  <c r="I797" i="26"/>
  <c r="P797" i="26" s="1"/>
  <c r="Q796" i="26"/>
  <c r="E875" i="26"/>
  <c r="S235" i="26"/>
  <c r="L238" i="26"/>
  <c r="M238" i="26" s="1"/>
  <c r="Q238" i="26" s="1"/>
  <c r="E239" i="26"/>
  <c r="P1167" i="26"/>
  <c r="T1167" i="26"/>
  <c r="S1167" i="26"/>
  <c r="L873" i="26"/>
  <c r="E534" i="26"/>
  <c r="K532" i="26"/>
  <c r="C533" i="26"/>
  <c r="T871" i="26"/>
  <c r="R357" i="26"/>
  <c r="V357" i="26" s="1"/>
  <c r="F993" i="26"/>
  <c r="P993" i="26" s="1"/>
  <c r="U993" i="26" s="1"/>
  <c r="Q160" i="26"/>
  <c r="I161" i="26"/>
  <c r="D994" i="26"/>
  <c r="L994" i="26" s="1"/>
  <c r="C995" i="26"/>
  <c r="E994" i="26"/>
  <c r="H798" i="26"/>
  <c r="K360" i="26" l="1"/>
  <c r="J360" i="26"/>
  <c r="Q361" i="26"/>
  <c r="E359" i="26"/>
  <c r="F359" i="26" s="1"/>
  <c r="P359" i="26" s="1"/>
  <c r="U359" i="26" s="1"/>
  <c r="G997" i="26"/>
  <c r="N997" i="26"/>
  <c r="T997" i="26" s="1"/>
  <c r="M998" i="26"/>
  <c r="H999" i="26"/>
  <c r="O1000" i="26"/>
  <c r="I999" i="26"/>
  <c r="F958" i="26"/>
  <c r="J958" i="26"/>
  <c r="G958" i="26"/>
  <c r="E958" i="26"/>
  <c r="H958" i="26"/>
  <c r="E322" i="26"/>
  <c r="H322" i="26"/>
  <c r="J322" i="26"/>
  <c r="F322" i="26"/>
  <c r="G322" i="26"/>
  <c r="D962" i="26"/>
  <c r="X963" i="26"/>
  <c r="K962" i="26"/>
  <c r="X966" i="26"/>
  <c r="I962" i="26"/>
  <c r="C962" i="26"/>
  <c r="I326" i="26"/>
  <c r="X327" i="26"/>
  <c r="D326" i="26"/>
  <c r="K326" i="26"/>
  <c r="X330" i="26"/>
  <c r="C326" i="26"/>
  <c r="M361" i="26"/>
  <c r="G360" i="26"/>
  <c r="N360" i="26"/>
  <c r="T360" i="26" s="1"/>
  <c r="Q996" i="26"/>
  <c r="J995" i="26"/>
  <c r="K995" i="26"/>
  <c r="O361" i="26"/>
  <c r="H360" i="26"/>
  <c r="I360" i="26"/>
  <c r="S872" i="26"/>
  <c r="R993" i="26"/>
  <c r="V993" i="26" s="1"/>
  <c r="C1170" i="26"/>
  <c r="K1169" i="26"/>
  <c r="P1168" i="26"/>
  <c r="T1168" i="26"/>
  <c r="S1168" i="26"/>
  <c r="F240" i="26"/>
  <c r="R358" i="26"/>
  <c r="V358" i="26" s="1"/>
  <c r="F1171" i="26"/>
  <c r="P237" i="26"/>
  <c r="T237" i="26" s="1"/>
  <c r="C240" i="26"/>
  <c r="M873" i="26"/>
  <c r="Q873" i="26" s="1"/>
  <c r="F876" i="26"/>
  <c r="F994" i="26"/>
  <c r="P994" i="26" s="1"/>
  <c r="U994" i="26" s="1"/>
  <c r="E1171" i="26"/>
  <c r="E876" i="26"/>
  <c r="H799" i="26"/>
  <c r="C996" i="26"/>
  <c r="E995" i="26"/>
  <c r="D995" i="26"/>
  <c r="L995" i="26" s="1"/>
  <c r="T872" i="26"/>
  <c r="P532" i="26"/>
  <c r="S532" i="26"/>
  <c r="T532" i="26"/>
  <c r="E535" i="26"/>
  <c r="P238" i="26"/>
  <c r="T238" i="26" s="1"/>
  <c r="D360" i="26"/>
  <c r="L360" i="26" s="1"/>
  <c r="C361" i="26"/>
  <c r="K533" i="26"/>
  <c r="C534" i="26"/>
  <c r="Q797" i="26"/>
  <c r="I798" i="26"/>
  <c r="Q161" i="26"/>
  <c r="I162" i="26"/>
  <c r="M874" i="26"/>
  <c r="Q874" i="26" s="1"/>
  <c r="C875" i="26"/>
  <c r="L875" i="26" s="1"/>
  <c r="F535" i="26"/>
  <c r="H163" i="26"/>
  <c r="E240" i="26"/>
  <c r="L239" i="26"/>
  <c r="M239" i="26" s="1"/>
  <c r="Q239" i="26" s="1"/>
  <c r="P161" i="26"/>
  <c r="K361" i="26" l="1"/>
  <c r="Q362" i="26"/>
  <c r="J361" i="26"/>
  <c r="E360" i="26"/>
  <c r="F360" i="26" s="1"/>
  <c r="P360" i="26" s="1"/>
  <c r="U360" i="26" s="1"/>
  <c r="F326" i="26"/>
  <c r="J326" i="26"/>
  <c r="G326" i="26"/>
  <c r="H326" i="26"/>
  <c r="E326" i="26"/>
  <c r="O362" i="26"/>
  <c r="I361" i="26"/>
  <c r="H361" i="26"/>
  <c r="J996" i="26"/>
  <c r="Q997" i="26"/>
  <c r="K996" i="26"/>
  <c r="D966" i="26"/>
  <c r="K966" i="26"/>
  <c r="X970" i="26"/>
  <c r="I966" i="26"/>
  <c r="X967" i="26"/>
  <c r="C966" i="26"/>
  <c r="I1000" i="26"/>
  <c r="H1000" i="26"/>
  <c r="O1001" i="26"/>
  <c r="E962" i="26"/>
  <c r="H962" i="26"/>
  <c r="F962" i="26"/>
  <c r="G962" i="26"/>
  <c r="J962" i="26"/>
  <c r="M362" i="26"/>
  <c r="G361" i="26"/>
  <c r="N361" i="26"/>
  <c r="T361" i="26" s="1"/>
  <c r="N998" i="26"/>
  <c r="T998" i="26" s="1"/>
  <c r="M999" i="26"/>
  <c r="G998" i="26"/>
  <c r="I330" i="26"/>
  <c r="K330" i="26"/>
  <c r="X331" i="26"/>
  <c r="D330" i="26"/>
  <c r="X334" i="26"/>
  <c r="C330" i="26"/>
  <c r="P874" i="26"/>
  <c r="T874" i="26" s="1"/>
  <c r="S238" i="26"/>
  <c r="F1172" i="26"/>
  <c r="S237" i="26"/>
  <c r="I163" i="26"/>
  <c r="P163" i="26" s="1"/>
  <c r="Q162" i="26"/>
  <c r="E536" i="26"/>
  <c r="R994" i="26"/>
  <c r="V994" i="26" s="1"/>
  <c r="Q798" i="26"/>
  <c r="I799" i="26"/>
  <c r="P799" i="26" s="1"/>
  <c r="C241" i="26"/>
  <c r="P533" i="26"/>
  <c r="T533" i="26"/>
  <c r="S533" i="26"/>
  <c r="R359" i="26"/>
  <c r="V359" i="26" s="1"/>
  <c r="P873" i="26"/>
  <c r="T873" i="26" s="1"/>
  <c r="F241" i="26"/>
  <c r="F877" i="26"/>
  <c r="C535" i="26"/>
  <c r="K534" i="26"/>
  <c r="C362" i="26"/>
  <c r="D361" i="26"/>
  <c r="L361" i="26" s="1"/>
  <c r="P239" i="26"/>
  <c r="T239" i="26" s="1"/>
  <c r="E241" i="26"/>
  <c r="L240" i="26"/>
  <c r="P798" i="26"/>
  <c r="H164" i="26"/>
  <c r="H800" i="26"/>
  <c r="P162" i="26"/>
  <c r="P1169" i="26"/>
  <c r="T1169" i="26"/>
  <c r="S1169" i="26"/>
  <c r="F536" i="26"/>
  <c r="E877" i="26"/>
  <c r="C1171" i="26"/>
  <c r="K1170" i="26"/>
  <c r="F995" i="26"/>
  <c r="P995" i="26" s="1"/>
  <c r="U995" i="26" s="1"/>
  <c r="E996" i="26"/>
  <c r="C997" i="26"/>
  <c r="D996" i="26"/>
  <c r="L996" i="26" s="1"/>
  <c r="C876" i="26"/>
  <c r="L876" i="26" s="1"/>
  <c r="M875" i="26"/>
  <c r="Q875" i="26" s="1"/>
  <c r="E1172" i="26"/>
  <c r="Q363" i="26" l="1"/>
  <c r="K362" i="26"/>
  <c r="J362" i="26"/>
  <c r="H1001" i="26"/>
  <c r="I1001" i="26"/>
  <c r="O1002" i="26"/>
  <c r="J966" i="26"/>
  <c r="H966" i="26"/>
  <c r="E966" i="26"/>
  <c r="F966" i="26"/>
  <c r="G966" i="26"/>
  <c r="I970" i="26"/>
  <c r="D970" i="26"/>
  <c r="K970" i="26"/>
  <c r="X971" i="26"/>
  <c r="C970" i="26"/>
  <c r="G362" i="26"/>
  <c r="N362" i="26"/>
  <c r="T362" i="26" s="1"/>
  <c r="M363" i="26"/>
  <c r="E361" i="26"/>
  <c r="F361" i="26" s="1"/>
  <c r="P361" i="26" s="1"/>
  <c r="U361" i="26" s="1"/>
  <c r="Q998" i="26"/>
  <c r="K997" i="26"/>
  <c r="J997" i="26"/>
  <c r="J330" i="26"/>
  <c r="F330" i="26"/>
  <c r="E330" i="26"/>
  <c r="G330" i="26"/>
  <c r="H330" i="26"/>
  <c r="X335" i="26"/>
  <c r="D334" i="26"/>
  <c r="K334" i="26"/>
  <c r="I334" i="26"/>
  <c r="C334" i="26"/>
  <c r="O363" i="26"/>
  <c r="I362" i="26"/>
  <c r="H362" i="26"/>
  <c r="G999" i="26"/>
  <c r="N999" i="26"/>
  <c r="T999" i="26" s="1"/>
  <c r="M1000" i="26"/>
  <c r="R995" i="26"/>
  <c r="V995" i="26" s="1"/>
  <c r="S874" i="26"/>
  <c r="S239" i="26"/>
  <c r="S873" i="26"/>
  <c r="P875" i="26"/>
  <c r="T875" i="26" s="1"/>
  <c r="C242" i="26"/>
  <c r="M240" i="26"/>
  <c r="P240" i="26" s="1"/>
  <c r="P1170" i="26"/>
  <c r="T1170" i="26"/>
  <c r="S1170" i="26"/>
  <c r="H801" i="26"/>
  <c r="H165" i="26"/>
  <c r="F537" i="26"/>
  <c r="I800" i="26"/>
  <c r="Q799" i="26"/>
  <c r="E537" i="26"/>
  <c r="F242" i="26"/>
  <c r="F878" i="26"/>
  <c r="E878" i="26"/>
  <c r="Q163" i="26"/>
  <c r="I164" i="26"/>
  <c r="E1173" i="26"/>
  <c r="R360" i="26"/>
  <c r="V360" i="26" s="1"/>
  <c r="L241" i="26"/>
  <c r="E242" i="26"/>
  <c r="K1171" i="26"/>
  <c r="C1172" i="26"/>
  <c r="M876" i="26"/>
  <c r="Q876" i="26" s="1"/>
  <c r="C877" i="26"/>
  <c r="L877" i="26" s="1"/>
  <c r="D997" i="26"/>
  <c r="L997" i="26" s="1"/>
  <c r="E997" i="26"/>
  <c r="C998" i="26"/>
  <c r="C363" i="26"/>
  <c r="D362" i="26"/>
  <c r="L362" i="26" s="1"/>
  <c r="F1173" i="26"/>
  <c r="F996" i="26"/>
  <c r="P996" i="26" s="1"/>
  <c r="U996" i="26" s="1"/>
  <c r="P534" i="26"/>
  <c r="T534" i="26"/>
  <c r="S534" i="26"/>
  <c r="C536" i="26"/>
  <c r="K535" i="26"/>
  <c r="J363" i="26" l="1"/>
  <c r="K363" i="26"/>
  <c r="Q364" i="26"/>
  <c r="E362" i="26"/>
  <c r="F362" i="26" s="1"/>
  <c r="P362" i="26" s="1"/>
  <c r="U362" i="26" s="1"/>
  <c r="M364" i="26"/>
  <c r="G363" i="26"/>
  <c r="N363" i="26"/>
  <c r="T363" i="26" s="1"/>
  <c r="G1000" i="26"/>
  <c r="N1000" i="26"/>
  <c r="T1000" i="26" s="1"/>
  <c r="M1001" i="26"/>
  <c r="H970" i="26"/>
  <c r="G970" i="26"/>
  <c r="E970" i="26"/>
  <c r="F970" i="26"/>
  <c r="J970" i="26"/>
  <c r="Q999" i="26"/>
  <c r="J998" i="26"/>
  <c r="K998" i="26"/>
  <c r="O364" i="26"/>
  <c r="I363" i="26"/>
  <c r="H363" i="26"/>
  <c r="I1002" i="26"/>
  <c r="H1002" i="26"/>
  <c r="O1003" i="26"/>
  <c r="J334" i="26"/>
  <c r="H334" i="26"/>
  <c r="G334" i="26"/>
  <c r="F334" i="26"/>
  <c r="E334" i="26"/>
  <c r="S875" i="26"/>
  <c r="Q164" i="26"/>
  <c r="I165" i="26"/>
  <c r="P165" i="26" s="1"/>
  <c r="E538" i="26"/>
  <c r="P535" i="26"/>
  <c r="T535" i="26"/>
  <c r="S535" i="26"/>
  <c r="F1174" i="26"/>
  <c r="F243" i="26"/>
  <c r="C537" i="26"/>
  <c r="K536" i="26"/>
  <c r="C999" i="26"/>
  <c r="D998" i="26"/>
  <c r="L998" i="26" s="1"/>
  <c r="E998" i="26"/>
  <c r="P876" i="26"/>
  <c r="T876" i="26" s="1"/>
  <c r="H166" i="26"/>
  <c r="Q800" i="26"/>
  <c r="I801" i="26"/>
  <c r="P801" i="26" s="1"/>
  <c r="H802" i="26"/>
  <c r="R996" i="26"/>
  <c r="V996" i="26" s="1"/>
  <c r="C878" i="26"/>
  <c r="L878" i="26" s="1"/>
  <c r="M877" i="26"/>
  <c r="Q877" i="26" s="1"/>
  <c r="P1171" i="26"/>
  <c r="S1171" i="26"/>
  <c r="T1171" i="26"/>
  <c r="P800" i="26"/>
  <c r="F997" i="26"/>
  <c r="P997" i="26" s="1"/>
  <c r="U997" i="26" s="1"/>
  <c r="C1173" i="26"/>
  <c r="K1172" i="26"/>
  <c r="R361" i="26"/>
  <c r="V361" i="26" s="1"/>
  <c r="E879" i="26"/>
  <c r="F879" i="26"/>
  <c r="D363" i="26"/>
  <c r="L363" i="26" s="1"/>
  <c r="C364" i="26"/>
  <c r="F538" i="26"/>
  <c r="P164" i="26"/>
  <c r="E243" i="26"/>
  <c r="L242" i="26"/>
  <c r="Q240" i="26"/>
  <c r="T240" i="26" s="1"/>
  <c r="M241" i="26"/>
  <c r="C243" i="26"/>
  <c r="E1174" i="26"/>
  <c r="J364" i="26" l="1"/>
  <c r="K364" i="26"/>
  <c r="Q365" i="26"/>
  <c r="E363" i="26"/>
  <c r="F363" i="26" s="1"/>
  <c r="P363" i="26" s="1"/>
  <c r="U363" i="26" s="1"/>
  <c r="Q1000" i="26"/>
  <c r="K999" i="26"/>
  <c r="J999" i="26"/>
  <c r="G1001" i="26"/>
  <c r="M1002" i="26"/>
  <c r="N1001" i="26"/>
  <c r="T1001" i="26" s="1"/>
  <c r="O365" i="26"/>
  <c r="I364" i="26"/>
  <c r="H364" i="26"/>
  <c r="I1003" i="26"/>
  <c r="H1003" i="26"/>
  <c r="O1004" i="26"/>
  <c r="G364" i="26"/>
  <c r="N364" i="26"/>
  <c r="T364" i="26" s="1"/>
  <c r="M365" i="26"/>
  <c r="P877" i="26"/>
  <c r="S877" i="26" s="1"/>
  <c r="H803" i="26"/>
  <c r="I802" i="26"/>
  <c r="Q801" i="26"/>
  <c r="F880" i="26"/>
  <c r="E999" i="26"/>
  <c r="D999" i="26"/>
  <c r="L999" i="26" s="1"/>
  <c r="C1000" i="26"/>
  <c r="K1173" i="26"/>
  <c r="C1174" i="26"/>
  <c r="F1175" i="26"/>
  <c r="F998" i="26"/>
  <c r="P998" i="26" s="1"/>
  <c r="U998" i="26" s="1"/>
  <c r="R997" i="26"/>
  <c r="V997" i="26" s="1"/>
  <c r="L243" i="26"/>
  <c r="E244" i="26"/>
  <c r="H167" i="26"/>
  <c r="E880" i="26"/>
  <c r="E539" i="26"/>
  <c r="C365" i="26"/>
  <c r="D364" i="26"/>
  <c r="L364" i="26" s="1"/>
  <c r="F244" i="26"/>
  <c r="Q165" i="26"/>
  <c r="I166" i="26"/>
  <c r="P166" i="26" s="1"/>
  <c r="P536" i="26"/>
  <c r="S536" i="26"/>
  <c r="T536" i="26"/>
  <c r="C244" i="26"/>
  <c r="F539" i="26"/>
  <c r="K537" i="26"/>
  <c r="C538" i="26"/>
  <c r="P1172" i="26"/>
  <c r="S1172" i="26"/>
  <c r="T1172" i="26"/>
  <c r="S240" i="26"/>
  <c r="E1175" i="26"/>
  <c r="Q241" i="26"/>
  <c r="P241" i="26"/>
  <c r="S876" i="26"/>
  <c r="R362" i="26"/>
  <c r="V362" i="26" s="1"/>
  <c r="M878" i="26"/>
  <c r="Q878" i="26" s="1"/>
  <c r="C879" i="26"/>
  <c r="L879" i="26" s="1"/>
  <c r="M242" i="26"/>
  <c r="Q242" i="26" s="1"/>
  <c r="Q366" i="26" l="1"/>
  <c r="K365" i="26"/>
  <c r="J365" i="26"/>
  <c r="I1004" i="26"/>
  <c r="O1005" i="26"/>
  <c r="H1004" i="26"/>
  <c r="O366" i="26"/>
  <c r="I365" i="26"/>
  <c r="H365" i="26"/>
  <c r="N1002" i="26"/>
  <c r="T1002" i="26" s="1"/>
  <c r="M1003" i="26"/>
  <c r="G1002" i="26"/>
  <c r="E364" i="26"/>
  <c r="F364" i="26" s="1"/>
  <c r="P364" i="26" s="1"/>
  <c r="U364" i="26" s="1"/>
  <c r="M366" i="26"/>
  <c r="G365" i="26"/>
  <c r="N365" i="26"/>
  <c r="T365" i="26" s="1"/>
  <c r="T241" i="26"/>
  <c r="Q1001" i="26"/>
  <c r="J1000" i="26"/>
  <c r="K1000" i="26"/>
  <c r="T877" i="26"/>
  <c r="P878" i="26"/>
  <c r="S878" i="26" s="1"/>
  <c r="L244" i="26"/>
  <c r="M244" i="26" s="1"/>
  <c r="Q244" i="26" s="1"/>
  <c r="E245" i="26"/>
  <c r="C1175" i="26"/>
  <c r="K1174" i="26"/>
  <c r="E1176" i="26"/>
  <c r="C539" i="26"/>
  <c r="K538" i="26"/>
  <c r="P1173" i="26"/>
  <c r="S1173" i="26"/>
  <c r="T1173" i="26"/>
  <c r="R363" i="26"/>
  <c r="V363" i="26" s="1"/>
  <c r="C245" i="26"/>
  <c r="D1000" i="26"/>
  <c r="L1000" i="26" s="1"/>
  <c r="C1001" i="26"/>
  <c r="E1000" i="26"/>
  <c r="F999" i="26"/>
  <c r="P999" i="26" s="1"/>
  <c r="U999" i="26" s="1"/>
  <c r="F245" i="26"/>
  <c r="F881" i="26"/>
  <c r="P537" i="26"/>
  <c r="S537" i="26"/>
  <c r="T537" i="26"/>
  <c r="S241" i="26"/>
  <c r="H168" i="26"/>
  <c r="R998" i="26"/>
  <c r="V998" i="26" s="1"/>
  <c r="Q802" i="26"/>
  <c r="I803" i="26"/>
  <c r="E881" i="26"/>
  <c r="C366" i="26"/>
  <c r="D365" i="26"/>
  <c r="L365" i="26" s="1"/>
  <c r="P242" i="26"/>
  <c r="T242" i="26" s="1"/>
  <c r="F540" i="26"/>
  <c r="F1176" i="26"/>
  <c r="I167" i="26"/>
  <c r="P167" i="26" s="1"/>
  <c r="Q166" i="26"/>
  <c r="E540" i="26"/>
  <c r="H804" i="26"/>
  <c r="M243" i="26"/>
  <c r="Q243" i="26" s="1"/>
  <c r="C880" i="26"/>
  <c r="L880" i="26" s="1"/>
  <c r="M879" i="26"/>
  <c r="Q879" i="26" s="1"/>
  <c r="P802" i="26"/>
  <c r="E365" i="26" l="1"/>
  <c r="F365" i="26" s="1"/>
  <c r="P365" i="26" s="1"/>
  <c r="U365" i="26" s="1"/>
  <c r="Q367" i="26"/>
  <c r="K366" i="26"/>
  <c r="J366" i="26"/>
  <c r="P879" i="26"/>
  <c r="T879" i="26" s="1"/>
  <c r="J1001" i="26"/>
  <c r="Q1002" i="26"/>
  <c r="K1001" i="26"/>
  <c r="N366" i="26"/>
  <c r="T366" i="26" s="1"/>
  <c r="M367" i="26"/>
  <c r="G366" i="26"/>
  <c r="O367" i="26"/>
  <c r="I366" i="26"/>
  <c r="H366" i="26"/>
  <c r="H1005" i="26"/>
  <c r="O1006" i="26"/>
  <c r="I1005" i="26"/>
  <c r="N1003" i="26"/>
  <c r="T1003" i="26" s="1"/>
  <c r="G1003" i="26"/>
  <c r="M1004" i="26"/>
  <c r="T878" i="26"/>
  <c r="E541" i="26"/>
  <c r="F246" i="26"/>
  <c r="F1000" i="26"/>
  <c r="P1000" i="26" s="1"/>
  <c r="U1000" i="26" s="1"/>
  <c r="C246" i="26"/>
  <c r="P538" i="26"/>
  <c r="S538" i="26"/>
  <c r="T538" i="26"/>
  <c r="F541" i="26"/>
  <c r="C540" i="26"/>
  <c r="K539" i="26"/>
  <c r="E1177" i="26"/>
  <c r="C1002" i="26"/>
  <c r="D1001" i="26"/>
  <c r="L1001" i="26" s="1"/>
  <c r="E1001" i="26"/>
  <c r="H169" i="26"/>
  <c r="P1174" i="26"/>
  <c r="S1174" i="26"/>
  <c r="T1174" i="26"/>
  <c r="C1176" i="26"/>
  <c r="K1175" i="26"/>
  <c r="I168" i="26"/>
  <c r="P168" i="26" s="1"/>
  <c r="Q167" i="26"/>
  <c r="R999" i="26"/>
  <c r="V999" i="26" s="1"/>
  <c r="Q803" i="26"/>
  <c r="I804" i="26"/>
  <c r="C881" i="26"/>
  <c r="M880" i="26"/>
  <c r="L245" i="26"/>
  <c r="E246" i="26"/>
  <c r="E882" i="26"/>
  <c r="P244" i="26"/>
  <c r="T244" i="26" s="1"/>
  <c r="F882" i="26"/>
  <c r="C367" i="26"/>
  <c r="D366" i="26"/>
  <c r="L366" i="26" s="1"/>
  <c r="P243" i="26"/>
  <c r="T243" i="26" s="1"/>
  <c r="S242" i="26"/>
  <c r="F1177" i="26"/>
  <c r="R364" i="26"/>
  <c r="V364" i="26" s="1"/>
  <c r="H805" i="26"/>
  <c r="P803" i="26"/>
  <c r="S879" i="26" l="1"/>
  <c r="E366" i="26"/>
  <c r="F366" i="26" s="1"/>
  <c r="P366" i="26" s="1"/>
  <c r="U366" i="26" s="1"/>
  <c r="Q368" i="26"/>
  <c r="J367" i="26"/>
  <c r="K367" i="26"/>
  <c r="O368" i="26"/>
  <c r="H367" i="26"/>
  <c r="I367" i="26"/>
  <c r="G367" i="26"/>
  <c r="M368" i="26"/>
  <c r="N367" i="26"/>
  <c r="T367" i="26" s="1"/>
  <c r="G1004" i="26"/>
  <c r="M1005" i="26"/>
  <c r="N1004" i="26"/>
  <c r="T1004" i="26" s="1"/>
  <c r="Q1003" i="26"/>
  <c r="K1002" i="26"/>
  <c r="J1002" i="26"/>
  <c r="O1007" i="26"/>
  <c r="I1006" i="26"/>
  <c r="H1006" i="26"/>
  <c r="R365" i="26"/>
  <c r="V365" i="26" s="1"/>
  <c r="F883" i="26"/>
  <c r="L246" i="26"/>
  <c r="M246" i="26" s="1"/>
  <c r="Q246" i="26" s="1"/>
  <c r="E247" i="26"/>
  <c r="C541" i="26"/>
  <c r="K540" i="26"/>
  <c r="E1002" i="26"/>
  <c r="D1002" i="26"/>
  <c r="L1002" i="26" s="1"/>
  <c r="C1003" i="26"/>
  <c r="C882" i="26"/>
  <c r="M245" i="26"/>
  <c r="Q245" i="26" s="1"/>
  <c r="C368" i="26"/>
  <c r="D367" i="26"/>
  <c r="L367" i="26" s="1"/>
  <c r="P539" i="26"/>
  <c r="S539" i="26"/>
  <c r="T539" i="26"/>
  <c r="C247" i="26"/>
  <c r="F1001" i="26"/>
  <c r="P1001" i="26" s="1"/>
  <c r="U1001" i="26" s="1"/>
  <c r="L881" i="26"/>
  <c r="R1000" i="26"/>
  <c r="V1000" i="26" s="1"/>
  <c r="E1178" i="26"/>
  <c r="Q880" i="26"/>
  <c r="F247" i="26"/>
  <c r="E883" i="26"/>
  <c r="F542" i="26"/>
  <c r="S243" i="26"/>
  <c r="I169" i="26"/>
  <c r="Q168" i="26"/>
  <c r="H806" i="26"/>
  <c r="F1178" i="26"/>
  <c r="H170" i="26"/>
  <c r="P169" i="26"/>
  <c r="Q804" i="26"/>
  <c r="I805" i="26"/>
  <c r="P804" i="26"/>
  <c r="P1175" i="26"/>
  <c r="T1175" i="26"/>
  <c r="S1175" i="26"/>
  <c r="E542" i="26"/>
  <c r="C1177" i="26"/>
  <c r="K1176" i="26"/>
  <c r="P880" i="26"/>
  <c r="S244" i="26"/>
  <c r="Q369" i="26" l="1"/>
  <c r="K368" i="26"/>
  <c r="J368" i="26"/>
  <c r="G1005" i="26"/>
  <c r="N1005" i="26"/>
  <c r="T1005" i="26" s="1"/>
  <c r="M1006" i="26"/>
  <c r="N368" i="26"/>
  <c r="T368" i="26" s="1"/>
  <c r="M369" i="26"/>
  <c r="G368" i="26"/>
  <c r="K1003" i="26"/>
  <c r="J1003" i="26"/>
  <c r="Q1004" i="26"/>
  <c r="O369" i="26"/>
  <c r="I368" i="26"/>
  <c r="H368" i="26"/>
  <c r="E367" i="26"/>
  <c r="F367" i="26" s="1"/>
  <c r="P367" i="26" s="1"/>
  <c r="U367" i="26" s="1"/>
  <c r="I1007" i="26"/>
  <c r="O1008" i="26"/>
  <c r="H1007" i="26"/>
  <c r="S880" i="26"/>
  <c r="P245" i="26"/>
  <c r="T245" i="26" s="1"/>
  <c r="Q805" i="26"/>
  <c r="I806" i="26"/>
  <c r="P806" i="26" s="1"/>
  <c r="C248" i="26"/>
  <c r="D1003" i="26"/>
  <c r="L1003" i="26" s="1"/>
  <c r="E1003" i="26"/>
  <c r="C1004" i="26"/>
  <c r="F1179" i="26"/>
  <c r="F1002" i="26"/>
  <c r="P1002" i="26" s="1"/>
  <c r="U1002" i="26" s="1"/>
  <c r="D368" i="26"/>
  <c r="L368" i="26" s="1"/>
  <c r="C369" i="26"/>
  <c r="P540" i="26"/>
  <c r="S540" i="26"/>
  <c r="T540" i="26"/>
  <c r="R1001" i="26"/>
  <c r="V1001" i="26" s="1"/>
  <c r="H171" i="26"/>
  <c r="H807" i="26"/>
  <c r="I170" i="26"/>
  <c r="P170" i="26" s="1"/>
  <c r="Q169" i="26"/>
  <c r="K541" i="26"/>
  <c r="C542" i="26"/>
  <c r="P805" i="26"/>
  <c r="L247" i="26"/>
  <c r="E248" i="26"/>
  <c r="T880" i="26"/>
  <c r="P246" i="26"/>
  <c r="S246" i="26" s="1"/>
  <c r="F543" i="26"/>
  <c r="F248" i="26"/>
  <c r="K1177" i="26"/>
  <c r="C1178" i="26"/>
  <c r="F884" i="26"/>
  <c r="M881" i="26"/>
  <c r="Q881" i="26" s="1"/>
  <c r="E884" i="26"/>
  <c r="P1176" i="26"/>
  <c r="S1176" i="26"/>
  <c r="T1176" i="26"/>
  <c r="E543" i="26"/>
  <c r="E1179" i="26"/>
  <c r="C883" i="26"/>
  <c r="L883" i="26" s="1"/>
  <c r="L882" i="26"/>
  <c r="M882" i="26" s="1"/>
  <c r="Q882" i="26" s="1"/>
  <c r="R366" i="26"/>
  <c r="V366" i="26" s="1"/>
  <c r="J369" i="26" l="1"/>
  <c r="K369" i="26"/>
  <c r="Q370" i="26"/>
  <c r="S245" i="26"/>
  <c r="O370" i="26"/>
  <c r="I369" i="26"/>
  <c r="H369" i="26"/>
  <c r="K1004" i="26"/>
  <c r="J1004" i="26"/>
  <c r="Q1005" i="26"/>
  <c r="O1009" i="26"/>
  <c r="I1008" i="26"/>
  <c r="H1008" i="26"/>
  <c r="G369" i="26"/>
  <c r="M370" i="26"/>
  <c r="N369" i="26"/>
  <c r="T369" i="26" s="1"/>
  <c r="E368" i="26"/>
  <c r="F368" i="26" s="1"/>
  <c r="P368" i="26" s="1"/>
  <c r="U368" i="26" s="1"/>
  <c r="M1007" i="26"/>
  <c r="N1006" i="26"/>
  <c r="T1006" i="26" s="1"/>
  <c r="G1006" i="26"/>
  <c r="P541" i="26"/>
  <c r="S541" i="26"/>
  <c r="T541" i="26"/>
  <c r="E885" i="26"/>
  <c r="H808" i="26"/>
  <c r="K542" i="26"/>
  <c r="C543" i="26"/>
  <c r="H172" i="26"/>
  <c r="P881" i="26"/>
  <c r="T881" i="26" s="1"/>
  <c r="R1002" i="26"/>
  <c r="V1002" i="26" s="1"/>
  <c r="F1180" i="26"/>
  <c r="E1004" i="26"/>
  <c r="D1004" i="26"/>
  <c r="L1004" i="26" s="1"/>
  <c r="C1005" i="26"/>
  <c r="E544" i="26"/>
  <c r="F885" i="26"/>
  <c r="F1003" i="26"/>
  <c r="P1003" i="26" s="1"/>
  <c r="U1003" i="26" s="1"/>
  <c r="M247" i="26"/>
  <c r="P247" i="26" s="1"/>
  <c r="E249" i="26"/>
  <c r="L248" i="26"/>
  <c r="M248" i="26" s="1"/>
  <c r="Q248" i="26" s="1"/>
  <c r="C249" i="26"/>
  <c r="D369" i="26"/>
  <c r="L369" i="26" s="1"/>
  <c r="C370" i="26"/>
  <c r="F544" i="26"/>
  <c r="C884" i="26"/>
  <c r="M883" i="26"/>
  <c r="Q883" i="26" s="1"/>
  <c r="I807" i="26"/>
  <c r="P807" i="26" s="1"/>
  <c r="Q806" i="26"/>
  <c r="I171" i="26"/>
  <c r="Q170" i="26"/>
  <c r="C1179" i="26"/>
  <c r="K1178" i="26"/>
  <c r="P882" i="26"/>
  <c r="S882" i="26" s="1"/>
  <c r="R367" i="26"/>
  <c r="V367" i="26" s="1"/>
  <c r="P1177" i="26"/>
  <c r="S1177" i="26"/>
  <c r="T1177" i="26"/>
  <c r="F249" i="26"/>
  <c r="E1180" i="26"/>
  <c r="T246" i="26"/>
  <c r="Q371" i="26" l="1"/>
  <c r="J370" i="26"/>
  <c r="K370" i="26"/>
  <c r="G370" i="26"/>
  <c r="M371" i="26"/>
  <c r="N370" i="26"/>
  <c r="T370" i="26" s="1"/>
  <c r="E369" i="26"/>
  <c r="F369" i="26" s="1"/>
  <c r="P369" i="26" s="1"/>
  <c r="U369" i="26" s="1"/>
  <c r="N1007" i="26"/>
  <c r="T1007" i="26" s="1"/>
  <c r="M1008" i="26"/>
  <c r="G1007" i="26"/>
  <c r="O1010" i="26"/>
  <c r="I1009" i="26"/>
  <c r="H1009" i="26"/>
  <c r="K1005" i="26"/>
  <c r="Q1006" i="26"/>
  <c r="J1005" i="26"/>
  <c r="O371" i="26"/>
  <c r="I370" i="26"/>
  <c r="H370" i="26"/>
  <c r="S881" i="26"/>
  <c r="E1005" i="26"/>
  <c r="D1005" i="26"/>
  <c r="L1005" i="26" s="1"/>
  <c r="C1006" i="26"/>
  <c r="T882" i="26"/>
  <c r="K1179" i="26"/>
  <c r="C1180" i="26"/>
  <c r="E545" i="26"/>
  <c r="P1178" i="26"/>
  <c r="S1178" i="26"/>
  <c r="T1178" i="26"/>
  <c r="R368" i="26"/>
  <c r="V368" i="26" s="1"/>
  <c r="Q171" i="26"/>
  <c r="I172" i="26"/>
  <c r="C885" i="26"/>
  <c r="H809" i="26"/>
  <c r="Q807" i="26"/>
  <c r="I808" i="26"/>
  <c r="F545" i="26"/>
  <c r="H173" i="26"/>
  <c r="P172" i="26"/>
  <c r="C371" i="26"/>
  <c r="D370" i="26"/>
  <c r="L370" i="26" s="1"/>
  <c r="E886" i="26"/>
  <c r="F886" i="26"/>
  <c r="L884" i="26"/>
  <c r="M884" i="26" s="1"/>
  <c r="Q884" i="26" s="1"/>
  <c r="F1181" i="26"/>
  <c r="L249" i="26"/>
  <c r="M249" i="26" s="1"/>
  <c r="Q249" i="26" s="1"/>
  <c r="E250" i="26"/>
  <c r="P883" i="26"/>
  <c r="T883" i="26" s="1"/>
  <c r="P542" i="26"/>
  <c r="S542" i="26"/>
  <c r="T542" i="26"/>
  <c r="E1181" i="26"/>
  <c r="F250" i="26"/>
  <c r="Q247" i="26"/>
  <c r="T247" i="26" s="1"/>
  <c r="C544" i="26"/>
  <c r="K543" i="26"/>
  <c r="C250" i="26"/>
  <c r="P248" i="26"/>
  <c r="T248" i="26" s="1"/>
  <c r="R1003" i="26"/>
  <c r="V1003" i="26" s="1"/>
  <c r="F1004" i="26"/>
  <c r="P1004" i="26" s="1"/>
  <c r="U1004" i="26" s="1"/>
  <c r="P171" i="26"/>
  <c r="E370" i="26" l="1"/>
  <c r="J371" i="26"/>
  <c r="K371" i="26"/>
  <c r="Q372" i="26"/>
  <c r="O1011" i="26"/>
  <c r="I1010" i="26"/>
  <c r="H1010" i="26"/>
  <c r="M1009" i="26"/>
  <c r="N1008" i="26"/>
  <c r="T1008" i="26" s="1"/>
  <c r="G1008" i="26"/>
  <c r="O372" i="26"/>
  <c r="H371" i="26"/>
  <c r="I371" i="26"/>
  <c r="S883" i="26"/>
  <c r="M372" i="26"/>
  <c r="N371" i="26"/>
  <c r="T371" i="26" s="1"/>
  <c r="G371" i="26"/>
  <c r="Q1007" i="26"/>
  <c r="K1006" i="26"/>
  <c r="J1006" i="26"/>
  <c r="C251" i="26"/>
  <c r="I809" i="26"/>
  <c r="Q808" i="26"/>
  <c r="P543" i="26"/>
  <c r="T543" i="26"/>
  <c r="S543" i="26"/>
  <c r="C886" i="26"/>
  <c r="L886" i="26" s="1"/>
  <c r="C545" i="26"/>
  <c r="K544" i="26"/>
  <c r="P808" i="26"/>
  <c r="S247" i="26"/>
  <c r="E546" i="26"/>
  <c r="K1180" i="26"/>
  <c r="C1181" i="26"/>
  <c r="H174" i="26"/>
  <c r="P1179" i="26"/>
  <c r="S1179" i="26"/>
  <c r="T1179" i="26"/>
  <c r="C372" i="26"/>
  <c r="D371" i="26"/>
  <c r="L371" i="26" s="1"/>
  <c r="F546" i="26"/>
  <c r="E1182" i="26"/>
  <c r="F887" i="26"/>
  <c r="C1007" i="26"/>
  <c r="D1006" i="26"/>
  <c r="L1006" i="26" s="1"/>
  <c r="E1006" i="26"/>
  <c r="F251" i="26"/>
  <c r="P249" i="26"/>
  <c r="S249" i="26" s="1"/>
  <c r="I173" i="26"/>
  <c r="P173" i="26" s="1"/>
  <c r="Q172" i="26"/>
  <c r="L250" i="26"/>
  <c r="E251" i="26"/>
  <c r="F1182" i="26"/>
  <c r="R369" i="26"/>
  <c r="V369" i="26" s="1"/>
  <c r="R1004" i="26"/>
  <c r="V1004" i="26" s="1"/>
  <c r="L885" i="26"/>
  <c r="M885" i="26" s="1"/>
  <c r="Q885" i="26" s="1"/>
  <c r="E887" i="26"/>
  <c r="F1005" i="26"/>
  <c r="P1005" i="26" s="1"/>
  <c r="U1005" i="26" s="1"/>
  <c r="F370" i="26"/>
  <c r="P370" i="26" s="1"/>
  <c r="U370" i="26" s="1"/>
  <c r="H810" i="26"/>
  <c r="P884" i="26"/>
  <c r="T884" i="26" s="1"/>
  <c r="S248" i="26"/>
  <c r="Q373" i="26" l="1"/>
  <c r="K372" i="26"/>
  <c r="J372" i="26"/>
  <c r="E371" i="26"/>
  <c r="F371" i="26" s="1"/>
  <c r="P371" i="26" s="1"/>
  <c r="U371" i="26" s="1"/>
  <c r="O373" i="26"/>
  <c r="I372" i="26"/>
  <c r="H372" i="26"/>
  <c r="N372" i="26"/>
  <c r="T372" i="26" s="1"/>
  <c r="G372" i="26"/>
  <c r="M373" i="26"/>
  <c r="K1007" i="26"/>
  <c r="Q1008" i="26"/>
  <c r="J1007" i="26"/>
  <c r="G1009" i="26"/>
  <c r="M1010" i="26"/>
  <c r="N1009" i="26"/>
  <c r="T1009" i="26" s="1"/>
  <c r="T249" i="26"/>
  <c r="I1011" i="26"/>
  <c r="O1012" i="26"/>
  <c r="H1011" i="26"/>
  <c r="S884" i="26"/>
  <c r="R370" i="26"/>
  <c r="V370" i="26" s="1"/>
  <c r="F547" i="26"/>
  <c r="C1182" i="26"/>
  <c r="K1181" i="26"/>
  <c r="L251" i="26"/>
  <c r="M251" i="26" s="1"/>
  <c r="Q251" i="26" s="1"/>
  <c r="E252" i="26"/>
  <c r="F1183" i="26"/>
  <c r="P544" i="26"/>
  <c r="T544" i="26"/>
  <c r="S544" i="26"/>
  <c r="E888" i="26"/>
  <c r="P1180" i="26"/>
  <c r="T1180" i="26"/>
  <c r="S1180" i="26"/>
  <c r="I174" i="26"/>
  <c r="Q173" i="26"/>
  <c r="P885" i="26"/>
  <c r="S885" i="26" s="1"/>
  <c r="C546" i="26"/>
  <c r="K545" i="26"/>
  <c r="F888" i="26"/>
  <c r="Q809" i="26"/>
  <c r="I810" i="26"/>
  <c r="H175" i="26"/>
  <c r="F1006" i="26"/>
  <c r="P1006" i="26" s="1"/>
  <c r="U1006" i="26" s="1"/>
  <c r="E1007" i="26"/>
  <c r="C1008" i="26"/>
  <c r="D1007" i="26"/>
  <c r="L1007" i="26" s="1"/>
  <c r="C252" i="26"/>
  <c r="C373" i="26"/>
  <c r="D372" i="26"/>
  <c r="L372" i="26" s="1"/>
  <c r="E372" i="26"/>
  <c r="E547" i="26"/>
  <c r="M886" i="26"/>
  <c r="Q886" i="26" s="1"/>
  <c r="C887" i="26"/>
  <c r="L887" i="26" s="1"/>
  <c r="E1183" i="26"/>
  <c r="M250" i="26"/>
  <c r="Q250" i="26" s="1"/>
  <c r="R1005" i="26"/>
  <c r="V1005" i="26" s="1"/>
  <c r="F252" i="26"/>
  <c r="P809" i="26"/>
  <c r="H811" i="26"/>
  <c r="Q374" i="26" l="1"/>
  <c r="J373" i="26"/>
  <c r="K373" i="26"/>
  <c r="O1013" i="26"/>
  <c r="I1012" i="26"/>
  <c r="H1012" i="26"/>
  <c r="N373" i="26"/>
  <c r="T373" i="26" s="1"/>
  <c r="G373" i="26"/>
  <c r="M374" i="26"/>
  <c r="G1010" i="26"/>
  <c r="M1011" i="26"/>
  <c r="N1010" i="26"/>
  <c r="T1010" i="26" s="1"/>
  <c r="J1008" i="26"/>
  <c r="K1008" i="26"/>
  <c r="Q1009" i="26"/>
  <c r="O374" i="26"/>
  <c r="I373" i="26"/>
  <c r="H373" i="26"/>
  <c r="Q174" i="26"/>
  <c r="I175" i="26"/>
  <c r="P175" i="26" s="1"/>
  <c r="F1007" i="26"/>
  <c r="P1007" i="26" s="1"/>
  <c r="U1007" i="26" s="1"/>
  <c r="D373" i="26"/>
  <c r="L373" i="26" s="1"/>
  <c r="C374" i="26"/>
  <c r="H812" i="26"/>
  <c r="E889" i="26"/>
  <c r="P1181" i="26"/>
  <c r="S1181" i="26"/>
  <c r="T1181" i="26"/>
  <c r="R1006" i="26"/>
  <c r="V1006" i="26" s="1"/>
  <c r="K1182" i="26"/>
  <c r="C1183" i="26"/>
  <c r="M887" i="26"/>
  <c r="Q887" i="26" s="1"/>
  <c r="C888" i="26"/>
  <c r="F372" i="26"/>
  <c r="P372" i="26" s="1"/>
  <c r="U372" i="26" s="1"/>
  <c r="H176" i="26"/>
  <c r="Q810" i="26"/>
  <c r="I811" i="26"/>
  <c r="P811" i="26" s="1"/>
  <c r="P810" i="26"/>
  <c r="P545" i="26"/>
  <c r="T545" i="26"/>
  <c r="S545" i="26"/>
  <c r="E548" i="26"/>
  <c r="C253" i="26"/>
  <c r="P174" i="26"/>
  <c r="L252" i="26"/>
  <c r="E253" i="26"/>
  <c r="F889" i="26"/>
  <c r="F253" i="26"/>
  <c r="K546" i="26"/>
  <c r="C547" i="26"/>
  <c r="F548" i="26"/>
  <c r="E1184" i="26"/>
  <c r="P250" i="26"/>
  <c r="T250" i="26" s="1"/>
  <c r="R371" i="26"/>
  <c r="V371" i="26" s="1"/>
  <c r="P886" i="26"/>
  <c r="T886" i="26" s="1"/>
  <c r="F1184" i="26"/>
  <c r="T885" i="26"/>
  <c r="D1008" i="26"/>
  <c r="L1008" i="26" s="1"/>
  <c r="C1009" i="26"/>
  <c r="E1008" i="26"/>
  <c r="P251" i="26"/>
  <c r="S251" i="26" s="1"/>
  <c r="E373" i="26" l="1"/>
  <c r="J374" i="26"/>
  <c r="K374" i="26"/>
  <c r="Q375" i="26"/>
  <c r="K1009" i="26"/>
  <c r="J1009" i="26"/>
  <c r="Q1010" i="26"/>
  <c r="I374" i="26"/>
  <c r="O375" i="26"/>
  <c r="H374" i="26"/>
  <c r="N1011" i="26"/>
  <c r="T1011" i="26" s="1"/>
  <c r="M1012" i="26"/>
  <c r="G1011" i="26"/>
  <c r="M375" i="26"/>
  <c r="N374" i="26"/>
  <c r="T374" i="26" s="1"/>
  <c r="G374" i="26"/>
  <c r="H1013" i="26"/>
  <c r="O1014" i="26"/>
  <c r="I1013" i="26"/>
  <c r="C548" i="26"/>
  <c r="K547" i="26"/>
  <c r="F254" i="26"/>
  <c r="P546" i="26"/>
  <c r="S546" i="26"/>
  <c r="T546" i="26"/>
  <c r="F373" i="26"/>
  <c r="P373" i="26" s="1"/>
  <c r="U373" i="26" s="1"/>
  <c r="R1007" i="26"/>
  <c r="V1007" i="26" s="1"/>
  <c r="H177" i="26"/>
  <c r="E1185" i="26"/>
  <c r="K1183" i="26"/>
  <c r="C1184" i="26"/>
  <c r="S250" i="26"/>
  <c r="I176" i="26"/>
  <c r="Q175" i="26"/>
  <c r="R372" i="26"/>
  <c r="V372" i="26" s="1"/>
  <c r="P1182" i="26"/>
  <c r="S1182" i="26"/>
  <c r="T1182" i="26"/>
  <c r="M252" i="26"/>
  <c r="F1008" i="26"/>
  <c r="P1008" i="26" s="1"/>
  <c r="U1008" i="26" s="1"/>
  <c r="T251" i="26"/>
  <c r="F890" i="26"/>
  <c r="C254" i="26"/>
  <c r="C889" i="26"/>
  <c r="L889" i="26" s="1"/>
  <c r="F549" i="26"/>
  <c r="L888" i="26"/>
  <c r="E890" i="26"/>
  <c r="H813" i="26"/>
  <c r="S886" i="26"/>
  <c r="F1185" i="26"/>
  <c r="Q811" i="26"/>
  <c r="I812" i="26"/>
  <c r="P812" i="26" s="1"/>
  <c r="E254" i="26"/>
  <c r="L253" i="26"/>
  <c r="D374" i="26"/>
  <c r="L374" i="26" s="1"/>
  <c r="C375" i="26"/>
  <c r="E549" i="26"/>
  <c r="D1009" i="26"/>
  <c r="L1009" i="26" s="1"/>
  <c r="C1010" i="26"/>
  <c r="E1009" i="26"/>
  <c r="P887" i="26"/>
  <c r="T887" i="26" s="1"/>
  <c r="Q376" i="26" l="1"/>
  <c r="K375" i="26"/>
  <c r="J375" i="26"/>
  <c r="E374" i="26"/>
  <c r="H1014" i="26"/>
  <c r="O1015" i="26"/>
  <c r="I1014" i="26"/>
  <c r="O376" i="26"/>
  <c r="H375" i="26"/>
  <c r="I375" i="26"/>
  <c r="N375" i="26"/>
  <c r="T375" i="26" s="1"/>
  <c r="G375" i="26"/>
  <c r="M376" i="26"/>
  <c r="J1010" i="26"/>
  <c r="K1010" i="26"/>
  <c r="Q1011" i="26"/>
  <c r="M1013" i="26"/>
  <c r="N1012" i="26"/>
  <c r="T1012" i="26" s="1"/>
  <c r="G1012" i="26"/>
  <c r="S887" i="26"/>
  <c r="F1186" i="26"/>
  <c r="I177" i="26"/>
  <c r="P177" i="26" s="1"/>
  <c r="Q176" i="26"/>
  <c r="R373" i="26"/>
  <c r="V373" i="26" s="1"/>
  <c r="C376" i="26"/>
  <c r="D375" i="26"/>
  <c r="L375" i="26" s="1"/>
  <c r="K1184" i="26"/>
  <c r="C1185" i="26"/>
  <c r="R1008" i="26"/>
  <c r="V1008" i="26" s="1"/>
  <c r="P1183" i="26"/>
  <c r="T1183" i="26"/>
  <c r="S1183" i="26"/>
  <c r="E255" i="26"/>
  <c r="L254" i="26"/>
  <c r="Q812" i="26"/>
  <c r="I813" i="26"/>
  <c r="Q252" i="26"/>
  <c r="H814" i="26"/>
  <c r="H178" i="26"/>
  <c r="F1009" i="26"/>
  <c r="P1009" i="26" s="1"/>
  <c r="U1009" i="26" s="1"/>
  <c r="C1011" i="26"/>
  <c r="E1010" i="26"/>
  <c r="D1010" i="26"/>
  <c r="L1010" i="26" s="1"/>
  <c r="C255" i="26"/>
  <c r="F255" i="26"/>
  <c r="F374" i="26"/>
  <c r="P374" i="26" s="1"/>
  <c r="U374" i="26" s="1"/>
  <c r="E1186" i="26"/>
  <c r="P176" i="26"/>
  <c r="F550" i="26"/>
  <c r="M888" i="26"/>
  <c r="Q888" i="26" s="1"/>
  <c r="C890" i="26"/>
  <c r="L890" i="26" s="1"/>
  <c r="M889" i="26"/>
  <c r="Q889" i="26" s="1"/>
  <c r="M253" i="26"/>
  <c r="Q253" i="26" s="1"/>
  <c r="E550" i="26"/>
  <c r="P547" i="26"/>
  <c r="S547" i="26"/>
  <c r="T547" i="26"/>
  <c r="P252" i="26"/>
  <c r="E891" i="26"/>
  <c r="F891" i="26"/>
  <c r="C549" i="26"/>
  <c r="K548" i="26"/>
  <c r="E375" i="26" l="1"/>
  <c r="K376" i="26"/>
  <c r="J376" i="26"/>
  <c r="Q377" i="26"/>
  <c r="M1014" i="26"/>
  <c r="G1013" i="26"/>
  <c r="N1013" i="26"/>
  <c r="T1013" i="26" s="1"/>
  <c r="O377" i="26"/>
  <c r="I376" i="26"/>
  <c r="H376" i="26"/>
  <c r="J1011" i="26"/>
  <c r="Q1012" i="26"/>
  <c r="K1011" i="26"/>
  <c r="N376" i="26"/>
  <c r="T376" i="26" s="1"/>
  <c r="G376" i="26"/>
  <c r="M377" i="26"/>
  <c r="H1015" i="26"/>
  <c r="O1016" i="26"/>
  <c r="I1015" i="26"/>
  <c r="S252" i="26"/>
  <c r="E551" i="26"/>
  <c r="E256" i="26"/>
  <c r="L255" i="26"/>
  <c r="M255" i="26" s="1"/>
  <c r="Q255" i="26" s="1"/>
  <c r="K549" i="26"/>
  <c r="C550" i="26"/>
  <c r="P548" i="26"/>
  <c r="S548" i="26"/>
  <c r="T548" i="26"/>
  <c r="F892" i="26"/>
  <c r="C256" i="26"/>
  <c r="M254" i="26"/>
  <c r="Q254" i="26" s="1"/>
  <c r="F1010" i="26"/>
  <c r="P1010" i="26" s="1"/>
  <c r="U1010" i="26" s="1"/>
  <c r="F551" i="26"/>
  <c r="F375" i="26"/>
  <c r="P375" i="26" s="1"/>
  <c r="U375" i="26" s="1"/>
  <c r="F1187" i="26"/>
  <c r="C1186" i="26"/>
  <c r="K1185" i="26"/>
  <c r="C377" i="26"/>
  <c r="D376" i="26"/>
  <c r="L376" i="26" s="1"/>
  <c r="P888" i="26"/>
  <c r="S888" i="26" s="1"/>
  <c r="P1184" i="26"/>
  <c r="S1184" i="26"/>
  <c r="T1184" i="26"/>
  <c r="Q177" i="26"/>
  <c r="I178" i="26"/>
  <c r="E892" i="26"/>
  <c r="H815" i="26"/>
  <c r="P253" i="26"/>
  <c r="S253" i="26" s="1"/>
  <c r="I814" i="26"/>
  <c r="Q813" i="26"/>
  <c r="E1187" i="26"/>
  <c r="C1012" i="26"/>
  <c r="D1011" i="26"/>
  <c r="L1011" i="26" s="1"/>
  <c r="E1011" i="26"/>
  <c r="R1009" i="26"/>
  <c r="V1009" i="26" s="1"/>
  <c r="H179" i="26"/>
  <c r="P813" i="26"/>
  <c r="C891" i="26"/>
  <c r="L891" i="26" s="1"/>
  <c r="M890" i="26"/>
  <c r="Q890" i="26" s="1"/>
  <c r="R374" i="26"/>
  <c r="V374" i="26" s="1"/>
  <c r="F256" i="26"/>
  <c r="P889" i="26"/>
  <c r="S889" i="26" s="1"/>
  <c r="T252" i="26"/>
  <c r="K377" i="26" l="1"/>
  <c r="Q378" i="26"/>
  <c r="J377" i="26"/>
  <c r="K1012" i="26"/>
  <c r="Q1013" i="26"/>
  <c r="J1012" i="26"/>
  <c r="M378" i="26"/>
  <c r="N377" i="26"/>
  <c r="T377" i="26" s="1"/>
  <c r="G377" i="26"/>
  <c r="I1016" i="26"/>
  <c r="H1016" i="26"/>
  <c r="O1017" i="26"/>
  <c r="O378" i="26"/>
  <c r="I377" i="26"/>
  <c r="H377" i="26"/>
  <c r="E376" i="26"/>
  <c r="F376" i="26" s="1"/>
  <c r="P376" i="26" s="1"/>
  <c r="U376" i="26" s="1"/>
  <c r="N1014" i="26"/>
  <c r="T1014" i="26" s="1"/>
  <c r="G1014" i="26"/>
  <c r="M1015" i="26"/>
  <c r="T888" i="26"/>
  <c r="E1012" i="26"/>
  <c r="D1012" i="26"/>
  <c r="L1012" i="26" s="1"/>
  <c r="C1013" i="26"/>
  <c r="I815" i="26"/>
  <c r="P815" i="26" s="1"/>
  <c r="Q814" i="26"/>
  <c r="E1188" i="26"/>
  <c r="E893" i="26"/>
  <c r="R375" i="26"/>
  <c r="V375" i="26" s="1"/>
  <c r="H816" i="26"/>
  <c r="F893" i="26"/>
  <c r="P254" i="26"/>
  <c r="S254" i="26" s="1"/>
  <c r="C257" i="26"/>
  <c r="P549" i="26"/>
  <c r="T549" i="26"/>
  <c r="S549" i="26"/>
  <c r="R1010" i="26"/>
  <c r="V1010" i="26" s="1"/>
  <c r="F257" i="26"/>
  <c r="T253" i="26"/>
  <c r="F1188" i="26"/>
  <c r="F552" i="26"/>
  <c r="P814" i="26"/>
  <c r="K550" i="26"/>
  <c r="C551" i="26"/>
  <c r="L256" i="26"/>
  <c r="M256" i="26" s="1"/>
  <c r="Q256" i="26" s="1"/>
  <c r="E257" i="26"/>
  <c r="E552" i="26"/>
  <c r="Q178" i="26"/>
  <c r="I179" i="26"/>
  <c r="M891" i="26"/>
  <c r="Q891" i="26" s="1"/>
  <c r="C892" i="26"/>
  <c r="T889" i="26"/>
  <c r="H180" i="26"/>
  <c r="P179" i="26"/>
  <c r="P178" i="26"/>
  <c r="C378" i="26"/>
  <c r="D377" i="26"/>
  <c r="L377" i="26" s="1"/>
  <c r="P1185" i="26"/>
  <c r="S1185" i="26"/>
  <c r="T1185" i="26"/>
  <c r="P255" i="26"/>
  <c r="S255" i="26" s="1"/>
  <c r="F1011" i="26"/>
  <c r="P1011" i="26" s="1"/>
  <c r="U1011" i="26" s="1"/>
  <c r="K1186" i="26"/>
  <c r="C1187" i="26"/>
  <c r="P890" i="26"/>
  <c r="T890" i="26" s="1"/>
  <c r="J378" i="26" l="1"/>
  <c r="Q379" i="26"/>
  <c r="K378" i="26"/>
  <c r="T254" i="26"/>
  <c r="N1015" i="26"/>
  <c r="T1015" i="26" s="1"/>
  <c r="M1016" i="26"/>
  <c r="G1015" i="26"/>
  <c r="O1018" i="26"/>
  <c r="H1017" i="26"/>
  <c r="I1017" i="26"/>
  <c r="M379" i="26"/>
  <c r="N378" i="26"/>
  <c r="T378" i="26" s="1"/>
  <c r="G378" i="26"/>
  <c r="Q1014" i="26"/>
  <c r="K1013" i="26"/>
  <c r="J1013" i="26"/>
  <c r="P891" i="26"/>
  <c r="T891" i="26" s="1"/>
  <c r="E377" i="26"/>
  <c r="F377" i="26" s="1"/>
  <c r="P377" i="26" s="1"/>
  <c r="U377" i="26" s="1"/>
  <c r="H378" i="26"/>
  <c r="O379" i="26"/>
  <c r="I378" i="26"/>
  <c r="T255" i="26"/>
  <c r="C893" i="26"/>
  <c r="L893" i="26" s="1"/>
  <c r="F894" i="26"/>
  <c r="P1186" i="26"/>
  <c r="T1186" i="26"/>
  <c r="S1186" i="26"/>
  <c r="D378" i="26"/>
  <c r="L378" i="26" s="1"/>
  <c r="C379" i="26"/>
  <c r="H181" i="26"/>
  <c r="P256" i="26"/>
  <c r="T256" i="26" s="1"/>
  <c r="S890" i="26"/>
  <c r="E1189" i="26"/>
  <c r="C258" i="26"/>
  <c r="H817" i="26"/>
  <c r="K1187" i="26"/>
  <c r="C1188" i="26"/>
  <c r="R1011" i="26"/>
  <c r="V1011" i="26" s="1"/>
  <c r="Q815" i="26"/>
  <c r="I816" i="26"/>
  <c r="P816" i="26" s="1"/>
  <c r="L892" i="26"/>
  <c r="C552" i="26"/>
  <c r="K551" i="26"/>
  <c r="F553" i="26"/>
  <c r="C1014" i="26"/>
  <c r="E1013" i="26"/>
  <c r="D1013" i="26"/>
  <c r="L1013" i="26" s="1"/>
  <c r="P550" i="26"/>
  <c r="T550" i="26"/>
  <c r="S550" i="26"/>
  <c r="E553" i="26"/>
  <c r="L257" i="26"/>
  <c r="E258" i="26"/>
  <c r="R376" i="26"/>
  <c r="V376" i="26" s="1"/>
  <c r="F1189" i="26"/>
  <c r="F1012" i="26"/>
  <c r="P1012" i="26" s="1"/>
  <c r="U1012" i="26" s="1"/>
  <c r="F258" i="26"/>
  <c r="I180" i="26"/>
  <c r="Q179" i="26"/>
  <c r="E894" i="26"/>
  <c r="Q380" i="26" l="1"/>
  <c r="J379" i="26"/>
  <c r="K379" i="26"/>
  <c r="O380" i="26"/>
  <c r="H379" i="26"/>
  <c r="I379" i="26"/>
  <c r="N379" i="26"/>
  <c r="T379" i="26" s="1"/>
  <c r="G379" i="26"/>
  <c r="M380" i="26"/>
  <c r="Q1015" i="26"/>
  <c r="K1014" i="26"/>
  <c r="J1014" i="26"/>
  <c r="H1018" i="26"/>
  <c r="O1019" i="26"/>
  <c r="I1018" i="26"/>
  <c r="S891" i="26"/>
  <c r="N1016" i="26"/>
  <c r="T1016" i="26" s="1"/>
  <c r="M1017" i="26"/>
  <c r="G1016" i="26"/>
  <c r="E378" i="26"/>
  <c r="F378" i="26" s="1"/>
  <c r="P378" i="26" s="1"/>
  <c r="U378" i="26" s="1"/>
  <c r="C1189" i="26"/>
  <c r="K1188" i="26"/>
  <c r="Q180" i="26"/>
  <c r="I181" i="26"/>
  <c r="P181" i="26" s="1"/>
  <c r="R1012" i="26"/>
  <c r="V1012" i="26" s="1"/>
  <c r="E1190" i="26"/>
  <c r="S256" i="26"/>
  <c r="E554" i="26"/>
  <c r="P1187" i="26"/>
  <c r="T1187" i="26"/>
  <c r="S1187" i="26"/>
  <c r="F1190" i="26"/>
  <c r="H182" i="26"/>
  <c r="D1014" i="26"/>
  <c r="L1014" i="26" s="1"/>
  <c r="E1014" i="26"/>
  <c r="C1015" i="26"/>
  <c r="E895" i="26"/>
  <c r="C259" i="26"/>
  <c r="L258" i="26"/>
  <c r="M258" i="26" s="1"/>
  <c r="E259" i="26"/>
  <c r="D379" i="26"/>
  <c r="L379" i="26" s="1"/>
  <c r="C380" i="26"/>
  <c r="F1013" i="26"/>
  <c r="P1013" i="26" s="1"/>
  <c r="U1013" i="26" s="1"/>
  <c r="M892" i="26"/>
  <c r="Q892" i="26" s="1"/>
  <c r="F895" i="26"/>
  <c r="F554" i="26"/>
  <c r="M893" i="26"/>
  <c r="Q893" i="26" s="1"/>
  <c r="C894" i="26"/>
  <c r="L894" i="26" s="1"/>
  <c r="H818" i="26"/>
  <c r="P551" i="26"/>
  <c r="T551" i="26"/>
  <c r="S551" i="26"/>
  <c r="R377" i="26"/>
  <c r="V377" i="26" s="1"/>
  <c r="I817" i="26"/>
  <c r="P817" i="26" s="1"/>
  <c r="Q816" i="26"/>
  <c r="F259" i="26"/>
  <c r="M257" i="26"/>
  <c r="P180" i="26"/>
  <c r="C553" i="26"/>
  <c r="K552" i="26"/>
  <c r="K380" i="26" l="1"/>
  <c r="J380" i="26"/>
  <c r="Q381" i="26"/>
  <c r="E379" i="26"/>
  <c r="J1015" i="26"/>
  <c r="Q1016" i="26"/>
  <c r="K1015" i="26"/>
  <c r="N1017" i="26"/>
  <c r="T1017" i="26" s="1"/>
  <c r="M1018" i="26"/>
  <c r="G1017" i="26"/>
  <c r="M381" i="26"/>
  <c r="N380" i="26"/>
  <c r="T380" i="26" s="1"/>
  <c r="G380" i="26"/>
  <c r="O1020" i="26"/>
  <c r="I1019" i="26"/>
  <c r="H1019" i="26"/>
  <c r="P893" i="26"/>
  <c r="T893" i="26" s="1"/>
  <c r="I380" i="26"/>
  <c r="H380" i="26"/>
  <c r="O381" i="26"/>
  <c r="Q258" i="26"/>
  <c r="H819" i="26"/>
  <c r="F1191" i="26"/>
  <c r="F1014" i="26"/>
  <c r="P1014" i="26" s="1"/>
  <c r="U1014" i="26" s="1"/>
  <c r="C381" i="26"/>
  <c r="D380" i="26"/>
  <c r="L380" i="26" s="1"/>
  <c r="C895" i="26"/>
  <c r="M894" i="26"/>
  <c r="Q894" i="26" s="1"/>
  <c r="E555" i="26"/>
  <c r="C554" i="26"/>
  <c r="K553" i="26"/>
  <c r="R1013" i="26"/>
  <c r="V1013" i="26" s="1"/>
  <c r="E1191" i="26"/>
  <c r="R378" i="26"/>
  <c r="V378" i="26" s="1"/>
  <c r="Q257" i="26"/>
  <c r="P257" i="26"/>
  <c r="D1015" i="26"/>
  <c r="L1015" i="26" s="1"/>
  <c r="C1016" i="26"/>
  <c r="E1015" i="26"/>
  <c r="H183" i="26"/>
  <c r="P258" i="26"/>
  <c r="C260" i="26"/>
  <c r="P892" i="26"/>
  <c r="S892" i="26" s="1"/>
  <c r="L259" i="26"/>
  <c r="E260" i="26"/>
  <c r="Q181" i="26"/>
  <c r="I182" i="26"/>
  <c r="E896" i="26"/>
  <c r="P1188" i="26"/>
  <c r="S1188" i="26"/>
  <c r="T1188" i="26"/>
  <c r="F555" i="26"/>
  <c r="F896" i="26"/>
  <c r="F379" i="26"/>
  <c r="P379" i="26" s="1"/>
  <c r="U379" i="26" s="1"/>
  <c r="P552" i="26"/>
  <c r="S552" i="26"/>
  <c r="T552" i="26"/>
  <c r="F260" i="26"/>
  <c r="I818" i="26"/>
  <c r="Q817" i="26"/>
  <c r="K1189" i="26"/>
  <c r="C1190" i="26"/>
  <c r="S893" i="26" l="1"/>
  <c r="T257" i="26"/>
  <c r="J381" i="26"/>
  <c r="Q382" i="26"/>
  <c r="K381" i="26"/>
  <c r="E380" i="26"/>
  <c r="F380" i="26" s="1"/>
  <c r="P380" i="26" s="1"/>
  <c r="U380" i="26" s="1"/>
  <c r="S258" i="26"/>
  <c r="G381" i="26"/>
  <c r="N381" i="26"/>
  <c r="T381" i="26" s="1"/>
  <c r="M382" i="26"/>
  <c r="M1019" i="26"/>
  <c r="N1018" i="26"/>
  <c r="T1018" i="26" s="1"/>
  <c r="G1018" i="26"/>
  <c r="H1020" i="26"/>
  <c r="O1021" i="26"/>
  <c r="I1020" i="26"/>
  <c r="K1016" i="26"/>
  <c r="Q1017" i="26"/>
  <c r="J1016" i="26"/>
  <c r="O382" i="26"/>
  <c r="I381" i="26"/>
  <c r="H381" i="26"/>
  <c r="T258" i="26"/>
  <c r="T892" i="26"/>
  <c r="K554" i="26"/>
  <c r="C555" i="26"/>
  <c r="P553" i="26"/>
  <c r="T553" i="26"/>
  <c r="S553" i="26"/>
  <c r="F897" i="26"/>
  <c r="E1192" i="26"/>
  <c r="F556" i="26"/>
  <c r="E897" i="26"/>
  <c r="C261" i="26"/>
  <c r="C896" i="26"/>
  <c r="L896" i="26" s="1"/>
  <c r="L895" i="26"/>
  <c r="I183" i="26"/>
  <c r="Q182" i="26"/>
  <c r="D381" i="26"/>
  <c r="L381" i="26" s="1"/>
  <c r="C382" i="26"/>
  <c r="F1192" i="26"/>
  <c r="P182" i="26"/>
  <c r="H820" i="26"/>
  <c r="H184" i="26"/>
  <c r="P894" i="26"/>
  <c r="T894" i="26" s="1"/>
  <c r="S257" i="26"/>
  <c r="E556" i="26"/>
  <c r="C1191" i="26"/>
  <c r="K1190" i="26"/>
  <c r="P1189" i="26"/>
  <c r="S1189" i="26"/>
  <c r="T1189" i="26"/>
  <c r="R1014" i="26"/>
  <c r="V1014" i="26" s="1"/>
  <c r="Q818" i="26"/>
  <c r="I819" i="26"/>
  <c r="F261" i="26"/>
  <c r="F1015" i="26"/>
  <c r="P1015" i="26" s="1"/>
  <c r="U1015" i="26" s="1"/>
  <c r="R379" i="26"/>
  <c r="V379" i="26" s="1"/>
  <c r="L260" i="26"/>
  <c r="M260" i="26" s="1"/>
  <c r="Q260" i="26" s="1"/>
  <c r="E261" i="26"/>
  <c r="M259" i="26"/>
  <c r="Q259" i="26" s="1"/>
  <c r="P818" i="26"/>
  <c r="D1016" i="26"/>
  <c r="L1016" i="26" s="1"/>
  <c r="E1016" i="26"/>
  <c r="C1017" i="26"/>
  <c r="E381" i="26" l="1"/>
  <c r="J382" i="26"/>
  <c r="K382" i="26"/>
  <c r="Q383" i="26"/>
  <c r="N1019" i="26"/>
  <c r="T1019" i="26" s="1"/>
  <c r="G1019" i="26"/>
  <c r="M1020" i="26"/>
  <c r="J1017" i="26"/>
  <c r="Q1018" i="26"/>
  <c r="K1017" i="26"/>
  <c r="O1022" i="26"/>
  <c r="I1021" i="26"/>
  <c r="H1021" i="26"/>
  <c r="H382" i="26"/>
  <c r="I382" i="26"/>
  <c r="O383" i="26"/>
  <c r="M383" i="26"/>
  <c r="N382" i="26"/>
  <c r="T382" i="26" s="1"/>
  <c r="G382" i="26"/>
  <c r="P259" i="26"/>
  <c r="T259" i="26" s="1"/>
  <c r="S894" i="26"/>
  <c r="F381" i="26"/>
  <c r="P381" i="26" s="1"/>
  <c r="U381" i="26" s="1"/>
  <c r="I184" i="26"/>
  <c r="Q183" i="26"/>
  <c r="M896" i="26"/>
  <c r="Q896" i="26" s="1"/>
  <c r="C897" i="26"/>
  <c r="F262" i="26"/>
  <c r="C1192" i="26"/>
  <c r="K1191" i="26"/>
  <c r="R1015" i="26"/>
  <c r="V1015" i="26" s="1"/>
  <c r="I820" i="26"/>
  <c r="P820" i="26" s="1"/>
  <c r="Q819" i="26"/>
  <c r="E1193" i="26"/>
  <c r="D382" i="26"/>
  <c r="L382" i="26" s="1"/>
  <c r="C383" i="26"/>
  <c r="P1190" i="26"/>
  <c r="T1190" i="26"/>
  <c r="S1190" i="26"/>
  <c r="E557" i="26"/>
  <c r="F898" i="26"/>
  <c r="P819" i="26"/>
  <c r="F557" i="26"/>
  <c r="M895" i="26"/>
  <c r="Q895" i="26" s="1"/>
  <c r="E898" i="26"/>
  <c r="R380" i="26"/>
  <c r="V380" i="26" s="1"/>
  <c r="C262" i="26"/>
  <c r="P183" i="26"/>
  <c r="F1016" i="26"/>
  <c r="P1016" i="26" s="1"/>
  <c r="U1016" i="26" s="1"/>
  <c r="H821" i="26"/>
  <c r="F1193" i="26"/>
  <c r="K555" i="26"/>
  <c r="C556" i="26"/>
  <c r="P260" i="26"/>
  <c r="T260" i="26" s="1"/>
  <c r="P184" i="26"/>
  <c r="H185" i="26"/>
  <c r="D1017" i="26"/>
  <c r="L1017" i="26" s="1"/>
  <c r="E1017" i="26"/>
  <c r="C1018" i="26"/>
  <c r="L261" i="26"/>
  <c r="M261" i="26" s="1"/>
  <c r="Q261" i="26" s="1"/>
  <c r="E262" i="26"/>
  <c r="P554" i="26"/>
  <c r="S554" i="26"/>
  <c r="T554" i="26"/>
  <c r="K383" i="26" l="1"/>
  <c r="J383" i="26"/>
  <c r="Q384" i="26"/>
  <c r="G383" i="26"/>
  <c r="N383" i="26"/>
  <c r="T383" i="26" s="1"/>
  <c r="M384" i="26"/>
  <c r="O1023" i="26"/>
  <c r="H1022" i="26"/>
  <c r="I1022" i="26"/>
  <c r="S259" i="26"/>
  <c r="Q1019" i="26"/>
  <c r="K1018" i="26"/>
  <c r="J1018" i="26"/>
  <c r="N1020" i="26"/>
  <c r="T1020" i="26" s="1"/>
  <c r="M1021" i="26"/>
  <c r="G1020" i="26"/>
  <c r="O384" i="26"/>
  <c r="H383" i="26"/>
  <c r="I383" i="26"/>
  <c r="E382" i="26"/>
  <c r="F382" i="26" s="1"/>
  <c r="P382" i="26" s="1"/>
  <c r="U382" i="26" s="1"/>
  <c r="H186" i="26"/>
  <c r="F899" i="26"/>
  <c r="E558" i="26"/>
  <c r="P555" i="26"/>
  <c r="T555" i="26"/>
  <c r="S555" i="26"/>
  <c r="D383" i="26"/>
  <c r="L383" i="26" s="1"/>
  <c r="C384" i="26"/>
  <c r="R1016" i="26"/>
  <c r="V1016" i="26" s="1"/>
  <c r="F263" i="26"/>
  <c r="F1194" i="26"/>
  <c r="C263" i="26"/>
  <c r="C898" i="26"/>
  <c r="P1191" i="26"/>
  <c r="T1191" i="26"/>
  <c r="S1191" i="26"/>
  <c r="L262" i="26"/>
  <c r="E263" i="26"/>
  <c r="S260" i="26"/>
  <c r="H822" i="26"/>
  <c r="E1194" i="26"/>
  <c r="I821" i="26"/>
  <c r="Q820" i="26"/>
  <c r="C557" i="26"/>
  <c r="K556" i="26"/>
  <c r="E899" i="26"/>
  <c r="I185" i="26"/>
  <c r="Q184" i="26"/>
  <c r="P261" i="26"/>
  <c r="S261" i="26" s="1"/>
  <c r="P896" i="26"/>
  <c r="S896" i="26" s="1"/>
  <c r="E1018" i="26"/>
  <c r="C1019" i="26"/>
  <c r="D1018" i="26"/>
  <c r="L1018" i="26" s="1"/>
  <c r="R381" i="26"/>
  <c r="V381" i="26" s="1"/>
  <c r="F1017" i="26"/>
  <c r="P1017" i="26" s="1"/>
  <c r="U1017" i="26" s="1"/>
  <c r="C1193" i="26"/>
  <c r="K1192" i="26"/>
  <c r="L897" i="26"/>
  <c r="M897" i="26" s="1"/>
  <c r="Q897" i="26" s="1"/>
  <c r="F558" i="26"/>
  <c r="P895" i="26"/>
  <c r="T895" i="26" s="1"/>
  <c r="Q385" i="26" l="1"/>
  <c r="J384" i="26"/>
  <c r="K384" i="26"/>
  <c r="E383" i="26"/>
  <c r="O385" i="26"/>
  <c r="I384" i="26"/>
  <c r="H384" i="26"/>
  <c r="H1023" i="26"/>
  <c r="I1023" i="26"/>
  <c r="O1024" i="26"/>
  <c r="N384" i="26"/>
  <c r="T384" i="26" s="1"/>
  <c r="M385" i="26"/>
  <c r="G384" i="26"/>
  <c r="J1019" i="26"/>
  <c r="Q1020" i="26"/>
  <c r="K1019" i="26"/>
  <c r="M1022" i="26"/>
  <c r="N1021" i="26"/>
  <c r="T1021" i="26" s="1"/>
  <c r="G1021" i="26"/>
  <c r="S895" i="26"/>
  <c r="K1193" i="26"/>
  <c r="C1194" i="26"/>
  <c r="R1017" i="26"/>
  <c r="V1017" i="26" s="1"/>
  <c r="R382" i="26"/>
  <c r="V382" i="26" s="1"/>
  <c r="F1018" i="26"/>
  <c r="P1018" i="26" s="1"/>
  <c r="U1018" i="26" s="1"/>
  <c r="C899" i="26"/>
  <c r="L899" i="26" s="1"/>
  <c r="M262" i="26"/>
  <c r="Q262" i="26" s="1"/>
  <c r="F264" i="26"/>
  <c r="Q185" i="26"/>
  <c r="I186" i="26"/>
  <c r="P556" i="26"/>
  <c r="T556" i="26"/>
  <c r="S556" i="26"/>
  <c r="T261" i="26"/>
  <c r="D384" i="26"/>
  <c r="L384" i="26" s="1"/>
  <c r="C385" i="26"/>
  <c r="C1020" i="26"/>
  <c r="E1019" i="26"/>
  <c r="D1019" i="26"/>
  <c r="L1019" i="26" s="1"/>
  <c r="L898" i="26"/>
  <c r="E900" i="26"/>
  <c r="E559" i="26"/>
  <c r="H823" i="26"/>
  <c r="F900" i="26"/>
  <c r="F1195" i="26"/>
  <c r="C558" i="26"/>
  <c r="K557" i="26"/>
  <c r="E1195" i="26"/>
  <c r="C264" i="26"/>
  <c r="F383" i="26"/>
  <c r="P383" i="26" s="1"/>
  <c r="U383" i="26" s="1"/>
  <c r="I822" i="26"/>
  <c r="Q821" i="26"/>
  <c r="T896" i="26"/>
  <c r="P821" i="26"/>
  <c r="P185" i="26"/>
  <c r="F559" i="26"/>
  <c r="P897" i="26"/>
  <c r="T897" i="26" s="1"/>
  <c r="P1192" i="26"/>
  <c r="S1192" i="26"/>
  <c r="T1192" i="26"/>
  <c r="L263" i="26"/>
  <c r="M263" i="26" s="1"/>
  <c r="Q263" i="26" s="1"/>
  <c r="E264" i="26"/>
  <c r="H187" i="26"/>
  <c r="Q386" i="26" l="1"/>
  <c r="K385" i="26"/>
  <c r="J385" i="26"/>
  <c r="M386" i="26"/>
  <c r="G385" i="26"/>
  <c r="N385" i="26"/>
  <c r="T385" i="26" s="1"/>
  <c r="M1023" i="26"/>
  <c r="N1022" i="26"/>
  <c r="T1022" i="26" s="1"/>
  <c r="G1022" i="26"/>
  <c r="H1024" i="26"/>
  <c r="O1025" i="26"/>
  <c r="I1024" i="26"/>
  <c r="Q1021" i="26"/>
  <c r="K1020" i="26"/>
  <c r="J1020" i="26"/>
  <c r="E384" i="26"/>
  <c r="F384" i="26" s="1"/>
  <c r="P384" i="26" s="1"/>
  <c r="U384" i="26" s="1"/>
  <c r="O386" i="26"/>
  <c r="I385" i="26"/>
  <c r="H385" i="26"/>
  <c r="S897" i="26"/>
  <c r="F560" i="26"/>
  <c r="F1019" i="26"/>
  <c r="P1019" i="26" s="1"/>
  <c r="U1019" i="26" s="1"/>
  <c r="I823" i="26"/>
  <c r="Q822" i="26"/>
  <c r="E901" i="26"/>
  <c r="R383" i="26"/>
  <c r="V383" i="26" s="1"/>
  <c r="Q186" i="26"/>
  <c r="I187" i="26"/>
  <c r="P187" i="26" s="1"/>
  <c r="H188" i="26"/>
  <c r="F265" i="26"/>
  <c r="F1196" i="26"/>
  <c r="P557" i="26"/>
  <c r="S557" i="26"/>
  <c r="T557" i="26"/>
  <c r="R1018" i="26"/>
  <c r="V1018" i="26" s="1"/>
  <c r="E265" i="26"/>
  <c r="L264" i="26"/>
  <c r="M264" i="26" s="1"/>
  <c r="Q264" i="26" s="1"/>
  <c r="P262" i="26"/>
  <c r="H824" i="26"/>
  <c r="D385" i="26"/>
  <c r="L385" i="26" s="1"/>
  <c r="C386" i="26"/>
  <c r="C265" i="26"/>
  <c r="E1196" i="26"/>
  <c r="C900" i="26"/>
  <c r="M899" i="26"/>
  <c r="Q899" i="26" s="1"/>
  <c r="P822" i="26"/>
  <c r="E1020" i="26"/>
  <c r="C1021" i="26"/>
  <c r="D1020" i="26"/>
  <c r="L1020" i="26" s="1"/>
  <c r="C559" i="26"/>
  <c r="K558" i="26"/>
  <c r="P263" i="26"/>
  <c r="T263" i="26" s="1"/>
  <c r="E560" i="26"/>
  <c r="K1194" i="26"/>
  <c r="C1195" i="26"/>
  <c r="M898" i="26"/>
  <c r="Q898" i="26" s="1"/>
  <c r="P186" i="26"/>
  <c r="F901" i="26"/>
  <c r="P1193" i="26"/>
  <c r="S1193" i="26"/>
  <c r="T1193" i="26"/>
  <c r="E385" i="26" l="1"/>
  <c r="J386" i="26"/>
  <c r="Q387" i="26"/>
  <c r="K386" i="26"/>
  <c r="P899" i="26"/>
  <c r="T899" i="26" s="1"/>
  <c r="J1021" i="26"/>
  <c r="Q1022" i="26"/>
  <c r="K1021" i="26"/>
  <c r="N1023" i="26"/>
  <c r="T1023" i="26" s="1"/>
  <c r="M1024" i="26"/>
  <c r="G1023" i="26"/>
  <c r="O387" i="26"/>
  <c r="H386" i="26"/>
  <c r="I386" i="26"/>
  <c r="I1025" i="26"/>
  <c r="H1025" i="26"/>
  <c r="O1026" i="26"/>
  <c r="M387" i="26"/>
  <c r="N386" i="26"/>
  <c r="T386" i="26" s="1"/>
  <c r="G386" i="26"/>
  <c r="F1197" i="26"/>
  <c r="F1020" i="26"/>
  <c r="P1020" i="26" s="1"/>
  <c r="U1020" i="26" s="1"/>
  <c r="I188" i="26"/>
  <c r="P188" i="26" s="1"/>
  <c r="Q187" i="26"/>
  <c r="C901" i="26"/>
  <c r="L901" i="26" s="1"/>
  <c r="D386" i="26"/>
  <c r="L386" i="26" s="1"/>
  <c r="C387" i="26"/>
  <c r="F385" i="26"/>
  <c r="P385" i="26" s="1"/>
  <c r="U385" i="26" s="1"/>
  <c r="C266" i="26"/>
  <c r="P558" i="26"/>
  <c r="S558" i="26"/>
  <c r="T558" i="26"/>
  <c r="D1021" i="26"/>
  <c r="L1021" i="26" s="1"/>
  <c r="C1022" i="26"/>
  <c r="E1021" i="26"/>
  <c r="H189" i="26"/>
  <c r="E902" i="26"/>
  <c r="R1019" i="26"/>
  <c r="V1019" i="26" s="1"/>
  <c r="C560" i="26"/>
  <c r="K559" i="26"/>
  <c r="F266" i="26"/>
  <c r="S263" i="26"/>
  <c r="I824" i="26"/>
  <c r="P824" i="26" s="1"/>
  <c r="Q823" i="26"/>
  <c r="H825" i="26"/>
  <c r="F561" i="26"/>
  <c r="E1197" i="26"/>
  <c r="R384" i="26"/>
  <c r="V384" i="26" s="1"/>
  <c r="P823" i="26"/>
  <c r="E266" i="26"/>
  <c r="L265" i="26"/>
  <c r="L900" i="26"/>
  <c r="T262" i="26"/>
  <c r="S262" i="26"/>
  <c r="P1194" i="26"/>
  <c r="T1194" i="26"/>
  <c r="S1194" i="26"/>
  <c r="E561" i="26"/>
  <c r="F902" i="26"/>
  <c r="P898" i="26"/>
  <c r="K1195" i="26"/>
  <c r="C1196" i="26"/>
  <c r="P264" i="26"/>
  <c r="S899" i="26" l="1"/>
  <c r="J387" i="26"/>
  <c r="K387" i="26"/>
  <c r="Q388" i="26"/>
  <c r="E386" i="26"/>
  <c r="F386" i="26" s="1"/>
  <c r="P386" i="26" s="1"/>
  <c r="U386" i="26" s="1"/>
  <c r="I387" i="26"/>
  <c r="O388" i="26"/>
  <c r="H387" i="26"/>
  <c r="I1026" i="26"/>
  <c r="H1026" i="26"/>
  <c r="O1027" i="26"/>
  <c r="N1024" i="26"/>
  <c r="T1024" i="26" s="1"/>
  <c r="M1025" i="26"/>
  <c r="G1024" i="26"/>
  <c r="M388" i="26"/>
  <c r="N387" i="26"/>
  <c r="T387" i="26" s="1"/>
  <c r="G387" i="26"/>
  <c r="J1022" i="26"/>
  <c r="K1022" i="26"/>
  <c r="Q1023" i="26"/>
  <c r="E562" i="26"/>
  <c r="F1021" i="26"/>
  <c r="P1021" i="26" s="1"/>
  <c r="U1021" i="26" s="1"/>
  <c r="E1022" i="26"/>
  <c r="C1023" i="26"/>
  <c r="D1022" i="26"/>
  <c r="L1022" i="26" s="1"/>
  <c r="E267" i="26"/>
  <c r="L266" i="26"/>
  <c r="M266" i="26" s="1"/>
  <c r="Q266" i="26" s="1"/>
  <c r="R385" i="26"/>
  <c r="V385" i="26" s="1"/>
  <c r="C267" i="26"/>
  <c r="H190" i="26"/>
  <c r="I189" i="26"/>
  <c r="P189" i="26" s="1"/>
  <c r="Q188" i="26"/>
  <c r="C561" i="26"/>
  <c r="K560" i="26"/>
  <c r="E903" i="26"/>
  <c r="M265" i="26"/>
  <c r="Q265" i="26" s="1"/>
  <c r="E1198" i="26"/>
  <c r="R1020" i="26"/>
  <c r="V1020" i="26" s="1"/>
  <c r="M901" i="26"/>
  <c r="P901" i="26" s="1"/>
  <c r="C902" i="26"/>
  <c r="L902" i="26" s="1"/>
  <c r="F903" i="26"/>
  <c r="C388" i="26"/>
  <c r="D387" i="26"/>
  <c r="L387" i="26" s="1"/>
  <c r="F562" i="26"/>
  <c r="M900" i="26"/>
  <c r="Q900" i="26" s="1"/>
  <c r="T264" i="26"/>
  <c r="S264" i="26"/>
  <c r="C1197" i="26"/>
  <c r="K1196" i="26"/>
  <c r="P1195" i="26"/>
  <c r="S1195" i="26"/>
  <c r="T1195" i="26"/>
  <c r="F267" i="26"/>
  <c r="F1198" i="26"/>
  <c r="H826" i="26"/>
  <c r="Q824" i="26"/>
  <c r="I825" i="26"/>
  <c r="P825" i="26" s="1"/>
  <c r="T898" i="26"/>
  <c r="S898" i="26"/>
  <c r="P559" i="26"/>
  <c r="T559" i="26"/>
  <c r="S559" i="26"/>
  <c r="Q389" i="26" l="1"/>
  <c r="K388" i="26"/>
  <c r="J388" i="26"/>
  <c r="K1023" i="26"/>
  <c r="Q1024" i="26"/>
  <c r="J1023" i="26"/>
  <c r="O1028" i="26"/>
  <c r="H1027" i="26"/>
  <c r="I1027" i="26"/>
  <c r="E387" i="26"/>
  <c r="F387" i="26" s="1"/>
  <c r="P387" i="26" s="1"/>
  <c r="U387" i="26" s="1"/>
  <c r="G388" i="26"/>
  <c r="M389" i="26"/>
  <c r="N388" i="26"/>
  <c r="T388" i="26" s="1"/>
  <c r="M1026" i="26"/>
  <c r="G1025" i="26"/>
  <c r="N1025" i="26"/>
  <c r="T1025" i="26" s="1"/>
  <c r="H388" i="26"/>
  <c r="I388" i="26"/>
  <c r="O389" i="26"/>
  <c r="P265" i="26"/>
  <c r="S265" i="26" s="1"/>
  <c r="P560" i="26"/>
  <c r="T560" i="26"/>
  <c r="S560" i="26"/>
  <c r="C562" i="26"/>
  <c r="K561" i="26"/>
  <c r="F268" i="26"/>
  <c r="E904" i="26"/>
  <c r="C268" i="26"/>
  <c r="F1199" i="26"/>
  <c r="P1196" i="26"/>
  <c r="T1196" i="26"/>
  <c r="S1196" i="26"/>
  <c r="D388" i="26"/>
  <c r="L388" i="26" s="1"/>
  <c r="C389" i="26"/>
  <c r="P900" i="26"/>
  <c r="T900" i="26" s="1"/>
  <c r="C1198" i="26"/>
  <c r="K1197" i="26"/>
  <c r="E1023" i="26"/>
  <c r="C1024" i="26"/>
  <c r="D1023" i="26"/>
  <c r="L1023" i="26" s="1"/>
  <c r="M902" i="26"/>
  <c r="Q902" i="26" s="1"/>
  <c r="C903" i="26"/>
  <c r="L903" i="26" s="1"/>
  <c r="Q189" i="26"/>
  <c r="I190" i="26"/>
  <c r="P190" i="26" s="1"/>
  <c r="R386" i="26"/>
  <c r="V386" i="26" s="1"/>
  <c r="F563" i="26"/>
  <c r="Q901" i="26"/>
  <c r="T901" i="26" s="1"/>
  <c r="R1021" i="26"/>
  <c r="V1021" i="26" s="1"/>
  <c r="P266" i="26"/>
  <c r="T266" i="26" s="1"/>
  <c r="I826" i="26"/>
  <c r="Q825" i="26"/>
  <c r="E1199" i="26"/>
  <c r="H191" i="26"/>
  <c r="F904" i="26"/>
  <c r="L267" i="26"/>
  <c r="M267" i="26" s="1"/>
  <c r="Q267" i="26" s="1"/>
  <c r="E268" i="26"/>
  <c r="F1022" i="26"/>
  <c r="P1022" i="26" s="1"/>
  <c r="U1022" i="26" s="1"/>
  <c r="H827" i="26"/>
  <c r="E563" i="26"/>
  <c r="K389" i="26" l="1"/>
  <c r="Q390" i="26"/>
  <c r="J389" i="26"/>
  <c r="O390" i="26"/>
  <c r="H389" i="26"/>
  <c r="I389" i="26"/>
  <c r="M390" i="26"/>
  <c r="G389" i="26"/>
  <c r="N389" i="26"/>
  <c r="T389" i="26" s="1"/>
  <c r="N1026" i="26"/>
  <c r="T1026" i="26" s="1"/>
  <c r="M1027" i="26"/>
  <c r="G1026" i="26"/>
  <c r="I1028" i="26"/>
  <c r="H1028" i="26"/>
  <c r="O1029" i="26"/>
  <c r="T265" i="26"/>
  <c r="E388" i="26"/>
  <c r="F388" i="26" s="1"/>
  <c r="P388" i="26" s="1"/>
  <c r="U388" i="26" s="1"/>
  <c r="K1024" i="26"/>
  <c r="J1024" i="26"/>
  <c r="Q1025" i="26"/>
  <c r="P902" i="26"/>
  <c r="S902" i="26" s="1"/>
  <c r="C390" i="26"/>
  <c r="D389" i="26"/>
  <c r="L389" i="26" s="1"/>
  <c r="S901" i="26"/>
  <c r="Q826" i="26"/>
  <c r="I827" i="26"/>
  <c r="P827" i="26" s="1"/>
  <c r="F269" i="26"/>
  <c r="P561" i="26"/>
  <c r="S561" i="26"/>
  <c r="T561" i="26"/>
  <c r="H192" i="26"/>
  <c r="K562" i="26"/>
  <c r="C563" i="26"/>
  <c r="R387" i="26"/>
  <c r="V387" i="26" s="1"/>
  <c r="E1200" i="26"/>
  <c r="S900" i="26"/>
  <c r="F905" i="26"/>
  <c r="F1200" i="26"/>
  <c r="E905" i="26"/>
  <c r="I191" i="26"/>
  <c r="P191" i="26" s="1"/>
  <c r="Q190" i="26"/>
  <c r="E1024" i="26"/>
  <c r="D1024" i="26"/>
  <c r="L1024" i="26" s="1"/>
  <c r="C1025" i="26"/>
  <c r="E564" i="26"/>
  <c r="H828" i="26"/>
  <c r="F1023" i="26"/>
  <c r="P1023" i="26" s="1"/>
  <c r="U1023" i="26" s="1"/>
  <c r="C269" i="26"/>
  <c r="P826" i="26"/>
  <c r="L268" i="26"/>
  <c r="E269" i="26"/>
  <c r="P1197" i="26"/>
  <c r="S1197" i="26"/>
  <c r="T1197" i="26"/>
  <c r="S266" i="26"/>
  <c r="F564" i="26"/>
  <c r="M903" i="26"/>
  <c r="P903" i="26" s="1"/>
  <c r="C904" i="26"/>
  <c r="L904" i="26" s="1"/>
  <c r="R1022" i="26"/>
  <c r="V1022" i="26" s="1"/>
  <c r="P267" i="26"/>
  <c r="S267" i="26" s="1"/>
  <c r="C1199" i="26"/>
  <c r="K1198" i="26"/>
  <c r="E389" i="26" l="1"/>
  <c r="Q391" i="26"/>
  <c r="J390" i="26"/>
  <c r="K390" i="26"/>
  <c r="K1025" i="26"/>
  <c r="J1025" i="26"/>
  <c r="Q1026" i="26"/>
  <c r="N1027" i="26"/>
  <c r="T1027" i="26" s="1"/>
  <c r="G1027" i="26"/>
  <c r="M1028" i="26"/>
  <c r="O1030" i="26"/>
  <c r="I1029" i="26"/>
  <c r="H1029" i="26"/>
  <c r="M391" i="26"/>
  <c r="N390" i="26"/>
  <c r="T390" i="26" s="1"/>
  <c r="G390" i="26"/>
  <c r="T902" i="26"/>
  <c r="O391" i="26"/>
  <c r="I390" i="26"/>
  <c r="H390" i="26"/>
  <c r="T267" i="26"/>
  <c r="F906" i="26"/>
  <c r="C564" i="26"/>
  <c r="K563" i="26"/>
  <c r="F270" i="26"/>
  <c r="F565" i="26"/>
  <c r="P562" i="26"/>
  <c r="S562" i="26"/>
  <c r="T562" i="26"/>
  <c r="I828" i="26"/>
  <c r="Q827" i="26"/>
  <c r="Q903" i="26"/>
  <c r="S903" i="26" s="1"/>
  <c r="L269" i="26"/>
  <c r="E270" i="26"/>
  <c r="H193" i="26"/>
  <c r="C270" i="26"/>
  <c r="R1023" i="26"/>
  <c r="V1023" i="26" s="1"/>
  <c r="H829" i="26"/>
  <c r="P828" i="26"/>
  <c r="F389" i="26"/>
  <c r="P389" i="26" s="1"/>
  <c r="U389" i="26" s="1"/>
  <c r="E565" i="26"/>
  <c r="D390" i="26"/>
  <c r="L390" i="26" s="1"/>
  <c r="C391" i="26"/>
  <c r="F1201" i="26"/>
  <c r="M268" i="26"/>
  <c r="Q268" i="26" s="1"/>
  <c r="E1201" i="26"/>
  <c r="E1025" i="26"/>
  <c r="D1025" i="26"/>
  <c r="L1025" i="26" s="1"/>
  <c r="C1026" i="26"/>
  <c r="F1024" i="26"/>
  <c r="P1024" i="26" s="1"/>
  <c r="U1024" i="26" s="1"/>
  <c r="P1198" i="26"/>
  <c r="T1198" i="26"/>
  <c r="S1198" i="26"/>
  <c r="K1199" i="26"/>
  <c r="C1200" i="26"/>
  <c r="R388" i="26"/>
  <c r="V388" i="26" s="1"/>
  <c r="I192" i="26"/>
  <c r="Q191" i="26"/>
  <c r="M904" i="26"/>
  <c r="Q904" i="26" s="1"/>
  <c r="C905" i="26"/>
  <c r="L905" i="26" s="1"/>
  <c r="E906" i="26"/>
  <c r="K391" i="26" l="1"/>
  <c r="J391" i="26"/>
  <c r="Q392" i="26"/>
  <c r="H1030" i="26"/>
  <c r="I1030" i="26"/>
  <c r="O1031" i="26"/>
  <c r="M392" i="26"/>
  <c r="N391" i="26"/>
  <c r="T391" i="26" s="1"/>
  <c r="G391" i="26"/>
  <c r="G1028" i="26"/>
  <c r="M1029" i="26"/>
  <c r="N1028" i="26"/>
  <c r="T1028" i="26" s="1"/>
  <c r="E390" i="26"/>
  <c r="F390" i="26" s="1"/>
  <c r="P390" i="26" s="1"/>
  <c r="U390" i="26" s="1"/>
  <c r="Q1027" i="26"/>
  <c r="J1026" i="26"/>
  <c r="K1026" i="26"/>
  <c r="O392" i="26"/>
  <c r="H391" i="26"/>
  <c r="I391" i="26"/>
  <c r="Q192" i="26"/>
  <c r="I193" i="26"/>
  <c r="P193" i="26" s="1"/>
  <c r="P1199" i="26"/>
  <c r="S1199" i="26"/>
  <c r="T1199" i="26"/>
  <c r="C271" i="26"/>
  <c r="T903" i="26"/>
  <c r="E1026" i="26"/>
  <c r="D1026" i="26"/>
  <c r="L1026" i="26" s="1"/>
  <c r="C1027" i="26"/>
  <c r="E1202" i="26"/>
  <c r="F1202" i="26"/>
  <c r="H830" i="26"/>
  <c r="H194" i="26"/>
  <c r="R1024" i="26"/>
  <c r="V1024" i="26" s="1"/>
  <c r="C565" i="26"/>
  <c r="K564" i="26"/>
  <c r="C1201" i="26"/>
  <c r="K1200" i="26"/>
  <c r="D391" i="26"/>
  <c r="L391" i="26" s="1"/>
  <c r="C392" i="26"/>
  <c r="L270" i="26"/>
  <c r="M270" i="26" s="1"/>
  <c r="Q270" i="26" s="1"/>
  <c r="E271" i="26"/>
  <c r="Q828" i="26"/>
  <c r="I829" i="26"/>
  <c r="P829" i="26" s="1"/>
  <c r="F907" i="26"/>
  <c r="M269" i="26"/>
  <c r="Q269" i="26" s="1"/>
  <c r="F566" i="26"/>
  <c r="P563" i="26"/>
  <c r="S563" i="26"/>
  <c r="T563" i="26"/>
  <c r="P268" i="26"/>
  <c r="E566" i="26"/>
  <c r="M905" i="26"/>
  <c r="Q905" i="26" s="1"/>
  <c r="C906" i="26"/>
  <c r="P192" i="26"/>
  <c r="F1025" i="26"/>
  <c r="P1025" i="26" s="1"/>
  <c r="U1025" i="26" s="1"/>
  <c r="F271" i="26"/>
  <c r="E907" i="26"/>
  <c r="R389" i="26"/>
  <c r="V389" i="26" s="1"/>
  <c r="P904" i="26"/>
  <c r="S904" i="26" s="1"/>
  <c r="E391" i="26" l="1"/>
  <c r="F391" i="26" s="1"/>
  <c r="P391" i="26" s="1"/>
  <c r="U391" i="26" s="1"/>
  <c r="K392" i="26"/>
  <c r="Q393" i="26"/>
  <c r="J392" i="26"/>
  <c r="G1029" i="26"/>
  <c r="M1030" i="26"/>
  <c r="N1029" i="26"/>
  <c r="T1029" i="26" s="1"/>
  <c r="G392" i="26"/>
  <c r="N392" i="26"/>
  <c r="T392" i="26" s="1"/>
  <c r="M393" i="26"/>
  <c r="J1027" i="26"/>
  <c r="K1027" i="26"/>
  <c r="Q1028" i="26"/>
  <c r="O1032" i="26"/>
  <c r="H1031" i="26"/>
  <c r="I1031" i="26"/>
  <c r="I392" i="26"/>
  <c r="H392" i="26"/>
  <c r="O393" i="26"/>
  <c r="P269" i="26"/>
  <c r="S269" i="26" s="1"/>
  <c r="T904" i="26"/>
  <c r="C907" i="26"/>
  <c r="L907" i="26" s="1"/>
  <c r="P564" i="26"/>
  <c r="T564" i="26"/>
  <c r="S564" i="26"/>
  <c r="E567" i="26"/>
  <c r="F1026" i="26"/>
  <c r="P1026" i="26" s="1"/>
  <c r="U1026" i="26" s="1"/>
  <c r="P1200" i="26"/>
  <c r="T1200" i="26"/>
  <c r="S1200" i="26"/>
  <c r="H195" i="26"/>
  <c r="H831" i="26"/>
  <c r="E1203" i="26"/>
  <c r="R1025" i="26"/>
  <c r="V1025" i="26" s="1"/>
  <c r="S268" i="26"/>
  <c r="T268" i="26"/>
  <c r="C393" i="26"/>
  <c r="D392" i="26"/>
  <c r="L392" i="26" s="1"/>
  <c r="F1203" i="26"/>
  <c r="F567" i="26"/>
  <c r="P905" i="26"/>
  <c r="T905" i="26" s="1"/>
  <c r="I830" i="26"/>
  <c r="P830" i="26" s="1"/>
  <c r="Q829" i="26"/>
  <c r="C1202" i="26"/>
  <c r="K1201" i="26"/>
  <c r="C1028" i="26"/>
  <c r="D1027" i="26"/>
  <c r="L1027" i="26" s="1"/>
  <c r="E1027" i="26"/>
  <c r="F908" i="26"/>
  <c r="F272" i="26"/>
  <c r="E272" i="26"/>
  <c r="L271" i="26"/>
  <c r="M271" i="26" s="1"/>
  <c r="Q271" i="26" s="1"/>
  <c r="Q193" i="26"/>
  <c r="I194" i="26"/>
  <c r="P194" i="26" s="1"/>
  <c r="L906" i="26"/>
  <c r="P270" i="26"/>
  <c r="S270" i="26" s="1"/>
  <c r="C566" i="26"/>
  <c r="K565" i="26"/>
  <c r="C272" i="26"/>
  <c r="E908" i="26"/>
  <c r="R390" i="26"/>
  <c r="V390" i="26" s="1"/>
  <c r="Q394" i="26" l="1"/>
  <c r="K393" i="26"/>
  <c r="J393" i="26"/>
  <c r="E392" i="26"/>
  <c r="F392" i="26" s="1"/>
  <c r="P392" i="26" s="1"/>
  <c r="U392" i="26" s="1"/>
  <c r="T269" i="26"/>
  <c r="O394" i="26"/>
  <c r="I393" i="26"/>
  <c r="H393" i="26"/>
  <c r="H1032" i="26"/>
  <c r="O1033" i="26"/>
  <c r="I1032" i="26"/>
  <c r="M394" i="26"/>
  <c r="G393" i="26"/>
  <c r="N393" i="26"/>
  <c r="T393" i="26" s="1"/>
  <c r="G1030" i="26"/>
  <c r="N1030" i="26"/>
  <c r="T1030" i="26" s="1"/>
  <c r="M1031" i="26"/>
  <c r="Q1029" i="26"/>
  <c r="K1028" i="26"/>
  <c r="J1028" i="26"/>
  <c r="S905" i="26"/>
  <c r="E909" i="26"/>
  <c r="C394" i="26"/>
  <c r="D393" i="26"/>
  <c r="L393" i="26" s="1"/>
  <c r="H196" i="26"/>
  <c r="F909" i="26"/>
  <c r="H832" i="26"/>
  <c r="F273" i="26"/>
  <c r="F1204" i="26"/>
  <c r="E1028" i="26"/>
  <c r="C1029" i="26"/>
  <c r="D1028" i="26"/>
  <c r="L1028" i="26" s="1"/>
  <c r="P271" i="26"/>
  <c r="S271" i="26" s="1"/>
  <c r="F568" i="26"/>
  <c r="C273" i="26"/>
  <c r="P565" i="26"/>
  <c r="S565" i="26"/>
  <c r="T565" i="26"/>
  <c r="E1204" i="26"/>
  <c r="E273" i="26"/>
  <c r="L272" i="26"/>
  <c r="M272" i="26" s="1"/>
  <c r="Q272" i="26" s="1"/>
  <c r="P1201" i="26"/>
  <c r="T1201" i="26"/>
  <c r="S1201" i="26"/>
  <c r="C567" i="26"/>
  <c r="K566" i="26"/>
  <c r="R1026" i="26"/>
  <c r="V1026" i="26" s="1"/>
  <c r="E568" i="26"/>
  <c r="I831" i="26"/>
  <c r="Q830" i="26"/>
  <c r="C908" i="26"/>
  <c r="M907" i="26"/>
  <c r="Q907" i="26" s="1"/>
  <c r="I195" i="26"/>
  <c r="Q194" i="26"/>
  <c r="F1027" i="26"/>
  <c r="P1027" i="26" s="1"/>
  <c r="U1027" i="26" s="1"/>
  <c r="C1203" i="26"/>
  <c r="K1202" i="26"/>
  <c r="M906" i="26"/>
  <c r="Q906" i="26" s="1"/>
  <c r="R391" i="26"/>
  <c r="V391" i="26" s="1"/>
  <c r="T270" i="26"/>
  <c r="E393" i="26" l="1"/>
  <c r="J394" i="26"/>
  <c r="Q395" i="26"/>
  <c r="K394" i="26"/>
  <c r="G1031" i="26"/>
  <c r="M1032" i="26"/>
  <c r="N1031" i="26"/>
  <c r="T1031" i="26" s="1"/>
  <c r="K1029" i="26"/>
  <c r="J1029" i="26"/>
  <c r="Q1030" i="26"/>
  <c r="H1033" i="26"/>
  <c r="I1033" i="26"/>
  <c r="O1034" i="26"/>
  <c r="G394" i="26"/>
  <c r="M395" i="26"/>
  <c r="N394" i="26"/>
  <c r="T394" i="26" s="1"/>
  <c r="O395" i="26"/>
  <c r="I394" i="26"/>
  <c r="H394" i="26"/>
  <c r="P906" i="26"/>
  <c r="S906" i="26" s="1"/>
  <c r="Q195" i="26"/>
  <c r="I196" i="26"/>
  <c r="P196" i="26" s="1"/>
  <c r="C909" i="26"/>
  <c r="L909" i="26" s="1"/>
  <c r="F1028" i="26"/>
  <c r="P1028" i="26" s="1"/>
  <c r="U1028" i="26" s="1"/>
  <c r="T271" i="26"/>
  <c r="C274" i="26"/>
  <c r="P907" i="26"/>
  <c r="T907" i="26" s="1"/>
  <c r="F274" i="26"/>
  <c r="H197" i="26"/>
  <c r="C1030" i="26"/>
  <c r="D1029" i="26"/>
  <c r="L1029" i="26" s="1"/>
  <c r="E1029" i="26"/>
  <c r="P566" i="26"/>
  <c r="T566" i="26"/>
  <c r="S566" i="26"/>
  <c r="P272" i="26"/>
  <c r="S272" i="26" s="1"/>
  <c r="F569" i="26"/>
  <c r="L273" i="26"/>
  <c r="M273" i="26" s="1"/>
  <c r="Q273" i="26" s="1"/>
  <c r="E274" i="26"/>
  <c r="R1027" i="26"/>
  <c r="V1027" i="26" s="1"/>
  <c r="I832" i="26"/>
  <c r="P832" i="26" s="1"/>
  <c r="Q831" i="26"/>
  <c r="P831" i="26"/>
  <c r="L908" i="26"/>
  <c r="M908" i="26" s="1"/>
  <c r="Q908" i="26" s="1"/>
  <c r="E569" i="26"/>
  <c r="C568" i="26"/>
  <c r="K567" i="26"/>
  <c r="F910" i="26"/>
  <c r="F393" i="26"/>
  <c r="P393" i="26" s="1"/>
  <c r="U393" i="26" s="1"/>
  <c r="E910" i="26"/>
  <c r="D394" i="26"/>
  <c r="L394" i="26" s="1"/>
  <c r="C395" i="26"/>
  <c r="P1202" i="26"/>
  <c r="S1202" i="26"/>
  <c r="T1202" i="26"/>
  <c r="E1205" i="26"/>
  <c r="F1205" i="26"/>
  <c r="H833" i="26"/>
  <c r="P195" i="26"/>
  <c r="R392" i="26"/>
  <c r="V392" i="26" s="1"/>
  <c r="K1203" i="26"/>
  <c r="C1204" i="26"/>
  <c r="E394" i="26" l="1"/>
  <c r="K395" i="26"/>
  <c r="J395" i="26"/>
  <c r="Q396" i="26"/>
  <c r="T906" i="26"/>
  <c r="J1030" i="26"/>
  <c r="Q1031" i="26"/>
  <c r="K1030" i="26"/>
  <c r="M396" i="26"/>
  <c r="N395" i="26"/>
  <c r="T395" i="26" s="1"/>
  <c r="G395" i="26"/>
  <c r="O1035" i="26"/>
  <c r="I1034" i="26"/>
  <c r="H1034" i="26"/>
  <c r="N1032" i="26"/>
  <c r="T1032" i="26" s="1"/>
  <c r="M1033" i="26"/>
  <c r="G1032" i="26"/>
  <c r="O396" i="26"/>
  <c r="H395" i="26"/>
  <c r="I395" i="26"/>
  <c r="E1206" i="26"/>
  <c r="F570" i="26"/>
  <c r="F1029" i="26"/>
  <c r="P1029" i="26" s="1"/>
  <c r="U1029" i="26" s="1"/>
  <c r="E1030" i="26"/>
  <c r="C1031" i="26"/>
  <c r="D1030" i="26"/>
  <c r="L1030" i="26" s="1"/>
  <c r="F911" i="26"/>
  <c r="D395" i="26"/>
  <c r="L395" i="26" s="1"/>
  <c r="C396" i="26"/>
  <c r="C275" i="26"/>
  <c r="H198" i="26"/>
  <c r="R1028" i="26"/>
  <c r="V1028" i="26" s="1"/>
  <c r="F1206" i="26"/>
  <c r="C910" i="26"/>
  <c r="L910" i="26" s="1"/>
  <c r="M909" i="26"/>
  <c r="Q909" i="26" s="1"/>
  <c r="R393" i="26"/>
  <c r="V393" i="26" s="1"/>
  <c r="S907" i="26"/>
  <c r="I833" i="26"/>
  <c r="P833" i="26" s="1"/>
  <c r="Q832" i="26"/>
  <c r="I197" i="26"/>
  <c r="P197" i="26" s="1"/>
  <c r="Q196" i="26"/>
  <c r="F275" i="26"/>
  <c r="K568" i="26"/>
  <c r="C569" i="26"/>
  <c r="E570" i="26"/>
  <c r="K1204" i="26"/>
  <c r="C1205" i="26"/>
  <c r="P1203" i="26"/>
  <c r="S1203" i="26"/>
  <c r="T1203" i="26"/>
  <c r="P273" i="26"/>
  <c r="S273" i="26" s="1"/>
  <c r="F394" i="26"/>
  <c r="P394" i="26" s="1"/>
  <c r="U394" i="26" s="1"/>
  <c r="T272" i="26"/>
  <c r="E911" i="26"/>
  <c r="P567" i="26"/>
  <c r="S567" i="26"/>
  <c r="T567" i="26"/>
  <c r="P908" i="26"/>
  <c r="S908" i="26" s="1"/>
  <c r="H834" i="26"/>
  <c r="L274" i="26"/>
  <c r="M274" i="26" s="1"/>
  <c r="Q274" i="26" s="1"/>
  <c r="E275" i="26"/>
  <c r="K396" i="26" l="1"/>
  <c r="Q397" i="26"/>
  <c r="J396" i="26"/>
  <c r="E395" i="26"/>
  <c r="F395" i="26" s="1"/>
  <c r="P395" i="26" s="1"/>
  <c r="U395" i="26" s="1"/>
  <c r="O397" i="26"/>
  <c r="H396" i="26"/>
  <c r="I396" i="26"/>
  <c r="H1035" i="26"/>
  <c r="O1036" i="26"/>
  <c r="I1035" i="26"/>
  <c r="M397" i="26"/>
  <c r="N396" i="26"/>
  <c r="T396" i="26" s="1"/>
  <c r="G396" i="26"/>
  <c r="Q1032" i="26"/>
  <c r="J1031" i="26"/>
  <c r="K1031" i="26"/>
  <c r="G1033" i="26"/>
  <c r="M1034" i="26"/>
  <c r="N1033" i="26"/>
  <c r="T1033" i="26" s="1"/>
  <c r="P909" i="26"/>
  <c r="T909" i="26" s="1"/>
  <c r="T273" i="26"/>
  <c r="E912" i="26"/>
  <c r="C397" i="26"/>
  <c r="D396" i="26"/>
  <c r="L396" i="26" s="1"/>
  <c r="H199" i="26"/>
  <c r="F1030" i="26"/>
  <c r="P1030" i="26" s="1"/>
  <c r="U1030" i="26" s="1"/>
  <c r="C1206" i="26"/>
  <c r="K1205" i="26"/>
  <c r="E571" i="26"/>
  <c r="F1207" i="26"/>
  <c r="K569" i="26"/>
  <c r="C570" i="26"/>
  <c r="R1029" i="26"/>
  <c r="V1029" i="26" s="1"/>
  <c r="P568" i="26"/>
  <c r="T568" i="26"/>
  <c r="S568" i="26"/>
  <c r="F276" i="26"/>
  <c r="Q197" i="26"/>
  <c r="I198" i="26"/>
  <c r="P198" i="26" s="1"/>
  <c r="C276" i="26"/>
  <c r="F912" i="26"/>
  <c r="H835" i="26"/>
  <c r="F571" i="26"/>
  <c r="C911" i="26"/>
  <c r="L911" i="26" s="1"/>
  <c r="M910" i="26"/>
  <c r="Q910" i="26" s="1"/>
  <c r="R394" i="26"/>
  <c r="V394" i="26" s="1"/>
  <c r="P274" i="26"/>
  <c r="S274" i="26" s="1"/>
  <c r="P1204" i="26"/>
  <c r="T1204" i="26"/>
  <c r="S1204" i="26"/>
  <c r="D1031" i="26"/>
  <c r="L1031" i="26" s="1"/>
  <c r="C1032" i="26"/>
  <c r="E1031" i="26"/>
  <c r="L275" i="26"/>
  <c r="E276" i="26"/>
  <c r="I834" i="26"/>
  <c r="P834" i="26" s="1"/>
  <c r="Q833" i="26"/>
  <c r="T908" i="26"/>
  <c r="E1207" i="26"/>
  <c r="E396" i="26" l="1"/>
  <c r="Q398" i="26"/>
  <c r="K397" i="26"/>
  <c r="J397" i="26"/>
  <c r="N1034" i="26"/>
  <c r="T1034" i="26" s="1"/>
  <c r="G1034" i="26"/>
  <c r="M1035" i="26"/>
  <c r="J1032" i="26"/>
  <c r="Q1033" i="26"/>
  <c r="K1032" i="26"/>
  <c r="N397" i="26"/>
  <c r="T397" i="26" s="1"/>
  <c r="G397" i="26"/>
  <c r="M398" i="26"/>
  <c r="H1036" i="26"/>
  <c r="O1037" i="26"/>
  <c r="I1036" i="26"/>
  <c r="O398" i="26"/>
  <c r="I397" i="26"/>
  <c r="H397" i="26"/>
  <c r="E1032" i="26"/>
  <c r="D1032" i="26"/>
  <c r="L1032" i="26" s="1"/>
  <c r="C1033" i="26"/>
  <c r="E572" i="26"/>
  <c r="T274" i="26"/>
  <c r="E1208" i="26"/>
  <c r="F1031" i="26"/>
  <c r="P1031" i="26" s="1"/>
  <c r="U1031" i="26" s="1"/>
  <c r="F1208" i="26"/>
  <c r="C1207" i="26"/>
  <c r="K1206" i="26"/>
  <c r="F572" i="26"/>
  <c r="C277" i="26"/>
  <c r="E913" i="26"/>
  <c r="Q198" i="26"/>
  <c r="I199" i="26"/>
  <c r="P199" i="26" s="1"/>
  <c r="S909" i="26"/>
  <c r="K570" i="26"/>
  <c r="C571" i="26"/>
  <c r="R1030" i="26"/>
  <c r="V1030" i="26" s="1"/>
  <c r="H200" i="26"/>
  <c r="F396" i="26"/>
  <c r="P396" i="26" s="1"/>
  <c r="U396" i="26" s="1"/>
  <c r="F913" i="26"/>
  <c r="P1205" i="26"/>
  <c r="T1205" i="26"/>
  <c r="S1205" i="26"/>
  <c r="Q834" i="26"/>
  <c r="I835" i="26"/>
  <c r="P569" i="26"/>
  <c r="T569" i="26"/>
  <c r="S569" i="26"/>
  <c r="C912" i="26"/>
  <c r="L912" i="26" s="1"/>
  <c r="M911" i="26"/>
  <c r="Q911" i="26" s="1"/>
  <c r="H836" i="26"/>
  <c r="P835" i="26"/>
  <c r="D397" i="26"/>
  <c r="L397" i="26" s="1"/>
  <c r="C398" i="26"/>
  <c r="R395" i="26"/>
  <c r="V395" i="26" s="1"/>
  <c r="M275" i="26"/>
  <c r="Q275" i="26" s="1"/>
  <c r="E277" i="26"/>
  <c r="L276" i="26"/>
  <c r="M276" i="26" s="1"/>
  <c r="Q276" i="26" s="1"/>
  <c r="F277" i="26"/>
  <c r="P910" i="26"/>
  <c r="T910" i="26" s="1"/>
  <c r="S910" i="26" l="1"/>
  <c r="J398" i="26"/>
  <c r="K398" i="26"/>
  <c r="Q399" i="26"/>
  <c r="Q1034" i="26"/>
  <c r="K1033" i="26"/>
  <c r="J1033" i="26"/>
  <c r="I398" i="26"/>
  <c r="H398" i="26"/>
  <c r="O399" i="26"/>
  <c r="M399" i="26"/>
  <c r="N398" i="26"/>
  <c r="T398" i="26" s="1"/>
  <c r="G398" i="26"/>
  <c r="N1035" i="26"/>
  <c r="T1035" i="26" s="1"/>
  <c r="M1036" i="26"/>
  <c r="G1035" i="26"/>
  <c r="I1037" i="26"/>
  <c r="H1037" i="26"/>
  <c r="E397" i="26"/>
  <c r="F397" i="26" s="1"/>
  <c r="P397" i="26" s="1"/>
  <c r="U397" i="26" s="1"/>
  <c r="E914" i="26"/>
  <c r="C278" i="26"/>
  <c r="C399" i="26"/>
  <c r="D398" i="26"/>
  <c r="L398" i="26" s="1"/>
  <c r="K1207" i="26"/>
  <c r="C1208" i="26"/>
  <c r="R1031" i="26"/>
  <c r="V1031" i="26" s="1"/>
  <c r="F573" i="26"/>
  <c r="H201" i="26"/>
  <c r="M912" i="26"/>
  <c r="Q912" i="26" s="1"/>
  <c r="C913" i="26"/>
  <c r="E1209" i="26"/>
  <c r="F914" i="26"/>
  <c r="R396" i="26"/>
  <c r="V396" i="26" s="1"/>
  <c r="P275" i="26"/>
  <c r="T275" i="26" s="1"/>
  <c r="I200" i="26"/>
  <c r="Q199" i="26"/>
  <c r="H837" i="26"/>
  <c r="F278" i="26"/>
  <c r="P276" i="26"/>
  <c r="T276" i="26" s="1"/>
  <c r="K571" i="26"/>
  <c r="C572" i="26"/>
  <c r="F1209" i="26"/>
  <c r="D1033" i="26"/>
  <c r="L1033" i="26" s="1"/>
  <c r="C1034" i="26"/>
  <c r="E1033" i="26"/>
  <c r="P570" i="26"/>
  <c r="T570" i="26"/>
  <c r="S570" i="26"/>
  <c r="P1206" i="26"/>
  <c r="T1206" i="26"/>
  <c r="S1206" i="26"/>
  <c r="I836" i="26"/>
  <c r="P836" i="26" s="1"/>
  <c r="Q835" i="26"/>
  <c r="E573" i="26"/>
  <c r="F1032" i="26"/>
  <c r="P1032" i="26" s="1"/>
  <c r="U1032" i="26" s="1"/>
  <c r="E278" i="26"/>
  <c r="L277" i="26"/>
  <c r="P911" i="26"/>
  <c r="T911" i="26" s="1"/>
  <c r="E398" i="26" l="1"/>
  <c r="Q400" i="26"/>
  <c r="J399" i="26"/>
  <c r="K399" i="26"/>
  <c r="G399" i="26"/>
  <c r="N399" i="26"/>
  <c r="T399" i="26" s="1"/>
  <c r="M400" i="26"/>
  <c r="O400" i="26"/>
  <c r="I399" i="26"/>
  <c r="H399" i="26"/>
  <c r="G1036" i="26"/>
  <c r="M1037" i="26"/>
  <c r="N1036" i="26"/>
  <c r="T1036" i="26" s="1"/>
  <c r="J1034" i="26"/>
  <c r="K1034" i="26"/>
  <c r="Q1035" i="26"/>
  <c r="S911" i="26"/>
  <c r="H838" i="26"/>
  <c r="E1210" i="26"/>
  <c r="I201" i="26"/>
  <c r="P201" i="26" s="1"/>
  <c r="Q200" i="26"/>
  <c r="P912" i="26"/>
  <c r="T912" i="26" s="1"/>
  <c r="E574" i="26"/>
  <c r="F915" i="26"/>
  <c r="H202" i="26"/>
  <c r="C1209" i="26"/>
  <c r="K1208" i="26"/>
  <c r="F1033" i="26"/>
  <c r="P1033" i="26" s="1"/>
  <c r="U1033" i="26" s="1"/>
  <c r="F574" i="26"/>
  <c r="S275" i="26"/>
  <c r="D1034" i="26"/>
  <c r="L1034" i="26" s="1"/>
  <c r="C1035" i="26"/>
  <c r="E1034" i="26"/>
  <c r="I837" i="26"/>
  <c r="Q836" i="26"/>
  <c r="P200" i="26"/>
  <c r="F1210" i="26"/>
  <c r="R397" i="26"/>
  <c r="V397" i="26" s="1"/>
  <c r="C573" i="26"/>
  <c r="K572" i="26"/>
  <c r="L278" i="26"/>
  <c r="M278" i="26" s="1"/>
  <c r="Q278" i="26" s="1"/>
  <c r="E279" i="26"/>
  <c r="C279" i="26"/>
  <c r="C400" i="26"/>
  <c r="D399" i="26"/>
  <c r="L399" i="26" s="1"/>
  <c r="P571" i="26"/>
  <c r="S571" i="26"/>
  <c r="T571" i="26"/>
  <c r="E915" i="26"/>
  <c r="C914" i="26"/>
  <c r="L914" i="26" s="1"/>
  <c r="P1207" i="26"/>
  <c r="T1207" i="26"/>
  <c r="S1207" i="26"/>
  <c r="F398" i="26"/>
  <c r="P398" i="26" s="1"/>
  <c r="U398" i="26" s="1"/>
  <c r="M277" i="26"/>
  <c r="Q277" i="26" s="1"/>
  <c r="F279" i="26"/>
  <c r="L913" i="26"/>
  <c r="M913" i="26" s="1"/>
  <c r="Q913" i="26" s="1"/>
  <c r="S276" i="26"/>
  <c r="R1032" i="26"/>
  <c r="V1032" i="26" s="1"/>
  <c r="Q401" i="26" l="1"/>
  <c r="J400" i="26"/>
  <c r="K400" i="26"/>
  <c r="S912" i="26"/>
  <c r="P277" i="26"/>
  <c r="S277" i="26" s="1"/>
  <c r="N1037" i="26"/>
  <c r="T1037" i="26" s="1"/>
  <c r="G1037" i="26"/>
  <c r="E399" i="26"/>
  <c r="F399" i="26" s="1"/>
  <c r="P399" i="26" s="1"/>
  <c r="U399" i="26" s="1"/>
  <c r="K1035" i="26"/>
  <c r="Q1036" i="26"/>
  <c r="J1035" i="26"/>
  <c r="I400" i="26"/>
  <c r="H400" i="26"/>
  <c r="O401" i="26"/>
  <c r="N400" i="26"/>
  <c r="T400" i="26" s="1"/>
  <c r="G400" i="26"/>
  <c r="M401" i="26"/>
  <c r="E1035" i="26"/>
  <c r="C1036" i="26"/>
  <c r="D1035" i="26"/>
  <c r="L1035" i="26" s="1"/>
  <c r="E916" i="26"/>
  <c r="Q837" i="26"/>
  <c r="I838" i="26"/>
  <c r="P838" i="26" s="1"/>
  <c r="C280" i="26"/>
  <c r="F575" i="26"/>
  <c r="F1034" i="26"/>
  <c r="P1034" i="26" s="1"/>
  <c r="U1034" i="26" s="1"/>
  <c r="C1210" i="26"/>
  <c r="K1209" i="26"/>
  <c r="P913" i="26"/>
  <c r="T913" i="26" s="1"/>
  <c r="R1033" i="26"/>
  <c r="V1033" i="26" s="1"/>
  <c r="C401" i="26"/>
  <c r="D400" i="26"/>
  <c r="L400" i="26" s="1"/>
  <c r="F916" i="26"/>
  <c r="P1208" i="26"/>
  <c r="T1208" i="26"/>
  <c r="S1208" i="26"/>
  <c r="E575" i="26"/>
  <c r="P278" i="26"/>
  <c r="S278" i="26" s="1"/>
  <c r="C574" i="26"/>
  <c r="K573" i="26"/>
  <c r="F280" i="26"/>
  <c r="E1211" i="26"/>
  <c r="P572" i="26"/>
  <c r="T572" i="26"/>
  <c r="S572" i="26"/>
  <c r="Q201" i="26"/>
  <c r="I202" i="26"/>
  <c r="F1211" i="26"/>
  <c r="P837" i="26"/>
  <c r="M914" i="26"/>
  <c r="Q914" i="26" s="1"/>
  <c r="C915" i="26"/>
  <c r="H203" i="26"/>
  <c r="L279" i="26"/>
  <c r="M279" i="26" s="1"/>
  <c r="Q279" i="26" s="1"/>
  <c r="E280" i="26"/>
  <c r="R398" i="26"/>
  <c r="V398" i="26" s="1"/>
  <c r="H839" i="26"/>
  <c r="T277" i="26" l="1"/>
  <c r="J401" i="26"/>
  <c r="K401" i="26"/>
  <c r="I401" i="26"/>
  <c r="H401" i="26"/>
  <c r="J1036" i="26"/>
  <c r="Q1037" i="26"/>
  <c r="K1036" i="26"/>
  <c r="E400" i="26"/>
  <c r="F400" i="26" s="1"/>
  <c r="P400" i="26" s="1"/>
  <c r="U400" i="26" s="1"/>
  <c r="G401" i="26"/>
  <c r="N401" i="26"/>
  <c r="T401" i="26" s="1"/>
  <c r="H339" i="26"/>
  <c r="V298" i="26" s="1"/>
  <c r="W298" i="26" s="1"/>
  <c r="H344" i="26"/>
  <c r="V318" i="26" s="1"/>
  <c r="W318" i="26" s="1"/>
  <c r="H340" i="26"/>
  <c r="V302" i="26" s="1"/>
  <c r="W302" i="26" s="1"/>
  <c r="T278" i="26"/>
  <c r="H204" i="26"/>
  <c r="S913" i="26"/>
  <c r="C916" i="26"/>
  <c r="L916" i="26" s="1"/>
  <c r="P1209" i="26"/>
  <c r="T1209" i="26"/>
  <c r="S1209" i="26"/>
  <c r="C1211" i="26"/>
  <c r="K1210" i="26"/>
  <c r="D401" i="26"/>
  <c r="L401" i="26" s="1"/>
  <c r="E1212" i="26"/>
  <c r="F281" i="26"/>
  <c r="F1212" i="26"/>
  <c r="R1034" i="26"/>
  <c r="V1034" i="26" s="1"/>
  <c r="H840" i="26"/>
  <c r="F1035" i="26"/>
  <c r="P1035" i="26" s="1"/>
  <c r="U1035" i="26" s="1"/>
  <c r="L915" i="26"/>
  <c r="D1036" i="26"/>
  <c r="L1036" i="26" s="1"/>
  <c r="E1036" i="26"/>
  <c r="C1037" i="26"/>
  <c r="F917" i="26"/>
  <c r="I203" i="26"/>
  <c r="Q202" i="26"/>
  <c r="F576" i="26"/>
  <c r="C281" i="26"/>
  <c r="P573" i="26"/>
  <c r="T573" i="26"/>
  <c r="S573" i="26"/>
  <c r="C575" i="26"/>
  <c r="K574" i="26"/>
  <c r="E917" i="26"/>
  <c r="P279" i="26"/>
  <c r="T279" i="26" s="1"/>
  <c r="Q838" i="26"/>
  <c r="I839" i="26"/>
  <c r="P839" i="26" s="1"/>
  <c r="R399" i="26"/>
  <c r="V399" i="26" s="1"/>
  <c r="E576" i="26"/>
  <c r="L280" i="26"/>
  <c r="E281" i="26"/>
  <c r="P202" i="26"/>
  <c r="P914" i="26"/>
  <c r="S914" i="26" s="1"/>
  <c r="E401" i="26" l="1"/>
  <c r="S279" i="26"/>
  <c r="U410" i="26"/>
  <c r="V410" i="26" s="1"/>
  <c r="V405" i="26"/>
  <c r="K1037" i="26"/>
  <c r="J1037" i="26"/>
  <c r="H975" i="26"/>
  <c r="V934" i="26" s="1"/>
  <c r="W934" i="26" s="1"/>
  <c r="H980" i="26"/>
  <c r="V954" i="26" s="1"/>
  <c r="W954" i="26" s="1"/>
  <c r="H976" i="26"/>
  <c r="V938" i="26" s="1"/>
  <c r="W938" i="26" s="1"/>
  <c r="T914" i="26"/>
  <c r="F1036" i="26"/>
  <c r="P1036" i="26" s="1"/>
  <c r="U1036" i="26" s="1"/>
  <c r="E577" i="26"/>
  <c r="D1037" i="26"/>
  <c r="L1037" i="26" s="1"/>
  <c r="E1037" i="26"/>
  <c r="R1035" i="26"/>
  <c r="V1035" i="26" s="1"/>
  <c r="C576" i="26"/>
  <c r="K575" i="26"/>
  <c r="I840" i="26"/>
  <c r="Q839" i="26"/>
  <c r="P574" i="26"/>
  <c r="T574" i="26"/>
  <c r="S574" i="26"/>
  <c r="F282" i="26"/>
  <c r="M915" i="26"/>
  <c r="Q915" i="26" s="1"/>
  <c r="E282" i="26"/>
  <c r="L281" i="26"/>
  <c r="E918" i="26"/>
  <c r="M280" i="26"/>
  <c r="Q280" i="26" s="1"/>
  <c r="C282" i="26"/>
  <c r="F577" i="26"/>
  <c r="I204" i="26"/>
  <c r="Q203" i="26"/>
  <c r="M916" i="26"/>
  <c r="Q916" i="26" s="1"/>
  <c r="C917" i="26"/>
  <c r="H841" i="26"/>
  <c r="F401" i="26"/>
  <c r="P401" i="26" s="1"/>
  <c r="U401" i="26" s="1"/>
  <c r="F1213" i="26"/>
  <c r="E1213" i="26"/>
  <c r="C1212" i="26"/>
  <c r="K1211" i="26"/>
  <c r="R400" i="26"/>
  <c r="V400" i="26" s="1"/>
  <c r="P203" i="26"/>
  <c r="P1210" i="26"/>
  <c r="T1210" i="26"/>
  <c r="S1210" i="26"/>
  <c r="F918" i="26"/>
  <c r="H205" i="26"/>
  <c r="P916" i="26" l="1"/>
  <c r="T916" i="26" s="1"/>
  <c r="V1041" i="26"/>
  <c r="U1046" i="26"/>
  <c r="V1046" i="26" s="1"/>
  <c r="E919" i="26"/>
  <c r="E283" i="26"/>
  <c r="L282" i="26"/>
  <c r="M282" i="26" s="1"/>
  <c r="Q282" i="26" s="1"/>
  <c r="C1213" i="26"/>
  <c r="K1212" i="26"/>
  <c r="F283" i="26"/>
  <c r="H842" i="26"/>
  <c r="P915" i="26"/>
  <c r="T915" i="26" s="1"/>
  <c r="F1214" i="26"/>
  <c r="P575" i="26"/>
  <c r="T575" i="26"/>
  <c r="S575" i="26"/>
  <c r="P1211" i="26"/>
  <c r="T1211" i="26"/>
  <c r="S1211" i="26"/>
  <c r="F578" i="26"/>
  <c r="C918" i="26"/>
  <c r="I841" i="26"/>
  <c r="P841" i="26" s="1"/>
  <c r="Q840" i="26"/>
  <c r="P840" i="26"/>
  <c r="E578" i="26"/>
  <c r="H206" i="26"/>
  <c r="M281" i="26"/>
  <c r="Q281" i="26" s="1"/>
  <c r="R1036" i="26"/>
  <c r="V1036" i="26" s="1"/>
  <c r="R401" i="26"/>
  <c r="V401" i="26" s="1"/>
  <c r="P280" i="26"/>
  <c r="E1214" i="26"/>
  <c r="K576" i="26"/>
  <c r="C577" i="26"/>
  <c r="F1037" i="26"/>
  <c r="P1037" i="26" s="1"/>
  <c r="U1037" i="26" s="1"/>
  <c r="I205" i="26"/>
  <c r="Q204" i="26"/>
  <c r="C283" i="26"/>
  <c r="P204" i="26"/>
  <c r="F919" i="26"/>
  <c r="L917" i="26"/>
  <c r="M917" i="26" s="1"/>
  <c r="Q917" i="26" s="1"/>
  <c r="S916" i="26" l="1"/>
  <c r="P281" i="26"/>
  <c r="S281" i="26" s="1"/>
  <c r="C919" i="26"/>
  <c r="L919" i="26" s="1"/>
  <c r="S915" i="26"/>
  <c r="C578" i="26"/>
  <c r="K577" i="26"/>
  <c r="F920" i="26"/>
  <c r="C284" i="26"/>
  <c r="S280" i="26"/>
  <c r="T280" i="26"/>
  <c r="R1037" i="26"/>
  <c r="V1037" i="26" s="1"/>
  <c r="P576" i="26"/>
  <c r="S576" i="26"/>
  <c r="T576" i="26"/>
  <c r="P1212" i="26"/>
  <c r="T1212" i="26"/>
  <c r="S1212" i="26"/>
  <c r="I206" i="26"/>
  <c r="P206" i="26" s="1"/>
  <c r="Q205" i="26"/>
  <c r="F284" i="26"/>
  <c r="K1213" i="26"/>
  <c r="C1214" i="26"/>
  <c r="H207" i="26"/>
  <c r="E920" i="26"/>
  <c r="H843" i="26"/>
  <c r="P282" i="26"/>
  <c r="T282" i="26" s="1"/>
  <c r="I842" i="26"/>
  <c r="Q841" i="26"/>
  <c r="P917" i="26"/>
  <c r="T917" i="26" s="1"/>
  <c r="F579" i="26"/>
  <c r="F1215" i="26"/>
  <c r="E1215" i="26"/>
  <c r="P205" i="26"/>
  <c r="E579" i="26"/>
  <c r="L283" i="26"/>
  <c r="E284" i="26"/>
  <c r="L918" i="26"/>
  <c r="T281" i="26"/>
  <c r="S282" i="26" l="1"/>
  <c r="Q206" i="26"/>
  <c r="I207" i="26"/>
  <c r="P207" i="26" s="1"/>
  <c r="H208" i="26"/>
  <c r="P1213" i="26"/>
  <c r="T1213" i="26"/>
  <c r="S1213" i="26"/>
  <c r="S917" i="26"/>
  <c r="C579" i="26"/>
  <c r="K579" i="26" s="1"/>
  <c r="P579" i="26" s="1"/>
  <c r="K578" i="26"/>
  <c r="M283" i="26"/>
  <c r="Q283" i="26" s="1"/>
  <c r="L284" i="26"/>
  <c r="M284" i="26" s="1"/>
  <c r="Q284" i="26" s="1"/>
  <c r="I843" i="26"/>
  <c r="Q842" i="26"/>
  <c r="P577" i="26"/>
  <c r="S577" i="26"/>
  <c r="T577" i="26"/>
  <c r="P843" i="26"/>
  <c r="H844" i="26"/>
  <c r="M918" i="26"/>
  <c r="Q918" i="26" s="1"/>
  <c r="C1215" i="26"/>
  <c r="K1215" i="26" s="1"/>
  <c r="P1215" i="26" s="1"/>
  <c r="K1214" i="26"/>
  <c r="P842" i="26"/>
  <c r="M919" i="26"/>
  <c r="Q919" i="26" s="1"/>
  <c r="C920" i="26"/>
  <c r="T1215" i="26" l="1"/>
  <c r="P918" i="26"/>
  <c r="T918" i="26" s="1"/>
  <c r="P283" i="26"/>
  <c r="S283" i="26" s="1"/>
  <c r="P1214" i="26"/>
  <c r="T1214" i="26"/>
  <c r="S1214" i="26"/>
  <c r="T579" i="26"/>
  <c r="S579" i="26"/>
  <c r="L920" i="26"/>
  <c r="P578" i="26"/>
  <c r="S578" i="26"/>
  <c r="T578" i="26"/>
  <c r="S918" i="26"/>
  <c r="S1215" i="26"/>
  <c r="H209" i="26"/>
  <c r="H845" i="26"/>
  <c r="Q207" i="26"/>
  <c r="I208" i="26"/>
  <c r="P919" i="26"/>
  <c r="T919" i="26" s="1"/>
  <c r="I844" i="26"/>
  <c r="Q843" i="26"/>
  <c r="P284" i="26"/>
  <c r="S284" i="26" s="1"/>
  <c r="T284" i="26" l="1"/>
  <c r="I209" i="26"/>
  <c r="Q209" i="26" s="1"/>
  <c r="Q208" i="26"/>
  <c r="T283" i="26"/>
  <c r="P208" i="26"/>
  <c r="I845" i="26"/>
  <c r="Q845" i="26" s="1"/>
  <c r="Q844" i="26"/>
  <c r="P844" i="26"/>
  <c r="S919" i="26"/>
  <c r="M920" i="26"/>
  <c r="Q920" i="26" s="1"/>
  <c r="P920" i="26" l="1"/>
  <c r="T920" i="26" s="1"/>
  <c r="P209" i="26"/>
  <c r="P845" i="26"/>
  <c r="S920" i="2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Adriano Moraes</author>
    <author>Gabriel Cruz</author>
    <author>Refrapi</author>
    <author>mi020832</author>
  </authors>
  <commentList>
    <comment ref="B21" authorId="0" shapeId="0" xr:uid="{616EE593-7A7C-4326-BDD7-146A011B1ED5}">
      <text>
        <r>
          <rPr>
            <b/>
            <sz val="9"/>
            <color indexed="81"/>
            <rFont val="Segoe UI"/>
            <family val="2"/>
          </rPr>
          <t>ÁREA / ESPESSURA</t>
        </r>
      </text>
    </comment>
    <comment ref="B22" authorId="0" shapeId="0" xr:uid="{AEAE1009-7479-4868-9772-5AEDB5C4D6EA}">
      <text>
        <r>
          <rPr>
            <b/>
            <sz val="9"/>
            <color indexed="81"/>
            <rFont val="Segoe UI"/>
            <family val="2"/>
          </rPr>
          <t>VOLUME</t>
        </r>
      </text>
    </comment>
    <comment ref="B44" authorId="0" shapeId="0" xr:uid="{39A632F5-12BA-4BD9-974A-A06668DB6961}">
      <text>
        <r>
          <rPr>
            <b/>
            <sz val="9"/>
            <color indexed="81"/>
            <rFont val="Segoe UI"/>
            <family val="2"/>
          </rPr>
          <t>VOLUME</t>
        </r>
      </text>
    </comment>
    <comment ref="B45" authorId="0" shapeId="0" xr:uid="{056D5C78-24B8-4719-9CA6-10197065049F}">
      <text>
        <r>
          <rPr>
            <b/>
            <sz val="9"/>
            <color indexed="81"/>
            <rFont val="Segoe UI"/>
            <family val="2"/>
          </rPr>
          <t>ÁREA X ESPESSURA</t>
        </r>
      </text>
    </comment>
    <comment ref="B52" authorId="0" shapeId="0" xr:uid="{E98E126E-E9D5-4357-817A-5DA35D974CC0}">
      <text>
        <r>
          <rPr>
            <b/>
            <sz val="9"/>
            <color indexed="81"/>
            <rFont val="Segoe UI"/>
            <family val="2"/>
          </rPr>
          <t>VOLUME</t>
        </r>
      </text>
    </comment>
    <comment ref="B53" authorId="0" shapeId="0" xr:uid="{FBE52CEC-DF4F-4A8A-BEBB-BC8701764A7F}">
      <text>
        <r>
          <rPr>
            <b/>
            <sz val="9"/>
            <color indexed="81"/>
            <rFont val="Segoe UI"/>
            <family val="2"/>
          </rPr>
          <t>ÁREA X ESPESSURA</t>
        </r>
      </text>
    </comment>
    <comment ref="B70" authorId="0" shapeId="0" xr:uid="{8ABA8458-828D-4E4E-A2F5-3CC6C03F12A7}">
      <text>
        <r>
          <rPr>
            <b/>
            <sz val="9"/>
            <color indexed="81"/>
            <rFont val="Segoe UI"/>
            <family val="2"/>
          </rPr>
          <t>Área / espaçamento</t>
        </r>
      </text>
    </comment>
    <comment ref="B71" authorId="0" shapeId="0" xr:uid="{442DE7EF-8F77-45FF-8235-CAA99EB0D3A9}">
      <text>
        <r>
          <rPr>
            <b/>
            <sz val="9"/>
            <color indexed="81"/>
            <rFont val="Segoe UI"/>
            <family val="2"/>
          </rPr>
          <t>Anel cilíndrico</t>
        </r>
      </text>
    </comment>
    <comment ref="B72" authorId="0" shapeId="0" xr:uid="{184D0939-54CC-4A71-8FB1-AAFFFC4F32F8}">
      <text>
        <r>
          <rPr>
            <b/>
            <sz val="9"/>
            <color indexed="81"/>
            <rFont val="Segoe UI"/>
            <family val="2"/>
          </rPr>
          <t>Cilindro (Diametro x altura / espaçamento)</t>
        </r>
      </text>
    </comment>
    <comment ref="B79" authorId="0" shapeId="0" xr:uid="{5614D2E8-7EAE-4F58-B526-AEDC6C69C9AE}">
      <text>
        <r>
          <rPr>
            <b/>
            <sz val="9"/>
            <color indexed="81"/>
            <rFont val="Segoe UI"/>
            <family val="2"/>
          </rPr>
          <t>Área / espaçamento</t>
        </r>
      </text>
    </comment>
    <comment ref="B80" authorId="0" shapeId="0" xr:uid="{B64CF684-D01E-4CC6-B42D-D6FB02549525}">
      <text>
        <r>
          <rPr>
            <b/>
            <sz val="9"/>
            <color indexed="81"/>
            <rFont val="Segoe UI"/>
            <family val="2"/>
          </rPr>
          <t>Anel cilíndrico</t>
        </r>
      </text>
    </comment>
    <comment ref="B81" authorId="0" shapeId="0" xr:uid="{82F1F5E9-4E84-430C-8694-CE1D1535D57C}">
      <text>
        <r>
          <rPr>
            <b/>
            <sz val="9"/>
            <color indexed="81"/>
            <rFont val="Segoe UI"/>
            <family val="2"/>
          </rPr>
          <t>Cilindro (Diametro x altura / espaçamento)</t>
        </r>
      </text>
    </comment>
    <comment ref="R93" authorId="1" shapeId="0" xr:uid="{0706081E-05BE-4B59-AF9D-86321CF28EB1}">
      <text>
        <r>
          <rPr>
            <b/>
            <sz val="9"/>
            <color indexed="81"/>
            <rFont val="Segoe UI"/>
            <family val="2"/>
          </rPr>
          <t>Gabriel Cruz:</t>
        </r>
        <r>
          <rPr>
            <sz val="9"/>
            <color indexed="81"/>
            <rFont val="Segoe UI"/>
            <family val="2"/>
          </rPr>
          <t xml:space="preserve">
Considerar a altura da manta que irá envolver todo o metálico
Dúvidas procurar Adriano</t>
        </r>
      </text>
    </comment>
    <comment ref="B102" authorId="2" shapeId="0" xr:uid="{0C68BF3B-F350-470B-8E13-74C86ADF3C33}">
      <text>
        <r>
          <rPr>
            <b/>
            <sz val="8"/>
            <color indexed="81"/>
            <rFont val="Tahoma"/>
            <family val="2"/>
          </rPr>
          <t>ÂNCORA METÁLICA (50%)</t>
        </r>
      </text>
    </comment>
    <comment ref="B103" authorId="2" shapeId="0" xr:uid="{1ACE2305-645C-4543-8673-1463C7FA5830}">
      <text>
        <r>
          <rPr>
            <b/>
            <sz val="8"/>
            <color indexed="81"/>
            <rFont val="Tahoma"/>
            <family val="2"/>
          </rPr>
          <t>ÂNCORA CERÂMICA (100%)</t>
        </r>
      </text>
    </comment>
    <comment ref="B110" authorId="0" shapeId="0" xr:uid="{ACAA17E4-3918-4A48-804E-897D89F0C689}">
      <text>
        <r>
          <rPr>
            <b/>
            <sz val="9"/>
            <color indexed="81"/>
            <rFont val="Segoe UI"/>
            <family val="2"/>
          </rPr>
          <t>ÁREA / ESPESSURA</t>
        </r>
      </text>
    </comment>
    <comment ref="B111" authorId="0" shapeId="0" xr:uid="{AED58FB1-E901-4466-AA37-352A6F6AF234}">
      <text>
        <r>
          <rPr>
            <b/>
            <sz val="9"/>
            <color indexed="81"/>
            <rFont val="Segoe UI"/>
            <family val="2"/>
          </rPr>
          <t>VOLUME</t>
        </r>
      </text>
    </comment>
    <comment ref="V125" authorId="3" shapeId="0" xr:uid="{3768E28F-D564-4E7D-93D8-A287C07523B6}">
      <text>
        <r>
          <rPr>
            <sz val="9"/>
            <color indexed="81"/>
            <rFont val="Tahoma"/>
            <family val="2"/>
          </rPr>
          <t>O VALOR DESSA CÉLULA DEPENDERÁ DO VALOR ENCONTRADO EM NX, EDITAR CONFORME</t>
        </r>
      </text>
    </comment>
    <comment ref="V129" authorId="3" shapeId="0" xr:uid="{723579F5-BA3C-44B2-82DB-91210871D8DD}">
      <text>
        <r>
          <rPr>
            <sz val="9"/>
            <color indexed="81"/>
            <rFont val="Tahoma"/>
            <family val="2"/>
          </rPr>
          <t>O VALOR DESSA CÉLULA DEPENDERÁ DO VALOR ENCONTRADO EM NX, EDITAR CONFORME</t>
        </r>
      </text>
    </comment>
    <comment ref="V150" authorId="3" shapeId="0" xr:uid="{B8497DD0-9343-47BF-8FB6-C43862A8C34A}">
      <text>
        <r>
          <rPr>
            <sz val="9"/>
            <color indexed="81"/>
            <rFont val="Tahoma"/>
            <family val="2"/>
          </rPr>
          <t>O VALOR DESSA CÉLULA DEPENDERÁ DO VALOR ENCONTRADO EM NX, EDITAR CONFORME</t>
        </r>
      </text>
    </comment>
    <comment ref="V154" authorId="3" shapeId="0" xr:uid="{2A66E22F-2F11-463D-BFFA-E46DC8DB8BD4}">
      <text>
        <r>
          <rPr>
            <sz val="9"/>
            <color indexed="81"/>
            <rFont val="Tahoma"/>
            <family val="2"/>
          </rPr>
          <t>O VALOR DESSA CÉLULA DEPENDERÁ DO VALOR ENCONTRADO EM NX, EDITAR CONFORME</t>
        </r>
      </text>
    </comment>
    <comment ref="R224" authorId="1" shapeId="0" xr:uid="{08571F4E-A476-4EEE-BF55-FFEF2BBCD0C0}">
      <text>
        <r>
          <rPr>
            <b/>
            <sz val="9"/>
            <color indexed="81"/>
            <rFont val="Segoe UI"/>
            <family val="2"/>
          </rPr>
          <t>Gabriel Cruz:</t>
        </r>
        <r>
          <rPr>
            <sz val="9"/>
            <color indexed="81"/>
            <rFont val="Segoe UI"/>
            <family val="2"/>
          </rPr>
          <t xml:space="preserve">
Use a opção "Inclinado" em caso de revestimento que está perpendicular a carcaça.
Qualquer duvida pode me procurar ou o Adriano.</t>
        </r>
      </text>
    </comment>
    <comment ref="V224" authorId="3" shapeId="0" xr:uid="{B4E6611C-B355-4675-B1C7-90901821FD78}">
      <text>
        <r>
          <rPr>
            <sz val="9"/>
            <color indexed="81"/>
            <rFont val="Tahoma"/>
            <family val="2"/>
          </rPr>
          <t>O VALOR DESSA CÉLULA DEPENDERÁ DO VALOR ENCONTRADO EM NX, EDITAR CONFORME</t>
        </r>
      </text>
    </comment>
    <comment ref="V228" authorId="3" shapeId="0" xr:uid="{3DCC5860-257B-4F16-909B-D97DC7A02DBF}">
      <text>
        <r>
          <rPr>
            <sz val="9"/>
            <color indexed="81"/>
            <rFont val="Tahoma"/>
            <family val="2"/>
          </rPr>
          <t>O VALOR DESSA CÉLULA DEPENDERÁ DO VALOR ENCONTRADO EM NX, EDITAR CONFORME</t>
        </r>
      </text>
    </comment>
    <comment ref="V494" authorId="3" shapeId="0" xr:uid="{46F867BD-80E2-40A8-A112-8F84FE86B243}">
      <text>
        <r>
          <rPr>
            <sz val="9"/>
            <color indexed="81"/>
            <rFont val="Tahoma"/>
            <family val="2"/>
          </rPr>
          <t>O VALOR DESSA CÉLULA DEPENDERÁ DO VALOR ENCONTRADO EM NX, EDITAR CONFORME</t>
        </r>
      </text>
    </comment>
    <comment ref="V519" authorId="3" shapeId="0" xr:uid="{16E668C0-50B8-4EF6-80BC-88D880B2A01F}">
      <text>
        <r>
          <rPr>
            <sz val="9"/>
            <color indexed="81"/>
            <rFont val="Tahoma"/>
            <family val="2"/>
          </rPr>
          <t>O VALOR DESSA CÉLULA DEPENDERÁ DO VALOR ENCONTRADO EM NX, EDITAR CONFORME</t>
        </r>
      </text>
    </comment>
    <comment ref="B596" authorId="0" shapeId="0" xr:uid="{B535D516-5D98-4DFC-B6EF-C9697A5132E6}">
      <text>
        <r>
          <rPr>
            <b/>
            <sz val="9"/>
            <color indexed="81"/>
            <rFont val="Segoe UI"/>
            <family val="2"/>
          </rPr>
          <t>ÁREA / ESPESSURA</t>
        </r>
      </text>
    </comment>
    <comment ref="B597" authorId="0" shapeId="0" xr:uid="{BAA4F99F-575D-4374-89D4-8BC1BF211ED4}">
      <text>
        <r>
          <rPr>
            <b/>
            <sz val="9"/>
            <color indexed="81"/>
            <rFont val="Segoe UI"/>
            <family val="2"/>
          </rPr>
          <t>VOLUME</t>
        </r>
      </text>
    </comment>
    <comment ref="B612" authorId="2" shapeId="0" xr:uid="{BC2C5BF7-913F-436E-B2D3-9ED2D3E538CA}">
      <text>
        <r>
          <rPr>
            <b/>
            <sz val="8"/>
            <color indexed="81"/>
            <rFont val="Tahoma"/>
            <family val="2"/>
          </rPr>
          <t>VOLUME 3D</t>
        </r>
      </text>
    </comment>
    <comment ref="V616" authorId="3" shapeId="0" xr:uid="{539406B2-0CCD-4BB8-BB3A-BFA3FA8CC6B4}">
      <text>
        <r>
          <rPr>
            <sz val="9"/>
            <color indexed="81"/>
            <rFont val="Tahoma"/>
            <family val="2"/>
          </rPr>
          <t>O VALOR DESSA CÉLULA DEPENDERÁ DO VALOR ENCONTRADO EM NX, EDITAR CONFORME</t>
        </r>
      </text>
    </comment>
    <comment ref="V620" authorId="3" shapeId="0" xr:uid="{C4FB48F0-371A-4C18-8DAC-9C6DBB81A441}">
      <text>
        <r>
          <rPr>
            <sz val="9"/>
            <color indexed="81"/>
            <rFont val="Tahoma"/>
            <family val="2"/>
          </rPr>
          <t>O VALOR DESSA CÉLULA DEPENDERÁ DO VALOR ENCONTRADO EM NX, EDITAR CONFORME</t>
        </r>
      </text>
    </comment>
    <comment ref="B657" authorId="0" shapeId="0" xr:uid="{33E09553-3CE1-4D9B-B9BC-0B0FB6FF7BE5}">
      <text>
        <r>
          <rPr>
            <b/>
            <sz val="9"/>
            <color indexed="81"/>
            <rFont val="Segoe UI"/>
            <family val="2"/>
          </rPr>
          <t>ÁREA / ESPESSURA</t>
        </r>
      </text>
    </comment>
    <comment ref="B658" authorId="0" shapeId="0" xr:uid="{EDFEF08C-5560-420E-8F10-6D5E2B9B137D}">
      <text>
        <r>
          <rPr>
            <b/>
            <sz val="9"/>
            <color indexed="81"/>
            <rFont val="Segoe UI"/>
            <family val="2"/>
          </rPr>
          <t>VOLUME</t>
        </r>
      </text>
    </comment>
    <comment ref="B680" authorId="0" shapeId="0" xr:uid="{3D2B0C0E-3D52-4735-8A6C-E021C5EC8AD5}">
      <text>
        <r>
          <rPr>
            <b/>
            <sz val="9"/>
            <color indexed="81"/>
            <rFont val="Segoe UI"/>
            <family val="2"/>
          </rPr>
          <t>VOLUME</t>
        </r>
      </text>
    </comment>
    <comment ref="B681" authorId="0" shapeId="0" xr:uid="{3D4FF21C-3239-4994-8DEC-40CB896FF804}">
      <text>
        <r>
          <rPr>
            <b/>
            <sz val="9"/>
            <color indexed="81"/>
            <rFont val="Segoe UI"/>
            <family val="2"/>
          </rPr>
          <t>ÁREA X ESPESSURA</t>
        </r>
      </text>
    </comment>
    <comment ref="B688" authorId="0" shapeId="0" xr:uid="{3D5AFA37-241D-422B-86DE-44BCF5F787E8}">
      <text>
        <r>
          <rPr>
            <b/>
            <sz val="9"/>
            <color indexed="81"/>
            <rFont val="Segoe UI"/>
            <family val="2"/>
          </rPr>
          <t>VOLUME</t>
        </r>
      </text>
    </comment>
    <comment ref="B689" authorId="0" shapeId="0" xr:uid="{A358B5FE-AA12-43E0-8EFC-D98058DC8A37}">
      <text>
        <r>
          <rPr>
            <b/>
            <sz val="9"/>
            <color indexed="81"/>
            <rFont val="Segoe UI"/>
            <family val="2"/>
          </rPr>
          <t>ÁREA X ESPESSURA</t>
        </r>
      </text>
    </comment>
    <comment ref="B706" authorId="0" shapeId="0" xr:uid="{F09734E3-4F88-46D1-8F62-5C3E982670EF}">
      <text>
        <r>
          <rPr>
            <b/>
            <sz val="9"/>
            <color indexed="81"/>
            <rFont val="Segoe UI"/>
            <family val="2"/>
          </rPr>
          <t>Área / espaçamento</t>
        </r>
      </text>
    </comment>
    <comment ref="B707" authorId="0" shapeId="0" xr:uid="{905323EB-DA47-4EAB-B802-073F0A76ACED}">
      <text>
        <r>
          <rPr>
            <b/>
            <sz val="9"/>
            <color indexed="81"/>
            <rFont val="Segoe UI"/>
            <family val="2"/>
          </rPr>
          <t>Anel cilíndrico</t>
        </r>
      </text>
    </comment>
    <comment ref="B708" authorId="0" shapeId="0" xr:uid="{77234A56-1123-44A0-9650-50B0388FF12F}">
      <text>
        <r>
          <rPr>
            <b/>
            <sz val="9"/>
            <color indexed="81"/>
            <rFont val="Segoe UI"/>
            <family val="2"/>
          </rPr>
          <t>Cilindro (Diametro x altura / espaçamento)</t>
        </r>
      </text>
    </comment>
    <comment ref="B715" authorId="0" shapeId="0" xr:uid="{B7DAE8B6-F318-4BAB-92CE-C702DB063C2B}">
      <text>
        <r>
          <rPr>
            <b/>
            <sz val="9"/>
            <color indexed="81"/>
            <rFont val="Segoe UI"/>
            <family val="2"/>
          </rPr>
          <t>Área / espaçamento</t>
        </r>
      </text>
    </comment>
    <comment ref="B716" authorId="0" shapeId="0" xr:uid="{684E9084-5F8F-4FF4-A3DC-80384EEF40F5}">
      <text>
        <r>
          <rPr>
            <b/>
            <sz val="9"/>
            <color indexed="81"/>
            <rFont val="Segoe UI"/>
            <family val="2"/>
          </rPr>
          <t>Anel cilíndrico</t>
        </r>
      </text>
    </comment>
    <comment ref="B717" authorId="0" shapeId="0" xr:uid="{2009FA18-18CD-4427-9B0F-F0BE86719A96}">
      <text>
        <r>
          <rPr>
            <b/>
            <sz val="9"/>
            <color indexed="81"/>
            <rFont val="Segoe UI"/>
            <family val="2"/>
          </rPr>
          <t>Cilindro (Diametro x altura / espaçamento)</t>
        </r>
      </text>
    </comment>
    <comment ref="R729" authorId="1" shapeId="0" xr:uid="{4E6226D5-DC26-4AEC-8795-2FB0D421252F}">
      <text>
        <r>
          <rPr>
            <b/>
            <sz val="9"/>
            <color indexed="81"/>
            <rFont val="Segoe UI"/>
            <family val="2"/>
          </rPr>
          <t>Gabriel Cruz:</t>
        </r>
        <r>
          <rPr>
            <sz val="9"/>
            <color indexed="81"/>
            <rFont val="Segoe UI"/>
            <family val="2"/>
          </rPr>
          <t xml:space="preserve">
Considerar a altura da manta que irá envolver todo o metálico
Dúvidas procurar Adriano</t>
        </r>
      </text>
    </comment>
    <comment ref="B738" authorId="2" shapeId="0" xr:uid="{3A33F986-5196-4336-9B3A-F6386ABF27E6}">
      <text>
        <r>
          <rPr>
            <b/>
            <sz val="8"/>
            <color indexed="81"/>
            <rFont val="Tahoma"/>
            <family val="2"/>
          </rPr>
          <t>ÂNCORA METÁLICA (50%)</t>
        </r>
      </text>
    </comment>
    <comment ref="B739" authorId="2" shapeId="0" xr:uid="{5F8F5E0C-1A73-4F2B-AE52-ACD269A07E5B}">
      <text>
        <r>
          <rPr>
            <b/>
            <sz val="8"/>
            <color indexed="81"/>
            <rFont val="Tahoma"/>
            <family val="2"/>
          </rPr>
          <t>ÂNCORA CERÂMICA (100%)</t>
        </r>
      </text>
    </comment>
    <comment ref="B746" authorId="0" shapeId="0" xr:uid="{004C179A-294E-4422-B410-7EE69E5DB9A6}">
      <text>
        <r>
          <rPr>
            <b/>
            <sz val="9"/>
            <color indexed="81"/>
            <rFont val="Segoe UI"/>
            <family val="2"/>
          </rPr>
          <t>ÁREA / ESPESSURA</t>
        </r>
      </text>
    </comment>
    <comment ref="B747" authorId="0" shapeId="0" xr:uid="{9B4945AE-0C07-444D-A0F6-C1A51A4A7FED}">
      <text>
        <r>
          <rPr>
            <b/>
            <sz val="9"/>
            <color indexed="81"/>
            <rFont val="Segoe UI"/>
            <family val="2"/>
          </rPr>
          <t>VOLUME</t>
        </r>
      </text>
    </comment>
    <comment ref="V761" authorId="3" shapeId="0" xr:uid="{64966DF4-2AEE-4C68-B93E-D5BAEB6809B5}">
      <text>
        <r>
          <rPr>
            <sz val="9"/>
            <color indexed="81"/>
            <rFont val="Tahoma"/>
            <family val="2"/>
          </rPr>
          <t>O VALOR DESSA CÉLULA DEPENDERÁ DO VALOR ENCONTRADO EM NX, EDITAR CONFORME</t>
        </r>
      </text>
    </comment>
    <comment ref="V765" authorId="3" shapeId="0" xr:uid="{573313AA-9335-4946-8526-5F834C7B3F3F}">
      <text>
        <r>
          <rPr>
            <sz val="9"/>
            <color indexed="81"/>
            <rFont val="Tahoma"/>
            <family val="2"/>
          </rPr>
          <t>O VALOR DESSA CÉLULA DEPENDERÁ DO VALOR ENCONTRADO EM NX, EDITAR CONFORME</t>
        </r>
      </text>
    </comment>
    <comment ref="V786" authorId="3" shapeId="0" xr:uid="{58274B68-1BD1-4C4B-893A-38607799927F}">
      <text>
        <r>
          <rPr>
            <sz val="9"/>
            <color indexed="81"/>
            <rFont val="Tahoma"/>
            <family val="2"/>
          </rPr>
          <t>O VALOR DESSA CÉLULA DEPENDERÁ DO VALOR ENCONTRADO EM NX, EDITAR CONFORME</t>
        </r>
      </text>
    </comment>
    <comment ref="V790" authorId="3" shapeId="0" xr:uid="{360313C9-0F53-49F3-BCA4-965219E1CF70}">
      <text>
        <r>
          <rPr>
            <sz val="9"/>
            <color indexed="81"/>
            <rFont val="Tahoma"/>
            <family val="2"/>
          </rPr>
          <t>O VALOR DESSA CÉLULA DEPENDERÁ DO VALOR ENCONTRADO EM NX, EDITAR CONFORME</t>
        </r>
      </text>
    </comment>
    <comment ref="R860" authorId="1" shapeId="0" xr:uid="{E82E1CE5-9B32-400C-BC54-801DCEFDE01E}">
      <text>
        <r>
          <rPr>
            <b/>
            <sz val="9"/>
            <color indexed="81"/>
            <rFont val="Segoe UI"/>
            <family val="2"/>
          </rPr>
          <t>Gabriel Cruz:</t>
        </r>
        <r>
          <rPr>
            <sz val="9"/>
            <color indexed="81"/>
            <rFont val="Segoe UI"/>
            <family val="2"/>
          </rPr>
          <t xml:space="preserve">
Use a opção "Inclinado" em caso de revestimento que está perpendicular a carcaça.
Qualquer duvida pode me procurar ou o Adriano.</t>
        </r>
      </text>
    </comment>
    <comment ref="V860" authorId="3" shapeId="0" xr:uid="{B55C0282-5693-4174-956D-5608860011C3}">
      <text>
        <r>
          <rPr>
            <sz val="9"/>
            <color indexed="81"/>
            <rFont val="Tahoma"/>
            <family val="2"/>
          </rPr>
          <t>O VALOR DESSA CÉLULA DEPENDERÁ DO VALOR ENCONTRADO EM NX, EDITAR CONFORME</t>
        </r>
      </text>
    </comment>
    <comment ref="V864" authorId="3" shapeId="0" xr:uid="{6B029D2F-7A54-4995-AC5E-E6715DE90512}">
      <text>
        <r>
          <rPr>
            <sz val="9"/>
            <color indexed="81"/>
            <rFont val="Tahoma"/>
            <family val="2"/>
          </rPr>
          <t>O VALOR DESSA CÉLULA DEPENDERÁ DO VALOR ENCONTRADO EM NX, EDITAR CONFORME</t>
        </r>
      </text>
    </comment>
    <comment ref="V1130" authorId="3" shapeId="0" xr:uid="{EF26BAF6-AD2D-4F6B-95CE-45FE30BE7EDF}">
      <text>
        <r>
          <rPr>
            <sz val="9"/>
            <color indexed="81"/>
            <rFont val="Tahoma"/>
            <family val="2"/>
          </rPr>
          <t>O VALOR DESSA CÉLULA DEPENDERÁ DO VALOR ENCONTRADO EM NX, EDITAR CONFORME</t>
        </r>
      </text>
    </comment>
    <comment ref="V1155" authorId="3" shapeId="0" xr:uid="{D105016F-9C73-49E7-B986-8B7CC09F14CC}">
      <text>
        <r>
          <rPr>
            <sz val="9"/>
            <color indexed="81"/>
            <rFont val="Tahoma"/>
            <family val="2"/>
          </rPr>
          <t>O VALOR DESSA CÉLULA DEPENDERÁ DO VALOR ENCONTRADO EM NX, EDITAR CONFORME</t>
        </r>
      </text>
    </comment>
    <comment ref="B1232" authorId="0" shapeId="0" xr:uid="{9B50C16F-5019-4ECD-8C8D-AEBAC61EFABA}">
      <text>
        <r>
          <rPr>
            <b/>
            <sz val="9"/>
            <color indexed="81"/>
            <rFont val="Segoe UI"/>
            <family val="2"/>
          </rPr>
          <t>ÁREA / ESPESSURA</t>
        </r>
      </text>
    </comment>
    <comment ref="B1233" authorId="0" shapeId="0" xr:uid="{66C449B8-1E4F-4475-95BE-D9224E824FDB}">
      <text>
        <r>
          <rPr>
            <b/>
            <sz val="9"/>
            <color indexed="81"/>
            <rFont val="Segoe UI"/>
            <family val="2"/>
          </rPr>
          <t>VOLUME</t>
        </r>
      </text>
    </comment>
    <comment ref="B1248" authorId="2" shapeId="0" xr:uid="{21EEA724-5B3E-4F66-AE83-A6CDC34534EB}">
      <text>
        <r>
          <rPr>
            <b/>
            <sz val="8"/>
            <color indexed="81"/>
            <rFont val="Tahoma"/>
            <family val="2"/>
          </rPr>
          <t>VOLUME 3D</t>
        </r>
      </text>
    </comment>
    <comment ref="V1252" authorId="3" shapeId="0" xr:uid="{37A3C1C5-97C1-4A3E-AED1-9392AEC4FF00}">
      <text>
        <r>
          <rPr>
            <sz val="9"/>
            <color indexed="81"/>
            <rFont val="Tahoma"/>
            <family val="2"/>
          </rPr>
          <t>O VALOR DESSA CÉLULA DEPENDERÁ DO VALOR ENCONTRADO EM NX, EDITAR CONFORME</t>
        </r>
      </text>
    </comment>
    <comment ref="V1256" authorId="3" shapeId="0" xr:uid="{7A86738F-DA7E-4541-8013-CC9C9966D260}">
      <text>
        <r>
          <rPr>
            <sz val="9"/>
            <color indexed="81"/>
            <rFont val="Tahoma"/>
            <family val="2"/>
          </rPr>
          <t>O VALOR DESSA CÉLULA DEPENDERÁ DO VALOR ENCONTRADO EM NX, EDITAR CONFORME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Gabriel Cruz</author>
  </authors>
  <commentList>
    <comment ref="C8" authorId="0" shapeId="0" xr:uid="{02301ACA-843C-444B-91AF-B0E453190029}">
      <text>
        <r>
          <rPr>
            <b/>
            <sz val="9"/>
            <color indexed="81"/>
            <rFont val="Segoe UI"/>
            <family val="2"/>
          </rPr>
          <t>Gabriel Cruz:</t>
        </r>
        <r>
          <rPr>
            <sz val="9"/>
            <color indexed="81"/>
            <rFont val="Segoe UI"/>
            <family val="2"/>
          </rPr>
          <t xml:space="preserve">
Caso o programa seja interrompido antes do final do preenchimento, você pode selecionar o item que deve ser preenchido em seguida e carregar o código novamente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52B1A67-83FE-4B72-B89E-0DE1D9B6F52E}" keepAlive="1" name="Consulta - AUTOMATIC_SAP" description="Conexão com a consulta 'AUTOMATIC_SAP' na pasta de trabalho." type="5" refreshedVersion="0" background="1">
    <dbPr connection="Provider=Microsoft.Mashup.OleDb.1;Data Source=$Workbook$;Location=AUTOMATIC_SAP;Extended Properties=&quot;&quot;" command="SELECT * FROM [AUTOMATIC_SAP]"/>
  </connection>
  <connection id="2" xr16:uid="{F60C544A-3757-4136-A741-D9B2A68E8B6D}" keepAlive="1" name="Consulta - basic_mixes" description="Conexão com a consulta 'basic_mixes' na pasta de trabalho." type="5" refreshedVersion="0" background="1" refreshOnLoad="1" saveData="1">
    <dbPr connection="Provider=Microsoft.Mashup.OleDb.1;Data Source=$Workbook$;Location=basic_mixes;Extended Properties=&quot;&quot;" command="SELECT * FROM [basic_mixes]"/>
  </connection>
  <connection id="3" xr16:uid="{7642299D-5E26-45FC-A240-38651AF17C64}" keepAlive="1" name="Consulta - basic_shaped_products" description="Conexão com a consulta 'basic_shaped_products' na pasta de trabalho." type="5" refreshedVersion="0" background="1" refreshOnLoad="1" saveData="1">
    <dbPr connection="Provider=Microsoft.Mashup.OleDb.1;Data Source=$Workbook$;Location=basic_shaped_products;Extended Properties=&quot;&quot;" command="SELECT * FROM [basic_shaped_products]"/>
  </connection>
  <connection id="4" xr16:uid="{0CE0A239-66C0-426A-9771-625E6D04EABC}" keepAlive="1" name="Consulta - BRANDS" description="Conexão com a consulta 'BRANDS' na pasta de trabalho." type="5" refreshedVersion="8" background="1" saveData="1">
    <dbPr connection="Provider=Microsoft.Mashup.OleDb.1;Data Source=$Workbook$;Location=BRANDS;Extended Properties=&quot;&quot;" command="SELECT * FROM [BRANDS]"/>
  </connection>
  <connection id="5" xr16:uid="{E4420B1A-8EF7-4E93-8C04-3AB7350206FB}" keepAlive="1" name="Consulta - brands_shaped" description="Conexão com a consulta 'brands_shaped' na pasta de trabalho." type="5" refreshedVersion="8" background="1" refreshOnLoad="1" saveData="1">
    <dbPr connection="Provider=Microsoft.Mashup.OleDb.1;Data Source=$Workbook$;Location=brands_shaped;Extended Properties=&quot;&quot;" command="SELECT * FROM [brands_shaped]"/>
  </connection>
  <connection id="6" xr16:uid="{BC38FF2A-1277-443F-9678-6A3E1BE64E95}" keepAlive="1" name="Consulta - brands_unshaped" description="Conexão com a consulta 'brands_unshaped' na pasta de trabalho." type="5" refreshedVersion="8" background="1" refreshOnLoad="1" saveData="1">
    <dbPr connection="Provider=Microsoft.Mashup.OleDb.1;Data Source=$Workbook$;Location=brands_unshaped;Extended Properties=&quot;&quot;" command="SELECT * FROM [brands_unshaped]"/>
  </connection>
  <connection id="7" xr16:uid="{D579E216-675F-470A-94D8-4CE3AC2A662B}" keepAlive="1" name="Consulta - END_CODE" description="Conexão com a consulta 'END_CODE' na pasta de trabalho." type="5" refreshedVersion="0" background="1">
    <dbPr connection="Provider=Microsoft.Mashup.OleDb.1;Data Source=$Workbook$;Location=END_CODE;Extended Properties=&quot;&quot;" command="SELECT * FROM [END_CODE]"/>
  </connection>
  <connection id="8" xr16:uid="{0C7CB4B1-011A-4AAC-BD38-D92BA6508D5E}" keepAlive="1" name="Consulta - FINAL_CODE" description="Conexão com a consulta 'FINAL_CODE' na pasta de trabalho." type="5" refreshedVersion="8" background="1" saveData="1">
    <dbPr connection="Provider=Microsoft.Mashup.OleDb.1;Data Source=$Workbook$;Location=FINAL_CODE;Extended Properties=&quot;&quot;" command="SELECT * FROM [FINAL_CODE]"/>
  </connection>
  <connection id="9" xr16:uid="{2AD7ABE1-1445-4722-B14E-65A78C7D701D}" keepAlive="1" name="Consulta - ITEM_REFERENCE" description="Conexão com a consulta 'ITEM_REFERENCE' na pasta de trabalho." type="5" refreshedVersion="8" background="1" saveData="1">
    <dbPr connection="Provider=Microsoft.Mashup.OleDb.1;Data Source=$Workbook$;Location=ITEM_REFERENCE;Extended Properties=&quot;&quot;" command="SELECT * FROM [ITEM_REFERENCE]"/>
  </connection>
  <connection id="10" xr16:uid="{D4E335AB-2ACA-40D4-AC49-8F5383BFC25E}" keepAlive="1" name="Consulta - MANUAL_SAP" description="Conexão com a consulta 'MANUAL_SAP' na pasta de trabalho." type="5" refreshedVersion="8" background="1" saveData="1">
    <dbPr connection="Provider=Microsoft.Mashup.OleDb.1;Data Source=$Workbook$;Location=MANUAL_SAP;Extended Properties=&quot;&quot;" command="SELECT * FROM [MANUAL_SAP]"/>
  </connection>
  <connection id="11" xr16:uid="{4109E55A-4705-4857-9286-5EE58F36FC81}" keepAlive="1" name="Consulta - Material_Code" description="Conexão com a consulta 'Material_Code' na pasta de trabalho." type="5" refreshedVersion="8" background="1" refreshOnLoad="1" saveData="1">
    <dbPr connection="Provider=Microsoft.Mashup.OleDb.1;Data Source=$Workbook$;Location=Material_Code;Extended Properties=&quot;&quot;" command="SELECT * FROM [Material_Code]"/>
  </connection>
  <connection id="12" xr16:uid="{617C8882-076D-4A33-8131-70DE3370267C}" keepAlive="1" name="Consulta - non_basic_mixes" description="Conexão com a consulta 'non_basic_mixes' na pasta de trabalho." type="5" refreshedVersion="0" background="1" refreshOnLoad="1" saveData="1">
    <dbPr connection="Provider=Microsoft.Mashup.OleDb.1;Data Source=$Workbook$;Location=non_basic_mixes;Extended Properties=&quot;&quot;" command="SELECT * FROM [non_basic_mixes]"/>
  </connection>
  <connection id="13" xr16:uid="{B98F3DD6-CDC3-437E-B3B3-3332EBEA8AA2}" keepAlive="1" name="Consulta - non_basic_shaped_products" description="Conexão com a consulta 'non_basic_shaped_products' na pasta de trabalho." type="5" refreshedVersion="8" background="1" refreshOnLoad="1" saveData="1">
    <dbPr connection="Provider=Microsoft.Mashup.OleDb.1;Data Source=$Workbook$;Location=non_basic_shaped_products;Extended Properties=&quot;&quot;" command="SELECT * FROM [non_basic_shaped_products]"/>
  </connection>
  <connection id="14" xr16:uid="{DA3E60B4-2EF8-4090-B84A-C2B705C7A5EE}" keepAlive="1" name="Consulta - precast_shapes" description="Conexão com a consulta 'precast_shapes' na pasta de trabalho." type="5" refreshedVersion="0" background="1" refreshOnLoad="1" saveData="1">
    <dbPr connection="Provider=Microsoft.Mashup.OleDb.1;Data Source=$Workbook$;Location=precast_shapes;Extended Properties=&quot;&quot;" command="SELECT * FROM [precast_shapes]"/>
  </connection>
  <connection id="15" xr16:uid="{6B3E3E49-B569-4E07-AF95-0C82E7FE52FE}" keepAlive="1" name="Consulta - SHAPES" description="Conexão com a consulta 'SHAPES' na pasta de trabalho." type="5" refreshedVersion="8" background="1" saveData="1">
    <dbPr connection="Provider=Microsoft.Mashup.OleDb.1;Data Source=$Workbook$;Location=SHAPES;Extended Properties=&quot;&quot;" command="SELECT * FROM [SHAP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<sst xmlns="http://schemas.openxmlformats.org/spreadsheetml/2006/main" count="31930" uniqueCount="13161">
  <si>
    <t>Especificações</t>
  </si>
  <si>
    <t>pç</t>
  </si>
  <si>
    <t>kg</t>
  </si>
  <si>
    <t>Formatos</t>
  </si>
  <si>
    <t>Comprimento</t>
  </si>
  <si>
    <t>Sigla</t>
  </si>
  <si>
    <t>Largura</t>
  </si>
  <si>
    <t>A1</t>
  </si>
  <si>
    <t>Medida &gt;</t>
  </si>
  <si>
    <t>Medida &lt;</t>
  </si>
  <si>
    <t>Volume</t>
  </si>
  <si>
    <t>V. Paralelo</t>
  </si>
  <si>
    <t>V. Arco/Cunha</t>
  </si>
  <si>
    <t>V. Radial</t>
  </si>
  <si>
    <t>m²</t>
  </si>
  <si>
    <t>A2</t>
  </si>
  <si>
    <t>-</t>
  </si>
  <si>
    <t>Comp.</t>
  </si>
  <si>
    <t>B825</t>
  </si>
  <si>
    <t>B725</t>
  </si>
  <si>
    <t>SKAMOL SUPER 1100 E</t>
  </si>
  <si>
    <t>ASTM A-36</t>
  </si>
  <si>
    <t>A</t>
  </si>
  <si>
    <t>Rev.</t>
  </si>
  <si>
    <t>Descrição</t>
  </si>
  <si>
    <t>Un.</t>
  </si>
  <si>
    <t>Sub-total</t>
  </si>
  <si>
    <t>Total</t>
  </si>
  <si>
    <t>CÁLCULO DE QUANTIDADE RECOMENDADA</t>
  </si>
  <si>
    <t>dm³</t>
  </si>
  <si>
    <t>Tipo de Unidade</t>
  </si>
  <si>
    <t>kilogramas</t>
  </si>
  <si>
    <t>peças</t>
  </si>
  <si>
    <t>decímetros cúbicos</t>
  </si>
  <si>
    <t>metro linear</t>
  </si>
  <si>
    <t>m</t>
  </si>
  <si>
    <t>litros</t>
  </si>
  <si>
    <t>Class.</t>
  </si>
  <si>
    <t>Qtde</t>
  </si>
  <si>
    <t>Coefic. (%)</t>
  </si>
  <si>
    <t>Área (mm²)</t>
  </si>
  <si>
    <t>Volume (mm³)</t>
  </si>
  <si>
    <t>Esp. Tij.</t>
  </si>
  <si>
    <t>Comp. Tij.</t>
  </si>
  <si>
    <t>Larg. Tij.</t>
  </si>
  <si>
    <t>Esp. Revest.</t>
  </si>
  <si>
    <t>Junta</t>
  </si>
  <si>
    <t>Tipo Fator</t>
  </si>
  <si>
    <t>B</t>
  </si>
  <si>
    <t>C</t>
  </si>
  <si>
    <t>D</t>
  </si>
  <si>
    <t>Ø Externo</t>
  </si>
  <si>
    <t>Ø Interno</t>
  </si>
  <si>
    <t>Ângulo</t>
  </si>
  <si>
    <t>NX</t>
  </si>
  <si>
    <t>NY</t>
  </si>
  <si>
    <t>kg/dm³</t>
  </si>
  <si>
    <t>NC</t>
  </si>
  <si>
    <t>AÇO GALVANIZADO</t>
  </si>
  <si>
    <t>Calc. Radial</t>
  </si>
  <si>
    <t>Valor Comp.</t>
  </si>
  <si>
    <t>ø FECHAMENTO</t>
  </si>
  <si>
    <t>Fiadas</t>
  </si>
  <si>
    <t>CÁLCULO A.F.</t>
  </si>
  <si>
    <t>JUNTA ø FECHAM.</t>
  </si>
  <si>
    <t>Espessura</t>
  </si>
  <si>
    <t>Separação de Região</t>
  </si>
  <si>
    <t>Diâm/Comp.</t>
  </si>
  <si>
    <t>Espaç. Rad.</t>
  </si>
  <si>
    <t>Espaç. Long.</t>
  </si>
  <si>
    <t>S(mm²)/Alt.(pç)</t>
  </si>
  <si>
    <t>NOME DAS REGIÕES</t>
  </si>
  <si>
    <t>SILPLATE 1308</t>
  </si>
  <si>
    <t>CAL 815-R (P-77)</t>
  </si>
  <si>
    <t>CAL 1040 (P-99)</t>
  </si>
  <si>
    <t>LT</t>
  </si>
  <si>
    <t>TINTA ANTI-OXIDANTE</t>
  </si>
  <si>
    <t>ISO</t>
  </si>
  <si>
    <t>VDZ</t>
  </si>
  <si>
    <t>B218</t>
  </si>
  <si>
    <t>B318</t>
  </si>
  <si>
    <t>B418</t>
  </si>
  <si>
    <t>B618</t>
  </si>
  <si>
    <t>B220</t>
  </si>
  <si>
    <t>B320</t>
  </si>
  <si>
    <t>B420</t>
  </si>
  <si>
    <t>B620</t>
  </si>
  <si>
    <t>B222</t>
  </si>
  <si>
    <t>B322</t>
  </si>
  <si>
    <t>B422</t>
  </si>
  <si>
    <t>B622</t>
  </si>
  <si>
    <t>B325</t>
  </si>
  <si>
    <t>B425</t>
  </si>
  <si>
    <t>B525</t>
  </si>
  <si>
    <t>B625</t>
  </si>
  <si>
    <t>Cálc.</t>
  </si>
  <si>
    <t>Item</t>
  </si>
  <si>
    <t>Marca</t>
  </si>
  <si>
    <t>Unid.</t>
  </si>
  <si>
    <t>Obs.</t>
  </si>
  <si>
    <t>Peso</t>
  </si>
  <si>
    <t>Dens.</t>
  </si>
  <si>
    <t>Emb.</t>
  </si>
  <si>
    <t>Vol.</t>
  </si>
  <si>
    <t>Tipo</t>
  </si>
  <si>
    <t>ANOX-P</t>
  </si>
  <si>
    <t>Diâmetro</t>
  </si>
  <si>
    <t>Larg./Alt.</t>
  </si>
  <si>
    <t/>
  </si>
  <si>
    <t>Tipo Conc.</t>
  </si>
  <si>
    <t>Total Unitário</t>
  </si>
  <si>
    <t>NÚMERO</t>
  </si>
  <si>
    <t>DE</t>
  </si>
  <si>
    <t>Esp. Rev.</t>
  </si>
  <si>
    <t>SKAMOL SUPER ISOL 1000</t>
  </si>
  <si>
    <t>SAP 10017379</t>
  </si>
  <si>
    <t>SAP 10017383</t>
  </si>
  <si>
    <t>SÉRIE - LADLE KEYS</t>
  </si>
  <si>
    <t>PARALELOS</t>
  </si>
  <si>
    <t>PLACAS</t>
  </si>
  <si>
    <t>20/20</t>
  </si>
  <si>
    <t>20/40</t>
  </si>
  <si>
    <t>SÉRIE MK - DALIAN E CHIZHOU</t>
  </si>
  <si>
    <t>25/0</t>
  </si>
  <si>
    <t>25/8</t>
  </si>
  <si>
    <t>25/16</t>
  </si>
  <si>
    <t>25/20</t>
  </si>
  <si>
    <t>25/30</t>
  </si>
  <si>
    <t>25/40</t>
  </si>
  <si>
    <t>25/60</t>
  </si>
  <si>
    <t>25/80</t>
  </si>
  <si>
    <t>25/120</t>
  </si>
  <si>
    <t>30/0</t>
  </si>
  <si>
    <t>30/8</t>
  </si>
  <si>
    <t>30/20</t>
  </si>
  <si>
    <t>30/40</t>
  </si>
  <si>
    <t>30/50</t>
  </si>
  <si>
    <t>30/70</t>
  </si>
  <si>
    <t>30/80</t>
  </si>
  <si>
    <t>35/0</t>
  </si>
  <si>
    <t>35/8</t>
  </si>
  <si>
    <t>35/10</t>
  </si>
  <si>
    <t>35/16</t>
  </si>
  <si>
    <t>35/20</t>
  </si>
  <si>
    <t>35/40</t>
  </si>
  <si>
    <t>35/60</t>
  </si>
  <si>
    <t>35/80</t>
  </si>
  <si>
    <t>40/0</t>
  </si>
  <si>
    <t>40/8</t>
  </si>
  <si>
    <t>40/20</t>
  </si>
  <si>
    <t>40/36</t>
  </si>
  <si>
    <t>40/40</t>
  </si>
  <si>
    <t>40/60</t>
  </si>
  <si>
    <t>40/80</t>
  </si>
  <si>
    <t>40/90</t>
  </si>
  <si>
    <t>40/100</t>
  </si>
  <si>
    <t>45/0</t>
  </si>
  <si>
    <t>45/8</t>
  </si>
  <si>
    <t>45/10</t>
  </si>
  <si>
    <t>45/20</t>
  </si>
  <si>
    <t>45/30</t>
  </si>
  <si>
    <t>45/40</t>
  </si>
  <si>
    <t>45/50</t>
  </si>
  <si>
    <t>45/60</t>
  </si>
  <si>
    <t>45/70</t>
  </si>
  <si>
    <t>45/80</t>
  </si>
  <si>
    <t>45/90</t>
  </si>
  <si>
    <t>50/0</t>
  </si>
  <si>
    <t>50/8</t>
  </si>
  <si>
    <t>50/20</t>
  </si>
  <si>
    <t>50/36</t>
  </si>
  <si>
    <t>50/40</t>
  </si>
  <si>
    <t>50/50</t>
  </si>
  <si>
    <t>50/60</t>
  </si>
  <si>
    <t>50/80</t>
  </si>
  <si>
    <t>50/90</t>
  </si>
  <si>
    <t>50/100</t>
  </si>
  <si>
    <t>55/0</t>
  </si>
  <si>
    <t>55/8</t>
  </si>
  <si>
    <t>55/20</t>
  </si>
  <si>
    <t>55/36</t>
  </si>
  <si>
    <t>55/50</t>
  </si>
  <si>
    <t>55/60</t>
  </si>
  <si>
    <t>55/70</t>
  </si>
  <si>
    <t>55/80</t>
  </si>
  <si>
    <t>55/90</t>
  </si>
  <si>
    <t>55/100</t>
  </si>
  <si>
    <t>55/110</t>
  </si>
  <si>
    <t>55/120</t>
  </si>
  <si>
    <t>60/0</t>
  </si>
  <si>
    <t>60/8</t>
  </si>
  <si>
    <t>60/20</t>
  </si>
  <si>
    <t>60/30</t>
  </si>
  <si>
    <t>60/36</t>
  </si>
  <si>
    <t>60/40</t>
  </si>
  <si>
    <t>60/60</t>
  </si>
  <si>
    <t>60/80</t>
  </si>
  <si>
    <t>60/90</t>
  </si>
  <si>
    <t>60/120</t>
  </si>
  <si>
    <t>65/0</t>
  </si>
  <si>
    <t>65/8</t>
  </si>
  <si>
    <t>65/20</t>
  </si>
  <si>
    <t>65/36</t>
  </si>
  <si>
    <t>65/60</t>
  </si>
  <si>
    <t>65/80</t>
  </si>
  <si>
    <t>65/90</t>
  </si>
  <si>
    <t>65/120</t>
  </si>
  <si>
    <t>70/0</t>
  </si>
  <si>
    <t>70/8</t>
  </si>
  <si>
    <t>70/20</t>
  </si>
  <si>
    <t>70/36</t>
  </si>
  <si>
    <t>70/60</t>
  </si>
  <si>
    <t>70/80</t>
  </si>
  <si>
    <t>70/120</t>
  </si>
  <si>
    <t>75/0</t>
  </si>
  <si>
    <t>75/8</t>
  </si>
  <si>
    <t>75/20</t>
  </si>
  <si>
    <t>75/36</t>
  </si>
  <si>
    <t>75/60</t>
  </si>
  <si>
    <t>75/80</t>
  </si>
  <si>
    <t>75/120</t>
  </si>
  <si>
    <t>80/0</t>
  </si>
  <si>
    <t>80/8</t>
  </si>
  <si>
    <t>80/20</t>
  </si>
  <si>
    <t>80/36</t>
  </si>
  <si>
    <t>80/60</t>
  </si>
  <si>
    <t>80/80</t>
  </si>
  <si>
    <t>80/120</t>
  </si>
  <si>
    <t>85/0</t>
  </si>
  <si>
    <t>85/8</t>
  </si>
  <si>
    <t>85/20</t>
  </si>
  <si>
    <t>85/36</t>
  </si>
  <si>
    <t>85/60</t>
  </si>
  <si>
    <t>85/80</t>
  </si>
  <si>
    <t>85/120</t>
  </si>
  <si>
    <t>90/0</t>
  </si>
  <si>
    <t>90/8</t>
  </si>
  <si>
    <t>90/20</t>
  </si>
  <si>
    <t>90/36</t>
  </si>
  <si>
    <t>90/60</t>
  </si>
  <si>
    <t>90/80</t>
  </si>
  <si>
    <t>90/120</t>
  </si>
  <si>
    <t>95/20</t>
  </si>
  <si>
    <t>95/36</t>
  </si>
  <si>
    <t>95/40</t>
  </si>
  <si>
    <t>95/60</t>
  </si>
  <si>
    <t>95/80</t>
  </si>
  <si>
    <t>95/120</t>
  </si>
  <si>
    <t>100/0</t>
  </si>
  <si>
    <t>100/20</t>
  </si>
  <si>
    <t>100/36</t>
  </si>
  <si>
    <t>100/60</t>
  </si>
  <si>
    <t>100/80</t>
  </si>
  <si>
    <t>100/120</t>
  </si>
  <si>
    <t>105/36</t>
  </si>
  <si>
    <t>105/80</t>
  </si>
  <si>
    <t>110/8</t>
  </si>
  <si>
    <t>110/20</t>
  </si>
  <si>
    <t>110/36</t>
  </si>
  <si>
    <t>110/80</t>
  </si>
  <si>
    <t>115/36</t>
  </si>
  <si>
    <t>115/80</t>
  </si>
  <si>
    <t>120/36</t>
  </si>
  <si>
    <t>120/80</t>
  </si>
  <si>
    <t>23/30-100K</t>
  </si>
  <si>
    <t>23/30-112.5K</t>
  </si>
  <si>
    <t>25/8-75K</t>
  </si>
  <si>
    <t>25/30-100K</t>
  </si>
  <si>
    <t>25/30-112.5K</t>
  </si>
  <si>
    <t>35/30-112.5K</t>
  </si>
  <si>
    <t>50/8-75K</t>
  </si>
  <si>
    <t>55/60-120K</t>
  </si>
  <si>
    <t>60/8-75K</t>
  </si>
  <si>
    <t>60/60-100K</t>
  </si>
  <si>
    <t>65/60-120K</t>
  </si>
  <si>
    <t>70/60-112K</t>
  </si>
  <si>
    <t>75/24-100K</t>
  </si>
  <si>
    <t>75/27-112.5K</t>
  </si>
  <si>
    <t>75/60-120K</t>
  </si>
  <si>
    <t>80/14-100K</t>
  </si>
  <si>
    <t>80/15-112.5K</t>
  </si>
  <si>
    <t>80/24-100K</t>
  </si>
  <si>
    <t>80/27-112.5K</t>
  </si>
  <si>
    <t>80/40-100K</t>
  </si>
  <si>
    <t>90/60-106K</t>
  </si>
  <si>
    <t>40/40-98</t>
  </si>
  <si>
    <t>95/0-150</t>
  </si>
  <si>
    <t>95/10-150</t>
  </si>
  <si>
    <t>95/50-150</t>
  </si>
  <si>
    <t>105/20-150</t>
  </si>
  <si>
    <t>105/60-150</t>
  </si>
  <si>
    <t>115/20-150</t>
  </si>
  <si>
    <t>115/60-150</t>
  </si>
  <si>
    <t>SÉRIE-ISO (RADIAL)</t>
  </si>
  <si>
    <t>Sub-Total</t>
  </si>
  <si>
    <t>FIM</t>
  </si>
  <si>
    <t>CC 10</t>
  </si>
  <si>
    <t>CC 11</t>
  </si>
  <si>
    <t>CC 12</t>
  </si>
  <si>
    <t>CC 13</t>
  </si>
  <si>
    <t>CC 566</t>
  </si>
  <si>
    <t>CC 675</t>
  </si>
  <si>
    <t>CC 316</t>
  </si>
  <si>
    <t>CC 318</t>
  </si>
  <si>
    <t>CC 98</t>
  </si>
  <si>
    <t>CC 14</t>
  </si>
  <si>
    <t>CC 99</t>
  </si>
  <si>
    <t>CC 320</t>
  </si>
  <si>
    <t>CC 15</t>
  </si>
  <si>
    <t>CC 407</t>
  </si>
  <si>
    <t>CC 16</t>
  </si>
  <si>
    <t>CC 677</t>
  </si>
  <si>
    <t>CC 136</t>
  </si>
  <si>
    <t>CC 456</t>
  </si>
  <si>
    <t>C 152359</t>
  </si>
  <si>
    <t>C 152367</t>
  </si>
  <si>
    <t>C 152375</t>
  </si>
  <si>
    <t>C 152383</t>
  </si>
  <si>
    <t>C 103614</t>
  </si>
  <si>
    <t>C 133058</t>
  </si>
  <si>
    <t>C 243427</t>
  </si>
  <si>
    <t>C 243486</t>
  </si>
  <si>
    <t>C 181243</t>
  </si>
  <si>
    <t>C 152391</t>
  </si>
  <si>
    <t>C 181251</t>
  </si>
  <si>
    <t>C 243508</t>
  </si>
  <si>
    <t>C 152405</t>
  </si>
  <si>
    <t>C 028191</t>
  </si>
  <si>
    <t>C 152413</t>
  </si>
  <si>
    <t>C 133074</t>
  </si>
  <si>
    <t>C 185419</t>
  </si>
  <si>
    <t>C 059451</t>
  </si>
  <si>
    <t>C 152456</t>
  </si>
  <si>
    <t>C 152464</t>
  </si>
  <si>
    <t>C 152472</t>
  </si>
  <si>
    <t>C 152421</t>
  </si>
  <si>
    <t>C 132936</t>
  </si>
  <si>
    <t>C 133041</t>
  </si>
  <si>
    <t>C 243435</t>
  </si>
  <si>
    <t>C 243494</t>
  </si>
  <si>
    <t>C 181219</t>
  </si>
  <si>
    <t>C 152480</t>
  </si>
  <si>
    <t>C 181227</t>
  </si>
  <si>
    <t>C 243516</t>
  </si>
  <si>
    <t>C 152430</t>
  </si>
  <si>
    <t>C 042036</t>
  </si>
  <si>
    <t>C 152448</t>
  </si>
  <si>
    <t>C 133066</t>
  </si>
  <si>
    <t>C 185389</t>
  </si>
  <si>
    <t>CC 17</t>
  </si>
  <si>
    <t>CC 18</t>
  </si>
  <si>
    <t>CC 19</t>
  </si>
  <si>
    <t>CC 20</t>
  </si>
  <si>
    <t>CC 673</t>
  </si>
  <si>
    <t>CC 674</t>
  </si>
  <si>
    <t>CC 317</t>
  </si>
  <si>
    <t>CC 319</t>
  </si>
  <si>
    <t>CC 95</t>
  </si>
  <si>
    <t>CC 21</t>
  </si>
  <si>
    <t>CC 96</t>
  </si>
  <si>
    <t>CC 321</t>
  </si>
  <si>
    <t>CC 22</t>
  </si>
  <si>
    <t>CC 436</t>
  </si>
  <si>
    <t>CC 23</t>
  </si>
  <si>
    <t>CC 676</t>
  </si>
  <si>
    <t>CC 97</t>
  </si>
  <si>
    <t>C 054802</t>
  </si>
  <si>
    <t>C 235181</t>
  </si>
  <si>
    <t>C 138933</t>
  </si>
  <si>
    <t>C 054296</t>
  </si>
  <si>
    <t>C 026930</t>
  </si>
  <si>
    <t>CC 101</t>
  </si>
  <si>
    <t>CC 289</t>
  </si>
  <si>
    <t>CC 697</t>
  </si>
  <si>
    <t>CC 450</t>
  </si>
  <si>
    <t>CC 398</t>
  </si>
  <si>
    <t>LUVAS EBT</t>
  </si>
  <si>
    <t>2H6</t>
  </si>
  <si>
    <t>2H10</t>
  </si>
  <si>
    <t>2H16</t>
  </si>
  <si>
    <t>2H24</t>
  </si>
  <si>
    <t>3H6</t>
  </si>
  <si>
    <t>2HL10</t>
  </si>
  <si>
    <t>2HL16</t>
  </si>
  <si>
    <t>2HL24</t>
  </si>
  <si>
    <t>SILPLATE 1112</t>
  </si>
  <si>
    <t>SILPLATE 1408</t>
  </si>
  <si>
    <t>SILPLATE 1508</t>
  </si>
  <si>
    <t>FIADA 1</t>
  </si>
  <si>
    <t>FIADA 3</t>
  </si>
  <si>
    <t>FIADA 4</t>
  </si>
  <si>
    <t>FIADA 5</t>
  </si>
  <si>
    <t>FIADA 6</t>
  </si>
  <si>
    <t>FIADA 7</t>
  </si>
  <si>
    <t>FIADA 8</t>
  </si>
  <si>
    <t>FIADA 9</t>
  </si>
  <si>
    <t>FIADA 10</t>
  </si>
  <si>
    <t>FIADA 11</t>
  </si>
  <si>
    <t>FIADA 12</t>
  </si>
  <si>
    <t>FIADA 13</t>
  </si>
  <si>
    <t>FIADA 14</t>
  </si>
  <si>
    <t>FIADA 15</t>
  </si>
  <si>
    <t>FIADA 16</t>
  </si>
  <si>
    <t>FIADA 17</t>
  </si>
  <si>
    <t>FIADA 18</t>
  </si>
  <si>
    <t>FIADA 19</t>
  </si>
  <si>
    <t>FIADA 20</t>
  </si>
  <si>
    <t>FIADA 21</t>
  </si>
  <si>
    <t>FIADA 22</t>
  </si>
  <si>
    <t>FIADA 23</t>
  </si>
  <si>
    <t>FIADA 24</t>
  </si>
  <si>
    <t>FIADA 25</t>
  </si>
  <si>
    <t>FIADA 26</t>
  </si>
  <si>
    <t>FIADA 27</t>
  </si>
  <si>
    <t>FIADA 28</t>
  </si>
  <si>
    <t>FIADA 29</t>
  </si>
  <si>
    <t>FIADA 30</t>
  </si>
  <si>
    <t>VOLUME DAS MARCAS POR EQUIP. (dm³)</t>
  </si>
  <si>
    <t>VIBRADO</t>
  </si>
  <si>
    <t>VERTIDO</t>
  </si>
  <si>
    <t>BOMBEADO</t>
  </si>
  <si>
    <t>SISTEMA DE UNIDADES UTILIZADO:</t>
  </si>
  <si>
    <t>SI</t>
  </si>
  <si>
    <t xml:space="preserve"> + 3H6</t>
  </si>
  <si>
    <t>1HL6</t>
  </si>
  <si>
    <t>1Q10-76</t>
  </si>
  <si>
    <t>1Q14-76</t>
  </si>
  <si>
    <t>1Q28-76</t>
  </si>
  <si>
    <t>2Q10-76</t>
  </si>
  <si>
    <t>2Q20-76</t>
  </si>
  <si>
    <t>2Q28-76</t>
  </si>
  <si>
    <t>2Q50-76</t>
  </si>
  <si>
    <t>2Q54</t>
  </si>
  <si>
    <t>2QB-76</t>
  </si>
  <si>
    <t>2QC-76</t>
  </si>
  <si>
    <t>2QD-76</t>
  </si>
  <si>
    <t>Q31-76</t>
  </si>
  <si>
    <t>Q151-76</t>
  </si>
  <si>
    <t>Q081-76</t>
  </si>
  <si>
    <t>Q041</t>
  </si>
  <si>
    <t>2Q14-76</t>
  </si>
  <si>
    <t>D1-119</t>
  </si>
  <si>
    <t>D1-130</t>
  </si>
  <si>
    <t>2G10</t>
  </si>
  <si>
    <t>2GG4</t>
  </si>
  <si>
    <t>2GG10</t>
  </si>
  <si>
    <t>2GG16</t>
  </si>
  <si>
    <t>G51</t>
  </si>
  <si>
    <t>G31</t>
  </si>
  <si>
    <t>G21</t>
  </si>
  <si>
    <t>G11</t>
  </si>
  <si>
    <t>G081</t>
  </si>
  <si>
    <t>GB51</t>
  </si>
  <si>
    <t>GB31</t>
  </si>
  <si>
    <t>GB21</t>
  </si>
  <si>
    <t>GB11</t>
  </si>
  <si>
    <t>GB081</t>
  </si>
  <si>
    <t>GB51B</t>
  </si>
  <si>
    <t>GB31B</t>
  </si>
  <si>
    <t>GB21B</t>
  </si>
  <si>
    <t>GB081B</t>
  </si>
  <si>
    <t>G12A</t>
  </si>
  <si>
    <t>G52</t>
  </si>
  <si>
    <t>G32</t>
  </si>
  <si>
    <t>G22</t>
  </si>
  <si>
    <t>G12</t>
  </si>
  <si>
    <t>G082</t>
  </si>
  <si>
    <t>GB52</t>
  </si>
  <si>
    <t>GB32</t>
  </si>
  <si>
    <t>GB22</t>
  </si>
  <si>
    <t>GB12</t>
  </si>
  <si>
    <t>GB082</t>
  </si>
  <si>
    <t>GB52B</t>
  </si>
  <si>
    <t>GB32B</t>
  </si>
  <si>
    <t>GB22B</t>
  </si>
  <si>
    <t>GB082B</t>
  </si>
  <si>
    <t>TBS 6.5 E</t>
  </si>
  <si>
    <t>G33</t>
  </si>
  <si>
    <t>G23</t>
  </si>
  <si>
    <t>GB33</t>
  </si>
  <si>
    <t>GB23</t>
  </si>
  <si>
    <t xml:space="preserve"> 1-32</t>
  </si>
  <si>
    <t xml:space="preserve"> 1-40</t>
  </si>
  <si>
    <t xml:space="preserve"> 1-50</t>
  </si>
  <si>
    <t xml:space="preserve"> 1-76</t>
  </si>
  <si>
    <t>1B-76</t>
  </si>
  <si>
    <t>1D-76</t>
  </si>
  <si>
    <t xml:space="preserve"> 2-76</t>
  </si>
  <si>
    <t>2B-76</t>
  </si>
  <si>
    <t xml:space="preserve"> 3-76</t>
  </si>
  <si>
    <t>3B-76</t>
  </si>
  <si>
    <t>3D-76</t>
  </si>
  <si>
    <t>1L-76</t>
  </si>
  <si>
    <t>2L-76</t>
  </si>
  <si>
    <t>2LB-76</t>
  </si>
  <si>
    <t>3LB-76</t>
  </si>
  <si>
    <t>Description</t>
  </si>
  <si>
    <t>Date</t>
  </si>
  <si>
    <t>Design</t>
  </si>
  <si>
    <t>Brand</t>
  </si>
  <si>
    <t>Specification</t>
  </si>
  <si>
    <t>Quantity</t>
  </si>
  <si>
    <t>Net</t>
  </si>
  <si>
    <t>Note</t>
  </si>
  <si>
    <t>Notes</t>
  </si>
  <si>
    <t>INSULATING CEMENT</t>
  </si>
  <si>
    <t>INSULATING</t>
  </si>
  <si>
    <t>INSULATING 0,5</t>
  </si>
  <si>
    <t>INSULATING 0,6</t>
  </si>
  <si>
    <t>INSULATING 0,8</t>
  </si>
  <si>
    <t>INSULATING 0,9</t>
  </si>
  <si>
    <t>INSULATING 1,0</t>
  </si>
  <si>
    <t>INSULATING 1,2</t>
  </si>
  <si>
    <t>INSULATING 1,75</t>
  </si>
  <si>
    <t>(LT = LITER)</t>
  </si>
  <si>
    <t>PARAFFIN</t>
  </si>
  <si>
    <t>LUBRICANT</t>
  </si>
  <si>
    <t>DIATOMACEOUS SILICA 1040°C</t>
  </si>
  <si>
    <t>CALCIUM SILICATE 815°C</t>
  </si>
  <si>
    <t>LATEX PAINT</t>
  </si>
  <si>
    <t>pcs</t>
  </si>
  <si>
    <t>CÓPIA DE SEGURANÇA  - NÃO DELETAR</t>
  </si>
  <si>
    <t>ARCOS</t>
  </si>
  <si>
    <t xml:space="preserve"> 1-25</t>
  </si>
  <si>
    <t>1B</t>
  </si>
  <si>
    <t>1L</t>
  </si>
  <si>
    <t xml:space="preserve"> 2-20</t>
  </si>
  <si>
    <t xml:space="preserve"> 2-32</t>
  </si>
  <si>
    <t xml:space="preserve"> 2-40</t>
  </si>
  <si>
    <t xml:space="preserve"> 2-50</t>
  </si>
  <si>
    <t xml:space="preserve"> 2-65</t>
  </si>
  <si>
    <t xml:space="preserve"> 2-80</t>
  </si>
  <si>
    <t>2B</t>
  </si>
  <si>
    <t>2L</t>
  </si>
  <si>
    <t>2D</t>
  </si>
  <si>
    <t>B1</t>
  </si>
  <si>
    <t>B2</t>
  </si>
  <si>
    <t>B3</t>
  </si>
  <si>
    <t>BO-3</t>
  </si>
  <si>
    <t>BO-4</t>
  </si>
  <si>
    <t>BO-5</t>
  </si>
  <si>
    <t>P3</t>
  </si>
  <si>
    <t>P4</t>
  </si>
  <si>
    <t>P5</t>
  </si>
  <si>
    <t>P7</t>
  </si>
  <si>
    <t>P10</t>
  </si>
  <si>
    <t>P12</t>
  </si>
  <si>
    <t>15-76</t>
  </si>
  <si>
    <t>15-100</t>
  </si>
  <si>
    <t>35 B-100</t>
  </si>
  <si>
    <t>RU 1-100</t>
  </si>
  <si>
    <t>RU 1-130</t>
  </si>
  <si>
    <t>1G4</t>
  </si>
  <si>
    <t>1G10</t>
  </si>
  <si>
    <t>1G16</t>
  </si>
  <si>
    <t>1G24</t>
  </si>
  <si>
    <t>1G26</t>
  </si>
  <si>
    <t>1G28</t>
  </si>
  <si>
    <t>1G50</t>
  </si>
  <si>
    <t>1GG4</t>
  </si>
  <si>
    <t>1GG10</t>
  </si>
  <si>
    <t>1GG16</t>
  </si>
  <si>
    <t>1GG24</t>
  </si>
  <si>
    <t>1GG26</t>
  </si>
  <si>
    <t>2G4</t>
  </si>
  <si>
    <t>2G6</t>
  </si>
  <si>
    <t>2G16</t>
  </si>
  <si>
    <t>2G24</t>
  </si>
  <si>
    <t>2G26</t>
  </si>
  <si>
    <t>2G38</t>
  </si>
  <si>
    <t>2G50</t>
  </si>
  <si>
    <t>2GG6</t>
  </si>
  <si>
    <t>2GG8</t>
  </si>
  <si>
    <t>2GG12</t>
  </si>
  <si>
    <t>2GG24</t>
  </si>
  <si>
    <t>2GG26</t>
  </si>
  <si>
    <t>2GG38</t>
  </si>
  <si>
    <t>2GG50</t>
  </si>
  <si>
    <t>HALBWOLBER - ARCHES ( TIJOLOS EUROPA) - ARCOS</t>
  </si>
  <si>
    <t>1H4</t>
  </si>
  <si>
    <t>1H6</t>
  </si>
  <si>
    <t>1H10</t>
  </si>
  <si>
    <t>1H16</t>
  </si>
  <si>
    <t>1H24</t>
  </si>
  <si>
    <t>1H26</t>
  </si>
  <si>
    <t>1H50</t>
  </si>
  <si>
    <t>2H4</t>
  </si>
  <si>
    <t>2H26</t>
  </si>
  <si>
    <t>2H38</t>
  </si>
  <si>
    <t>2H50</t>
  </si>
  <si>
    <t>2HL6</t>
  </si>
  <si>
    <t>3H10</t>
  </si>
  <si>
    <t>3H16</t>
  </si>
  <si>
    <t>3H24</t>
  </si>
  <si>
    <t>3H50</t>
  </si>
  <si>
    <t>RECHTECKSTEINE - STRAIGHTS ( TIJOLOS EUROPA) - PARALELOS</t>
  </si>
  <si>
    <t>GANZWOLBER - WEDGES ( TIJOLOS EUROPA) - CUNHAS</t>
  </si>
  <si>
    <t>2Q14</t>
  </si>
  <si>
    <t>2Q28</t>
  </si>
  <si>
    <t>2Q50</t>
  </si>
  <si>
    <t>LADLE BRICKS - ARCHES ( TIJOLOS EUROPA) - ARCOS</t>
  </si>
  <si>
    <t>1P0</t>
  </si>
  <si>
    <t>1P8</t>
  </si>
  <si>
    <t>1P18</t>
  </si>
  <si>
    <t>1P26</t>
  </si>
  <si>
    <t>0P4</t>
  </si>
  <si>
    <t>0P5</t>
  </si>
  <si>
    <t>0P6</t>
  </si>
  <si>
    <t>0P7</t>
  </si>
  <si>
    <t>0P10</t>
  </si>
  <si>
    <t>0P15</t>
  </si>
  <si>
    <t>2P0</t>
  </si>
  <si>
    <t>3P0</t>
  </si>
  <si>
    <t>3P6</t>
  </si>
  <si>
    <t>3P10</t>
  </si>
  <si>
    <t>3P20</t>
  </si>
  <si>
    <t>3P26</t>
  </si>
  <si>
    <t>4P0</t>
  </si>
  <si>
    <t>4P8</t>
  </si>
  <si>
    <t>4P10</t>
  </si>
  <si>
    <t>4P12</t>
  </si>
  <si>
    <t>4P20</t>
  </si>
  <si>
    <t>4P22</t>
  </si>
  <si>
    <t>5P0</t>
  </si>
  <si>
    <t>5P6</t>
  </si>
  <si>
    <t>5P8</t>
  </si>
  <si>
    <t>5P12</t>
  </si>
  <si>
    <t>5P16</t>
  </si>
  <si>
    <t>5P22</t>
  </si>
  <si>
    <t>2P6</t>
  </si>
  <si>
    <t>2P10</t>
  </si>
  <si>
    <t>2P24</t>
  </si>
  <si>
    <t>Volume Arg. Dm³</t>
  </si>
  <si>
    <t>Esp. Arg.</t>
  </si>
  <si>
    <t>Volume Total</t>
  </si>
  <si>
    <t>ARGAMASSAS</t>
  </si>
  <si>
    <t>ISOLANTES</t>
  </si>
  <si>
    <t>FIBRAS</t>
  </si>
  <si>
    <t>NEWS FORMATS</t>
  </si>
  <si>
    <t>RADIAIS</t>
  </si>
  <si>
    <t>TIJOLOS VDZ</t>
  </si>
  <si>
    <t>TIJOLOS MK</t>
  </si>
  <si>
    <t>P/,</t>
  </si>
  <si>
    <t>MARCAS</t>
  </si>
  <si>
    <t>Densidade</t>
  </si>
  <si>
    <t>Embalagem</t>
  </si>
  <si>
    <t>Classificação</t>
  </si>
  <si>
    <t>Unidade</t>
  </si>
  <si>
    <t>SÉRIE-ISO (RADIAL)                                        SÉRIE-ISO (RADIAL)                                             SÉRIE-ISO (RADIAL)                                  SÉRIE-ISO (RADIAL)</t>
  </si>
  <si>
    <t xml:space="preserve">SÉRIE-MK                           SÉRIE-MK  </t>
  </si>
  <si>
    <t>ESPECIFICAÇÕES DE FIBRA CERÂMICA</t>
  </si>
  <si>
    <t>ACELERADOR E LUBRIFICANTE</t>
  </si>
  <si>
    <t>Total Weight</t>
  </si>
  <si>
    <t>Weight per Brand</t>
  </si>
  <si>
    <t>Region - Zone</t>
  </si>
  <si>
    <t>Net [t]</t>
  </si>
  <si>
    <t>Total [t]</t>
  </si>
  <si>
    <t>TOTAL</t>
  </si>
  <si>
    <t xml:space="preserve">CARD BOARD </t>
  </si>
  <si>
    <t>SKAMOL M-EXTRA</t>
  </si>
  <si>
    <t>Weight [t]</t>
  </si>
  <si>
    <t>Weight un. [kg]</t>
  </si>
  <si>
    <t>OP.</t>
  </si>
  <si>
    <t>Drawing number</t>
  </si>
  <si>
    <t>Revision</t>
  </si>
  <si>
    <t>State</t>
  </si>
  <si>
    <t>CÓDIGO SAP</t>
  </si>
  <si>
    <t>PYROSTOP CARTO 125</t>
  </si>
  <si>
    <t>Raio</t>
  </si>
  <si>
    <t>FIADAS</t>
  </si>
  <si>
    <t>FIADAS:</t>
  </si>
  <si>
    <t>FORMATOS</t>
  </si>
  <si>
    <t>REGIÃO</t>
  </si>
  <si>
    <t>PAINÉIS</t>
  </si>
  <si>
    <t>%</t>
  </si>
  <si>
    <t>A00</t>
  </si>
  <si>
    <t>CLIENTE</t>
  </si>
  <si>
    <t>CIDADE</t>
  </si>
  <si>
    <t>CAPACIDADE</t>
  </si>
  <si>
    <t>MK4/10</t>
  </si>
  <si>
    <t>MK4/30</t>
  </si>
  <si>
    <t>MK5/0</t>
  </si>
  <si>
    <t>MK5/6</t>
  </si>
  <si>
    <t>MK5/8</t>
  </si>
  <si>
    <t>MK5/20</t>
  </si>
  <si>
    <t>MK5/30</t>
  </si>
  <si>
    <t>MK5/32</t>
  </si>
  <si>
    <t>MK5/40</t>
  </si>
  <si>
    <t>MK6/0</t>
  </si>
  <si>
    <t>MK6/5,4</t>
  </si>
  <si>
    <t>MK6/8</t>
  </si>
  <si>
    <t>MK6/10</t>
  </si>
  <si>
    <t>MK6/12</t>
  </si>
  <si>
    <t>MK6/13</t>
  </si>
  <si>
    <t>MK6/20</t>
  </si>
  <si>
    <t>MK6/25,4</t>
  </si>
  <si>
    <t>MK6/30</t>
  </si>
  <si>
    <t>MK6/40</t>
  </si>
  <si>
    <t>MK7/8</t>
  </si>
  <si>
    <t>MK7/10</t>
  </si>
  <si>
    <t>MK7/18</t>
  </si>
  <si>
    <t>MK7/20</t>
  </si>
  <si>
    <t>MK7/30</t>
  </si>
  <si>
    <t>MK7/40</t>
  </si>
  <si>
    <t>MK8/0</t>
  </si>
  <si>
    <t>MK8/8</t>
  </si>
  <si>
    <t>MK8/10</t>
  </si>
  <si>
    <t>MK8/19</t>
  </si>
  <si>
    <t>MK8/20</t>
  </si>
  <si>
    <t>MK8/30</t>
  </si>
  <si>
    <t>MK8/40</t>
  </si>
  <si>
    <t>MK8/44,4</t>
  </si>
  <si>
    <t>MK9/0</t>
  </si>
  <si>
    <t>MK9/8</t>
  </si>
  <si>
    <t>MK9/16</t>
  </si>
  <si>
    <t>MK9/30</t>
  </si>
  <si>
    <t>MK9/50</t>
  </si>
  <si>
    <t>MK7/20-100K</t>
  </si>
  <si>
    <t>MK7/20-112,5K</t>
  </si>
  <si>
    <t>MK8/8-100K</t>
  </si>
  <si>
    <t>MK8/8-112.5K</t>
  </si>
  <si>
    <t>MK9/8-100K</t>
  </si>
  <si>
    <t>MK9/8-112,5K</t>
  </si>
  <si>
    <t>MK6/8-76</t>
  </si>
  <si>
    <t>MK10/6</t>
  </si>
  <si>
    <t>MK10/20</t>
  </si>
  <si>
    <t>MK13/6</t>
  </si>
  <si>
    <t>MK13/20</t>
  </si>
  <si>
    <t>MK13/30</t>
  </si>
  <si>
    <t>MK13/40</t>
  </si>
  <si>
    <t>MK14/8</t>
  </si>
  <si>
    <t>MK14/20</t>
  </si>
  <si>
    <t>MK15/6</t>
  </si>
  <si>
    <t>MK15/8</t>
  </si>
  <si>
    <t>MK15/10</t>
  </si>
  <si>
    <t>MK15/13</t>
  </si>
  <si>
    <t>MK15/16</t>
  </si>
  <si>
    <t>MK15/20</t>
  </si>
  <si>
    <t>MK15/25</t>
  </si>
  <si>
    <t>MK15/30</t>
  </si>
  <si>
    <t>MK15/40</t>
  </si>
  <si>
    <t>MK15/70</t>
  </si>
  <si>
    <t>MK17/10</t>
  </si>
  <si>
    <t>MK17/15</t>
  </si>
  <si>
    <t>MK17/28</t>
  </si>
  <si>
    <t>MK17/35</t>
  </si>
  <si>
    <t>MK17/40</t>
  </si>
  <si>
    <t>MK18/4</t>
  </si>
  <si>
    <t>MK18/6</t>
  </si>
  <si>
    <t>MK18/8</t>
  </si>
  <si>
    <t>MK18/16</t>
  </si>
  <si>
    <t>MK18/20</t>
  </si>
  <si>
    <t>MK18/30</t>
  </si>
  <si>
    <t>MK18/40</t>
  </si>
  <si>
    <t>MK18/48</t>
  </si>
  <si>
    <t>MK20/0</t>
  </si>
  <si>
    <t>MK20/8</t>
  </si>
  <si>
    <t>MK20/10</t>
  </si>
  <si>
    <t>MK20/16</t>
  </si>
  <si>
    <t>MK20/19</t>
  </si>
  <si>
    <t>MK20/30</t>
  </si>
  <si>
    <t>MK20/34</t>
  </si>
  <si>
    <t>MK20/60</t>
  </si>
  <si>
    <t>MK20/70</t>
  </si>
  <si>
    <t>MK22/8</t>
  </si>
  <si>
    <t>MK22/19</t>
  </si>
  <si>
    <t>MK22/37</t>
  </si>
  <si>
    <t>MK22/40</t>
  </si>
  <si>
    <t>MK22/59</t>
  </si>
  <si>
    <t>MK23/0</t>
  </si>
  <si>
    <t>MK23/8</t>
  </si>
  <si>
    <t>MK23/16</t>
  </si>
  <si>
    <t>MK23/20</t>
  </si>
  <si>
    <t>MK23/30</t>
  </si>
  <si>
    <t>MK23/40</t>
  </si>
  <si>
    <t>MK23/50</t>
  </si>
  <si>
    <t>MK15/8-100K</t>
  </si>
  <si>
    <t>MK15/8-120K</t>
  </si>
  <si>
    <t>MK15/20-100K</t>
  </si>
  <si>
    <t>MK15/20-120K</t>
  </si>
  <si>
    <t>MK18/8-100K</t>
  </si>
  <si>
    <t>MK18/8-120K</t>
  </si>
  <si>
    <t>MK18/20-100K</t>
  </si>
  <si>
    <t>MKA318/20-120K</t>
  </si>
  <si>
    <t>LUVAS EBT RED</t>
  </si>
  <si>
    <t>LUVAS EBT BLUE</t>
  </si>
  <si>
    <t>RW13</t>
  </si>
  <si>
    <t>RW14</t>
  </si>
  <si>
    <t>RW15</t>
  </si>
  <si>
    <t>RW16</t>
  </si>
  <si>
    <t>RW17</t>
  </si>
  <si>
    <t>RW18</t>
  </si>
  <si>
    <t>RW20</t>
  </si>
  <si>
    <t>RW22</t>
  </si>
  <si>
    <t>2025100</t>
  </si>
  <si>
    <t>1307500</t>
  </si>
  <si>
    <t>862400</t>
  </si>
  <si>
    <t>972300</t>
  </si>
  <si>
    <t>1075400</t>
  </si>
  <si>
    <t>985800</t>
  </si>
  <si>
    <t>822500</t>
  </si>
  <si>
    <t>1005600</t>
  </si>
  <si>
    <t>JRW165</t>
  </si>
  <si>
    <t>JRW17Z</t>
  </si>
  <si>
    <t>JRW18Z</t>
  </si>
  <si>
    <t>JRW19Z</t>
  </si>
  <si>
    <t>JRW20Z</t>
  </si>
  <si>
    <t>9056284</t>
  </si>
  <si>
    <t>9056278</t>
  </si>
  <si>
    <t>9056279</t>
  </si>
  <si>
    <t>9056280</t>
  </si>
  <si>
    <t>9056281</t>
  </si>
  <si>
    <t>RW05Z</t>
  </si>
  <si>
    <t>RW10X</t>
  </si>
  <si>
    <t>RW10Z</t>
  </si>
  <si>
    <t>RW11</t>
  </si>
  <si>
    <t>RW11W</t>
  </si>
  <si>
    <t>RW11X</t>
  </si>
  <si>
    <t>RW11Z</t>
  </si>
  <si>
    <t>RW12</t>
  </si>
  <si>
    <t>RW12F</t>
  </si>
  <si>
    <t>RW12X</t>
  </si>
  <si>
    <t>RW12Z</t>
  </si>
  <si>
    <t>RW13W</t>
  </si>
  <si>
    <t>RW13X</t>
  </si>
  <si>
    <t>RW13Z</t>
  </si>
  <si>
    <t>RW14W</t>
  </si>
  <si>
    <t>RW14X</t>
  </si>
  <si>
    <t>RW14Z</t>
  </si>
  <si>
    <t>RW15W</t>
  </si>
  <si>
    <t>RW15X</t>
  </si>
  <si>
    <t>RW15Z</t>
  </si>
  <si>
    <t>RW16W</t>
  </si>
  <si>
    <t>RW16X</t>
  </si>
  <si>
    <t>RW16Z</t>
  </si>
  <si>
    <t>RW17X</t>
  </si>
  <si>
    <t>RW17Z</t>
  </si>
  <si>
    <t>RW18W</t>
  </si>
  <si>
    <t>RW18X</t>
  </si>
  <si>
    <t>RW18Z</t>
  </si>
  <si>
    <t>RW19</t>
  </si>
  <si>
    <t>RW19X</t>
  </si>
  <si>
    <t>RW19X-400</t>
  </si>
  <si>
    <t>RW19Z</t>
  </si>
  <si>
    <t>RW20W</t>
  </si>
  <si>
    <t>RW20X</t>
  </si>
  <si>
    <t>RW20Z</t>
  </si>
  <si>
    <t>RW21</t>
  </si>
  <si>
    <t>RW21Z</t>
  </si>
  <si>
    <t>RW22X</t>
  </si>
  <si>
    <t>RW22Z</t>
  </si>
  <si>
    <t>9066502</t>
  </si>
  <si>
    <t>9089022</t>
  </si>
  <si>
    <t>9060559</t>
  </si>
  <si>
    <t>3388700</t>
  </si>
  <si>
    <t>9101256</t>
  </si>
  <si>
    <t>9089023</t>
  </si>
  <si>
    <t>3388800</t>
  </si>
  <si>
    <t>3313000</t>
  </si>
  <si>
    <t>9121543</t>
  </si>
  <si>
    <t>9089024</t>
  </si>
  <si>
    <t>3297600</t>
  </si>
  <si>
    <t>9107475</t>
  </si>
  <si>
    <t>9089025</t>
  </si>
  <si>
    <t>3092300</t>
  </si>
  <si>
    <t>9099740</t>
  </si>
  <si>
    <t>9089026</t>
  </si>
  <si>
    <t>3126200</t>
  </si>
  <si>
    <t>9112843</t>
  </si>
  <si>
    <t>9089027</t>
  </si>
  <si>
    <t>3188800</t>
  </si>
  <si>
    <t>9111680</t>
  </si>
  <si>
    <t>9089028</t>
  </si>
  <si>
    <t>3102300</t>
  </si>
  <si>
    <t>9089029</t>
  </si>
  <si>
    <t>3111600</t>
  </si>
  <si>
    <t>9105651</t>
  </si>
  <si>
    <t>9089030</t>
  </si>
  <si>
    <t>3025300</t>
  </si>
  <si>
    <t>2955500</t>
  </si>
  <si>
    <t>9089031</t>
  </si>
  <si>
    <t>9100499</t>
  </si>
  <si>
    <t>3297700</t>
  </si>
  <si>
    <t>9099920</t>
  </si>
  <si>
    <t>9089033</t>
  </si>
  <si>
    <t>3153900</t>
  </si>
  <si>
    <t>3420400</t>
  </si>
  <si>
    <t>3328300</t>
  </si>
  <si>
    <t>9089035</t>
  </si>
  <si>
    <t>3297800</t>
  </si>
  <si>
    <t>JRW10Z</t>
  </si>
  <si>
    <t>JRW115</t>
  </si>
  <si>
    <t>JRW125</t>
  </si>
  <si>
    <t>JRW12Z</t>
  </si>
  <si>
    <t>JRW135</t>
  </si>
  <si>
    <t>JRW13Z</t>
  </si>
  <si>
    <t>JRW14</t>
  </si>
  <si>
    <t>JRW14Z</t>
  </si>
  <si>
    <t>JRW15</t>
  </si>
  <si>
    <t>JRW15Z</t>
  </si>
  <si>
    <t>JRW16Z</t>
  </si>
  <si>
    <t>JRW175</t>
  </si>
  <si>
    <t>JRW185</t>
  </si>
  <si>
    <t>JRW19</t>
  </si>
  <si>
    <t>JRW195</t>
  </si>
  <si>
    <t>JRW20</t>
  </si>
  <si>
    <t>JRW205</t>
  </si>
  <si>
    <t>JRW21</t>
  </si>
  <si>
    <t>JRW21Z</t>
  </si>
  <si>
    <t>9168915</t>
  </si>
  <si>
    <t>9094761</t>
  </si>
  <si>
    <t>9060097</t>
  </si>
  <si>
    <t>9118707</t>
  </si>
  <si>
    <t>9060096</t>
  </si>
  <si>
    <t>9092946</t>
  </si>
  <si>
    <t>9060095</t>
  </si>
  <si>
    <t>9104899</t>
  </si>
  <si>
    <t>9064837</t>
  </si>
  <si>
    <t>9060224</t>
  </si>
  <si>
    <t>9062496</t>
  </si>
  <si>
    <t>9056285</t>
  </si>
  <si>
    <t>9056286</t>
  </si>
  <si>
    <t>9056290</t>
  </si>
  <si>
    <t>9056287</t>
  </si>
  <si>
    <t>9056291</t>
  </si>
  <si>
    <t>9056288</t>
  </si>
  <si>
    <t>9056292</t>
  </si>
  <si>
    <t>9056841</t>
  </si>
  <si>
    <t>JRW12</t>
  </si>
  <si>
    <t>JRW13</t>
  </si>
  <si>
    <t>JRW145</t>
  </si>
  <si>
    <t>JRW155</t>
  </si>
  <si>
    <t>JRW16</t>
  </si>
  <si>
    <t>JRW17</t>
  </si>
  <si>
    <t>JRW18</t>
  </si>
  <si>
    <t>9093734</t>
  </si>
  <si>
    <t>9070513</t>
  </si>
  <si>
    <t>9056282</t>
  </si>
  <si>
    <t>9056283</t>
  </si>
  <si>
    <t>9060210</t>
  </si>
  <si>
    <t>9062859</t>
  </si>
  <si>
    <t>9056289</t>
  </si>
  <si>
    <t>NF55/3015</t>
  </si>
  <si>
    <t>NF55/3020</t>
  </si>
  <si>
    <t>NF55/3025</t>
  </si>
  <si>
    <t>NF55/3026</t>
  </si>
  <si>
    <t>NF55/3028</t>
  </si>
  <si>
    <t>NF55/3030</t>
  </si>
  <si>
    <t>NF55/3228</t>
  </si>
  <si>
    <t>NF55/3515</t>
  </si>
  <si>
    <t>NF55/3520</t>
  </si>
  <si>
    <t>NF55/3525</t>
  </si>
  <si>
    <t>NF55/3528</t>
  </si>
  <si>
    <t>NF55/4010</t>
  </si>
  <si>
    <t>NF55/4015</t>
  </si>
  <si>
    <t>NF55/4020</t>
  </si>
  <si>
    <t>NF55/4025</t>
  </si>
  <si>
    <t>NF55/4028</t>
  </si>
  <si>
    <t>2023200</t>
  </si>
  <si>
    <t>2023100</t>
  </si>
  <si>
    <t>9006473</t>
  </si>
  <si>
    <t>2989800</t>
  </si>
  <si>
    <t>2940500</t>
  </si>
  <si>
    <t>9117328</t>
  </si>
  <si>
    <t>9053760</t>
  </si>
  <si>
    <t>9147305</t>
  </si>
  <si>
    <t>9087802</t>
  </si>
  <si>
    <t>9087809</t>
  </si>
  <si>
    <t>9121493</t>
  </si>
  <si>
    <t>9151248</t>
  </si>
  <si>
    <t>1487500</t>
  </si>
  <si>
    <t>1487600</t>
  </si>
  <si>
    <t>2882600</t>
  </si>
  <si>
    <t>3039300</t>
  </si>
  <si>
    <t>P9</t>
  </si>
  <si>
    <t>V2L-100</t>
  </si>
  <si>
    <t>V2LS-100</t>
  </si>
  <si>
    <t>V3L-100</t>
  </si>
  <si>
    <t>V3LK-100</t>
  </si>
  <si>
    <t>Lining:</t>
  </si>
  <si>
    <t>FIADA 2</t>
  </si>
  <si>
    <t>Alt. Tijolo</t>
  </si>
  <si>
    <t>A'</t>
  </si>
  <si>
    <t>B'</t>
  </si>
  <si>
    <t>Ø Int</t>
  </si>
  <si>
    <t>Ø Ext</t>
  </si>
  <si>
    <t>FIADA 31</t>
  </si>
  <si>
    <t>FIADA 32</t>
  </si>
  <si>
    <t>FIADA 33</t>
  </si>
  <si>
    <t>FIADA 34</t>
  </si>
  <si>
    <t>FIADA 35</t>
  </si>
  <si>
    <t>FIADA 36</t>
  </si>
  <si>
    <t>FIADA 37</t>
  </si>
  <si>
    <t>FIADA 38</t>
  </si>
  <si>
    <t>FIADA 39</t>
  </si>
  <si>
    <t>FIADA 40</t>
  </si>
  <si>
    <t>FIADA 41</t>
  </si>
  <si>
    <t>FIADA 42</t>
  </si>
  <si>
    <t>FIADA 43</t>
  </si>
  <si>
    <t>FIADA 44</t>
  </si>
  <si>
    <t>FIADA 45</t>
  </si>
  <si>
    <t>FIADA 46</t>
  </si>
  <si>
    <t>FIADA 47</t>
  </si>
  <si>
    <t>FIADA 48</t>
  </si>
  <si>
    <t>FIADA 49</t>
  </si>
  <si>
    <t>FIADA 50</t>
  </si>
  <si>
    <t>MORTAR CALCULATION %</t>
  </si>
  <si>
    <t>MORTAR CALCULATION VOL.</t>
  </si>
  <si>
    <t>Ângulo Esfera</t>
  </si>
  <si>
    <t>EQUIPAMENTO</t>
  </si>
  <si>
    <t>ÂNGULO AF</t>
  </si>
  <si>
    <t>TIJOLOS COMPOSIÇÃO</t>
  </si>
  <si>
    <t>TIJOLOS TOMBAMENTO</t>
  </si>
  <si>
    <t>NTX</t>
  </si>
  <si>
    <t>De</t>
  </si>
  <si>
    <t>Di</t>
  </si>
  <si>
    <t>NC IDEAL</t>
  </si>
  <si>
    <t>C- CUNHA</t>
  </si>
  <si>
    <t>ÂNGULO ANEL</t>
  </si>
  <si>
    <t>Resumo das peças</t>
  </si>
  <si>
    <t>Fiada 1</t>
  </si>
  <si>
    <t>Fiada 2</t>
  </si>
  <si>
    <t>Fiada 3</t>
  </si>
  <si>
    <t>Fiada 4</t>
  </si>
  <si>
    <t>Fiada 5</t>
  </si>
  <si>
    <t>Fiada 6</t>
  </si>
  <si>
    <t>Fiada 7</t>
  </si>
  <si>
    <t>Fiada 8</t>
  </si>
  <si>
    <t>Fiada 9</t>
  </si>
  <si>
    <t>Fiada 10</t>
  </si>
  <si>
    <t>Fiada 11</t>
  </si>
  <si>
    <t>Fiada 12</t>
  </si>
  <si>
    <t>Fiada 13</t>
  </si>
  <si>
    <t>Fiada 14</t>
  </si>
  <si>
    <t>Fiada 15</t>
  </si>
  <si>
    <t>Fiada 16</t>
  </si>
  <si>
    <t>Fiada 17</t>
  </si>
  <si>
    <t>Fiada 18</t>
  </si>
  <si>
    <t>Fiada 19</t>
  </si>
  <si>
    <t>Fiada 20</t>
  </si>
  <si>
    <t>Fiada 21</t>
  </si>
  <si>
    <t>Fiada 22</t>
  </si>
  <si>
    <t>Fiada 23</t>
  </si>
  <si>
    <t>Fiada 24</t>
  </si>
  <si>
    <t>Fiada 25</t>
  </si>
  <si>
    <t>Fiada 26</t>
  </si>
  <si>
    <t>Fiada 27</t>
  </si>
  <si>
    <t>Fiada 28</t>
  </si>
  <si>
    <t>Fiada 29</t>
  </si>
  <si>
    <t>Fiada 30</t>
  </si>
  <si>
    <t>Fiada 31</t>
  </si>
  <si>
    <t>Fiada 32</t>
  </si>
  <si>
    <t>Fiada 33</t>
  </si>
  <si>
    <t>Fiada 34</t>
  </si>
  <si>
    <t>Fiada 35</t>
  </si>
  <si>
    <t>Fiada 36</t>
  </si>
  <si>
    <t>Fiada 37</t>
  </si>
  <si>
    <t>Fiada 38</t>
  </si>
  <si>
    <t>Fiada 39</t>
  </si>
  <si>
    <t>Fiada 40</t>
  </si>
  <si>
    <t>Fiada 41</t>
  </si>
  <si>
    <t>Fiada 42</t>
  </si>
  <si>
    <t>Fiada 43</t>
  </si>
  <si>
    <t>Fiada 44</t>
  </si>
  <si>
    <t>Fiada 45</t>
  </si>
  <si>
    <t>Fiada 46</t>
  </si>
  <si>
    <t>Fiada 47</t>
  </si>
  <si>
    <t>Fiada 48</t>
  </si>
  <si>
    <t>Fiada 49</t>
  </si>
  <si>
    <t>Fiada 50</t>
  </si>
  <si>
    <t>Chegagem Perímetro</t>
  </si>
  <si>
    <t>Altura</t>
  </si>
  <si>
    <t>Area Superficial</t>
  </si>
  <si>
    <t>metros quadrados</t>
  </si>
  <si>
    <t>Ø Fecham.</t>
  </si>
  <si>
    <t>ELEKTRODE 3,2X350 ST</t>
  </si>
  <si>
    <t>ELETRODO</t>
  </si>
  <si>
    <t>ÂNCORA METÁLICA (50%)</t>
  </si>
  <si>
    <t>INSTRUÇÕES</t>
  </si>
  <si>
    <t>SPECIAL ELECTRODE NA</t>
  </si>
  <si>
    <t>SPECIAL ELECTRODE ST</t>
  </si>
  <si>
    <t>SPECIAL ELECTRODE UN</t>
  </si>
  <si>
    <t>SPECIAL ELECTRODE HR</t>
  </si>
  <si>
    <t>ELEKTRODE 3,2X350 NA PACKET</t>
  </si>
  <si>
    <t>ELEKTRODE 3,2X350 ST PACKET</t>
  </si>
  <si>
    <t>ELEKTRODE 3,2X350 UN PACKET</t>
  </si>
  <si>
    <t>ELEKTRODE 3,2X350 HR PACKET</t>
  </si>
  <si>
    <t>EUROPA - AÇO COMUM</t>
  </si>
  <si>
    <t>EUROPA - AÇO 304 E 310</t>
  </si>
  <si>
    <t>EUROPA</t>
  </si>
  <si>
    <t xml:space="preserve">j                                    </t>
  </si>
  <si>
    <t>Tamanho Painel(mm)</t>
  </si>
  <si>
    <t>ÂNCORA CERÂMICA (50%)</t>
  </si>
  <si>
    <t>FORMATOS EAF</t>
  </si>
  <si>
    <t>DIVASIL</t>
  </si>
  <si>
    <t>Outros</t>
  </si>
  <si>
    <t>DIVASIL FP</t>
  </si>
  <si>
    <t>Liquid Binder</t>
  </si>
  <si>
    <t>Litros/100kg</t>
  </si>
  <si>
    <t>ACCELERATOR C</t>
  </si>
  <si>
    <t>A12X41/2X3-23/4</t>
  </si>
  <si>
    <t>A12X41/2X3-21/2</t>
  </si>
  <si>
    <t>A12X41/2X3-2</t>
  </si>
  <si>
    <t>A12X6X3-23/4</t>
  </si>
  <si>
    <t>A18X41/2X3-21/2</t>
  </si>
  <si>
    <t>A18X41/2X3-2</t>
  </si>
  <si>
    <t>A18X6X3-23/4</t>
  </si>
  <si>
    <t>A18X6X3-21/2</t>
  </si>
  <si>
    <t>A18X6X3-2</t>
  </si>
  <si>
    <t>A18X9X3-23/4</t>
  </si>
  <si>
    <t>A9X3X3-21/2</t>
  </si>
  <si>
    <t>A9X3X3-23/4</t>
  </si>
  <si>
    <t>A9X63/4X3-23/4</t>
  </si>
  <si>
    <t>A9X6X3-23/4</t>
  </si>
  <si>
    <t>A9X6X3-21/2</t>
  </si>
  <si>
    <t>A9X41/2X3-27/8</t>
  </si>
  <si>
    <t>A12X9X3-21/2</t>
  </si>
  <si>
    <t>A12X9X3-23/4</t>
  </si>
  <si>
    <t>A12X6X3-21/2</t>
  </si>
  <si>
    <t>A9X41/2X3-21/2</t>
  </si>
  <si>
    <t>A9X41/2X3-2</t>
  </si>
  <si>
    <t>A9X6X3-2</t>
  </si>
  <si>
    <t>A9X41/2X3-23/4</t>
  </si>
  <si>
    <t>A12X6X3-2</t>
  </si>
  <si>
    <t>A18X9X3-2</t>
  </si>
  <si>
    <t>A15X6X3-2</t>
  </si>
  <si>
    <t>A9X63/4X3-2</t>
  </si>
  <si>
    <t>A15X6X3-21/2</t>
  </si>
  <si>
    <t>A9X21/2X3-23/4</t>
  </si>
  <si>
    <t>A18X6X3-1</t>
  </si>
  <si>
    <t>A18X6X3-11/2</t>
  </si>
  <si>
    <t>A8X63/4X3-23/4</t>
  </si>
  <si>
    <t>A9X41/2X100-95</t>
  </si>
  <si>
    <t>A9X5X100-95</t>
  </si>
  <si>
    <t>A9X5X3-23/4</t>
  </si>
  <si>
    <t>A9X2X3-23/4</t>
  </si>
  <si>
    <t>A8X63/4X3-21/2</t>
  </si>
  <si>
    <t>A9X5X100-90</t>
  </si>
  <si>
    <t>A9X5X3-21/2</t>
  </si>
  <si>
    <t>A9X5X3-2</t>
  </si>
  <si>
    <t>A12X63/4X3-2</t>
  </si>
  <si>
    <t>A9X41/2X3-11/2</t>
  </si>
  <si>
    <t>A9X6X3-11/2</t>
  </si>
  <si>
    <t>A9X63/4X3-11/2</t>
  </si>
  <si>
    <t>A18X9X3-11/2</t>
  </si>
  <si>
    <t>A9X21/2X3-21/2</t>
  </si>
  <si>
    <t>Metallic Anchors</t>
  </si>
  <si>
    <t>ANCHOR TYPE</t>
  </si>
  <si>
    <t>DIAMETER</t>
  </si>
  <si>
    <t>Total length</t>
  </si>
  <si>
    <t>Material</t>
  </si>
  <si>
    <t>Cálculo Volume</t>
  </si>
  <si>
    <t>CH1</t>
  </si>
  <si>
    <t>CH2</t>
  </si>
  <si>
    <t>CH3</t>
  </si>
  <si>
    <t>TYPE</t>
  </si>
  <si>
    <t>CV1</t>
  </si>
  <si>
    <t>CV2</t>
  </si>
  <si>
    <t>CV3</t>
  </si>
  <si>
    <t>STP</t>
  </si>
  <si>
    <t>CTP</t>
  </si>
  <si>
    <t>HTP</t>
  </si>
  <si>
    <t>TWA</t>
  </si>
  <si>
    <t>TWM</t>
  </si>
  <si>
    <t>Step Length</t>
  </si>
  <si>
    <t>VOLUME</t>
  </si>
  <si>
    <t>STH</t>
  </si>
  <si>
    <t>CTH</t>
  </si>
  <si>
    <t>HTH</t>
  </si>
  <si>
    <t>YHA</t>
  </si>
  <si>
    <t>SKD</t>
  </si>
  <si>
    <t>WB</t>
  </si>
  <si>
    <t>SLA</t>
  </si>
  <si>
    <t>SKL</t>
  </si>
  <si>
    <t>BU</t>
  </si>
  <si>
    <t>GKB</t>
  </si>
  <si>
    <t>KSET</t>
  </si>
  <si>
    <t>UAH01</t>
  </si>
  <si>
    <t>UAH02</t>
  </si>
  <si>
    <t>BL</t>
  </si>
  <si>
    <t>Material?</t>
  </si>
  <si>
    <t>GK</t>
  </si>
  <si>
    <t>AH150</t>
  </si>
  <si>
    <t>Ceramic Anchors</t>
  </si>
  <si>
    <t>AH175</t>
  </si>
  <si>
    <t>AH200</t>
  </si>
  <si>
    <t>AH225</t>
  </si>
  <si>
    <t>AH250</t>
  </si>
  <si>
    <t>AH275</t>
  </si>
  <si>
    <t>AH300</t>
  </si>
  <si>
    <t>AH325</t>
  </si>
  <si>
    <t>AH350</t>
  </si>
  <si>
    <t>AH375</t>
  </si>
  <si>
    <t>AH400</t>
  </si>
  <si>
    <t>AH425</t>
  </si>
  <si>
    <t>AH450</t>
  </si>
  <si>
    <t>AH475</t>
  </si>
  <si>
    <t>AH500</t>
  </si>
  <si>
    <t>FE6</t>
  </si>
  <si>
    <t>FE7</t>
  </si>
  <si>
    <t>FE8</t>
  </si>
  <si>
    <t>FE11</t>
  </si>
  <si>
    <t>FE12</t>
  </si>
  <si>
    <t>ESPESSURA</t>
  </si>
  <si>
    <t>FE4</t>
  </si>
  <si>
    <t>2BFE4</t>
  </si>
  <si>
    <t>1FE4-76</t>
  </si>
  <si>
    <t>1FE4</t>
  </si>
  <si>
    <t>FE4-76</t>
  </si>
  <si>
    <t>1BFE4-76</t>
  </si>
  <si>
    <t>1BFE4</t>
  </si>
  <si>
    <t>2BFE4-76</t>
  </si>
  <si>
    <t>FE5</t>
  </si>
  <si>
    <t>2BFE5</t>
  </si>
  <si>
    <t>1FE5-76</t>
  </si>
  <si>
    <t>FE5-76</t>
  </si>
  <si>
    <t>1FE5</t>
  </si>
  <si>
    <t>1BFE5-76</t>
  </si>
  <si>
    <t>1BFE5</t>
  </si>
  <si>
    <t>2BFE5-76</t>
  </si>
  <si>
    <t>1BFE6-76</t>
  </si>
  <si>
    <t>2BFE6</t>
  </si>
  <si>
    <t>1FE6-76</t>
  </si>
  <si>
    <t>1FE6</t>
  </si>
  <si>
    <t>FE6-76</t>
  </si>
  <si>
    <t>2BFE6-76</t>
  </si>
  <si>
    <t>1BFE7-76</t>
  </si>
  <si>
    <t>2BFE7</t>
  </si>
  <si>
    <t>1FE7-76</t>
  </si>
  <si>
    <t>FE7-76</t>
  </si>
  <si>
    <t>2BFE7-76</t>
  </si>
  <si>
    <t>1FE7</t>
  </si>
  <si>
    <t>3FE8-76</t>
  </si>
  <si>
    <t>1FE8</t>
  </si>
  <si>
    <t>FE8-76</t>
  </si>
  <si>
    <t>3FE8</t>
  </si>
  <si>
    <t>2BFE8</t>
  </si>
  <si>
    <t>2BFE8-76</t>
  </si>
  <si>
    <t>1FE8-76</t>
  </si>
  <si>
    <t>1BFE8</t>
  </si>
  <si>
    <t>1BFE8-76</t>
  </si>
  <si>
    <t>FE9-76</t>
  </si>
  <si>
    <t>3FE9</t>
  </si>
  <si>
    <t>FE9</t>
  </si>
  <si>
    <t>1FE9-76</t>
  </si>
  <si>
    <t>1FE9</t>
  </si>
  <si>
    <t>3FE9-76</t>
  </si>
  <si>
    <t>FE10</t>
  </si>
  <si>
    <t>FE10-76</t>
  </si>
  <si>
    <t>3FE10</t>
  </si>
  <si>
    <t>1FE10-76</t>
  </si>
  <si>
    <t>1FE10</t>
  </si>
  <si>
    <t>3FE10-76</t>
  </si>
  <si>
    <t>FE11-76</t>
  </si>
  <si>
    <t>3FE11</t>
  </si>
  <si>
    <t>1FE11-76</t>
  </si>
  <si>
    <t>1FE11</t>
  </si>
  <si>
    <t>3FE11-76</t>
  </si>
  <si>
    <t>1FE12</t>
  </si>
  <si>
    <t>FE12-76</t>
  </si>
  <si>
    <t>3FE12</t>
  </si>
  <si>
    <t>1FE12-76</t>
  </si>
  <si>
    <t>3FE12-76</t>
  </si>
  <si>
    <t>1DFE8</t>
  </si>
  <si>
    <t>1DFE8-76</t>
  </si>
  <si>
    <t>2DFE8</t>
  </si>
  <si>
    <t>2DFE8-76</t>
  </si>
  <si>
    <t>3DFE8-76</t>
  </si>
  <si>
    <t>S6X41/2X3</t>
  </si>
  <si>
    <t>S6X6X4</t>
  </si>
  <si>
    <t>S6X6X3</t>
  </si>
  <si>
    <t>S6X6X2</t>
  </si>
  <si>
    <t>S6X6X51/2</t>
  </si>
  <si>
    <t>S6X41/2X21/2</t>
  </si>
  <si>
    <t>S6X6X6</t>
  </si>
  <si>
    <t>S6X6X41/2</t>
  </si>
  <si>
    <t>S6X51/2X4</t>
  </si>
  <si>
    <t>S6X5X3</t>
  </si>
  <si>
    <t>S6X41/2X100</t>
  </si>
  <si>
    <t>S7X6X4</t>
  </si>
  <si>
    <t>S7X6X3</t>
  </si>
  <si>
    <t>S7X6X100</t>
  </si>
  <si>
    <t>S7X6X21/4</t>
  </si>
  <si>
    <t>S7X7X21/4</t>
  </si>
  <si>
    <t>S7X6X21/2</t>
  </si>
  <si>
    <t>S7X41/2X3</t>
  </si>
  <si>
    <t>S7X6X2</t>
  </si>
  <si>
    <t>S7X3X3</t>
  </si>
  <si>
    <t>S7X5X4</t>
  </si>
  <si>
    <t>S8X6X3</t>
  </si>
  <si>
    <t>S8X4X23/8</t>
  </si>
  <si>
    <t>S8X4X3</t>
  </si>
  <si>
    <t>S8X41/2X23/4</t>
  </si>
  <si>
    <t>S8X63/4X100</t>
  </si>
  <si>
    <t>S9X6X100</t>
  </si>
  <si>
    <t>S9X41/2X21/2</t>
  </si>
  <si>
    <t>S9X41/2X11/4</t>
  </si>
  <si>
    <t>S9X41/2X2</t>
  </si>
  <si>
    <t>S9X41/2X41/2</t>
  </si>
  <si>
    <t>S9X6X11/2</t>
  </si>
  <si>
    <t>S9X6X2</t>
  </si>
  <si>
    <t>S9X6X21/2</t>
  </si>
  <si>
    <t>S9X6X41/2</t>
  </si>
  <si>
    <t>S9X9X4</t>
  </si>
  <si>
    <t>S9X9X6</t>
  </si>
  <si>
    <t>S9X3X21/2</t>
  </si>
  <si>
    <t>S9X3X21/4</t>
  </si>
  <si>
    <t>S9X41/2X1</t>
  </si>
  <si>
    <t>S9X41/2X100</t>
  </si>
  <si>
    <t>S9X9X100</t>
  </si>
  <si>
    <t>S9X8X3</t>
  </si>
  <si>
    <t>S9X9X41/2</t>
  </si>
  <si>
    <t>S9X3X3</t>
  </si>
  <si>
    <t>S9X41/2X3</t>
  </si>
  <si>
    <t>S9X6X3</t>
  </si>
  <si>
    <t>S9X41/2X11/2</t>
  </si>
  <si>
    <t>S9X9X3</t>
  </si>
  <si>
    <t>S9X4X3</t>
  </si>
  <si>
    <t>S9X9X2</t>
  </si>
  <si>
    <t>S9X9X21/2</t>
  </si>
  <si>
    <t>S9X6X4</t>
  </si>
  <si>
    <t>S9X21/2X21/2</t>
  </si>
  <si>
    <t>S9X63/4X11/2</t>
  </si>
  <si>
    <t>S9X63/4X2</t>
  </si>
  <si>
    <t>S9X6X1</t>
  </si>
  <si>
    <t>S9X9X11/2</t>
  </si>
  <si>
    <t>S9X4X4</t>
  </si>
  <si>
    <t>S9X6X11/4</t>
  </si>
  <si>
    <t>S9X7X3</t>
  </si>
  <si>
    <t>S9X9X11/4</t>
  </si>
  <si>
    <t>S9X6X6</t>
  </si>
  <si>
    <t>S9X41/2X4</t>
  </si>
  <si>
    <t>S9X9X9</t>
  </si>
  <si>
    <t>S9X8X6</t>
  </si>
  <si>
    <t>S9X8X21/2</t>
  </si>
  <si>
    <t>S9X9X1</t>
  </si>
  <si>
    <t>S9X5X3</t>
  </si>
  <si>
    <t>S9X6X3/4</t>
  </si>
  <si>
    <t>S9X41/2X40</t>
  </si>
  <si>
    <t>S9X41/2X64</t>
  </si>
  <si>
    <t>S12X6X100</t>
  </si>
  <si>
    <t>S12X6X1</t>
  </si>
  <si>
    <t>S12X6X11/2</t>
  </si>
  <si>
    <t>S12X6X41/2</t>
  </si>
  <si>
    <t>S12X9X2</t>
  </si>
  <si>
    <t>S12X9X21/2</t>
  </si>
  <si>
    <t>S12X9x100</t>
  </si>
  <si>
    <t>S12X9X41/2</t>
  </si>
  <si>
    <t>S12X12X2</t>
  </si>
  <si>
    <t>S12X6X4</t>
  </si>
  <si>
    <t>S12X8X3</t>
  </si>
  <si>
    <t>S12X9X4</t>
  </si>
  <si>
    <t>S12X3X100</t>
  </si>
  <si>
    <t>S12X41/2X3</t>
  </si>
  <si>
    <t>S12X6X3</t>
  </si>
  <si>
    <t>S12X9X3</t>
  </si>
  <si>
    <t>S12X6X2</t>
  </si>
  <si>
    <t>S12X6X21/2</t>
  </si>
  <si>
    <t>S12X12X1</t>
  </si>
  <si>
    <t>S12X12X3</t>
  </si>
  <si>
    <t>S12X9X11/2</t>
  </si>
  <si>
    <t>S12X41/2X2</t>
  </si>
  <si>
    <t>S12X41/2X4</t>
  </si>
  <si>
    <t>S12X12X6</t>
  </si>
  <si>
    <t>S12X12X5</t>
  </si>
  <si>
    <t>S12X12X4</t>
  </si>
  <si>
    <t>S12X9X6</t>
  </si>
  <si>
    <t>S12X8X4</t>
  </si>
  <si>
    <t>S12X4X3</t>
  </si>
  <si>
    <t>S12X6X11/4</t>
  </si>
  <si>
    <t>S12X6X5</t>
  </si>
  <si>
    <t>S12X9X11/4</t>
  </si>
  <si>
    <t>S12X12X41/2</t>
  </si>
  <si>
    <t>S12X41/2X1</t>
  </si>
  <si>
    <t>S12X12X11/4</t>
  </si>
  <si>
    <t>S12X12X11/2</t>
  </si>
  <si>
    <t>S12X9X8</t>
  </si>
  <si>
    <t>S12X5X4</t>
  </si>
  <si>
    <t>S12X9X1</t>
  </si>
  <si>
    <t>S12X9X5</t>
  </si>
  <si>
    <t>S12X12X100</t>
  </si>
  <si>
    <t>S12X12X21/2</t>
  </si>
  <si>
    <t>S12X41/2X21/2</t>
  </si>
  <si>
    <t>S15X3X3</t>
  </si>
  <si>
    <t>S15X6X11/2</t>
  </si>
  <si>
    <t>S15X6X2</t>
  </si>
  <si>
    <t>S15X6X21/2</t>
  </si>
  <si>
    <t>S15X6X4</t>
  </si>
  <si>
    <t>S15X6X41/2</t>
  </si>
  <si>
    <t>S15X3X100</t>
  </si>
  <si>
    <t>S15X8X3</t>
  </si>
  <si>
    <t>S15X6X11/4</t>
  </si>
  <si>
    <t>S15X41/2X3</t>
  </si>
  <si>
    <t>S15X6X3</t>
  </si>
  <si>
    <t>S15X6X6</t>
  </si>
  <si>
    <t>S15X8X6</t>
  </si>
  <si>
    <t>S15X12X3</t>
  </si>
  <si>
    <t>S15X9X3</t>
  </si>
  <si>
    <t>S15X4X4</t>
  </si>
  <si>
    <t>S15X6X100</t>
  </si>
  <si>
    <t>S15X9X2</t>
  </si>
  <si>
    <t>S15X12X11/2</t>
  </si>
  <si>
    <t>S15X12X2</t>
  </si>
  <si>
    <t>S15X9X41/2</t>
  </si>
  <si>
    <t>S15X9X21/2</t>
  </si>
  <si>
    <t>S15X15X2</t>
  </si>
  <si>
    <t>S15X9X4</t>
  </si>
  <si>
    <t>S15X12X4</t>
  </si>
  <si>
    <t>S15X12X6</t>
  </si>
  <si>
    <t>S15X15X3</t>
  </si>
  <si>
    <t>S15X9X6</t>
  </si>
  <si>
    <t>S15X41/2X1</t>
  </si>
  <si>
    <t>S15X12X100</t>
  </si>
  <si>
    <t>S15X9X100</t>
  </si>
  <si>
    <t>S15X12X21/2</t>
  </si>
  <si>
    <t>S15X5X3</t>
  </si>
  <si>
    <t>S15X7X3</t>
  </si>
  <si>
    <t>S15X41/2X21/2</t>
  </si>
  <si>
    <t>S12X41/2X11/2</t>
  </si>
  <si>
    <t>S12X41/2X41/2</t>
  </si>
  <si>
    <t>S15X41/2X41/2</t>
  </si>
  <si>
    <t>S18X6X100</t>
  </si>
  <si>
    <t>S18X6X2</t>
  </si>
  <si>
    <t>S18X6X21/2</t>
  </si>
  <si>
    <t>S18X6X4</t>
  </si>
  <si>
    <t>S18X6X41/2</t>
  </si>
  <si>
    <t>S18X9X21/2</t>
  </si>
  <si>
    <t>S18X9X4</t>
  </si>
  <si>
    <t>S18X9X41/2</t>
  </si>
  <si>
    <t>S18X9X6</t>
  </si>
  <si>
    <t>S18X9X100</t>
  </si>
  <si>
    <t>S18X12X2</t>
  </si>
  <si>
    <t>S18X15X21/2</t>
  </si>
  <si>
    <t>S18X18X41/2</t>
  </si>
  <si>
    <t>S18X6X3</t>
  </si>
  <si>
    <t>S18X9X3</t>
  </si>
  <si>
    <t>S18X12X3</t>
  </si>
  <si>
    <t>S18X12X6</t>
  </si>
  <si>
    <t>S18X12X8</t>
  </si>
  <si>
    <t>S18X18X4</t>
  </si>
  <si>
    <t>S18X6X6</t>
  </si>
  <si>
    <t>S18X15X3</t>
  </si>
  <si>
    <t>S18X18X21/2</t>
  </si>
  <si>
    <t>S18X18X3</t>
  </si>
  <si>
    <t>S18X8X3</t>
  </si>
  <si>
    <t>S18X8X41/2</t>
  </si>
  <si>
    <t>S18X12X4</t>
  </si>
  <si>
    <t>S18X15X4</t>
  </si>
  <si>
    <t>S18X8X8</t>
  </si>
  <si>
    <t>S18X15X5</t>
  </si>
  <si>
    <t>S18X18X9</t>
  </si>
  <si>
    <t>S18X12X12</t>
  </si>
  <si>
    <t>S18X12X9</t>
  </si>
  <si>
    <t>S18X9X2</t>
  </si>
  <si>
    <t>S18X12X21/2</t>
  </si>
  <si>
    <t>S18X15X2</t>
  </si>
  <si>
    <t>S18X18X6</t>
  </si>
  <si>
    <t>S18X12X100</t>
  </si>
  <si>
    <t>S18X8X4</t>
  </si>
  <si>
    <t>S21X6X100</t>
  </si>
  <si>
    <t>S21X9X3</t>
  </si>
  <si>
    <t>S21X6X3</t>
  </si>
  <si>
    <t>S21X6X6</t>
  </si>
  <si>
    <t>S21X6X4</t>
  </si>
  <si>
    <t>S21X12X3</t>
  </si>
  <si>
    <t>S21X6X21/2</t>
  </si>
  <si>
    <t>S21X18X9</t>
  </si>
  <si>
    <t>S21X18X3</t>
  </si>
  <si>
    <t>S21X18X21/2</t>
  </si>
  <si>
    <t>S21X12X12</t>
  </si>
  <si>
    <t>S21X21X12</t>
  </si>
  <si>
    <t>S21X9X21/2</t>
  </si>
  <si>
    <t>S21X6X41/2</t>
  </si>
  <si>
    <t>A6X41/2X3-1</t>
  </si>
  <si>
    <t>A8X63/4X21/4</t>
  </si>
  <si>
    <t>A9X3X41/2-4</t>
  </si>
  <si>
    <t>A9X3X3-2</t>
  </si>
  <si>
    <t>A9X3X3-21/4</t>
  </si>
  <si>
    <t>A9X4X3-23/4</t>
  </si>
  <si>
    <t>A9X2X3-21/2</t>
  </si>
  <si>
    <t>A9X3X4-33/4</t>
  </si>
  <si>
    <t>A12X41/2X3-1</t>
  </si>
  <si>
    <t>A12X6X3-11/2</t>
  </si>
  <si>
    <t>A12X6X3-27/8</t>
  </si>
  <si>
    <t>A12X9X3-27/8</t>
  </si>
  <si>
    <t>A12X6X3-1</t>
  </si>
  <si>
    <t>A12X63/4X3-1</t>
  </si>
  <si>
    <t>A9X41/2X4-21/2</t>
  </si>
  <si>
    <t>A9X41/2X4-23/4</t>
  </si>
  <si>
    <t>A9X41/2X3-21/4</t>
  </si>
  <si>
    <t>A15X41/2X3-2</t>
  </si>
  <si>
    <t>A15X6X3-23/4</t>
  </si>
  <si>
    <t>A15X9X3-21/2</t>
  </si>
  <si>
    <t>A15X9X3-23/4</t>
  </si>
  <si>
    <t>A15X9X3-2</t>
  </si>
  <si>
    <t>A15X6X3-11/2</t>
  </si>
  <si>
    <t>A15X9X3-27/8</t>
  </si>
  <si>
    <t>A15X41/2X3-23/4</t>
  </si>
  <si>
    <t>A18X9X3-27/8</t>
  </si>
  <si>
    <t>A18X9X3-1</t>
  </si>
  <si>
    <t>A18X6X3-27/8</t>
  </si>
  <si>
    <t>A18X41/2X3-1</t>
  </si>
  <si>
    <t>A18X9X4-3</t>
  </si>
  <si>
    <t>A18X63/4X3-2</t>
  </si>
  <si>
    <t>A18X12X3-21/2</t>
  </si>
  <si>
    <t>PARALELOS ASTM</t>
  </si>
  <si>
    <t>ARCOS ASTM</t>
  </si>
  <si>
    <t>CUNHA ASTM</t>
  </si>
  <si>
    <t>W6X6X3-21/2</t>
  </si>
  <si>
    <t>W6X6X3-23/4</t>
  </si>
  <si>
    <t>W6X6X3-2</t>
  </si>
  <si>
    <t>W7X6-513/32X</t>
  </si>
  <si>
    <t>W7X6-5X100</t>
  </si>
  <si>
    <t>W9X63/4X3-2</t>
  </si>
  <si>
    <t>W9X9X3-1</t>
  </si>
  <si>
    <t>W9X6X3-21/2</t>
  </si>
  <si>
    <t>W9X6X3-2</t>
  </si>
  <si>
    <t>W9X9X3-21/2</t>
  </si>
  <si>
    <t>W9X9X3-2</t>
  </si>
  <si>
    <t>W9X6X3-23/4</t>
  </si>
  <si>
    <t>W9X9X3-23/4</t>
  </si>
  <si>
    <t>W9X41/2X3-2</t>
  </si>
  <si>
    <t>W9X41/2X3-1</t>
  </si>
  <si>
    <t>W9X6X3-27/8</t>
  </si>
  <si>
    <t>W9X9X3-27/8</t>
  </si>
  <si>
    <t>W9X9X31/2-3</t>
  </si>
  <si>
    <t>W9X41/2X4-3</t>
  </si>
  <si>
    <t>W9X6X31/2-3</t>
  </si>
  <si>
    <t>W9X6X3-11/2</t>
  </si>
  <si>
    <t>W9X5X100-95</t>
  </si>
  <si>
    <t>W9X5X3-23/4</t>
  </si>
  <si>
    <t>W9X9X100-95</t>
  </si>
  <si>
    <t>W9X5X100-90</t>
  </si>
  <si>
    <t>W9X5X3-21/2</t>
  </si>
  <si>
    <t>W9X5X3-2</t>
  </si>
  <si>
    <t>W9X5X3-11/2</t>
  </si>
  <si>
    <t>W8X63/4X100-90</t>
  </si>
  <si>
    <t>W8X63/4X3-21/2</t>
  </si>
  <si>
    <t>W8X63/4X3-23/4</t>
  </si>
  <si>
    <t>W8X63/4X100-95</t>
  </si>
  <si>
    <t>W9X41/2X3-23/4</t>
  </si>
  <si>
    <t>W9X63/4X100-90</t>
  </si>
  <si>
    <t>W9X63/4X3-23/4</t>
  </si>
  <si>
    <t>W9X41/2X3-21/2</t>
  </si>
  <si>
    <t>W9X63/4X3-21/2</t>
  </si>
  <si>
    <t>W9X41/2X3-27/8</t>
  </si>
  <si>
    <t>W9X63/4X21/2-11/2</t>
  </si>
  <si>
    <t>W9X6X31/2-23/4</t>
  </si>
  <si>
    <t>W9X6X31/2-21/2</t>
  </si>
  <si>
    <t>W9X9X31/2-23/4</t>
  </si>
  <si>
    <t>W9X41/2X3-11/2</t>
  </si>
  <si>
    <t>W9X63/4X3-27/8</t>
  </si>
  <si>
    <t>W9X41/2X100-90</t>
  </si>
  <si>
    <t>W9X41/2X4-23/4</t>
  </si>
  <si>
    <t>W9X41/2X4-21/2</t>
  </si>
  <si>
    <t>W9X9X31/2-27/8</t>
  </si>
  <si>
    <t>W9X41/2X100-95</t>
  </si>
  <si>
    <t>W12X41/2X3-2</t>
  </si>
  <si>
    <t>W12X6X3-2</t>
  </si>
  <si>
    <t>W12X9X3-2</t>
  </si>
  <si>
    <t>W12X6X3-21/2</t>
  </si>
  <si>
    <t>W12X9X3-21/2</t>
  </si>
  <si>
    <t>W12X9X4-3</t>
  </si>
  <si>
    <t>W12X41/2X3-1</t>
  </si>
  <si>
    <t>W12X6X3-23/4</t>
  </si>
  <si>
    <t>W12X9X3-23/4</t>
  </si>
  <si>
    <t>W12X6X3-27/8</t>
  </si>
  <si>
    <t>W12X9X3-27/8</t>
  </si>
  <si>
    <t>W12X12X3-2</t>
  </si>
  <si>
    <t>W12X63/4X3-2</t>
  </si>
  <si>
    <t>W12X6X6-5</t>
  </si>
  <si>
    <t>W12X9X102-92</t>
  </si>
  <si>
    <t>W12X41/2X102</t>
  </si>
  <si>
    <t>W12X9X102-82</t>
  </si>
  <si>
    <t>W12X6X102-82</t>
  </si>
  <si>
    <t>W12X9X102-62</t>
  </si>
  <si>
    <t>W12X9X3-11/2</t>
  </si>
  <si>
    <t>W12X41/2X3-23/4</t>
  </si>
  <si>
    <t>W12X41/2X3-21/2</t>
  </si>
  <si>
    <t>W12X12X3-21/2</t>
  </si>
  <si>
    <t>W12X63/4X3-23/4</t>
  </si>
  <si>
    <t>W12X63/4X3-21/2</t>
  </si>
  <si>
    <t>W12X41/2X3-27/8</t>
  </si>
  <si>
    <t>W12X12X3-27/8</t>
  </si>
  <si>
    <t>W12X12X3-23/4</t>
  </si>
  <si>
    <t>FE Anchors</t>
  </si>
  <si>
    <t>RADIAL ASTM</t>
  </si>
  <si>
    <t>ISO CIMENTO</t>
  </si>
  <si>
    <t>B216</t>
  </si>
  <si>
    <t>B316</t>
  </si>
  <si>
    <t>B416</t>
  </si>
  <si>
    <t>B616</t>
  </si>
  <si>
    <t>B716</t>
  </si>
  <si>
    <t>B518</t>
  </si>
  <si>
    <t>B520</t>
  </si>
  <si>
    <t>B820</t>
  </si>
  <si>
    <t>B522</t>
  </si>
  <si>
    <t>B822</t>
  </si>
  <si>
    <t>B225</t>
  </si>
  <si>
    <t>B230</t>
  </si>
  <si>
    <t>B430</t>
  </si>
  <si>
    <t>B730</t>
  </si>
  <si>
    <t>B218L300</t>
  </si>
  <si>
    <t>B318L300</t>
  </si>
  <si>
    <t>B418L300</t>
  </si>
  <si>
    <t>B618L300</t>
  </si>
  <si>
    <t>B220L300</t>
  </si>
  <si>
    <t>B320L300</t>
  </si>
  <si>
    <t>B420L300</t>
  </si>
  <si>
    <t>B520L300</t>
  </si>
  <si>
    <t>B620L300</t>
  </si>
  <si>
    <t>B820L300</t>
  </si>
  <si>
    <t>B222L300</t>
  </si>
  <si>
    <t>B322L300</t>
  </si>
  <si>
    <t>B422L300</t>
  </si>
  <si>
    <t>B522L300</t>
  </si>
  <si>
    <t>B622L300</t>
  </si>
  <si>
    <t>B822L300</t>
  </si>
  <si>
    <t>B225L300</t>
  </si>
  <si>
    <t>B325L300</t>
  </si>
  <si>
    <t>B425L300</t>
  </si>
  <si>
    <t>B625L300</t>
  </si>
  <si>
    <t>B725L300</t>
  </si>
  <si>
    <t>B825L300</t>
  </si>
  <si>
    <t>B220L250</t>
  </si>
  <si>
    <t>B320L250</t>
  </si>
  <si>
    <t>B420L250</t>
  </si>
  <si>
    <t>B620L250</t>
  </si>
  <si>
    <t>B222L250</t>
  </si>
  <si>
    <t>B322L250</t>
  </si>
  <si>
    <t>B422L250</t>
  </si>
  <si>
    <t>B622L250</t>
  </si>
  <si>
    <t>B822L250</t>
  </si>
  <si>
    <t>B425L250</t>
  </si>
  <si>
    <t>KEY BRICKS</t>
  </si>
  <si>
    <t>PB160</t>
  </si>
  <si>
    <t>PB161</t>
  </si>
  <si>
    <t>PB180</t>
  </si>
  <si>
    <t>PB181</t>
  </si>
  <si>
    <t>PB183**</t>
  </si>
  <si>
    <t>PB200</t>
  </si>
  <si>
    <t>PB201</t>
  </si>
  <si>
    <t>PB203**</t>
  </si>
  <si>
    <t>PB220</t>
  </si>
  <si>
    <t>PB221</t>
  </si>
  <si>
    <t>PB223**</t>
  </si>
  <si>
    <t>PB250</t>
  </si>
  <si>
    <t>PB251</t>
  </si>
  <si>
    <t>PB253**</t>
  </si>
  <si>
    <t>PB300</t>
  </si>
  <si>
    <t>PB301</t>
  </si>
  <si>
    <t>PB160L300</t>
  </si>
  <si>
    <t>PB161L300</t>
  </si>
  <si>
    <t>PB180L300</t>
  </si>
  <si>
    <t>PB181L300</t>
  </si>
  <si>
    <t>PB200L300</t>
  </si>
  <si>
    <t>PB201L300</t>
  </si>
  <si>
    <t>PB220L300</t>
  </si>
  <si>
    <t>PB221L300</t>
  </si>
  <si>
    <t>PB250L300</t>
  </si>
  <si>
    <t>PB251L300</t>
  </si>
  <si>
    <t>PB300L300</t>
  </si>
  <si>
    <t>PB301L300</t>
  </si>
  <si>
    <t>PB160L250</t>
  </si>
  <si>
    <t>PB161L250</t>
  </si>
  <si>
    <t>PB180L250</t>
  </si>
  <si>
    <t>PB181L250</t>
  </si>
  <si>
    <t>PB200L250</t>
  </si>
  <si>
    <t>PB201L250</t>
  </si>
  <si>
    <t>PB220L250</t>
  </si>
  <si>
    <t>PB221L250</t>
  </si>
  <si>
    <t>PB250L250</t>
  </si>
  <si>
    <t>PB251L250</t>
  </si>
  <si>
    <t>PB300L250</t>
  </si>
  <si>
    <t>PB301L250</t>
  </si>
  <si>
    <t>218L300</t>
  </si>
  <si>
    <t>318L300</t>
  </si>
  <si>
    <t>418L300</t>
  </si>
  <si>
    <t>618L300</t>
  </si>
  <si>
    <t>220L300</t>
  </si>
  <si>
    <t>320L300</t>
  </si>
  <si>
    <t>420L300</t>
  </si>
  <si>
    <t>520L300</t>
  </si>
  <si>
    <t>620L300</t>
  </si>
  <si>
    <t>820L300</t>
  </si>
  <si>
    <t>222L300</t>
  </si>
  <si>
    <t>322L300</t>
  </si>
  <si>
    <t>422L300</t>
  </si>
  <si>
    <t>522L300</t>
  </si>
  <si>
    <t>622L300</t>
  </si>
  <si>
    <t>822L300</t>
  </si>
  <si>
    <t>225L300</t>
  </si>
  <si>
    <t>325L300</t>
  </si>
  <si>
    <t>425L300</t>
  </si>
  <si>
    <t>525L300</t>
  </si>
  <si>
    <t>625L300</t>
  </si>
  <si>
    <t>825L300</t>
  </si>
  <si>
    <t>230L300</t>
  </si>
  <si>
    <t>330L300</t>
  </si>
  <si>
    <t>430L300</t>
  </si>
  <si>
    <t>830L300</t>
  </si>
  <si>
    <t>435L300</t>
  </si>
  <si>
    <t>835L300</t>
  </si>
  <si>
    <t>220L250</t>
  </si>
  <si>
    <t>320L250</t>
  </si>
  <si>
    <t>620L250</t>
  </si>
  <si>
    <t>322L250</t>
  </si>
  <si>
    <t>422L250</t>
  </si>
  <si>
    <t>622L250</t>
  </si>
  <si>
    <t>822L250</t>
  </si>
  <si>
    <t>425L250</t>
  </si>
  <si>
    <t>825L250</t>
  </si>
  <si>
    <t>Silica e silicato Brasil</t>
  </si>
  <si>
    <t>Placa de FC Brasil</t>
  </si>
  <si>
    <t>SUPETHERM - 1800 E 2000</t>
  </si>
  <si>
    <t>PYROSTOP BOARD - Spezial - Extra</t>
  </si>
  <si>
    <t>PYROSTOP CARTO - 75 - 110</t>
  </si>
  <si>
    <t>Silplate</t>
  </si>
  <si>
    <t>PYROSTOP FELT</t>
  </si>
  <si>
    <t>PYROSTOP SUPERFELT</t>
  </si>
  <si>
    <t>NOVAS DIMENSÕES</t>
  </si>
  <si>
    <t>PYROSTOP PAPIER</t>
  </si>
  <si>
    <t>THK.1mm</t>
  </si>
  <si>
    <t>THK.2mm</t>
  </si>
  <si>
    <t>THK.3mm</t>
  </si>
  <si>
    <t>THK.6mm</t>
  </si>
  <si>
    <t>THK.13mm</t>
  </si>
  <si>
    <t>THK.19mm</t>
  </si>
  <si>
    <t>THK.25mm</t>
  </si>
  <si>
    <t>PAPER AND BLANKET m²</t>
  </si>
  <si>
    <t>PAPER &amp; BLANKET</t>
  </si>
  <si>
    <t>14640x610x13</t>
  </si>
  <si>
    <t>7320x610x25</t>
  </si>
  <si>
    <t>ROLO</t>
  </si>
  <si>
    <t>PYROSTOP BLANKET</t>
  </si>
  <si>
    <t>THK.38mm</t>
  </si>
  <si>
    <t>THK.50mm</t>
  </si>
  <si>
    <t>RADIAL EUROPA</t>
  </si>
  <si>
    <t>AÇOS &amp; ELETRODOS</t>
  </si>
  <si>
    <t>AISI 304 (1.4301)</t>
  </si>
  <si>
    <t>AISI 309 (1.4828)</t>
  </si>
  <si>
    <t xml:space="preserve">AISI 310 (1.4841) </t>
  </si>
  <si>
    <t>AISI 310S (1.4845)</t>
  </si>
  <si>
    <t>SAE1020 (1.0402)</t>
  </si>
  <si>
    <t xml:space="preserve">AISI 314 (1.4841) </t>
  </si>
  <si>
    <t>SUPETHERM 1800</t>
  </si>
  <si>
    <t>SUPETHERM 2000</t>
  </si>
  <si>
    <t>PYROSTOP BLANKET 64/1260</t>
  </si>
  <si>
    <t>PYROSTOP BLANKET 96/1260</t>
  </si>
  <si>
    <t>PYROSTOP BLANKET 128/1260</t>
  </si>
  <si>
    <t>PYROSTOP BLANKET 160/1260</t>
  </si>
  <si>
    <t>PYROSTOP BLANKET 64/1430</t>
  </si>
  <si>
    <t>PYROSTOP BLANKET 96/1430</t>
  </si>
  <si>
    <t>PYROSTOP BLANKET 128/1430</t>
  </si>
  <si>
    <t>PYROSTOP BLANKET 160/1430</t>
  </si>
  <si>
    <t>PYROSTOP BLANKET SW 96/1300</t>
  </si>
  <si>
    <t>PYROSTOP BLANKET SW 128/1300</t>
  </si>
  <si>
    <t>PYROSTOP BLANKET SW 160/1300</t>
  </si>
  <si>
    <t>PYROSTOP BLANKET 80/1600</t>
  </si>
  <si>
    <t>PYROSTOP BLANKET 100/1600</t>
  </si>
  <si>
    <t>PYROSTOP BLANKET S80/1500</t>
  </si>
  <si>
    <t>PYROSTOP BOARD SPEZIAL</t>
  </si>
  <si>
    <t>PYROSTOP BOARD EXTRA</t>
  </si>
  <si>
    <t>PYROSTOP BOARD 1260</t>
  </si>
  <si>
    <t>PYROSTOP BOARD 1400</t>
  </si>
  <si>
    <t>PYROSTOP BOARD SW 1300</t>
  </si>
  <si>
    <t>PYROSTOP BOARD 1600</t>
  </si>
  <si>
    <t>PYROSTOP CARTO 75</t>
  </si>
  <si>
    <t>PYROSTOP CARTO 110</t>
  </si>
  <si>
    <t>PYROSTOP FELT 96/1320</t>
  </si>
  <si>
    <t>PYROSTOP FELT 128/1320</t>
  </si>
  <si>
    <t>PYROSTOP FELT 160/1320</t>
  </si>
  <si>
    <t>PYROSTOP FELT 192/1320</t>
  </si>
  <si>
    <t>PYROSTOP FELT 288/1320</t>
  </si>
  <si>
    <t>PYROSTOP FELT SW96/1300</t>
  </si>
  <si>
    <t>PYROSTOP FELT SW128/1300</t>
  </si>
  <si>
    <t>PYROSTOP FELT SW160/1300</t>
  </si>
  <si>
    <t>PYROSTOP FELT SW192/1300</t>
  </si>
  <si>
    <t>PYROSTOP FELT SW288/1300</t>
  </si>
  <si>
    <t>PYROSTOP SUPERFELT 1300</t>
  </si>
  <si>
    <t>PYROSTOP SUPERFELT 1400</t>
  </si>
  <si>
    <t>PYROSTOP SUPERFELT 1600</t>
  </si>
  <si>
    <t>PYROSTOP PAPIER 1260</t>
  </si>
  <si>
    <t>PYROSTOP PAPIER 1400</t>
  </si>
  <si>
    <t>PYROSTOP PAPIER 1600</t>
  </si>
  <si>
    <t>PYROSTOP PAPIER SW1300</t>
  </si>
  <si>
    <t>SILPLATE 1515</t>
  </si>
  <si>
    <t>CER. FIBER BLANKET 96/1260</t>
  </si>
  <si>
    <t>CER. FIBER BLANKET 128/1260</t>
  </si>
  <si>
    <t>CER. FIBER BLANKET 160/1260</t>
  </si>
  <si>
    <t>CER. FIBER BLANKET 192/1260</t>
  </si>
  <si>
    <t>CER. FIBER BOARD 220/1260</t>
  </si>
  <si>
    <t>CER. FIBER WOOL 96/1260</t>
  </si>
  <si>
    <t>CER. FIBER WOOL  128/1260</t>
  </si>
  <si>
    <t>CER. FIBER FELT 210/1260</t>
  </si>
  <si>
    <t>CER. FIBER PAPER 210/1260</t>
  </si>
  <si>
    <t>CER. FIBER BLANKET 128/1430</t>
  </si>
  <si>
    <t>CER. FIBER BLANKET 96/1430</t>
  </si>
  <si>
    <t>CER. FIBER BLANKET 160/1430</t>
  </si>
  <si>
    <t>CER. FIBER BLANKET 192/1430</t>
  </si>
  <si>
    <t>CER. FIBER BOARD 220/1430</t>
  </si>
  <si>
    <t>CER. FIBER WOOL 96/1430</t>
  </si>
  <si>
    <t>CER. FIBER WOOL 128/1430</t>
  </si>
  <si>
    <t>CER. FIBER FELT 210/1430</t>
  </si>
  <si>
    <t>CER. FIBER PAPER 210/1430</t>
  </si>
  <si>
    <t>A12X41/2X3-27/8</t>
  </si>
  <si>
    <t>SUPETHERM 1800IP</t>
  </si>
  <si>
    <t>SUPETHERM 2000IP</t>
  </si>
  <si>
    <t>DIKASIL SK</t>
  </si>
  <si>
    <t>2kg/m²</t>
  </si>
  <si>
    <t>MORTAR CALCULATION</t>
  </si>
  <si>
    <t>Impermeabilizante para Supetherm</t>
  </si>
  <si>
    <t>Impermeabilizante para Silica/Silicato</t>
  </si>
  <si>
    <t>CÁLCULO CONE - 2 TIJOLOS</t>
  </si>
  <si>
    <t>CÁLCULO CONE 3 TIJOLOS (PEÇA DE TOMBAMENTO)</t>
  </si>
  <si>
    <t>Europa</t>
  </si>
  <si>
    <t>Electrode 3,2x350mm</t>
  </si>
  <si>
    <t>Américas</t>
  </si>
  <si>
    <t xml:space="preserve">E309-17    </t>
  </si>
  <si>
    <t xml:space="preserve">E310-16    </t>
  </si>
  <si>
    <t>Américas aço 304</t>
  </si>
  <si>
    <t>Américas aço 310</t>
  </si>
  <si>
    <t xml:space="preserve">WOOL </t>
  </si>
  <si>
    <t>SU BRICKS</t>
  </si>
  <si>
    <t>SU345</t>
  </si>
  <si>
    <t>SU430</t>
  </si>
  <si>
    <t>SU460</t>
  </si>
  <si>
    <t>SU660</t>
  </si>
  <si>
    <t>SU645</t>
  </si>
  <si>
    <t>SU445</t>
  </si>
  <si>
    <t>SU530</t>
  </si>
  <si>
    <t>SU545</t>
  </si>
  <si>
    <t>SU560</t>
  </si>
  <si>
    <t>SU630</t>
  </si>
  <si>
    <t>SU745</t>
  </si>
  <si>
    <t>SU760</t>
  </si>
  <si>
    <t>SU945</t>
  </si>
  <si>
    <t>SU960</t>
  </si>
  <si>
    <t>SU736</t>
  </si>
  <si>
    <t>SU860</t>
  </si>
  <si>
    <t>SU636</t>
  </si>
  <si>
    <t>SU845</t>
  </si>
  <si>
    <t>SU730</t>
  </si>
  <si>
    <t>SU660-3</t>
  </si>
  <si>
    <t>SU430-3</t>
  </si>
  <si>
    <t>SU445-3</t>
  </si>
  <si>
    <t>SU460-3</t>
  </si>
  <si>
    <t>SU545-3</t>
  </si>
  <si>
    <t>SU360</t>
  </si>
  <si>
    <t>SU945-3</t>
  </si>
  <si>
    <t>SU360-3</t>
  </si>
  <si>
    <t>SU536-3</t>
  </si>
  <si>
    <t>SU245</t>
  </si>
  <si>
    <t>SU345-3</t>
  </si>
  <si>
    <t>SU560-3</t>
  </si>
  <si>
    <t>SU630-3</t>
  </si>
  <si>
    <t>SU645-3</t>
  </si>
  <si>
    <t>SU730-3</t>
  </si>
  <si>
    <t>SU745-3</t>
  </si>
  <si>
    <t>SU760-3</t>
  </si>
  <si>
    <t>SU845-3</t>
  </si>
  <si>
    <t>SU860-3</t>
  </si>
  <si>
    <t>SU960-3</t>
  </si>
  <si>
    <t>CÁLCULO CONE - 1 TIJOLO (Perímetro)</t>
  </si>
  <si>
    <t>SU536</t>
  </si>
  <si>
    <t>SU530-3</t>
  </si>
  <si>
    <t>Liquid Binder - Frost protected</t>
  </si>
  <si>
    <t>Accelerator</t>
  </si>
  <si>
    <t>Accelerator / waterproofing</t>
  </si>
  <si>
    <t>Quando usar Accelerator CC verificar se há necessidade de 500kg de lubrificante</t>
  </si>
  <si>
    <t>V</t>
  </si>
  <si>
    <t>K63/4X3X152-145</t>
  </si>
  <si>
    <t>K63/4X3X41/2-4</t>
  </si>
  <si>
    <t>K63/4X3X4,5-3,5</t>
  </si>
  <si>
    <t>K9X3X41/2-47/16</t>
  </si>
  <si>
    <t>K9X3X41/2-45/16</t>
  </si>
  <si>
    <t>K9X3X41/2-41/4</t>
  </si>
  <si>
    <t>K9X3X41/2-4</t>
  </si>
  <si>
    <t>K9X3X41/2-33/4</t>
  </si>
  <si>
    <t>K9X3X41/2-31/2</t>
  </si>
  <si>
    <t>K9X3X41/2-3</t>
  </si>
  <si>
    <t>K9X3X41/2-21/2</t>
  </si>
  <si>
    <t>K9X3X41/2-21/4</t>
  </si>
  <si>
    <t>K9X3X6-55/8</t>
  </si>
  <si>
    <t>K9X3X6-51/2</t>
  </si>
  <si>
    <t>K9X3X6-5,39</t>
  </si>
  <si>
    <t>K9X3X6-53/8</t>
  </si>
  <si>
    <t>K9X3X6-51/4</t>
  </si>
  <si>
    <t>K9X3X6-5</t>
  </si>
  <si>
    <t>K9X3X6-413/16</t>
  </si>
  <si>
    <t>K9X3X6-41/2</t>
  </si>
  <si>
    <t>K9X3X6-4</t>
  </si>
  <si>
    <t>K9X3X6-33/4</t>
  </si>
  <si>
    <t>K9X3X6-3</t>
  </si>
  <si>
    <t>K9X4X6-53/8</t>
  </si>
  <si>
    <t>K9X4X6-413/16</t>
  </si>
  <si>
    <t>K9X4X6-3</t>
  </si>
  <si>
    <t>K9X4X41/2-4</t>
  </si>
  <si>
    <t>K12X3X6-57/8</t>
  </si>
  <si>
    <t>K12X3X6-51/2</t>
  </si>
  <si>
    <t>K12X3X6-51/4</t>
  </si>
  <si>
    <t>K12X3X6-51/8</t>
  </si>
  <si>
    <t>K12X3X6-5</t>
  </si>
  <si>
    <t>K12X3X6-41/2</t>
  </si>
  <si>
    <t>K12X3X6-41/8</t>
  </si>
  <si>
    <t>K12X3X6-4</t>
  </si>
  <si>
    <t>K12X3X6-3</t>
  </si>
  <si>
    <t>K131/2X3X6-53/4</t>
  </si>
  <si>
    <t>K131/2X3X6-51/2</t>
  </si>
  <si>
    <t>K131/2X3X6-53/8</t>
  </si>
  <si>
    <t>K131/2X3X6-51/4</t>
  </si>
  <si>
    <t>K131/2X3X6-5,19</t>
  </si>
  <si>
    <t>K131/2X3X6-51/8</t>
  </si>
  <si>
    <t>K131/2X3X6-5</t>
  </si>
  <si>
    <t>K131/2X3X6-41/2</t>
  </si>
  <si>
    <t>K131/2X3X6-43/8</t>
  </si>
  <si>
    <t>K131/2X3X6-4</t>
  </si>
  <si>
    <t>K131/2X3X6-33/4</t>
  </si>
  <si>
    <t>K131/2X3X6-31/2</t>
  </si>
  <si>
    <t>K131/2X3X6-3</t>
  </si>
  <si>
    <t>K131/2X4X6-5</t>
  </si>
  <si>
    <t>K15X3X6-53/4</t>
  </si>
  <si>
    <t>K15X3X6-51/2</t>
  </si>
  <si>
    <t>K15X3X6-53/8</t>
  </si>
  <si>
    <t>K15X3X6-51/4</t>
  </si>
  <si>
    <t>K15X3X6-5</t>
  </si>
  <si>
    <t>K15X3X6-413/16</t>
  </si>
  <si>
    <t>K15X3X6-425/32</t>
  </si>
  <si>
    <t>K15X3X6-41/2</t>
  </si>
  <si>
    <t>K15X3X6-43/8</t>
  </si>
  <si>
    <t>K15X3X6-4</t>
  </si>
  <si>
    <t>K15X3X6-31/2</t>
  </si>
  <si>
    <t>K15X3X6-3</t>
  </si>
  <si>
    <t>K18X3X6-53/4</t>
  </si>
  <si>
    <t>K18X3X6-55/8</t>
  </si>
  <si>
    <t>K18X3X6-51/2</t>
  </si>
  <si>
    <t>K18X3X6-53/8</t>
  </si>
  <si>
    <t>K18X3X6-51/4</t>
  </si>
  <si>
    <t>K18X3X6-53/16</t>
  </si>
  <si>
    <t>K18X3X6-51/8</t>
  </si>
  <si>
    <t>K18X3X6-5</t>
  </si>
  <si>
    <t>K18X3X6-413/16</t>
  </si>
  <si>
    <t>K18X3X6-44/5</t>
  </si>
  <si>
    <t>K18X3X6-41/2</t>
  </si>
  <si>
    <t>K18X3X6-4</t>
  </si>
  <si>
    <t>K18X3X6-31/2</t>
  </si>
  <si>
    <t>K18X3X6-33/8</t>
  </si>
  <si>
    <t>K18X3X6-3</t>
  </si>
  <si>
    <t>K21X3X6-51/2</t>
  </si>
  <si>
    <t>K21X3X6-51/16</t>
  </si>
  <si>
    <t>K21X3X6-5</t>
  </si>
  <si>
    <t>K21X3X6-413/16</t>
  </si>
  <si>
    <t>K21X3X6-41/2</t>
  </si>
  <si>
    <t>K21X3X6-4</t>
  </si>
  <si>
    <t>K21X3X6-31/2</t>
  </si>
  <si>
    <t>K21X3X6-3</t>
  </si>
  <si>
    <t>K21X3X6-2</t>
  </si>
  <si>
    <t>K24X3X6-51/2</t>
  </si>
  <si>
    <t>K24X3X6-5</t>
  </si>
  <si>
    <t>K24X3X6-413/16</t>
  </si>
  <si>
    <t>K24X3X6-41/2</t>
  </si>
  <si>
    <t>K24X3X6-4</t>
  </si>
  <si>
    <t>K24X3X6-31/2</t>
  </si>
  <si>
    <t>K24X3X6-3</t>
  </si>
  <si>
    <t>K27X3X6-51/2</t>
  </si>
  <si>
    <t>K27X3X6-5</t>
  </si>
  <si>
    <t>K27X3X6-47/8</t>
  </si>
  <si>
    <t>K27X3X6-413/16</t>
  </si>
  <si>
    <t>K27X3X6-41/2</t>
  </si>
  <si>
    <t>K27X3X6-4</t>
  </si>
  <si>
    <t>K27X3X6-31/2</t>
  </si>
  <si>
    <t>K30X3X6-51/2</t>
  </si>
  <si>
    <t>K30X3X6-5</t>
  </si>
  <si>
    <t>K30X3X6-413/16</t>
  </si>
  <si>
    <t>K30X3X6-43/4</t>
  </si>
  <si>
    <t>K30X3X6-41/2</t>
  </si>
  <si>
    <t>K30X3X6-4</t>
  </si>
  <si>
    <t>H</t>
  </si>
  <si>
    <t>K9X6-51/2X100</t>
  </si>
  <si>
    <t>RE</t>
  </si>
  <si>
    <t>K9X6-41/2X100</t>
  </si>
  <si>
    <t>K9X6-3X100</t>
  </si>
  <si>
    <t>K12X6-51/2X100</t>
  </si>
  <si>
    <t>K12X6-5X100</t>
  </si>
  <si>
    <t>K12X6-41/2X100</t>
  </si>
  <si>
    <t>K12X6-3X100</t>
  </si>
  <si>
    <t>K131/2X6-5X100</t>
  </si>
  <si>
    <t>K131/2X6-4X100</t>
  </si>
  <si>
    <t>K131/2X6-3X100</t>
  </si>
  <si>
    <t>K15X6-51/2X100</t>
  </si>
  <si>
    <t>K15X6-5X100</t>
  </si>
  <si>
    <t>K15X6-4X100</t>
  </si>
  <si>
    <t>K15X6-3X100</t>
  </si>
  <si>
    <t>K18X6-51/2X100</t>
  </si>
  <si>
    <t>K18X6-5X100</t>
  </si>
  <si>
    <t>K18X6-4X100</t>
  </si>
  <si>
    <t>K18X6-33/8X100</t>
  </si>
  <si>
    <t>K21X6-5X100</t>
  </si>
  <si>
    <t>K21X6-4X100</t>
  </si>
  <si>
    <t>K21X6-3X100</t>
  </si>
  <si>
    <t>K24X6-5X100</t>
  </si>
  <si>
    <t>K24X6-4X100</t>
  </si>
  <si>
    <t>K24X6-3X100</t>
  </si>
  <si>
    <t>K27X6-5X100</t>
  </si>
  <si>
    <t>K27X6-4X100</t>
  </si>
  <si>
    <t>K27X6-3X100</t>
  </si>
  <si>
    <t>K27X6-2X100</t>
  </si>
  <si>
    <t>D252X4,5A30</t>
  </si>
  <si>
    <t>D252X4,5-4A30</t>
  </si>
  <si>
    <t>D252X4,5-3A30</t>
  </si>
  <si>
    <t>D302X4,5-4A30</t>
  </si>
  <si>
    <t>D302X4,5-3A30</t>
  </si>
  <si>
    <t>D352X6-5,5A30</t>
  </si>
  <si>
    <t>D352X6-4,5A30</t>
  </si>
  <si>
    <t>D352X6-3A30</t>
  </si>
  <si>
    <t>DCY15/1/3,5A30</t>
  </si>
  <si>
    <t>DCY15/0/4,5A30</t>
  </si>
  <si>
    <t>DCY15/0,5/4A30</t>
  </si>
  <si>
    <t>1K</t>
  </si>
  <si>
    <t>1K-76</t>
  </si>
  <si>
    <t>2K</t>
  </si>
  <si>
    <t>2K-76</t>
  </si>
  <si>
    <t>3K</t>
  </si>
  <si>
    <t>3K-76</t>
  </si>
  <si>
    <t>1D</t>
  </si>
  <si>
    <t>2D-76</t>
  </si>
  <si>
    <t xml:space="preserve"> 3-32</t>
  </si>
  <si>
    <t>3B</t>
  </si>
  <si>
    <t>3D</t>
  </si>
  <si>
    <t>3L</t>
  </si>
  <si>
    <t>3L-76</t>
  </si>
  <si>
    <t>P6</t>
  </si>
  <si>
    <t>1G4-76</t>
  </si>
  <si>
    <t>1G10-76</t>
  </si>
  <si>
    <t>1G16-76</t>
  </si>
  <si>
    <t>1G24-76</t>
  </si>
  <si>
    <t>1G50-76</t>
  </si>
  <si>
    <t>1GG4-76</t>
  </si>
  <si>
    <t>1GG10-76</t>
  </si>
  <si>
    <t>1GG16-76</t>
  </si>
  <si>
    <t>1GG24-76</t>
  </si>
  <si>
    <t>1GG50</t>
  </si>
  <si>
    <t>1GG50-76</t>
  </si>
  <si>
    <t>2G4-76</t>
  </si>
  <si>
    <t>2G10-76</t>
  </si>
  <si>
    <t>2G16-76</t>
  </si>
  <si>
    <t>2G24-76</t>
  </si>
  <si>
    <t>2G50-76</t>
  </si>
  <si>
    <t>2GG4-76</t>
  </si>
  <si>
    <t>2GG10-76</t>
  </si>
  <si>
    <t>2GG16-76</t>
  </si>
  <si>
    <t>2GG24-76</t>
  </si>
  <si>
    <t>2GG50-76</t>
  </si>
  <si>
    <t>1H6-76</t>
  </si>
  <si>
    <t>1H10-76</t>
  </si>
  <si>
    <t>1H16-76</t>
  </si>
  <si>
    <t>1H24-76</t>
  </si>
  <si>
    <t>1H50-76</t>
  </si>
  <si>
    <t>1HL6-76</t>
  </si>
  <si>
    <t>1HL10</t>
  </si>
  <si>
    <t>1HL10-76</t>
  </si>
  <si>
    <t>1HL16</t>
  </si>
  <si>
    <t>1HL16-76</t>
  </si>
  <si>
    <t>1HL24</t>
  </si>
  <si>
    <t>1HL24-76</t>
  </si>
  <si>
    <t>1HL50</t>
  </si>
  <si>
    <t>1HL50-76</t>
  </si>
  <si>
    <t>2H6-76</t>
  </si>
  <si>
    <t>2H10-76</t>
  </si>
  <si>
    <t>2H16-76</t>
  </si>
  <si>
    <t>2H24-76</t>
  </si>
  <si>
    <t>2H50-76</t>
  </si>
  <si>
    <t>2HL6-76</t>
  </si>
  <si>
    <t>2HL10-76</t>
  </si>
  <si>
    <t>2HL16-76</t>
  </si>
  <si>
    <t>2HL24-76</t>
  </si>
  <si>
    <t>2HL50</t>
  </si>
  <si>
    <t>2HL50-76</t>
  </si>
  <si>
    <t>3HK6</t>
  </si>
  <si>
    <t>3HK6-76</t>
  </si>
  <si>
    <t>3HK10</t>
  </si>
  <si>
    <t>3HK10-76</t>
  </si>
  <si>
    <t>3HK16</t>
  </si>
  <si>
    <t>3HK16-76</t>
  </si>
  <si>
    <t>3HK24</t>
  </si>
  <si>
    <t>3HK24-76</t>
  </si>
  <si>
    <t>3HK50</t>
  </si>
  <si>
    <t>3HK50-76</t>
  </si>
  <si>
    <t>3H6-76</t>
  </si>
  <si>
    <t>3H10-76</t>
  </si>
  <si>
    <t>3H16-76</t>
  </si>
  <si>
    <t>3H24-76</t>
  </si>
  <si>
    <t>3H50-76</t>
  </si>
  <si>
    <t>1Q10</t>
  </si>
  <si>
    <t>1Q14</t>
  </si>
  <si>
    <t>1Q28</t>
  </si>
  <si>
    <t>1Q50</t>
  </si>
  <si>
    <t>1Q50-76</t>
  </si>
  <si>
    <t>1QB</t>
  </si>
  <si>
    <t>1QB-76</t>
  </si>
  <si>
    <t>2Q10</t>
  </si>
  <si>
    <t>2QB</t>
  </si>
  <si>
    <t>E08-76</t>
  </si>
  <si>
    <t>E15-76</t>
  </si>
  <si>
    <t>E30-76</t>
  </si>
  <si>
    <t>P101</t>
  </si>
  <si>
    <t>P102</t>
  </si>
  <si>
    <t>P121</t>
  </si>
  <si>
    <t>P122</t>
  </si>
  <si>
    <t>P161</t>
  </si>
  <si>
    <t>P162</t>
  </si>
  <si>
    <t>P181</t>
  </si>
  <si>
    <t>P182</t>
  </si>
  <si>
    <t>P201</t>
  </si>
  <si>
    <t>P202</t>
  </si>
  <si>
    <t>P221</t>
  </si>
  <si>
    <t>P222</t>
  </si>
  <si>
    <t>P231</t>
  </si>
  <si>
    <t>P232</t>
  </si>
  <si>
    <t>P251</t>
  </si>
  <si>
    <t>P252</t>
  </si>
  <si>
    <t>P301</t>
  </si>
  <si>
    <t>P302</t>
  </si>
  <si>
    <t>P351</t>
  </si>
  <si>
    <t>P352</t>
  </si>
  <si>
    <t>ANGLE</t>
  </si>
  <si>
    <t>(B) Length</t>
  </si>
  <si>
    <t>(A) Length</t>
  </si>
  <si>
    <t>RCA</t>
  </si>
  <si>
    <t>Valor Classificação</t>
  </si>
  <si>
    <t>Tijolo Denso</t>
  </si>
  <si>
    <t>Tijolo Isolante</t>
  </si>
  <si>
    <t>Placa Isolante</t>
  </si>
  <si>
    <t>Material Expansivo</t>
  </si>
  <si>
    <t>Argamassa</t>
  </si>
  <si>
    <t>Concreto Denso</t>
  </si>
  <si>
    <t>Concreto Isolante</t>
  </si>
  <si>
    <t>Aditivos</t>
  </si>
  <si>
    <t>Auxiliares</t>
  </si>
  <si>
    <t>TIJOLOS DENSOS</t>
  </si>
  <si>
    <t>TIJOLOS ISOLANTES</t>
  </si>
  <si>
    <t>CONCRETO/MASSA DENSO</t>
  </si>
  <si>
    <t>CONCRETO ISOLANTE</t>
  </si>
  <si>
    <t>D252X4,5-2,5A30</t>
  </si>
  <si>
    <t>D302X4,5-2A30</t>
  </si>
  <si>
    <t>S</t>
  </si>
  <si>
    <t>W</t>
  </si>
  <si>
    <t>K</t>
  </si>
  <si>
    <t>SU</t>
  </si>
  <si>
    <t>LK425-100</t>
  </si>
  <si>
    <t>LK450-100</t>
  </si>
  <si>
    <t>LK475-100</t>
  </si>
  <si>
    <t>LK525-100</t>
  </si>
  <si>
    <t>LK550-100</t>
  </si>
  <si>
    <t>LK575-100</t>
  </si>
  <si>
    <t>LK625-100</t>
  </si>
  <si>
    <t>LK650-100</t>
  </si>
  <si>
    <t>LK675-100</t>
  </si>
  <si>
    <t>LK825-100</t>
  </si>
  <si>
    <t>LK850-100</t>
  </si>
  <si>
    <t>LK875-100</t>
  </si>
  <si>
    <r>
      <t xml:space="preserve">2 - ENTRAR COM OS DADOS NAS TABELAS DE ( ARCOS ) E ( CUNHAS) - </t>
    </r>
    <r>
      <rPr>
        <sz val="9"/>
        <color rgb="FFFF0000"/>
        <rFont val="Arial"/>
        <family val="2"/>
      </rPr>
      <t>ADD DO MENOS CÔNICO PARA O MAIS CÔNICO</t>
    </r>
  </si>
  <si>
    <t>3 - ENTRAR COM O ÂNGULO ( AF )DE INCLINAÇÃO DE CONE</t>
  </si>
  <si>
    <t>4 - ENTRAR COM O DIÂMETRO EXTERNO SUPERIOR ( DES ) NO ( ANEL 1 ) DA LISTAGEM DE ANÉIS</t>
  </si>
  <si>
    <t>5 - ESCOLHER A QUANTIDADE DE CUNHAS ENTRE AS DISPONÍVEIS, PRÓXIMAS AO ( NC IDEAL);</t>
  </si>
  <si>
    <t>6 - ENTRAR COM A ESPESSURA DE JUNTA DE ARGAMASSA;</t>
  </si>
  <si>
    <t>7 - ESCOLHER  ARCOS DO MAIOR FECHAMENTO PARA O MENOR, OBTENDO SEMPRE RESULTADOS &gt; 0;</t>
  </si>
  <si>
    <t>1 - NA TABELA "TIJOLOS COMPOSIÇÃO" INICIAR PREENCHIMENTO COM FORMATO PARALELO</t>
  </si>
  <si>
    <t>Checagem Perímetro</t>
  </si>
  <si>
    <t>Horizontal</t>
  </si>
  <si>
    <t>Ang.</t>
  </si>
  <si>
    <t>Ang</t>
  </si>
  <si>
    <t>NX (Ref)</t>
  </si>
  <si>
    <t>NY (Ref)</t>
  </si>
  <si>
    <t>Esp. Rev</t>
  </si>
  <si>
    <t>5500x610x6</t>
  </si>
  <si>
    <t>Alt. da Manta</t>
  </si>
  <si>
    <t>Perímetro</t>
  </si>
  <si>
    <t>Item (Reference)</t>
  </si>
  <si>
    <t>Brand Type</t>
  </si>
  <si>
    <t>Shape</t>
  </si>
  <si>
    <t>Qnt 1</t>
  </si>
  <si>
    <t>Qnt 2</t>
  </si>
  <si>
    <t>Qnt 1 (Reference)</t>
  </si>
  <si>
    <t>Qnt 2 (Reference)</t>
  </si>
  <si>
    <t>Brand (Reference)</t>
  </si>
  <si>
    <t>Add-On</t>
  </si>
  <si>
    <t>Delay1</t>
  </si>
  <si>
    <t>Delay2</t>
  </si>
  <si>
    <t>Reference1</t>
  </si>
  <si>
    <t>Reference2</t>
  </si>
  <si>
    <t>Reference3</t>
  </si>
  <si>
    <t>Reference4</t>
  </si>
  <si>
    <t>Código</t>
  </si>
  <si>
    <t>1</t>
  </si>
  <si>
    <t>AutoHotkey.ahk</t>
  </si>
  <si>
    <t>Manual Items</t>
  </si>
  <si>
    <t>#NoEnv  ; Recommended for performance and compatibility with future AutoHotkey releases.</t>
  </si>
  <si>
    <t>Theoretical quantity</t>
  </si>
  <si>
    <t>Order quantity</t>
  </si>
  <si>
    <t>; #Warn  ; Enable warnings to assist with detecting common errors.</t>
  </si>
  <si>
    <t>SendMode Input  ; Recommended for new scripts due to its superior speed and reliability.</t>
  </si>
  <si>
    <t>SetWorkingDir %A_ScriptDir%  ; Ensures a consistent starting directory.</t>
  </si>
  <si>
    <t>^e::</t>
  </si>
  <si>
    <t>Send, 10</t>
  </si>
  <si>
    <t>First Item to Run</t>
  </si>
  <si>
    <t>Send, ^{Right}</t>
  </si>
  <si>
    <t>Network</t>
  </si>
  <si>
    <t>Office</t>
  </si>
  <si>
    <t>Send, {Enter}</t>
  </si>
  <si>
    <t>Sleep, 2000</t>
  </si>
  <si>
    <t>Send, ^{Left}</t>
  </si>
  <si>
    <t>Send, 20</t>
  </si>
  <si>
    <t>Send, MAT_KONFIG</t>
  </si>
  <si>
    <t>Sleep, 2500</t>
  </si>
  <si>
    <t>Send, {Down}</t>
  </si>
  <si>
    <t>Send, {Tab}</t>
  </si>
  <si>
    <t>Send, 210</t>
  </si>
  <si>
    <t>Send, {F3}</t>
  </si>
  <si>
    <t>Send, 40</t>
  </si>
  <si>
    <t>Send, 50</t>
  </si>
  <si>
    <t>Send, 60</t>
  </si>
  <si>
    <t>Send, 70</t>
  </si>
  <si>
    <t>Send, 90</t>
  </si>
  <si>
    <t>Send, 100</t>
  </si>
  <si>
    <t>Send, 110</t>
  </si>
  <si>
    <t>Send, 130</t>
  </si>
  <si>
    <t>Send, 140</t>
  </si>
  <si>
    <t>Send, 150</t>
  </si>
  <si>
    <t>Send, U</t>
  </si>
  <si>
    <t>Send, 160</t>
  </si>
  <si>
    <t>Send, 220</t>
  </si>
  <si>
    <t>Send, 22</t>
  </si>
  <si>
    <t>MsgBox Rotina finalizada! Por favor revise o preencimento dos dados!</t>
  </si>
  <si>
    <t>^r::Reload</t>
  </si>
  <si>
    <t>^p::Pause</t>
  </si>
  <si>
    <t>Esc::ExitApp</t>
  </si>
  <si>
    <t>Send, 1</t>
  </si>
  <si>
    <t>Send, 0,5</t>
  </si>
  <si>
    <t>Send, 0,55</t>
  </si>
  <si>
    <t>Send, 80</t>
  </si>
  <si>
    <t>Send, 25</t>
  </si>
  <si>
    <t>Send, 28</t>
  </si>
  <si>
    <t>Send, 120</t>
  </si>
  <si>
    <t>Send, 254</t>
  </si>
  <si>
    <t>Send, 170</t>
  </si>
  <si>
    <t>Send, 180</t>
  </si>
  <si>
    <t>Send, 190</t>
  </si>
  <si>
    <t>Send, 200</t>
  </si>
  <si>
    <t>Send, 30</t>
  </si>
  <si>
    <t>Send, 230</t>
  </si>
  <si>
    <t>R1</t>
  </si>
  <si>
    <t>Paralelo</t>
  </si>
  <si>
    <t>Arco</t>
  </si>
  <si>
    <t>Cunha</t>
  </si>
  <si>
    <t>R2</t>
  </si>
  <si>
    <t>R3</t>
  </si>
  <si>
    <t>Esp</t>
  </si>
  <si>
    <t>Formato</t>
  </si>
  <si>
    <t>Fiada</t>
  </si>
  <si>
    <t>Inclinação (°)</t>
  </si>
  <si>
    <t>150 - STEEL LADLE</t>
  </si>
  <si>
    <t>BOTTOM SAFETY</t>
  </si>
  <si>
    <t>RADEX E12</t>
  </si>
  <si>
    <t>JEBCO RAM D1-EU</t>
  </si>
  <si>
    <t>WALL SAFETY</t>
  </si>
  <si>
    <t>BOTTOM WORKING</t>
  </si>
  <si>
    <t>SINDOFORM K66-US</t>
  </si>
  <si>
    <t>WALL WORKING</t>
  </si>
  <si>
    <t>SINDOFORM K60-US</t>
  </si>
  <si>
    <t>K30X6-3X100</t>
  </si>
  <si>
    <t>SINDOFORM HF65Z-T2-EU</t>
  </si>
  <si>
    <t>85/80/75</t>
  </si>
  <si>
    <t>K30X6-5X100</t>
  </si>
  <si>
    <t>SINDOFORM HF65-T1-EU</t>
  </si>
  <si>
    <t>100/20AVE1</t>
  </si>
  <si>
    <t>SINDOFORM K40-US</t>
  </si>
  <si>
    <t>JEBCO SLAB D1-US</t>
  </si>
  <si>
    <t>YORK</t>
  </si>
  <si>
    <t>K30X6-4X100</t>
  </si>
  <si>
    <t>Send, BOTTOM SAFETY</t>
  </si>
  <si>
    <t>Send, WALL SAFETY</t>
  </si>
  <si>
    <t>Send, BOTTOM WORKING</t>
  </si>
  <si>
    <t>Send, WALL WORKING</t>
  </si>
  <si>
    <t>Send, RADEX E12</t>
  </si>
  <si>
    <t>Send, 312</t>
  </si>
  <si>
    <t>Send, 325</t>
  </si>
  <si>
    <t>Send, JEBCO RAM D1-EU</t>
  </si>
  <si>
    <t>Send, 1,3</t>
  </si>
  <si>
    <t>Send, 1,4</t>
  </si>
  <si>
    <t>Send, 1-76</t>
  </si>
  <si>
    <t>Send, 2262</t>
  </si>
  <si>
    <t>Send, 2308</t>
  </si>
  <si>
    <t>Send, 1H10-76</t>
  </si>
  <si>
    <t>Send, 1491</t>
  </si>
  <si>
    <t>Send, 1521</t>
  </si>
  <si>
    <t>Send, 1,95</t>
  </si>
  <si>
    <t>Send, 2,1</t>
  </si>
  <si>
    <t>Send, K15X6-51/2X100</t>
  </si>
  <si>
    <t>Send, SINDOFORM K66-US</t>
  </si>
  <si>
    <t>Send, 129</t>
  </si>
  <si>
    <t>Send, 138</t>
  </si>
  <si>
    <t>Send, S15X6X100</t>
  </si>
  <si>
    <t>Send, 449</t>
  </si>
  <si>
    <t>Send, 467</t>
  </si>
  <si>
    <t>Send, 100/120</t>
  </si>
  <si>
    <t>Send, SINDOFORM HF65-T1-EU</t>
  </si>
  <si>
    <t>Send, 47</t>
  </si>
  <si>
    <t>Send, 52</t>
  </si>
  <si>
    <t>Send, 100/20AVE1</t>
  </si>
  <si>
    <t>Send, 6</t>
  </si>
  <si>
    <t>Send, 7</t>
  </si>
  <si>
    <t>Send, 100/80</t>
  </si>
  <si>
    <t>Send, 31</t>
  </si>
  <si>
    <t>Send, 80/60</t>
  </si>
  <si>
    <t>Send, SINDOFORM HF65Z-T2-EU</t>
  </si>
  <si>
    <t>Send, 80/80</t>
  </si>
  <si>
    <t>Send, 41</t>
  </si>
  <si>
    <t>Send, 46</t>
  </si>
  <si>
    <t>Send, 85/60</t>
  </si>
  <si>
    <t>Send, 21</t>
  </si>
  <si>
    <t>Send, 24</t>
  </si>
  <si>
    <t>Send, 85/80/75</t>
  </si>
  <si>
    <t>Send, 44</t>
  </si>
  <si>
    <t>Send, 49</t>
  </si>
  <si>
    <t>Send, 90/80</t>
  </si>
  <si>
    <t>Send, 39</t>
  </si>
  <si>
    <t>Send, 43</t>
  </si>
  <si>
    <t>Send, D252X4,5-3A30</t>
  </si>
  <si>
    <t>Send, SINDOFORM K40-US</t>
  </si>
  <si>
    <t>Send, 82</t>
  </si>
  <si>
    <t>Send, 88</t>
  </si>
  <si>
    <t>Send, D252X4,5-4A30</t>
  </si>
  <si>
    <t>Send, 1203</t>
  </si>
  <si>
    <t>Send, 1228</t>
  </si>
  <si>
    <t>Send, D252X4,5A30</t>
  </si>
  <si>
    <t>Send, 48</t>
  </si>
  <si>
    <t>Send, K12X6-51/2X100</t>
  </si>
  <si>
    <t>Send, 280</t>
  </si>
  <si>
    <t>Send, 294</t>
  </si>
  <si>
    <t>Send, 240</t>
  </si>
  <si>
    <t>Send, K12X6-5X100</t>
  </si>
  <si>
    <t>Send, 734</t>
  </si>
  <si>
    <t>Send, 756</t>
  </si>
  <si>
    <t>Send, 250</t>
  </si>
  <si>
    <t>Send, K15X6-4X100</t>
  </si>
  <si>
    <t>Send, 26</t>
  </si>
  <si>
    <t>Send, 29</t>
  </si>
  <si>
    <t>Send, 260</t>
  </si>
  <si>
    <t>Send, K15X6-5X100</t>
  </si>
  <si>
    <t>Send, 296</t>
  </si>
  <si>
    <t>Send, 311</t>
  </si>
  <si>
    <t>Send, 270</t>
  </si>
  <si>
    <t>Send, K18X6-4X100</t>
  </si>
  <si>
    <t>Send, 122</t>
  </si>
  <si>
    <t>Send, 131</t>
  </si>
  <si>
    <t>Send, K18X6-5X100</t>
  </si>
  <si>
    <t>Send, 276</t>
  </si>
  <si>
    <t>Send, 290</t>
  </si>
  <si>
    <t>Send, K21X6-4X100</t>
  </si>
  <si>
    <t>Send, SINDOFORM K60-US</t>
  </si>
  <si>
    <t>Send, 572</t>
  </si>
  <si>
    <t>Send, 590</t>
  </si>
  <si>
    <t>Send, 300</t>
  </si>
  <si>
    <t>Send, K21X6-5X100</t>
  </si>
  <si>
    <t>Send, 498</t>
  </si>
  <si>
    <t>Send, 518</t>
  </si>
  <si>
    <t>Send, 310</t>
  </si>
  <si>
    <t>Send, K24X6-4X100</t>
  </si>
  <si>
    <t>Send, 132</t>
  </si>
  <si>
    <t>Send, 142</t>
  </si>
  <si>
    <t>Send, 320</t>
  </si>
  <si>
    <t>Send, K24X6-5X100</t>
  </si>
  <si>
    <t>Send, 330</t>
  </si>
  <si>
    <t>Send, K27X6-3X100</t>
  </si>
  <si>
    <t>Send, 267</t>
  </si>
  <si>
    <t>Send, 340</t>
  </si>
  <si>
    <t>Send, K27X6-5X100</t>
  </si>
  <si>
    <t>Send, 350</t>
  </si>
  <si>
    <t>Send, K30X6-3X100</t>
  </si>
  <si>
    <t>Send, 182</t>
  </si>
  <si>
    <t>Send, 192</t>
  </si>
  <si>
    <t>Send, 360</t>
  </si>
  <si>
    <t>Send, K30X6-5X100</t>
  </si>
  <si>
    <t>Send, 370</t>
  </si>
  <si>
    <t>Send, JEBCO SLAB D1-US</t>
  </si>
  <si>
    <t>REGIÃO DO EQUIPAMENTO</t>
  </si>
  <si>
    <t>CUNHAS</t>
  </si>
  <si>
    <t>Density [g/cm3]</t>
  </si>
  <si>
    <t>Main Application(s)</t>
  </si>
  <si>
    <t>Classification</t>
  </si>
  <si>
    <t>ANCARBON C 001-GS</t>
  </si>
  <si>
    <t>null, Casting/treatment ladle</t>
  </si>
  <si>
    <t>Magnesia-carbon product type MC95/10 ISO 10081-3</t>
  </si>
  <si>
    <t>ANCARBON C 002-GS</t>
  </si>
  <si>
    <t>Casting/treatment ladle, null</t>
  </si>
  <si>
    <t>ANCARBON C F0B16</t>
  </si>
  <si>
    <t>null, Converter (BOF)</t>
  </si>
  <si>
    <t>Magnesia-carbon product type MC95/15 ISO 10081-3</t>
  </si>
  <si>
    <t>ANCARBON C F1B07DX</t>
  </si>
  <si>
    <t>Magnesia-carbon product type MC95/7 ISO 10081-3</t>
  </si>
  <si>
    <t>ANCARBON C F1B10D</t>
  </si>
  <si>
    <t>ANCARBON C F1B10DX</t>
  </si>
  <si>
    <t>null, Converter (BOF), Electric arc furnace</t>
  </si>
  <si>
    <t>ANCARBON C F1B10U</t>
  </si>
  <si>
    <t>ANCARBON C F1B14</t>
  </si>
  <si>
    <t>Converter (BOF), Electric arc furnace, null</t>
  </si>
  <si>
    <t>ANCARBON C F1B14D</t>
  </si>
  <si>
    <t>Converter (BOF), null, Electric arc furnace</t>
  </si>
  <si>
    <t>ANCARBON C F1B14DX</t>
  </si>
  <si>
    <t>Converter (BOF), null</t>
  </si>
  <si>
    <t>ANCARBON C F1B14U</t>
  </si>
  <si>
    <t>ANCARBON C F1B14X</t>
  </si>
  <si>
    <t>ANCARBON C F1B16</t>
  </si>
  <si>
    <t>ANCARBON C F1E10</t>
  </si>
  <si>
    <t>Electric arc furnace, Converter (BOF), null</t>
  </si>
  <si>
    <t>ANCARBON C F1E10DX</t>
  </si>
  <si>
    <t>ANCARBON C F1E10MBD</t>
  </si>
  <si>
    <t>Electric arc furnace, null</t>
  </si>
  <si>
    <t>Magnesia-carbon product type MC90/10A ISO 10081-3</t>
  </si>
  <si>
    <t>ANCARBON C F1E10X</t>
  </si>
  <si>
    <t>null, Electric arc furnace</t>
  </si>
  <si>
    <t>ANCARBON C F1E14</t>
  </si>
  <si>
    <t>null, Electric arc furnace, Converter (BOF)</t>
  </si>
  <si>
    <t>ANCARBON C F1E14D</t>
  </si>
  <si>
    <t>ANCARBON C F1E14X</t>
  </si>
  <si>
    <t>ANCARBON C F1E15SX</t>
  </si>
  <si>
    <t>Magnesia-carbon product type MC85/15A ISO 10081-3</t>
  </si>
  <si>
    <t>ANCARBON C F1L12</t>
  </si>
  <si>
    <t>ANCARBON C F1L12D</t>
  </si>
  <si>
    <t>ANCARBON C F2B07DX</t>
  </si>
  <si>
    <t>ANCARBON C F2B10</t>
  </si>
  <si>
    <t>ANCARBON C F2B10D</t>
  </si>
  <si>
    <t>ANCARBON C F2B10DX</t>
  </si>
  <si>
    <t>ANCARBON C F2B10U</t>
  </si>
  <si>
    <t>ANCARBON C F2B10X</t>
  </si>
  <si>
    <t>ANCARBON C F2B14</t>
  </si>
  <si>
    <t>ANCARBON C F2B14D</t>
  </si>
  <si>
    <t>ANCARBON C F2B14DX</t>
  </si>
  <si>
    <t>ANCARBON C F2B14U</t>
  </si>
  <si>
    <t>ANCARBON C F2B14X</t>
  </si>
  <si>
    <t>ANCARBON C F2E10</t>
  </si>
  <si>
    <t>ANCARBON C F2E14DX</t>
  </si>
  <si>
    <t>ANCARBON C F2L08</t>
  </si>
  <si>
    <t>ANCARBON C F2L10</t>
  </si>
  <si>
    <t>ANCARBON C F2L12</t>
  </si>
  <si>
    <t>ANCARBON C F2L12D</t>
  </si>
  <si>
    <t>ANCARBON C F2L14</t>
  </si>
  <si>
    <t>ANCARBON C F2L14AZ</t>
  </si>
  <si>
    <t>ANCARBON C F3B05X</t>
  </si>
  <si>
    <t>Magnesia product type M95 ISO 10081-2</t>
  </si>
  <si>
    <t>ANCARBON C F3B07D</t>
  </si>
  <si>
    <t>ANCARBON C F3B07DX</t>
  </si>
  <si>
    <t>ANCARBON C F3B07X</t>
  </si>
  <si>
    <t>ANCARBON C F3B10</t>
  </si>
  <si>
    <t>Converter (BOF), null, Casting/treatment ladle, Electric arc furnace</t>
  </si>
  <si>
    <t>ANCARBON C F3B10D</t>
  </si>
  <si>
    <t>ANCARBON C F3B10X</t>
  </si>
  <si>
    <t>Electric arc furnace, null, Converter (BOF)</t>
  </si>
  <si>
    <t>ANCARBON C F3B14</t>
  </si>
  <si>
    <t>ANCARBON C F3B14D</t>
  </si>
  <si>
    <t>ANCARBON C F3B14X</t>
  </si>
  <si>
    <t>ANCARBON C F3E05</t>
  </si>
  <si>
    <t>ANCARBON C F3E10</t>
  </si>
  <si>
    <t>Casting/treatment ladle, Converter (BOF), Electric arc furnace, null</t>
  </si>
  <si>
    <t>ANCARBON C F3E10D</t>
  </si>
  <si>
    <t>ANCARBON C F3E14-C1</t>
  </si>
  <si>
    <t>ANCARBON C F3E14-C3</t>
  </si>
  <si>
    <t>ANCARBON C F3E14</t>
  </si>
  <si>
    <t>ANCARBON C F3E14D-C3</t>
  </si>
  <si>
    <t>Electric arc furnace, null, Converter (BOF), Casting/treatment ladle</t>
  </si>
  <si>
    <t>ANCARBON C F3E14D</t>
  </si>
  <si>
    <t>ANCARBON C F3E14X</t>
  </si>
  <si>
    <t>ANCARBON C F3L03MZ</t>
  </si>
  <si>
    <t>Magnesia product type M90A ISO 10081-2</t>
  </si>
  <si>
    <t>ANCARBON C F3L05</t>
  </si>
  <si>
    <t>ANCARBON C F3L10-C3</t>
  </si>
  <si>
    <t>ANCARBON C F3L10</t>
  </si>
  <si>
    <t>Casting/treatment ladle, null, Converter (BOF), Electric arc furnace</t>
  </si>
  <si>
    <t>ANCARBON C F3L10D</t>
  </si>
  <si>
    <t>ANCARBON C F3L12</t>
  </si>
  <si>
    <t>ANCARBON C F3L14</t>
  </si>
  <si>
    <t>ANCARBON C F3L14AZ</t>
  </si>
  <si>
    <t>ANCARBON C F3L14D-C3</t>
  </si>
  <si>
    <t>null, Converter (BOF), Electric arc furnace, Casting/treatment ladle</t>
  </si>
  <si>
    <t>ANCARBON C F4B05X</t>
  </si>
  <si>
    <t>ANCARBON C F4B07</t>
  </si>
  <si>
    <t>ANCARBON C F4B10-C1</t>
  </si>
  <si>
    <t>ANCARBON C F4B10</t>
  </si>
  <si>
    <t>ANCARBON C F4B14</t>
  </si>
  <si>
    <t>ANCARBON C F4E10</t>
  </si>
  <si>
    <t>ANCARBON C F4E10X</t>
  </si>
  <si>
    <t>ANCARBON C F4E14</t>
  </si>
  <si>
    <t>ANCARBON C F4E14DX</t>
  </si>
  <si>
    <t>ANCARBON C F4E14X</t>
  </si>
  <si>
    <t>ANCARBON C F4L08</t>
  </si>
  <si>
    <t>ANCARBON C F4L10</t>
  </si>
  <si>
    <t>ANCARBON C F4L12</t>
  </si>
  <si>
    <t>ANCARBON C F4L14</t>
  </si>
  <si>
    <t>ANCARBON C F4L14AZ</t>
  </si>
  <si>
    <t>ANCARBON C F5B10D</t>
  </si>
  <si>
    <t>ANCARBON C F5B14D</t>
  </si>
  <si>
    <t>ANCARBON C F5E14</t>
  </si>
  <si>
    <t>ANCARBON C F5L08</t>
  </si>
  <si>
    <t>ANCARBON C F5L10</t>
  </si>
  <si>
    <t>ANCARBON C F5L14</t>
  </si>
  <si>
    <t>ANCARBON C F5L14AZ</t>
  </si>
  <si>
    <t>ANCARBON C F6B10</t>
  </si>
  <si>
    <t>ANCARBON C F6B14</t>
  </si>
  <si>
    <t>ANCARBON C F6D03</t>
  </si>
  <si>
    <t>ANCARBON C F6E05</t>
  </si>
  <si>
    <t>ANCARBON C F6E10</t>
  </si>
  <si>
    <t>ANCARBON C F6E14</t>
  </si>
  <si>
    <t>ANCARBON C F6E14D</t>
  </si>
  <si>
    <t>ANCARBON C F6E16-C3</t>
  </si>
  <si>
    <t>Electric arc furnace, Casting/treatment ladle, null, Converter (BOF)</t>
  </si>
  <si>
    <t>ANCARBON C F6L03</t>
  </si>
  <si>
    <t>ANCARBON C F6L05</t>
  </si>
  <si>
    <t>ANCARBON C F6L08</t>
  </si>
  <si>
    <t>ANCARBON C F6L10</t>
  </si>
  <si>
    <t>ANCARBON C F6L12</t>
  </si>
  <si>
    <t>ANCARBON C F6L14</t>
  </si>
  <si>
    <t>ANCARBON C F7B05</t>
  </si>
  <si>
    <t>ANCARBON C F7B10</t>
  </si>
  <si>
    <t>ANCARBON C F7B14</t>
  </si>
  <si>
    <t>ANCARBON C F7E05</t>
  </si>
  <si>
    <t>ANCARBON C F7E10</t>
  </si>
  <si>
    <t>ANCARBON C F7E14</t>
  </si>
  <si>
    <t>ANCARBON C F7L05</t>
  </si>
  <si>
    <t>ANCARBON C F7L08</t>
  </si>
  <si>
    <t>ANCARBON C F7L10</t>
  </si>
  <si>
    <t>ANCARBON C F7L12</t>
  </si>
  <si>
    <t>ANCARBON C F7L14</t>
  </si>
  <si>
    <t>ANCARBON C F8B10-EU</t>
  </si>
  <si>
    <t>ANCARBON C F8E10-EU</t>
  </si>
  <si>
    <t>ANCARBON C F8E14-C5</t>
  </si>
  <si>
    <t>Magnesia-carbon product type MC90/10 ISO 10081-3</t>
  </si>
  <si>
    <t>ANCARBON C F8E14-EU</t>
  </si>
  <si>
    <t>ANCARBON C F8L08-EU</t>
  </si>
  <si>
    <t>ANCARBON C F8L10-EU</t>
  </si>
  <si>
    <t>ANCARBON C F8L14-C5</t>
  </si>
  <si>
    <t>ANCARBON C F8L14-EU</t>
  </si>
  <si>
    <t>ANCARBON C F9C10</t>
  </si>
  <si>
    <t>ANCARBON C F9C14</t>
  </si>
  <si>
    <t>ANCARBON C S2B03</t>
  </si>
  <si>
    <t>ANCARBON C S2B05</t>
  </si>
  <si>
    <t>ANCARBON C S2B10</t>
  </si>
  <si>
    <t>ANCARBON C S2E05</t>
  </si>
  <si>
    <t>ANCARBON C S2E10</t>
  </si>
  <si>
    <t>ANCARBON C S2L03</t>
  </si>
  <si>
    <t>ANCARBON C S2L05</t>
  </si>
  <si>
    <t>ANCARBON C S2L08</t>
  </si>
  <si>
    <t>ANCARBON C S2L10</t>
  </si>
  <si>
    <t>ANCARBON C S2L14</t>
  </si>
  <si>
    <t>ANCARBON C S4B08-EU</t>
  </si>
  <si>
    <t>Magnesia-carbon product type MC90/7 ISO 10081-3</t>
  </si>
  <si>
    <t>ANCARBON C S4B10-EU</t>
  </si>
  <si>
    <t>ANCARBON C S4E05-EU</t>
  </si>
  <si>
    <t>Magnesia product type M90 ISO 10081-2</t>
  </si>
  <si>
    <t>ANCARBON C S4E10-EU</t>
  </si>
  <si>
    <t>ANCARBON C S4L08-EU</t>
  </si>
  <si>
    <t>ANCARBON C S4L10-EU</t>
  </si>
  <si>
    <t>ANCARBON C S4L14-EU</t>
  </si>
  <si>
    <t>ANCARBON C S5L12-EU</t>
  </si>
  <si>
    <t>ANCARBON C S5L12AZ-EU</t>
  </si>
  <si>
    <t>Magnesia-carbon product type MC85/10A ISO 10081-3</t>
  </si>
  <si>
    <t>ANCARBON C TB215-EU</t>
  </si>
  <si>
    <t>ANCARBON C TB258ULC-EU</t>
  </si>
  <si>
    <t>Electric arc furnace, Converter (BOF), null, Casting/treatment ladle</t>
  </si>
  <si>
    <t>ANCARBON C TB276ULC-EU</t>
  </si>
  <si>
    <t>Converter (BOF), Electric arc furnace, null, Casting/treatment ladle</t>
  </si>
  <si>
    <t>ANCARBON C TB385</t>
  </si>
  <si>
    <t>ANCARBON C TB426</t>
  </si>
  <si>
    <t>Electric arc furnace, Casting/treatment ladle, Converter (BOF), null</t>
  </si>
  <si>
    <t>ANCARBON C TB443</t>
  </si>
  <si>
    <t>ANCARBON C TB447</t>
  </si>
  <si>
    <t>null, Converter (BOF), Casting/treatment ladle, Electric arc furnace</t>
  </si>
  <si>
    <t>Magnesia-carbon product type MC90/15 ISO 10081-3</t>
  </si>
  <si>
    <t>ANCARBON C TB451</t>
  </si>
  <si>
    <t>ANCARBON C TB452</t>
  </si>
  <si>
    <t>ANCARBON C TB463</t>
  </si>
  <si>
    <t>ANCARBON C TB483</t>
  </si>
  <si>
    <t>ANCARBON CN614</t>
  </si>
  <si>
    <t>ANCARBON CRE F5L10</t>
  </si>
  <si>
    <t>ANCARBON CRE F6L12</t>
  </si>
  <si>
    <t>ANCARBON CRE S2L05</t>
  </si>
  <si>
    <t>ANCARBON CZE F3L10</t>
  </si>
  <si>
    <t>ANCARBON CZE F3L14</t>
  </si>
  <si>
    <t>ANCARBON CZE F3L14U</t>
  </si>
  <si>
    <t>ANCARBON CZE F6L05</t>
  </si>
  <si>
    <t>ANCARBON CZE F7L12</t>
  </si>
  <si>
    <t>ANCARBON CZE F8L10-EU</t>
  </si>
  <si>
    <t>ANCARBON CZE S2L03</t>
  </si>
  <si>
    <t>ANCARBON CZE S4B08-EU</t>
  </si>
  <si>
    <t>ANCARBON CZE S4L08-EU</t>
  </si>
  <si>
    <t>ANCARBON R CN65-GS</t>
  </si>
  <si>
    <t>ANCARBON R CN67-GS</t>
  </si>
  <si>
    <t>ANCARBON R CN67</t>
  </si>
  <si>
    <t>ANCARBON R CN73-GS</t>
  </si>
  <si>
    <t>Casting/treatment ladle, Electric arc furnace, null, Converter (BOF)</t>
  </si>
  <si>
    <t>ANCARBON R CN73</t>
  </si>
  <si>
    <t>ANCARBON R CN75-GS</t>
  </si>
  <si>
    <t>ANCARBON R CN75</t>
  </si>
  <si>
    <t>ANCARBON R CN75AZ</t>
  </si>
  <si>
    <t>Converter (BOF), Casting/treatment ladle, Electric arc furnace, null</t>
  </si>
  <si>
    <t>ANCARBON R CN75D-GS</t>
  </si>
  <si>
    <t>ANCARBON R CN75D</t>
  </si>
  <si>
    <t>ANCARBON R CN77-C3</t>
  </si>
  <si>
    <t>ANCARBON R CN77-GS</t>
  </si>
  <si>
    <t>null, Casting/treatment ladle, Converter (BOF), Electric arc furnace</t>
  </si>
  <si>
    <t>ANCARBON R CN77</t>
  </si>
  <si>
    <t>ANCARBON R CN77AZ</t>
  </si>
  <si>
    <t>Casting/treatment ladle, Electric arc furnace, Converter (BOF), null</t>
  </si>
  <si>
    <t>ANCARBON R CN77D-GS</t>
  </si>
  <si>
    <t>Electric arc furnace, null, Casting/treatment ladle, Converter (BOF)</t>
  </si>
  <si>
    <t>ANCARBON R CN77D</t>
  </si>
  <si>
    <t>ANCARBON R CN78AD</t>
  </si>
  <si>
    <t>ANCARBON R CN78D-C2</t>
  </si>
  <si>
    <t>ANCARBON R CN79AZD</t>
  </si>
  <si>
    <t>ANCARBON R CN7D02S-C1</t>
  </si>
  <si>
    <t>RH/DH units, null</t>
  </si>
  <si>
    <t>Magnesia product type M98 ISO 10081-2</t>
  </si>
  <si>
    <t>ANCARBON R CN7D02S</t>
  </si>
  <si>
    <t>ANCARBON R CN85-GS</t>
  </si>
  <si>
    <t>ANCARBON R CN85D-C2</t>
  </si>
  <si>
    <t>ANCARBON R CN85D-GS</t>
  </si>
  <si>
    <t>ANCARBON R CN85D</t>
  </si>
  <si>
    <t>null, Casting/treatment ladle, Electric arc furnace, Converter (BOF)</t>
  </si>
  <si>
    <t>ANCARBON R CN87-GS</t>
  </si>
  <si>
    <t>ANCARBON R CN87</t>
  </si>
  <si>
    <t>ANCARBON R CN87D-C2</t>
  </si>
  <si>
    <t>ANCARBON R CN87D-GS</t>
  </si>
  <si>
    <t>Converter (BOF), null, Electric arc furnace, Casting/treatment ladle</t>
  </si>
  <si>
    <t>ANCARBON R CN87D</t>
  </si>
  <si>
    <t>Converter (BOF), Casting/treatment ladle, null, Electric arc furnace</t>
  </si>
  <si>
    <t>ANCARBON R CN88AZD</t>
  </si>
  <si>
    <t>null, Electric arc furnace, Converter (BOF), Casting/treatment ladle</t>
  </si>
  <si>
    <t>ANCARBON R F0B14MB</t>
  </si>
  <si>
    <t>ANCARBON R F0B14MD</t>
  </si>
  <si>
    <t>ANCARBON R F0B16AG</t>
  </si>
  <si>
    <t>Magnesia-carbon product type MC90/15A ISO 10081-3</t>
  </si>
  <si>
    <t>ANCARBON R F0B18MBXAG</t>
  </si>
  <si>
    <t>ANCARBON R F1B10</t>
  </si>
  <si>
    <t>ANCARBON R F1B10A</t>
  </si>
  <si>
    <t>ANCARBON R F1B14</t>
  </si>
  <si>
    <t>ANCARBON R F1B14A</t>
  </si>
  <si>
    <t>ANCARBON R F1B14AG</t>
  </si>
  <si>
    <t>ANCARBON R F1B14D</t>
  </si>
  <si>
    <t>ANCARBON R F1B14MB</t>
  </si>
  <si>
    <t>ANCARBON R F1B14MBU</t>
  </si>
  <si>
    <t>ANCARBON R F1B14MD</t>
  </si>
  <si>
    <t>ANCARBON R F1B14WU</t>
  </si>
  <si>
    <t>ANCARBON R F1B16AZ</t>
  </si>
  <si>
    <t>ANCARBON R F1B16MBD</t>
  </si>
  <si>
    <t>ANCARBON R F1B18A</t>
  </si>
  <si>
    <t>ANCARBON R F1B18WU</t>
  </si>
  <si>
    <t>Magnesia-carbon product type MC95/20 ISO 10081-3</t>
  </si>
  <si>
    <t>ANCARBON R F1B25WU</t>
  </si>
  <si>
    <t>Converter (BOF)</t>
  </si>
  <si>
    <t>Magnesia-carbon product type MC85/20 ISO 10081-3</t>
  </si>
  <si>
    <t>ANCARBON R F1E10D-AR</t>
  </si>
  <si>
    <t>ANCARBON R F1E10D</t>
  </si>
  <si>
    <t>ANCARBON R F1E10MB</t>
  </si>
  <si>
    <t>ANCARBON R F1E14</t>
  </si>
  <si>
    <t>ANCARBON R F1E14D</t>
  </si>
  <si>
    <t>ANCARBON R F1E14MB</t>
  </si>
  <si>
    <t>ANCARBON R F1E14MBD-AR</t>
  </si>
  <si>
    <t>ANCARBON R F1L10AZ</t>
  </si>
  <si>
    <t>ANCARBON R F1L14</t>
  </si>
  <si>
    <t>ANCARBON R F1L14AZ-AR</t>
  </si>
  <si>
    <t>ANCARBON R F2B10A</t>
  </si>
  <si>
    <t>ANCARBON R F2B10AD</t>
  </si>
  <si>
    <t>ANCARBON R F2B10D</t>
  </si>
  <si>
    <t>ANCARBON R F2B14A</t>
  </si>
  <si>
    <t>ANCARBON R F2B14MB</t>
  </si>
  <si>
    <t>ANCARBON R F2B14MBU</t>
  </si>
  <si>
    <t>ANCARBON R F2B14MD</t>
  </si>
  <si>
    <t>ANCARBON R F2C10U</t>
  </si>
  <si>
    <t>ANCARBON R F2E10</t>
  </si>
  <si>
    <t>ANCARBON R F2E10D-AR</t>
  </si>
  <si>
    <t>ANCARBON R F2E10MB</t>
  </si>
  <si>
    <t>ANCARBON R F2E10MBU</t>
  </si>
  <si>
    <t>Magnesia-carbon product type MC90/7A ISO 10081-3</t>
  </si>
  <si>
    <t>ANCARBON R F2E10S</t>
  </si>
  <si>
    <t>ANCARBON R F2E10SB</t>
  </si>
  <si>
    <t>ANCARBON R F2E10U-C1</t>
  </si>
  <si>
    <t>ANCARBON R F2E10U-C2</t>
  </si>
  <si>
    <t>ANCARBON R F2E10U</t>
  </si>
  <si>
    <t>ANCARBON R F2E14</t>
  </si>
  <si>
    <t>ANCARBON R F2E14AMU</t>
  </si>
  <si>
    <t>Electric arc furnace</t>
  </si>
  <si>
    <t>ANCARBON R F2L08</t>
  </si>
  <si>
    <t>ANCARBON R F2L10AZ</t>
  </si>
  <si>
    <t>Magnesia-carbon product type MC95/10A ISO 10081-3</t>
  </si>
  <si>
    <t>ANCARBON R F2L12-C2</t>
  </si>
  <si>
    <t>ANCARBON R F2L12-US</t>
  </si>
  <si>
    <t>ANCARBON R F2L12</t>
  </si>
  <si>
    <t>ANCARBON R F2L12AZ-US</t>
  </si>
  <si>
    <t>ANCARBON R F2L12AZ</t>
  </si>
  <si>
    <t>ANCARBON R F2L12S</t>
  </si>
  <si>
    <t>ANCARBON R F2L14-AR</t>
  </si>
  <si>
    <t>ANCARBON R F2L14</t>
  </si>
  <si>
    <t>ANCARBON R F2L14AZ-AR</t>
  </si>
  <si>
    <t>ANCARBON R F2L14AZ</t>
  </si>
  <si>
    <t>ANCARBON R F3B10</t>
  </si>
  <si>
    <t>ANCARBON R F3B10A</t>
  </si>
  <si>
    <t>ANCARBON R F3B10AD</t>
  </si>
  <si>
    <t>ANCARBON R F3B10D</t>
  </si>
  <si>
    <t>ANCARBON R F3B10S</t>
  </si>
  <si>
    <t>ANCARBON R F3B14</t>
  </si>
  <si>
    <t>ANCARBON R F3B14A</t>
  </si>
  <si>
    <t>ANCARBON R F3B14D-C1</t>
  </si>
  <si>
    <t>ANCARBON R F3B14D</t>
  </si>
  <si>
    <t>Converter (BOF), Casting/treatment ladle, null</t>
  </si>
  <si>
    <t>ANCARBON R F3B14MB</t>
  </si>
  <si>
    <t>ANCARBON R F3B14MBU</t>
  </si>
  <si>
    <t>ANCARBON R F3B14MD</t>
  </si>
  <si>
    <t>ANCARBON R F3B14MZ</t>
  </si>
  <si>
    <t>ANCARBON R F3B14SD</t>
  </si>
  <si>
    <t>ANCARBON R F3B14U</t>
  </si>
  <si>
    <t>ANCARBON R F3C10U</t>
  </si>
  <si>
    <t>ANCARBON R F3C12</t>
  </si>
  <si>
    <t>ANCARBON R F3D02S</t>
  </si>
  <si>
    <t>ANCARBON R F3E10-GS</t>
  </si>
  <si>
    <t>ANCARBON R F3E10</t>
  </si>
  <si>
    <t>ANCARBON R F3E10D-AR</t>
  </si>
  <si>
    <t>ANCARBON R F3E10D</t>
  </si>
  <si>
    <t>ANCARBON R F3E10S</t>
  </si>
  <si>
    <t>ANCARBON R F3E10SD-AR</t>
  </si>
  <si>
    <t>ANCARBON R F3E14-GS</t>
  </si>
  <si>
    <t>ANCARBON R F3E14</t>
  </si>
  <si>
    <t>ANCARBON R F3E14D-C3</t>
  </si>
  <si>
    <t>ANCARBON R F3E14D</t>
  </si>
  <si>
    <t>ANCARBON R F3E14MD</t>
  </si>
  <si>
    <t>ANCARBON R F3E14S</t>
  </si>
  <si>
    <t>ANCARBON R F3E14X-GS</t>
  </si>
  <si>
    <t>ANCARBON R F3E18U</t>
  </si>
  <si>
    <t>ANCARBON R F3L08</t>
  </si>
  <si>
    <t>ANCARBON R F3L10-AR</t>
  </si>
  <si>
    <t>ANCARBON R F3L10</t>
  </si>
  <si>
    <t>ANCARBON R F3L10SC</t>
  </si>
  <si>
    <t>ANCARBON R F3L12-AR</t>
  </si>
  <si>
    <t>ANCARBON R F3L12</t>
  </si>
  <si>
    <t>ANCARBON R F3L12AZ</t>
  </si>
  <si>
    <t>ANCARBON R F3L14-AR</t>
  </si>
  <si>
    <t>ANCARBON R F3L14</t>
  </si>
  <si>
    <t>ANCARBON R F3L14AZ-AR</t>
  </si>
  <si>
    <t>ANCARBON R F3L14AZ</t>
  </si>
  <si>
    <t>ANCARBON R F3L14D-C3</t>
  </si>
  <si>
    <t>ANCARBON R F3L14D</t>
  </si>
  <si>
    <t>Casting/treatment ladle, Converter (BOF), null</t>
  </si>
  <si>
    <t>ANCARBON R F3T14G-EU</t>
  </si>
  <si>
    <t>ANCARBON R F4B10</t>
  </si>
  <si>
    <t>ANCARBON R F4B10A</t>
  </si>
  <si>
    <t>ANCARBON R F4B10MBU</t>
  </si>
  <si>
    <t>ANCARBON R F4B14</t>
  </si>
  <si>
    <t>ANCARBON R F4B14A</t>
  </si>
  <si>
    <t>ANCARBON R F4B14ABU</t>
  </si>
  <si>
    <t>ANCARBON R F4B14AU</t>
  </si>
  <si>
    <t>ANCARBON R F4B14MBU</t>
  </si>
  <si>
    <t>Magnesia-carbon product type MC90/14 ISO 10081-3</t>
  </si>
  <si>
    <t>ANCARBON R F4B14SB</t>
  </si>
  <si>
    <t>ANCARBON R F4B18AMU-C2</t>
  </si>
  <si>
    <t>ANCARBON R F4B18AMU</t>
  </si>
  <si>
    <t>ANCARBON R F4B18AZD</t>
  </si>
  <si>
    <t>ANCARBON R F4C08</t>
  </si>
  <si>
    <t>ANCARBON R F4C10</t>
  </si>
  <si>
    <t>ANCARBON R F4C10U</t>
  </si>
  <si>
    <t>ANCARBON R F4C14</t>
  </si>
  <si>
    <t>ANCARBON R F4C16</t>
  </si>
  <si>
    <t>ANCARBON R F4E10</t>
  </si>
  <si>
    <t>ANCARBON R F4E10D-AR</t>
  </si>
  <si>
    <t>ANCARBON R F4E10S</t>
  </si>
  <si>
    <t>ANCARBON R F4E10U-C1</t>
  </si>
  <si>
    <t>ANCARBON R F4E10U-C3</t>
  </si>
  <si>
    <t>ANCARBON R F4E10U</t>
  </si>
  <si>
    <t>ANCARBON R F4E14</t>
  </si>
  <si>
    <t>ANCARBON R F4L03</t>
  </si>
  <si>
    <t>ANCARBON R F4L03N</t>
  </si>
  <si>
    <t>ANCARBON R F4L05</t>
  </si>
  <si>
    <t>ANCARBON R F4L08-C2</t>
  </si>
  <si>
    <t>ANCARBON R F4L08</t>
  </si>
  <si>
    <t>ANCARBON R F4L08AZ</t>
  </si>
  <si>
    <t>Casting/treatment ladle</t>
  </si>
  <si>
    <t>ANCARBON R F4L10-AR</t>
  </si>
  <si>
    <t>ANCARBON R F4L10-GS</t>
  </si>
  <si>
    <t>ANCARBON R F4L10</t>
  </si>
  <si>
    <t>ANCARBON R F4L12</t>
  </si>
  <si>
    <t>ANCARBON R F4L12AZ</t>
  </si>
  <si>
    <t>ANCARBON R F4L12D-C2</t>
  </si>
  <si>
    <t>ANCARBON R F4L14</t>
  </si>
  <si>
    <t>ANCARBON R F4L14SC</t>
  </si>
  <si>
    <t>ANCARBON R F5B10</t>
  </si>
  <si>
    <t>ANCARBON R F5B10A</t>
  </si>
  <si>
    <t>ANCARBON R F5B10D</t>
  </si>
  <si>
    <t>ANCARBON R F5B14</t>
  </si>
  <si>
    <t>ANCARBON R F5B14A</t>
  </si>
  <si>
    <t>ANCARBON R F5B14L</t>
  </si>
  <si>
    <t>ANCARBON R F5C10U</t>
  </si>
  <si>
    <t>ANCARBON R F5C12</t>
  </si>
  <si>
    <t>ANCARBON R F5C14AZ</t>
  </si>
  <si>
    <t>ANCARBON R F5C18AMU</t>
  </si>
  <si>
    <t>ANCARBON R F5D02S</t>
  </si>
  <si>
    <t>ANCARBON R F5E10-US</t>
  </si>
  <si>
    <t>ANCARBON R F5E10</t>
  </si>
  <si>
    <t>ANCARBON R F5E10S-US</t>
  </si>
  <si>
    <t>ANCARBON R F5E10U</t>
  </si>
  <si>
    <t>ANCARBON R F5E14-GS</t>
  </si>
  <si>
    <t>ANCARBON R F5E14-US</t>
  </si>
  <si>
    <t>ANCARBON R F5E14</t>
  </si>
  <si>
    <t>ANCARBON R F5E14S-US</t>
  </si>
  <si>
    <t>ANCARBON R F5E14S</t>
  </si>
  <si>
    <t>ANCARBON R F5E20-US</t>
  </si>
  <si>
    <t>ANCARBON R F5L08-US</t>
  </si>
  <si>
    <t>ANCARBON R F5L08</t>
  </si>
  <si>
    <t>ANCARBON R F5L08AZ-US</t>
  </si>
  <si>
    <t>ANCARBON R F5L10-AR</t>
  </si>
  <si>
    <t>ANCARBON R F5L10-C2</t>
  </si>
  <si>
    <t>ANCARBON R F5L10-GS</t>
  </si>
  <si>
    <t>ANCARBON R F5L10</t>
  </si>
  <si>
    <t>ANCARBON R F5L10D</t>
  </si>
  <si>
    <t>ANCARBON R F5L12-AR</t>
  </si>
  <si>
    <t>ANCARBON R F5L12-US</t>
  </si>
  <si>
    <t>ANCARBON R F5L12</t>
  </si>
  <si>
    <t>ANCARBON R F5L12AZ-US</t>
  </si>
  <si>
    <t>ANCARBON R F5L12AZ</t>
  </si>
  <si>
    <t>ANCARBON R F5L14-AR</t>
  </si>
  <si>
    <t>null, Electric arc furnace, Casting/treatment ladle</t>
  </si>
  <si>
    <t>ANCARBON R F5L14-C2</t>
  </si>
  <si>
    <t>ANCARBON R F5L14</t>
  </si>
  <si>
    <t>ANCARBON R F5L14AZ</t>
  </si>
  <si>
    <t>ANCARBON R F5L16D</t>
  </si>
  <si>
    <t>ANCARBON R F6B10</t>
  </si>
  <si>
    <t>ANCARBON R F6B14-C3</t>
  </si>
  <si>
    <t>Magnesia-carbon product type MT-14C GB/T 22589-2017</t>
  </si>
  <si>
    <t>ANCARBON R F6B14</t>
  </si>
  <si>
    <t>ANCARBON R F6B14AU</t>
  </si>
  <si>
    <t>ANCARBON R F6B14MBU</t>
  </si>
  <si>
    <t>ANCARBON R F6B14U</t>
  </si>
  <si>
    <t>ANCARBON R F6C10U</t>
  </si>
  <si>
    <t>ANCARBON R F6C14</t>
  </si>
  <si>
    <t>ANCARBON R F6C16</t>
  </si>
  <si>
    <t>ANCARBON R F6E10-C3</t>
  </si>
  <si>
    <t>ANCARBON R F6E10</t>
  </si>
  <si>
    <t>ANCARBON R F6E10D-AR</t>
  </si>
  <si>
    <t>ANCARBON R F6E10S</t>
  </si>
  <si>
    <t>ANCARBON R F6E10SU</t>
  </si>
  <si>
    <t>ANCARBON R F6E10U-C3</t>
  </si>
  <si>
    <t>ANCARBON R F6E14-C3</t>
  </si>
  <si>
    <t>ANCARBON R F6E14</t>
  </si>
  <si>
    <t>ANCARBON R F6E14S</t>
  </si>
  <si>
    <t>ANCARBON R F6E14SZ-C3</t>
  </si>
  <si>
    <t>ANCARBON R F6L03</t>
  </si>
  <si>
    <t>ANCARBON R F6L08-AR</t>
  </si>
  <si>
    <t>ANCARBON R F6L08-US</t>
  </si>
  <si>
    <t>ANCARBON R F6L08</t>
  </si>
  <si>
    <t>ANCARBON R F6L10-AR</t>
  </si>
  <si>
    <t>ANCARBON R F6L10-C3</t>
  </si>
  <si>
    <t>ANCARBON R F6L10-C4</t>
  </si>
  <si>
    <t>Magnesia-carbon product type MT-10D GB/T 22589-2017</t>
  </si>
  <si>
    <t>ANCARBON R F6L10</t>
  </si>
  <si>
    <t>ANCARBON R F6L10SC</t>
  </si>
  <si>
    <t>ANCARBON R F6L12</t>
  </si>
  <si>
    <t>ANCARBON R F6L12AZ-US</t>
  </si>
  <si>
    <t>ANCARBON R F6L12AZ</t>
  </si>
  <si>
    <t>ANCARBON R F6L12S</t>
  </si>
  <si>
    <t>ANCARBON R F6L14-C3</t>
  </si>
  <si>
    <t>ANCARBON R F6L14</t>
  </si>
  <si>
    <t>ANCARBON R F6L14SC</t>
  </si>
  <si>
    <t>ANCARBON R F7B10</t>
  </si>
  <si>
    <t>ANCARBON R F7B10A</t>
  </si>
  <si>
    <t>ANCARBON R F7B14AU</t>
  </si>
  <si>
    <t>ANCARBON R F7C10</t>
  </si>
  <si>
    <t>ANCARBON R F7C14</t>
  </si>
  <si>
    <t>ANCARBON R F7E08-TR</t>
  </si>
  <si>
    <t>null, Casting/treatment ladle, Electric arc furnace</t>
  </si>
  <si>
    <t>ANCARBON R F7E10-GS</t>
  </si>
  <si>
    <t>ANCARBON R F7E10-TR</t>
  </si>
  <si>
    <t>Electric arc furnace, null, Casting/treatment ladle</t>
  </si>
  <si>
    <t>ANCARBON R F7E10</t>
  </si>
  <si>
    <t>ANCARBON R F7E10SU</t>
  </si>
  <si>
    <t>ANCARBON R F7E13SU</t>
  </si>
  <si>
    <t>ANCARBON R F7E13U</t>
  </si>
  <si>
    <t>ANCARBON R F7E14-GS</t>
  </si>
  <si>
    <t>ANCARBON R F7E14</t>
  </si>
  <si>
    <t>ANCARBON R F7L03</t>
  </si>
  <si>
    <t>ANCARBON R F7L08-AR</t>
  </si>
  <si>
    <t>ANCARBON R F7L08-TR</t>
  </si>
  <si>
    <t>Casting/treatment ladle, null, Electric arc furnace</t>
  </si>
  <si>
    <t>ANCARBON R F7L08</t>
  </si>
  <si>
    <t>ANCARBON R F7L08AZ</t>
  </si>
  <si>
    <t>ANCARBON R F7L08SC</t>
  </si>
  <si>
    <t>ANCARBON R F7L10-TR</t>
  </si>
  <si>
    <t>ANCARBON R F7L10</t>
  </si>
  <si>
    <t>ANCARBON R F7L10AZ</t>
  </si>
  <si>
    <t>ANCARBON R F7L12</t>
  </si>
  <si>
    <t>ANCARBON R F7L14</t>
  </si>
  <si>
    <t>ANCARBON R F8B10-CN</t>
  </si>
  <si>
    <t>ANCARBON R F8C10-CN</t>
  </si>
  <si>
    <t>ANCARBON R F8C14-CN</t>
  </si>
  <si>
    <t>ANCARBON R F8E10-CN</t>
  </si>
  <si>
    <t>ANCARBON R F8E10-EU</t>
  </si>
  <si>
    <t>ANCARBON R F8E10-MX</t>
  </si>
  <si>
    <t>ANCARBON R F8E14-CN</t>
  </si>
  <si>
    <t>ANCARBON R F8E14-EU</t>
  </si>
  <si>
    <t>ANCARBON R F8L08-CN</t>
  </si>
  <si>
    <t>ANCARBON R F8L10-CN</t>
  </si>
  <si>
    <t>ANCARBON R F8L10AZ-MX</t>
  </si>
  <si>
    <t>ANCARBON R F8L10D-CN</t>
  </si>
  <si>
    <t>ANCARBON R F8L14-CN</t>
  </si>
  <si>
    <t>ANCARBON R F8L14-GS</t>
  </si>
  <si>
    <t>ANCARBON R F8L14AZ-CN</t>
  </si>
  <si>
    <t>ANCARBON R S1E08-TR</t>
  </si>
  <si>
    <t>ANCARBON R S1E10-TR</t>
  </si>
  <si>
    <t>Electric arc furnace, Casting/treatment ladle, null</t>
  </si>
  <si>
    <t>ANCARBON R S1L08-TR</t>
  </si>
  <si>
    <t>ANCARBON R S1L10-TR</t>
  </si>
  <si>
    <t>Casting/treatment ladle, Electric arc furnace, null</t>
  </si>
  <si>
    <t>ANCARBON R S2B03NAU</t>
  </si>
  <si>
    <t>ANCARBON R S2B07SU</t>
  </si>
  <si>
    <t>ANCARBON R S2B10AU</t>
  </si>
  <si>
    <t>ANCARBON R S2B12MBU</t>
  </si>
  <si>
    <t>ANCARBON R S2B14AU</t>
  </si>
  <si>
    <t>ANCARBON R S2C08-US</t>
  </si>
  <si>
    <t>ANCARBON R S2C08AZ-US</t>
  </si>
  <si>
    <t>ANCARBON R S2D02AZ</t>
  </si>
  <si>
    <t>ANCARBON R S2D02S</t>
  </si>
  <si>
    <t>ANCARBON R S2E08</t>
  </si>
  <si>
    <t>ANCARBON R S2E10</t>
  </si>
  <si>
    <t>ANCARBON R S2E10U</t>
  </si>
  <si>
    <t>ANCARBON R S2E14</t>
  </si>
  <si>
    <t>ANCARBON R S2L03</t>
  </si>
  <si>
    <t>ANCARBON R S2L08-US</t>
  </si>
  <si>
    <t>ANCARBON R S2L08</t>
  </si>
  <si>
    <t>ANCARBON R S2L08AZ-US</t>
  </si>
  <si>
    <t>ANCARBON R S2L08AZ</t>
  </si>
  <si>
    <t>ANCARBON R S2L10</t>
  </si>
  <si>
    <t>ANCARBON R S2L12</t>
  </si>
  <si>
    <t>ANCARBON R S2L12AZ-US</t>
  </si>
  <si>
    <t>ANCARBON R S2L14</t>
  </si>
  <si>
    <t>ANCARBON R S3B10AU</t>
  </si>
  <si>
    <t>ANCARBON R S3E08U-BR</t>
  </si>
  <si>
    <t>ANCARBON R S3L05-BR</t>
  </si>
  <si>
    <t>ANCARBON R S3L05S-BR</t>
  </si>
  <si>
    <t>ANCARBON R S4B10-CN</t>
  </si>
  <si>
    <t>ANCARBON R S4B10-EU</t>
  </si>
  <si>
    <t>ANCARBON R S4E08-CN</t>
  </si>
  <si>
    <t>ANCARBON R S4E08-EU</t>
  </si>
  <si>
    <t>ANCARBON R S4E08-GS</t>
  </si>
  <si>
    <t>ANCARBON R S4E10-CN</t>
  </si>
  <si>
    <t>ANCARBON R S4E10-EU</t>
  </si>
  <si>
    <t>ANCARBON R S4E10U-BR</t>
  </si>
  <si>
    <t>ANCARBON R S4E12-GS</t>
  </si>
  <si>
    <t>ANCARBON R S4L05-BR</t>
  </si>
  <si>
    <t>ANCARBON R S4L08-CN</t>
  </si>
  <si>
    <t>ANCARBON R S4L08-EU</t>
  </si>
  <si>
    <t>ANCARBON R S4L08-MX</t>
  </si>
  <si>
    <t>ANCARBON R S4L08-US</t>
  </si>
  <si>
    <t>ANCARBON R S4L08AZ-US</t>
  </si>
  <si>
    <t>ANCARBON R S4L10-CN</t>
  </si>
  <si>
    <t>ANCARBON R S4L12-GS</t>
  </si>
  <si>
    <t>ANCARBON R S5C12-EU</t>
  </si>
  <si>
    <t>ANCARBON R S5L10-EU</t>
  </si>
  <si>
    <t>ANCARBON R S5L12-MX</t>
  </si>
  <si>
    <t>ANCARBON R TB080-EU</t>
  </si>
  <si>
    <t>ANCARBON R TB228</t>
  </si>
  <si>
    <t>ANCARBON R TB256-AR</t>
  </si>
  <si>
    <t>ANCARBON R TB256</t>
  </si>
  <si>
    <t>ANCARBON R TB286-IN</t>
  </si>
  <si>
    <t>ANCARBON R TB287-IN</t>
  </si>
  <si>
    <t>ANCARBON R TB347</t>
  </si>
  <si>
    <t>ANCARBON R TB354</t>
  </si>
  <si>
    <t>ANCARBON R TB356</t>
  </si>
  <si>
    <t>ANCARBON R TB357</t>
  </si>
  <si>
    <t>ANCARBON R TB358</t>
  </si>
  <si>
    <t>ANCARBON R TB359</t>
  </si>
  <si>
    <t>ANCARBON R TB360</t>
  </si>
  <si>
    <t>ANCARBON R TB361</t>
  </si>
  <si>
    <t>ANCARBON R TB363</t>
  </si>
  <si>
    <t>ANCARBON R TB367</t>
  </si>
  <si>
    <t>ANCARBON R TB368</t>
  </si>
  <si>
    <t>ANCARBON R TB369</t>
  </si>
  <si>
    <t>ANCARBON R TB371</t>
  </si>
  <si>
    <t>Converter (BOF), Electric arc furnace, Casting/treatment ladle, null</t>
  </si>
  <si>
    <t>ANCARBON R TB372</t>
  </si>
  <si>
    <t>Casting/treatment ladle, null, Electric arc furnace, Converter (BOF)</t>
  </si>
  <si>
    <t>ANCARBON R TB373</t>
  </si>
  <si>
    <t>ANCARBON R TB374</t>
  </si>
  <si>
    <t>ANCARBON R TB375</t>
  </si>
  <si>
    <t>ANCARBON R TB389</t>
  </si>
  <si>
    <t>ANCARBON R TB391</t>
  </si>
  <si>
    <t>ANCARBON R TB402</t>
  </si>
  <si>
    <t>ANCARBON R TB409</t>
  </si>
  <si>
    <t>Electric arc furnace, Converter (BOF), Casting/treatment ladle, null</t>
  </si>
  <si>
    <t>ANCARBON R TB410</t>
  </si>
  <si>
    <t>ANCARBON R TB411</t>
  </si>
  <si>
    <t>ANCARBON R TB413</t>
  </si>
  <si>
    <t>ANCARBON R TB422</t>
  </si>
  <si>
    <t>ANCARBON R TB423</t>
  </si>
  <si>
    <t>ANCARBON R TB425</t>
  </si>
  <si>
    <t>Magnesia-carbon product type MT-12D GB/T 22589-2017</t>
  </si>
  <si>
    <t>ANCARBON R TB429</t>
  </si>
  <si>
    <t>ANCARBON R TB431</t>
  </si>
  <si>
    <t>ANCARBON R TB434</t>
  </si>
  <si>
    <t>ANCARBON R TB435</t>
  </si>
  <si>
    <t>ANCARBON R TB436</t>
  </si>
  <si>
    <t>ANCARBON R TB437</t>
  </si>
  <si>
    <t>ANCARBON R TB438</t>
  </si>
  <si>
    <t>ANCARBON R TB439</t>
  </si>
  <si>
    <t>Magnesia-carbon product type MT-14B GB/T 22589-2017</t>
  </si>
  <si>
    <t>ANCARBON R TB441</t>
  </si>
  <si>
    <t>ANCARBON R TB444</t>
  </si>
  <si>
    <t>ANCARBON R TB446</t>
  </si>
  <si>
    <t>ANCARBON R TB448</t>
  </si>
  <si>
    <t>ANCARBON R TB451</t>
  </si>
  <si>
    <t>ANCARBON R TB452</t>
  </si>
  <si>
    <t>ANCARBON R TB458</t>
  </si>
  <si>
    <t>ANCARBON R TB459</t>
  </si>
  <si>
    <t>ANCARBON R TB461</t>
  </si>
  <si>
    <t>ANCARBON R TB462</t>
  </si>
  <si>
    <t>ANCARBON R TB465</t>
  </si>
  <si>
    <t>ANCARBON R TB466</t>
  </si>
  <si>
    <t>Casting/treatment ladle, Converter (BOF), null, Electric arc furnace</t>
  </si>
  <si>
    <t>ANCARBON R TB471</t>
  </si>
  <si>
    <t>ANCARBON R TB472</t>
  </si>
  <si>
    <t>ANCARBON R TB474</t>
  </si>
  <si>
    <t>ANCARBON R TB475</t>
  </si>
  <si>
    <t>ANCARBON R TB477</t>
  </si>
  <si>
    <t>ANCARBON R TB478</t>
  </si>
  <si>
    <t>ANCARBON R TB479</t>
  </si>
  <si>
    <t>ANCARBON R TB480</t>
  </si>
  <si>
    <t>ANCARBON R TB485</t>
  </si>
  <si>
    <t>Casting/treatment ladle, null, RH/DH units</t>
  </si>
  <si>
    <t>ANCARBON R TB486</t>
  </si>
  <si>
    <t>null, RH/DH units</t>
  </si>
  <si>
    <t>ANCARBON R TB487</t>
  </si>
  <si>
    <t>ANCARBON R TB490</t>
  </si>
  <si>
    <t>ANCARBON R TB491</t>
  </si>
  <si>
    <t>ANCARBON R TB492</t>
  </si>
  <si>
    <t>null, Electric arc furnace, Casting/treatment ladle, Converter (BOF)</t>
  </si>
  <si>
    <t>ANCARBON R TB493</t>
  </si>
  <si>
    <t>ANCARBON R TB503</t>
  </si>
  <si>
    <t>ANCARBON R TB504</t>
  </si>
  <si>
    <t>ANCARBON R TB505</t>
  </si>
  <si>
    <t>ANCARBON R TB506</t>
  </si>
  <si>
    <t>ANCARBON R TB507</t>
  </si>
  <si>
    <t>ANCARBON R TB508</t>
  </si>
  <si>
    <t>ANCARBON R TB510</t>
  </si>
  <si>
    <t>ANCARBON RRE CN73</t>
  </si>
  <si>
    <t>ANCARBON RRE CN75</t>
  </si>
  <si>
    <t>ANCARBON RRE CN87</t>
  </si>
  <si>
    <t>ANCARBON RRE F1B10MBU</t>
  </si>
  <si>
    <t>ANCARBON RRE F1B10MD</t>
  </si>
  <si>
    <t>ANCARBON RRE F1B14MB</t>
  </si>
  <si>
    <t>ANCARBON RRE F1L14AZ</t>
  </si>
  <si>
    <t>ANCARBON RRE F2B10D</t>
  </si>
  <si>
    <t>ANCARBON RRE F2B10MD</t>
  </si>
  <si>
    <t>ANCARBON RRE F2L12S</t>
  </si>
  <si>
    <t>ANCARBON RRE F3B10</t>
  </si>
  <si>
    <t>ANCARBON RRE F3L10</t>
  </si>
  <si>
    <t>ANCARBON RRE F3L12</t>
  </si>
  <si>
    <t>ANCARBON RRE F3L14AZ</t>
  </si>
  <si>
    <t>ANCARBON RRE F4B10</t>
  </si>
  <si>
    <t>ANCARBON RRE F4L08</t>
  </si>
  <si>
    <t>ANCARBON RRE F4L12</t>
  </si>
  <si>
    <t>ANCARBON RRE F4L14SC</t>
  </si>
  <si>
    <t>ANCARBON RRE F5B14L</t>
  </si>
  <si>
    <t>ANCARBON RRE F5L08</t>
  </si>
  <si>
    <t>ANCARBON RRE F5L14</t>
  </si>
  <si>
    <t>ANCARBON RRE F6L14SC</t>
  </si>
  <si>
    <t>ANCARBON RRE S2L08</t>
  </si>
  <si>
    <t>ANCARBON RZE F1B14MB</t>
  </si>
  <si>
    <t>ANCARBON RZE F2B14MD</t>
  </si>
  <si>
    <t>ANCARBON RZE F2L14AZD</t>
  </si>
  <si>
    <t>ANCARBON RZE F3B14MZ</t>
  </si>
  <si>
    <t>ANCARBON RZE F3L08</t>
  </si>
  <si>
    <t>ANCARBON RZE F3L10</t>
  </si>
  <si>
    <t>ANCARBON RZE F3L10SC</t>
  </si>
  <si>
    <t>ANCARBON RZE F5L14</t>
  </si>
  <si>
    <t>ANCARBON RZE F7B10A</t>
  </si>
  <si>
    <t>ANCARBON RZE F7L10</t>
  </si>
  <si>
    <t>ANCARBON RZE F7L14</t>
  </si>
  <si>
    <t>ANKER 10-K</t>
  </si>
  <si>
    <t>Converter (BOF), Casting/treatment ladle</t>
  </si>
  <si>
    <t>ANKER 10</t>
  </si>
  <si>
    <t>Flat glass, Kiln furniture</t>
  </si>
  <si>
    <t>ANKER 10A</t>
  </si>
  <si>
    <t>Casting/treatment ladle, Converter (BOF)</t>
  </si>
  <si>
    <t>Magnesia-spinel product type MSp80 ISO 10081-2</t>
  </si>
  <si>
    <t>ANKER 20</t>
  </si>
  <si>
    <t>Copper, Nickel, Lead, Hot metal mixer, Flat glass, Ferro alloys</t>
  </si>
  <si>
    <t>ANKER 30-HR</t>
  </si>
  <si>
    <t>Ferrous foundries, Copper, Nickel, Lead, Electric arc furnace</t>
  </si>
  <si>
    <t>ANKER 30-K</t>
  </si>
  <si>
    <t>ANKER 30-T</t>
  </si>
  <si>
    <t>Metallurgy, Converter (BOF)</t>
  </si>
  <si>
    <t>ANKER 30</t>
  </si>
  <si>
    <t>Hot metal mixer, Ferro alloys, Converter (BOF), Electric arc furnace</t>
  </si>
  <si>
    <t>ANKER 30A-HF</t>
  </si>
  <si>
    <t>Lime</t>
  </si>
  <si>
    <t>ANKER 30A-K</t>
  </si>
  <si>
    <t>Casting/treatment ladle, Other ceramics, Converter (BOF)</t>
  </si>
  <si>
    <t>ANKER 30A-T</t>
  </si>
  <si>
    <t>Universal</t>
  </si>
  <si>
    <t>ANKER 30A</t>
  </si>
  <si>
    <t>Hot metal mixer, Converter (BOF), Casting/treatment ladle</t>
  </si>
  <si>
    <t>ANKER 30Z</t>
  </si>
  <si>
    <t>Lime, RH/DH units</t>
  </si>
  <si>
    <t>Magnesia-zirconia product type MZ90 ISO 10081-2</t>
  </si>
  <si>
    <t>ANKER D1-364</t>
  </si>
  <si>
    <t>ANKER D1</t>
  </si>
  <si>
    <t>Copper, Nickel, Lead, Flat glass, Container glass, Special glass, null</t>
  </si>
  <si>
    <t>ANKER DG1-BR</t>
  </si>
  <si>
    <t>Special glass, null, Copper, Nickel, Lead, Flat glass, Container glass</t>
  </si>
  <si>
    <t>ANKER DG1-CN</t>
  </si>
  <si>
    <t>Special glass, Flat glass, null, Container glass</t>
  </si>
  <si>
    <t>ANKER DG10-BR</t>
  </si>
  <si>
    <t>null, Container glass, Special glass, Flat glass</t>
  </si>
  <si>
    <t>ANKER DG10-CN</t>
  </si>
  <si>
    <t>Container glass, null, Flat glass, Lime, Special glass</t>
  </si>
  <si>
    <t>ANKER DG10</t>
  </si>
  <si>
    <t>Special glass, Lime, Container glass, null, Flat glass</t>
  </si>
  <si>
    <t>ANKER DG1</t>
  </si>
  <si>
    <t>Flat glass, null, Container glass, Special glass, Copper, Nickel, Lead</t>
  </si>
  <si>
    <t>ANKER DG3-BR</t>
  </si>
  <si>
    <t>null, Copper, Nickel, Lead, Flat glass, Container glass, Special glass</t>
  </si>
  <si>
    <t>ANKER DG3-CN</t>
  </si>
  <si>
    <t>Flat glass, Container glass, Special glass, null</t>
  </si>
  <si>
    <t>ANKER DG3</t>
  </si>
  <si>
    <t>Flat glass, Copper, Nickel, Lead, Special glass, null, Container glass</t>
  </si>
  <si>
    <t>ANKER DGH1-BR</t>
  </si>
  <si>
    <t>Electric arc furnace, null, RH/DH units, Container glass, Special glass, Flat glass, Casting/treatment ladle, Converter (BOF)</t>
  </si>
  <si>
    <t>ANKER DGH1-T</t>
  </si>
  <si>
    <t>Container glass, Special glass, Converter (BOF), Casting/treatment ladle, Flat glass, null, Electric arc furnace, RH/DH units</t>
  </si>
  <si>
    <t>ANKER DGH1</t>
  </si>
  <si>
    <t>Container glass, Special glass, RH/DH units, Flat glass, Converter (BOF), Electric arc furnace, null, Casting/treatment ladle</t>
  </si>
  <si>
    <t>ANKER M1</t>
  </si>
  <si>
    <t>Hot metal mixer, Lime, null</t>
  </si>
  <si>
    <t>ANKER MZ-K4</t>
  </si>
  <si>
    <t>ANKER N3-CN</t>
  </si>
  <si>
    <t>OH furnace, Converter (BOF), AOD/MRP Converter, Ferro alloys, Copper, Nickel, Lead, null, RH/DH units, Electric arc furnace, Hot metal mixer</t>
  </si>
  <si>
    <t>ANKER N3</t>
  </si>
  <si>
    <t>Casting/treatment ladle, Converter (BOF), null, Electric arc furnace, Copper, Nickel, Lead</t>
  </si>
  <si>
    <t>ANKER N4-CN</t>
  </si>
  <si>
    <t>Converter (BOF), Electric arc furnace, null, OH furnace, Casting/treatment ladle, Copper, Nickel, Lead, RH/DH units</t>
  </si>
  <si>
    <t>ANKER N4</t>
  </si>
  <si>
    <t>Copper, Nickel, Lead, null, Electric arc furnace, Converter (BOF), OH furnace, Hot metal mixer, Casting/treatment ladle, RH/DH units</t>
  </si>
  <si>
    <t>ANKER N5-CN</t>
  </si>
  <si>
    <t>ANKER N6-CN</t>
  </si>
  <si>
    <t>Flat glass, Other industries, Special glass, Container glass, null</t>
  </si>
  <si>
    <t>ANKER N6-GS</t>
  </si>
  <si>
    <t>null, Other industries</t>
  </si>
  <si>
    <t>ANKER N6</t>
  </si>
  <si>
    <t>Other industries, null, Electric arc furnace, RH/DH units, Flat glass, Copper, Nickel, Lead</t>
  </si>
  <si>
    <t>ANKER N7-GS</t>
  </si>
  <si>
    <t>Other industries, null</t>
  </si>
  <si>
    <t>ANKER N8-GS</t>
  </si>
  <si>
    <t>ANKER T15</t>
  </si>
  <si>
    <t>OH furnace, Flat glass, Casting/treatment ladle, Converter (BOF), null, RH/DH units, Electric arc furnace, Copper, Nickel, Lead</t>
  </si>
  <si>
    <t>ANKERFORM 379</t>
  </si>
  <si>
    <t>ANKERFORM 380</t>
  </si>
  <si>
    <t>ANKERFORM BM88R</t>
  </si>
  <si>
    <t>Magnesia-carbon product type MC85/7A ISO 10081-3</t>
  </si>
  <si>
    <t>ANKERFORM BM90R</t>
  </si>
  <si>
    <t>AOD/MRP Converter</t>
  </si>
  <si>
    <t>ANKERFORM BM92</t>
  </si>
  <si>
    <t>null, Tundish</t>
  </si>
  <si>
    <t>ANKERFORM BM93S</t>
  </si>
  <si>
    <t>ANKERFORM BM94</t>
  </si>
  <si>
    <t>ANKERFORM HLS-RD1-BK</t>
  </si>
  <si>
    <t>ANKERFORM HLS-RD1</t>
  </si>
  <si>
    <t>ANKERFORM YD41R</t>
  </si>
  <si>
    <t>Dolomite product type D40 ISO 10081-2</t>
  </si>
  <si>
    <t>ANKERMAC C F505C1</t>
  </si>
  <si>
    <t>ANKERMAC R F510B2</t>
  </si>
  <si>
    <t>Magnesia-carbon product type MC85/10 ISO 10081-3</t>
  </si>
  <si>
    <t>ANKERMAC R F614R4A</t>
  </si>
  <si>
    <t>Magnesia-Alumina-carbon-product</t>
  </si>
  <si>
    <t>ANKERMAC R F710B2</t>
  </si>
  <si>
    <t>ANKERMAC R F714R3J</t>
  </si>
  <si>
    <t>ANKERMAC R S207F2A</t>
  </si>
  <si>
    <t>ANKERMAC R S207F3A</t>
  </si>
  <si>
    <t>ANKERMAC R S207F4AZB</t>
  </si>
  <si>
    <t>ANKERMAC R S209F5AB</t>
  </si>
  <si>
    <t>ANKERMAC R S210B2</t>
  </si>
  <si>
    <t>ANKERMAC R S512R1</t>
  </si>
  <si>
    <t>ANKERMAC R TB329</t>
  </si>
  <si>
    <t>ANKERMAC R TB427</t>
  </si>
  <si>
    <t>ANKERMAC R TB501</t>
  </si>
  <si>
    <t>ANKERMAK TB509</t>
  </si>
  <si>
    <t>ANKERPERM POR-B15</t>
  </si>
  <si>
    <t>ANKERPERM POR-D19</t>
  </si>
  <si>
    <t>ANKERPERM POR-RD1</t>
  </si>
  <si>
    <t>ANKERPERM TLS-458</t>
  </si>
  <si>
    <t>ANKERPERM VRS-003</t>
  </si>
  <si>
    <t>ANKERTAP FMR101 GS</t>
  </si>
  <si>
    <t>ANKERTAP FMR243</t>
  </si>
  <si>
    <t>ANKERTAP FMR245</t>
  </si>
  <si>
    <t>ANKERTAP FMR246</t>
  </si>
  <si>
    <t>ANKERTAP FMR247</t>
  </si>
  <si>
    <t>ANKERTAP FMR248</t>
  </si>
  <si>
    <t>ANKERTAP FMR261</t>
  </si>
  <si>
    <t>ANKERTAP FMR262</t>
  </si>
  <si>
    <t>ANKERTAP FMR263</t>
  </si>
  <si>
    <t>ANKERTAP HMB115X</t>
  </si>
  <si>
    <t>null, Converter (BOF), Copper, Nickel, Lead</t>
  </si>
  <si>
    <t>ANKERTAP HMB117X</t>
  </si>
  <si>
    <t>null, Copper, Nickel, Lead, Converter (BOF)</t>
  </si>
  <si>
    <t>ANKERTAP HMC111X</t>
  </si>
  <si>
    <t>ANKERTAP HMC114</t>
  </si>
  <si>
    <t>ANKERTAP HMC114X</t>
  </si>
  <si>
    <t>ANKERTAP HMC130</t>
  </si>
  <si>
    <t>ANKERTAP HMC151</t>
  </si>
  <si>
    <t>ANKERTAP HMC151X</t>
  </si>
  <si>
    <t>ANKERTAP HMC153</t>
  </si>
  <si>
    <t>ANKERTAP HMC153X</t>
  </si>
  <si>
    <t>ANKERTAP HMC180</t>
  </si>
  <si>
    <t>Converter (BOF), null, Casting/treatment ladle</t>
  </si>
  <si>
    <t>ANKERTAP HMC190</t>
  </si>
  <si>
    <t>ANKERTAP HMC190X</t>
  </si>
  <si>
    <t>ANKERTAP HMC191</t>
  </si>
  <si>
    <t>ANKERTAP HMC193X</t>
  </si>
  <si>
    <t>ANKERTAP HMC195X</t>
  </si>
  <si>
    <t>ANKERTAP HMC236X</t>
  </si>
  <si>
    <t>ANKERTAP HMC269X</t>
  </si>
  <si>
    <t>ANKERTAP HMC287X</t>
  </si>
  <si>
    <t>ANKERTAP HMR107</t>
  </si>
  <si>
    <t>ANKERTAP HMR108</t>
  </si>
  <si>
    <t>ANKERTAP HMR112X</t>
  </si>
  <si>
    <t>ANKERTAP HMR113X</t>
  </si>
  <si>
    <t>ANKERTAP HMR153</t>
  </si>
  <si>
    <t>ANKERTAP HMR173-GS</t>
  </si>
  <si>
    <t>Magnesia-carbon product type MC85/15 ISO 10081-3</t>
  </si>
  <si>
    <t>ANKERTAP HMR173</t>
  </si>
  <si>
    <t>ANKERTAP HMR183</t>
  </si>
  <si>
    <t>ANKERTAP HMR194</t>
  </si>
  <si>
    <t>ANKERTAP TB416-GS</t>
  </si>
  <si>
    <t>ANKERTAP TB417-GS</t>
  </si>
  <si>
    <t>ANKERTAP TB418-GS</t>
  </si>
  <si>
    <t>ANKERTAP TB419-GS</t>
  </si>
  <si>
    <t>ANKERTAP TB430</t>
  </si>
  <si>
    <t>ANKERTAP TB467</t>
  </si>
  <si>
    <t>ANKERTAP TB468</t>
  </si>
  <si>
    <t>ANKERTAP TB476</t>
  </si>
  <si>
    <t>ANKRAL CK</t>
  </si>
  <si>
    <t>Sintering and transition zones, Lime, null</t>
  </si>
  <si>
    <t>ANKRAL Q1-LC</t>
  </si>
  <si>
    <t>null, Sintering and transition zones</t>
  </si>
  <si>
    <t>ANKRAL Q1</t>
  </si>
  <si>
    <t>Heavily loaded transition zones, Lime, null</t>
  </si>
  <si>
    <t>ANKRAL Q1X</t>
  </si>
  <si>
    <t>Heavily loaded transition zones, null</t>
  </si>
  <si>
    <t>ANKRAL Q2-LC</t>
  </si>
  <si>
    <t>ANKRAL Q2</t>
  </si>
  <si>
    <t>ANKRAL Q2X</t>
  </si>
  <si>
    <t>null, Sintering and transition zones, Lime</t>
  </si>
  <si>
    <t>ANKRAL QC</t>
  </si>
  <si>
    <t>ANKRAL QCX</t>
  </si>
  <si>
    <t>Lime, null, Sintering and transition zones</t>
  </si>
  <si>
    <t>ANKRAL QF</t>
  </si>
  <si>
    <t>ANKRAL QFX</t>
  </si>
  <si>
    <t>null, Heavily loaded transition zones, Lime</t>
  </si>
  <si>
    <t>ANKRAL QK</t>
  </si>
  <si>
    <t>ANKRAL R1</t>
  </si>
  <si>
    <t>Flat glass, Heavily loaded transition zones, Lime, null, Copper, Nickel, Lead</t>
  </si>
  <si>
    <t>ANKRAL R2</t>
  </si>
  <si>
    <t>null, Heavily loaded transition zones, Copper, Nickel, Lead, Lime</t>
  </si>
  <si>
    <t>ANKRAL R2L</t>
  </si>
  <si>
    <t>Copper, Nickel, Lead, Lime, Heavily loaded transition zones, null</t>
  </si>
  <si>
    <t>ANKRAL R6</t>
  </si>
  <si>
    <t>Lime, Sintering and transition zones, null</t>
  </si>
  <si>
    <t>ANKRAL R8-LC</t>
  </si>
  <si>
    <t>ANKRAL R8</t>
  </si>
  <si>
    <t>Sintering and transition zones, null</t>
  </si>
  <si>
    <t>ANKRAL R8X</t>
  </si>
  <si>
    <t>ANKRAL RA1</t>
  </si>
  <si>
    <t>Sintering and transition zones, Lime, Cement</t>
  </si>
  <si>
    <t>ANKRAL RA2</t>
  </si>
  <si>
    <t>Cement, Lime, Sintering and transition zones</t>
  </si>
  <si>
    <t>ANKRAL RA3-LC</t>
  </si>
  <si>
    <t>ANKRAL RA3</t>
  </si>
  <si>
    <t>Lime, Cement, Sintering and transition zones</t>
  </si>
  <si>
    <t>ANKRAL RB1-LC</t>
  </si>
  <si>
    <t>null, Lime, Heavily loaded transition zones, Copper, Nickel, Lead</t>
  </si>
  <si>
    <t>ANKRAL RB1</t>
  </si>
  <si>
    <t>Copper, Nickel, Lead, null, Heavily loaded transition zones, Lime</t>
  </si>
  <si>
    <t>ANKRAL RB</t>
  </si>
  <si>
    <t>ANKRAL RB3-LC</t>
  </si>
  <si>
    <t>ANKRAL RB3</t>
  </si>
  <si>
    <t>ANKRAL RC-LC</t>
  </si>
  <si>
    <t>ANKRAL RC</t>
  </si>
  <si>
    <t>ANKRAL RCX</t>
  </si>
  <si>
    <t>ANKRAL RD-LC</t>
  </si>
  <si>
    <t>null, Lime, Sintering and transition zones</t>
  </si>
  <si>
    <t>ANKRAL RK</t>
  </si>
  <si>
    <t>Lime, null, Heavily loaded transition zones</t>
  </si>
  <si>
    <t>ANKRAL RKS</t>
  </si>
  <si>
    <t>Cement, Sintering and transition zones, Lime</t>
  </si>
  <si>
    <t>ANKRAL RN-LC</t>
  </si>
  <si>
    <t>ANKRAL RN</t>
  </si>
  <si>
    <t>ANKRAL RS-LC</t>
  </si>
  <si>
    <t>Sintering and transition zones, null, Lime</t>
  </si>
  <si>
    <t>ANKRAL RS2</t>
  </si>
  <si>
    <t>Sintering and transition zones, Cement, Heavily loaded transition zones, Lime</t>
  </si>
  <si>
    <t>ANKRAL RS5-LC</t>
  </si>
  <si>
    <t>Cement, Sintering and transition zones, Lime, Heavily loaded transition zones</t>
  </si>
  <si>
    <t>ANKRAL RS5</t>
  </si>
  <si>
    <t>Lime, Heavily loaded transition zones, Cement, Sintering and transition zones</t>
  </si>
  <si>
    <t>ANKRAL RSZ</t>
  </si>
  <si>
    <t>ANKRAL RX</t>
  </si>
  <si>
    <t>ANKRAL S2</t>
  </si>
  <si>
    <t>Sintering and transition zones, null, Copper, Nickel, Lead</t>
  </si>
  <si>
    <t>Magnesia-chromite product type MCr80 ISO 10081-2</t>
  </si>
  <si>
    <t>ANKRAL SB</t>
  </si>
  <si>
    <t>Cement, Lime</t>
  </si>
  <si>
    <t>ANKRAL SE</t>
  </si>
  <si>
    <t>Copper, Nickel, Lead, null, Sintering and transition zones, Lime</t>
  </si>
  <si>
    <t>Magnesia-chromite product type MCr70 ISO 10081-2</t>
  </si>
  <si>
    <t>ANKRAL TB004</t>
  </si>
  <si>
    <t>ANKRAL TB201</t>
  </si>
  <si>
    <t>ANKRAL TB203</t>
  </si>
  <si>
    <t>ANKRAL TBQ1</t>
  </si>
  <si>
    <t>null, Heavily loaded transition zones</t>
  </si>
  <si>
    <t>ANKRAL TBR8</t>
  </si>
  <si>
    <t>ANKRAL TLS</t>
  </si>
  <si>
    <t>ANKRAL Z1</t>
  </si>
  <si>
    <t>ANKRAL Z3</t>
  </si>
  <si>
    <t>ANKRAL Z6</t>
  </si>
  <si>
    <t>ANKRAL ZC-GS</t>
  </si>
  <si>
    <t>ANKRAL ZC</t>
  </si>
  <si>
    <t>ANKRAL ZD</t>
  </si>
  <si>
    <t>ANKRAL ZE AF-LC</t>
  </si>
  <si>
    <t>ANKRAL ZE-AF</t>
  </si>
  <si>
    <t>ANKRAL ZE</t>
  </si>
  <si>
    <t>ANKRAL ZF</t>
  </si>
  <si>
    <t>ANKRAL ZK</t>
  </si>
  <si>
    <t>ANKROM B6 D</t>
  </si>
  <si>
    <t>ANKROM B6-100</t>
  </si>
  <si>
    <t>Copper, Nickel, Lead, OH furnace, null, Electric arc furnace</t>
  </si>
  <si>
    <t>ANKROM B6-99 CERAMICS</t>
  </si>
  <si>
    <t>ANKROM B65</t>
  </si>
  <si>
    <t>RH/DH units, null, Lime, Flat glass, Copper, Nickel, Lead, Casting/treatment ladle</t>
  </si>
  <si>
    <t>Magnesia-chromite product type MCr50 ISO 10081-2</t>
  </si>
  <si>
    <t>BLOCKMAG HE</t>
  </si>
  <si>
    <t>DIPERMAL 80 CERAMICS</t>
  </si>
  <si>
    <t>DIPERMAL 80-PU/E</t>
  </si>
  <si>
    <t>DIPERMAL 80/4 SP</t>
  </si>
  <si>
    <t>null, Slide gate</t>
  </si>
  <si>
    <t>DIPERMAL 80/4</t>
  </si>
  <si>
    <t>DIPERMAL 80/80S-PU/E</t>
  </si>
  <si>
    <t>DIPERMAL 80H CERAMICS</t>
  </si>
  <si>
    <t>DIPERMAL 80H-PU/E</t>
  </si>
  <si>
    <t>DIPERMAL D1068</t>
  </si>
  <si>
    <t>DIPERMAL D941</t>
  </si>
  <si>
    <t>Tundish sliding gates, null</t>
  </si>
  <si>
    <t>GRAINBOND 6-S-RG-T3</t>
  </si>
  <si>
    <t>Copper, Nickel, Lead, null, RH/DH units</t>
  </si>
  <si>
    <t>Magnesia-chromite product type MCr60 ISO 10081-2</t>
  </si>
  <si>
    <t>GRAINBOND DB-2-H</t>
  </si>
  <si>
    <t>Copper, Nickel, Lead, RH/DH units, null</t>
  </si>
  <si>
    <t>MAGDOL M9B</t>
  </si>
  <si>
    <t>Cement</t>
  </si>
  <si>
    <t>MAGKOR A3-P</t>
  </si>
  <si>
    <t>Lime, null</t>
  </si>
  <si>
    <t>MAGKOR A3</t>
  </si>
  <si>
    <t>MAGKOR B1</t>
  </si>
  <si>
    <t>Copper, Nickel, Lead, Heavily loaded transition zones, Lime, null</t>
  </si>
  <si>
    <t>MAGKOR B3</t>
  </si>
  <si>
    <t>MAGKOR K</t>
  </si>
  <si>
    <t>MAGKOR MA8S</t>
  </si>
  <si>
    <t>Crucible induction furnace</t>
  </si>
  <si>
    <t>MAGKOR S2</t>
  </si>
  <si>
    <t>Lime, Sintering and transition zones, Cement, Heavily loaded transition zones</t>
  </si>
  <si>
    <t>MAGKOR S5</t>
  </si>
  <si>
    <t>MAGKOR S8</t>
  </si>
  <si>
    <t>MAGNEFOR</t>
  </si>
  <si>
    <t>N-ANKERTAP HMR CP</t>
  </si>
  <si>
    <t>N-RUBINAL D566</t>
  </si>
  <si>
    <t>PENTABRICK A05</t>
  </si>
  <si>
    <t>Electric arc furnace, Casting/treatment ladle</t>
  </si>
  <si>
    <t>PENTABRICK C01</t>
  </si>
  <si>
    <t>Casting/treatment ladle, Electric arc furnace</t>
  </si>
  <si>
    <t>PENTABRICK HR47</t>
  </si>
  <si>
    <t>RADEX 40</t>
  </si>
  <si>
    <t>Reheat furnaces, Copper, Nickel, Lead</t>
  </si>
  <si>
    <t>Magnesia-chromite product type MCr40 ISO 10081-2</t>
  </si>
  <si>
    <t>RADEX 50</t>
  </si>
  <si>
    <t>RH/DH units, Copper, Nickel, Lead, null</t>
  </si>
  <si>
    <t>RADEX 60 PB E</t>
  </si>
  <si>
    <t>null, Copper, Nickel, Lead, RH/DH units</t>
  </si>
  <si>
    <t>RADEX 60</t>
  </si>
  <si>
    <t>Flat glass, null, Copper, Nickel, Lead</t>
  </si>
  <si>
    <t>RADEX 60S D</t>
  </si>
  <si>
    <t>Flow control ISO, Copper, Nickel, Lead, null</t>
  </si>
  <si>
    <t>RADEX 60S-BR</t>
  </si>
  <si>
    <t>RADEX 60S</t>
  </si>
  <si>
    <t>Copper, Nickel, Lead, null, Flow control ISO</t>
  </si>
  <si>
    <t>RADEX 6F1</t>
  </si>
  <si>
    <t>RADEX 6F3-K</t>
  </si>
  <si>
    <t>null, Copper, Nickel, Lead, Tuyere zone</t>
  </si>
  <si>
    <t>RADEX 6F3</t>
  </si>
  <si>
    <t>RH/DH units, Other industries, Flat glass</t>
  </si>
  <si>
    <t>RADEX 6F4P</t>
  </si>
  <si>
    <t>Tuyere zone, RH/DH units, Other industries</t>
  </si>
  <si>
    <t>RADEX 6F6</t>
  </si>
  <si>
    <t>RH/DH units, Flat glass, Other industries</t>
  </si>
  <si>
    <t>RADEX 6RG-HF-K</t>
  </si>
  <si>
    <t>RH/DH units</t>
  </si>
  <si>
    <t>RADEX 6RG-K</t>
  </si>
  <si>
    <t>Copper, Nickel, Lead, null</t>
  </si>
  <si>
    <t>RADEX 70S-GS</t>
  </si>
  <si>
    <t>Chem/petroch/oth.EEC, null, Container glass, Special glass, Flat glass</t>
  </si>
  <si>
    <t>RADEX 7F2-K</t>
  </si>
  <si>
    <t>RADEX 7F2</t>
  </si>
  <si>
    <t>RADEX A</t>
  </si>
  <si>
    <t>RADEX AF-LC</t>
  </si>
  <si>
    <t>null, Lime</t>
  </si>
  <si>
    <t>RADEX AF</t>
  </si>
  <si>
    <t>RADEX AS90-BR</t>
  </si>
  <si>
    <t>Lime, null, Flat glass, Copper, Nickel, Lead</t>
  </si>
  <si>
    <t>RADEX AS90</t>
  </si>
  <si>
    <t>Lime, Copper, Nickel, Lead, Flat glass, null</t>
  </si>
  <si>
    <t>RADEX AS90S</t>
  </si>
  <si>
    <t>Heavily loaded transition zones, Flat glass, Copper, Nickel, Lead, Lime, null</t>
  </si>
  <si>
    <t>RADEX AS90ST</t>
  </si>
  <si>
    <t>RADEX AS96ST-CN</t>
  </si>
  <si>
    <t>RADEX AS98</t>
  </si>
  <si>
    <t>RADEX AS98E</t>
  </si>
  <si>
    <t>RADEX AS98MS</t>
  </si>
  <si>
    <t>RADEX AS98ST-CN</t>
  </si>
  <si>
    <t>RADEX AS98ST</t>
  </si>
  <si>
    <t>RADEX AS98X</t>
  </si>
  <si>
    <t>RADEX BC25-CN</t>
  </si>
  <si>
    <t>null, Copper, Nickel, Lead</t>
  </si>
  <si>
    <t>RADEX BCF-6RG-G</t>
  </si>
  <si>
    <t>RH/DH units, Copper, Nickel, Lead</t>
  </si>
  <si>
    <t>RADEX BCF-6RG</t>
  </si>
  <si>
    <t>Copper, Nickel, Lead, RH/DH units</t>
  </si>
  <si>
    <t>RADEX BCF-F11-BR</t>
  </si>
  <si>
    <t>RADEX BCF-F11-CN</t>
  </si>
  <si>
    <t>RH/DH units, null, Copper, Nickel, Lead</t>
  </si>
  <si>
    <t>RADEX BCF-F11</t>
  </si>
  <si>
    <t>RADEX BCF-F13</t>
  </si>
  <si>
    <t>RADEX BCF-F15</t>
  </si>
  <si>
    <t>RADEX BCF-F15X</t>
  </si>
  <si>
    <t>RADEX BCF-F22-CN</t>
  </si>
  <si>
    <t>Flat glass, RH/DH units, Container glass, Special glass, null</t>
  </si>
  <si>
    <t>RADEX BCF-F22</t>
  </si>
  <si>
    <t>RADEX BCF-F23</t>
  </si>
  <si>
    <t>RADEX BCF-F24</t>
  </si>
  <si>
    <t>RADEX BCF3-HF</t>
  </si>
  <si>
    <t>RADEX BCF51</t>
  </si>
  <si>
    <t>RADEX BCF55-BR</t>
  </si>
  <si>
    <t>RADEX BCF55-GS</t>
  </si>
  <si>
    <t>RADEX BCF55-T</t>
  </si>
  <si>
    <t>RADEX BCF55</t>
  </si>
  <si>
    <t>null, RH/DH units, Copper, Nickel, Lead</t>
  </si>
  <si>
    <t>RADEX BCF56E</t>
  </si>
  <si>
    <t>RADEX BCF59E</t>
  </si>
  <si>
    <t>RADEX BO-T</t>
  </si>
  <si>
    <t>RADEX DB4</t>
  </si>
  <si>
    <t>Container glass, Flat glass, Special glass, null</t>
  </si>
  <si>
    <t>RADEX DB505</t>
  </si>
  <si>
    <t>RADEX DB505B</t>
  </si>
  <si>
    <t>RADEX DB5</t>
  </si>
  <si>
    <t>RADEX DB55</t>
  </si>
  <si>
    <t>RADEX DB6 COMPACT</t>
  </si>
  <si>
    <t>RADEX DB6 D</t>
  </si>
  <si>
    <t>null, Copper, Nickel, Lead, RH/DH units, Lime</t>
  </si>
  <si>
    <t>RADEX DB6-BR</t>
  </si>
  <si>
    <t>RADEX DB6-CN</t>
  </si>
  <si>
    <t>Copper, Nickel, Lead, RH/DH units, Lime, null</t>
  </si>
  <si>
    <t>RADEX DB6-FG</t>
  </si>
  <si>
    <t>RADEX DB6-GS</t>
  </si>
  <si>
    <t>RH/DH units, Lime, null, Copper, Nickel, Lead</t>
  </si>
  <si>
    <t>RADEX DB6-SR D</t>
  </si>
  <si>
    <t>RADEX DB6-SR-BR</t>
  </si>
  <si>
    <t>Casting/treatment ladle, Copper, Nickel, Lead, Tuyere zone, RH/DH units</t>
  </si>
  <si>
    <t>RADEX DB6-SR-GS</t>
  </si>
  <si>
    <t>RADEX DB6-SR</t>
  </si>
  <si>
    <t>RADEX DB60-BR</t>
  </si>
  <si>
    <t>Flat glass, RH/DH units, null, Copper, Nickel, Lead</t>
  </si>
  <si>
    <t>RADEX DB60</t>
  </si>
  <si>
    <t>RH/DH units, null, Flat glass, Copper, Nickel, Lead</t>
  </si>
  <si>
    <t>RADEX DB605-GS</t>
  </si>
  <si>
    <t>Special glass, Copper, Nickel, Lead, null, Container glass, Flat glass, RH/DH units</t>
  </si>
  <si>
    <t>RADEX DB605-PU/E</t>
  </si>
  <si>
    <t>RADEX DB605</t>
  </si>
  <si>
    <t>Copper, Nickel, Lead, null, RH/DH units, Special glass, Flat glass, Container glass</t>
  </si>
  <si>
    <t>RADEX DB6</t>
  </si>
  <si>
    <t>RADEX DB62</t>
  </si>
  <si>
    <t>RADEX DB6FM D</t>
  </si>
  <si>
    <t>RADEX DB8</t>
  </si>
  <si>
    <t>Flat glass, null, Lime, Other industries, Heavily loaded transition zones, Copper, Nickel, Lead</t>
  </si>
  <si>
    <t>RADEX DBF25</t>
  </si>
  <si>
    <t>RADEX DMC</t>
  </si>
  <si>
    <t>RADEX DME</t>
  </si>
  <si>
    <t>RADEX DPP28</t>
  </si>
  <si>
    <t>RADEX EF-CN</t>
  </si>
  <si>
    <t>Special glass, Container glass, null, Lime, Flat glass</t>
  </si>
  <si>
    <t>Magnesia product type M85 ISO 10081-2</t>
  </si>
  <si>
    <t>RADEX ESD</t>
  </si>
  <si>
    <t>Flat glass, Copper, Nickel, Lead, null</t>
  </si>
  <si>
    <t>RADEX F2T12VT</t>
  </si>
  <si>
    <t>RADEX FG COMPACT</t>
  </si>
  <si>
    <t>RADEX FG D</t>
  </si>
  <si>
    <t>RADEX FG E-BR</t>
  </si>
  <si>
    <t>RADEX FG E</t>
  </si>
  <si>
    <t>RADEX FG-GS</t>
  </si>
  <si>
    <t>RADEX FG</t>
  </si>
  <si>
    <t>RADEX FG5-SR</t>
  </si>
  <si>
    <t>RADEX FGE-GS</t>
  </si>
  <si>
    <t>RADEX FGLI</t>
  </si>
  <si>
    <t>RADEX FGS COMPACT</t>
  </si>
  <si>
    <t>RADEX FGS-BR</t>
  </si>
  <si>
    <t>RADEX FGS-GS</t>
  </si>
  <si>
    <t>RADEX FGS</t>
  </si>
  <si>
    <t>RADEX FM-T</t>
  </si>
  <si>
    <t>RADEX FM</t>
  </si>
  <si>
    <t>RADEX FM5</t>
  </si>
  <si>
    <t>RADEX FM6-BR</t>
  </si>
  <si>
    <t>RADEX FM6</t>
  </si>
  <si>
    <t>RADEX FM8</t>
  </si>
  <si>
    <t>Casting/treatment ladle, null, Copper, Nickel, Lead</t>
  </si>
  <si>
    <t>RADEX GV-CN</t>
  </si>
  <si>
    <t>null, Flat glass, Special glass, Container glass</t>
  </si>
  <si>
    <t>RADEX GV-T</t>
  </si>
  <si>
    <t>Copper, Nickel, Lead, null, Casting/treatment ladle</t>
  </si>
  <si>
    <t>RADEX GV</t>
  </si>
  <si>
    <t>RADEX GW-CN</t>
  </si>
  <si>
    <t>null, Container glass, Flat glass, Special glass</t>
  </si>
  <si>
    <t>RADEX GZ-CN</t>
  </si>
  <si>
    <t>Flat glass, Special glass, null, Container glass</t>
  </si>
  <si>
    <t>Magnesia-zirconia product type MZ70 ISO 10081-2</t>
  </si>
  <si>
    <t>RADEX H60-01</t>
  </si>
  <si>
    <t>RADEX H60</t>
  </si>
  <si>
    <t>Flat glass, Casting/treatment ladle, null, Copper, Nickel, Lead, Lime, RH/DH units</t>
  </si>
  <si>
    <t>RADEX H60F-GS</t>
  </si>
  <si>
    <t>RADEX H60F</t>
  </si>
  <si>
    <t>Copper, Nickel, Lead, Flow control ISO, null</t>
  </si>
  <si>
    <t>RADEX H705</t>
  </si>
  <si>
    <t>Copper, Nickel, Lead, Cement, null, Flat glass</t>
  </si>
  <si>
    <t>RADEX HR D</t>
  </si>
  <si>
    <t>AOD/MRP Converter, OH furnace, Converter (BOF), null, RH/DH units, Hot metal mixer, Copper, Nickel, Lead, Electric arc furnace, Ferro alloys</t>
  </si>
  <si>
    <t>RADEX HR-CN</t>
  </si>
  <si>
    <t>Electric arc furnace, RH/DH units, Hot metal mixer, AOD/MRP Converter, Copper, Nickel, Lead, Converter (BOF), null, OH furnace, Ferro alloys</t>
  </si>
  <si>
    <t>RADEX HUE</t>
  </si>
  <si>
    <t>Electric arc furnace, Flat glass, RH/DH units, Other industries, Copper, Nickel, Lead, null</t>
  </si>
  <si>
    <t>RADEX HZ1</t>
  </si>
  <si>
    <t>RADEX M-GS</t>
  </si>
  <si>
    <t>Container glass, Flat glass, Electric arc furnace, RH/DH units, Casting/treatment ladle, Converter (BOF), Special glass, null, Copper, Nickel, Lead, OH furnace</t>
  </si>
  <si>
    <t>RADEX M-T-GS</t>
  </si>
  <si>
    <t>RADEX M</t>
  </si>
  <si>
    <t>RH/DH units, Converter (BOF), Casting/treatment ladle, null, Copper, Nickel, Lead, OH furnace, Electric arc furnace</t>
  </si>
  <si>
    <t>RADEX MC11-PU/H</t>
  </si>
  <si>
    <t>RADEX MC11</t>
  </si>
  <si>
    <t>RADEX OM4-HR</t>
  </si>
  <si>
    <t>RADEX OM4-T</t>
  </si>
  <si>
    <t>Converter (BOF), Casting/treatment ladle, Hot metal mixer, OH furnace, null, RH/DH units, Electric arc furnace, Copper, Nickel, Lead</t>
  </si>
  <si>
    <t>RADEX PBK3412-T</t>
  </si>
  <si>
    <t>RADEX PLE12-VT</t>
  </si>
  <si>
    <t>Casting/treatment ladle, Electric arc furnace, Copper, Nickel, Lead, Ferro alloys, null, Converter (BOF)</t>
  </si>
  <si>
    <t>RADEX S COMPACT</t>
  </si>
  <si>
    <t>Electric arc furnace, null, Copper, Nickel, Lead</t>
  </si>
  <si>
    <t>RADEX S-T COMPACT</t>
  </si>
  <si>
    <t>null, Ferro alloys</t>
  </si>
  <si>
    <t>RADEX S-T</t>
  </si>
  <si>
    <t>OH furnace, null, Flat glass, Converter (BOF), Casting/treatment ladle, Electric arc furnace, Copper, Nickel, Lead, RH/DH units</t>
  </si>
  <si>
    <t>RADEX S112-T</t>
  </si>
  <si>
    <t>Electric arc furnace, Flat glass, null, Copper, Nickel, Lead</t>
  </si>
  <si>
    <t>RADEX S112</t>
  </si>
  <si>
    <t>null, Copper, Nickel, Lead, Flat glass, Electric arc furnace</t>
  </si>
  <si>
    <t>RADEX S</t>
  </si>
  <si>
    <t>Flat glass, Container glass, null, Special glass, Copper, Nickel, Lead</t>
  </si>
  <si>
    <t>RADEX SG-CN-GS</t>
  </si>
  <si>
    <t>Flat glass, Special glass, Container glass, null, Lime</t>
  </si>
  <si>
    <t>RADEX SG-CN</t>
  </si>
  <si>
    <t>Flat glass, Lime, Container glass, null, Special glass</t>
  </si>
  <si>
    <t>RADEX SG-E</t>
  </si>
  <si>
    <t>Flat glass, Special glass, Container glass, null</t>
  </si>
  <si>
    <t>RADEX SG-GS</t>
  </si>
  <si>
    <t>RADEX SG</t>
  </si>
  <si>
    <t>RADEX SGW-BK</t>
  </si>
  <si>
    <t>Lime, Container glass, Special glass, null, Flat glass</t>
  </si>
  <si>
    <t>RADEX SGW</t>
  </si>
  <si>
    <t>Special glass, Container glass, Flat glass, Lime, null</t>
  </si>
  <si>
    <t>RADEX SH</t>
  </si>
  <si>
    <t>Ferro alloys, null</t>
  </si>
  <si>
    <t>RADEX SKMTC</t>
  </si>
  <si>
    <t>Electric arc furnace, Special glass, null, Container glass, Flat glass, OH furnace</t>
  </si>
  <si>
    <t>RADEX SMB-LC</t>
  </si>
  <si>
    <t>RADEX SMB</t>
  </si>
  <si>
    <t>RADEX SMC-LC</t>
  </si>
  <si>
    <t>RADEX SMC</t>
  </si>
  <si>
    <t>RADEX TB014</t>
  </si>
  <si>
    <t>RADEX TB015</t>
  </si>
  <si>
    <t>RADEX TB016</t>
  </si>
  <si>
    <t>RADEX TB017</t>
  </si>
  <si>
    <t>RADEX VFG-SR</t>
  </si>
  <si>
    <t>RADEX VFG</t>
  </si>
  <si>
    <t>RADEX VS-CN-GS</t>
  </si>
  <si>
    <t>Special glass, null, Container glass, Flat glass</t>
  </si>
  <si>
    <t>RADEX VS-CN</t>
  </si>
  <si>
    <t>RADEX VS-F-GS</t>
  </si>
  <si>
    <t>RADEX VS-F</t>
  </si>
  <si>
    <t>Electric arc furnace, Special glass, Container glass, Flat glass, null</t>
  </si>
  <si>
    <t>RADEX VS</t>
  </si>
  <si>
    <t>RADEX VZ-CN</t>
  </si>
  <si>
    <t>Special glass, Flat glass, Container glass, null</t>
  </si>
  <si>
    <t>RESIMAG HP</t>
  </si>
  <si>
    <t>Ladle sliding gates</t>
  </si>
  <si>
    <t>REXAL 153D</t>
  </si>
  <si>
    <t>REXAL 153DA T3</t>
  </si>
  <si>
    <t>null, Ladle sliding gates</t>
  </si>
  <si>
    <t>REXAL 90B</t>
  </si>
  <si>
    <t>null, Kiln furniture</t>
  </si>
  <si>
    <t>REXAL S EXTRA</t>
  </si>
  <si>
    <t>null, Heavily loaded transition zones, Lime, Copper, Nickel, Lead</t>
  </si>
  <si>
    <t>RISADARDO 40-H-USM</t>
  </si>
  <si>
    <t>RISADARDO 50-H-USM</t>
  </si>
  <si>
    <t>RISADARDO B-ACM</t>
  </si>
  <si>
    <t>RISADARDO B-CAP</t>
  </si>
  <si>
    <t>RISADARDO B-CSN</t>
  </si>
  <si>
    <t>RISADARDO B-LD7-CSP</t>
  </si>
  <si>
    <t>RISADARDO B-USM</t>
  </si>
  <si>
    <t>RISADARDO H-ACM</t>
  </si>
  <si>
    <t>RISADARDO H-CAP</t>
  </si>
  <si>
    <t>RISADARDO H-CSN</t>
  </si>
  <si>
    <t>RISADARDO H-CSP</t>
  </si>
  <si>
    <t>RUBINAL 335 T4</t>
  </si>
  <si>
    <t>Ladle sliding gates, null</t>
  </si>
  <si>
    <t>RUBINAL 337 T4</t>
  </si>
  <si>
    <t>RUBINAL 754HV T3</t>
  </si>
  <si>
    <t>Slide gate, null</t>
  </si>
  <si>
    <t>RUBINAL 806H</t>
  </si>
  <si>
    <t>Magnesia-carbon product type MC85/7 ISO 10081-3</t>
  </si>
  <si>
    <t>RUBINAL 806HV T3</t>
  </si>
  <si>
    <t>RUBINAL 90H</t>
  </si>
  <si>
    <t>RUBINAL C820 T4</t>
  </si>
  <si>
    <t>Magnesia-spinel product type MSp60 ISO 10081-2</t>
  </si>
  <si>
    <t>RUBINAL D1013</t>
  </si>
  <si>
    <t>Magnesia-spinel product type MSp70 ISO 10081-2</t>
  </si>
  <si>
    <t>RUBINAL D1058</t>
  </si>
  <si>
    <t>RUBINAL D1060</t>
  </si>
  <si>
    <t>RUBINAL D1061</t>
  </si>
  <si>
    <t>RUBINAL D678</t>
  </si>
  <si>
    <t>RUBINAL D775GS</t>
  </si>
  <si>
    <t>Magnesia product type M80 ISO 10081-2</t>
  </si>
  <si>
    <t>RUBINAL D944</t>
  </si>
  <si>
    <t>Magnesia-Spinel Type MSp70 ISO 10081-2</t>
  </si>
  <si>
    <t>RUBINAL D955</t>
  </si>
  <si>
    <t>RUBINAL E102</t>
  </si>
  <si>
    <t>RUBINAL E149</t>
  </si>
  <si>
    <t>RUBINAL E168</t>
  </si>
  <si>
    <t>RUBINAL E169</t>
  </si>
  <si>
    <t>RUBINAL E187</t>
  </si>
  <si>
    <t>RUBINAL E210</t>
  </si>
  <si>
    <t>Magnesia-carbon product type MC80/7 ISO 10081-3</t>
  </si>
  <si>
    <t>RUBINAL E221</t>
  </si>
  <si>
    <t>RUBINAL EF-CN</t>
  </si>
  <si>
    <t>Flat glass, null, Lime, Container glass, Special glass</t>
  </si>
  <si>
    <t>RUBINAL ESP-BR</t>
  </si>
  <si>
    <t>Flat glass, null, Container glass, Special glass</t>
  </si>
  <si>
    <t>RUBINAL ESP-CN</t>
  </si>
  <si>
    <t>Container glass, Special glass, null, Flat glass</t>
  </si>
  <si>
    <t>RUBINAL ESP</t>
  </si>
  <si>
    <t>Flat glass, Container glass, null, Special glass</t>
  </si>
  <si>
    <t>RUBINAL ETL</t>
  </si>
  <si>
    <t>RUBINAL EZ-BR</t>
  </si>
  <si>
    <t>RUBINAL EZ-CN</t>
  </si>
  <si>
    <t>RUBINAL EZ</t>
  </si>
  <si>
    <t>RUBINAL M231</t>
  </si>
  <si>
    <t>Magnesia-carbon material</t>
  </si>
  <si>
    <t>RUBINAL MTL</t>
  </si>
  <si>
    <t>RUBINAL R776</t>
  </si>
  <si>
    <t>RUBINAL R953</t>
  </si>
  <si>
    <t>Magnesia-carbon product type MC80/10 ISO 10081-3</t>
  </si>
  <si>
    <t>RUBINAL R979</t>
  </si>
  <si>
    <t>RUBINAL RNM</t>
  </si>
  <si>
    <t>null, OH furnace, Casting/treatment ladle, Converter (BOF), RH/DH units, Copper, Nickel, Lead, Electric arc furnace</t>
  </si>
  <si>
    <t>RUBINAL VSI-BR</t>
  </si>
  <si>
    <t>RUBINAL VSI</t>
  </si>
  <si>
    <t>RUBINAL VTL-03</t>
  </si>
  <si>
    <t>RUBINAL VTL</t>
  </si>
  <si>
    <t>RUBINAL VTX</t>
  </si>
  <si>
    <t>RUBINAL VZ-CN</t>
  </si>
  <si>
    <t>RUBINAL VZ</t>
  </si>
  <si>
    <t>Special glass, Container glass, null, Flat glass</t>
  </si>
  <si>
    <t>SANIT DO2</t>
  </si>
  <si>
    <t>SINDOFORM 6D8-US</t>
  </si>
  <si>
    <t>Magnesia-dolomite product type MD50 ISO 10081-2</t>
  </si>
  <si>
    <t>SINDOFORM C TB424</t>
  </si>
  <si>
    <t>SINDOFORM C TB484-EU</t>
  </si>
  <si>
    <t>SINDOFORM C40-3-EU</t>
  </si>
  <si>
    <t>SINDOFORM C40-3-RE-EU</t>
  </si>
  <si>
    <t>SINDOFORM C45-5-EU</t>
  </si>
  <si>
    <t>SINDOFORM CS40-4-EU</t>
  </si>
  <si>
    <t>Casting/treatment ladle, null, AOD/MRP Converter</t>
  </si>
  <si>
    <t>SINDOFORM CS40-5-EU</t>
  </si>
  <si>
    <t>SINDOFORM CS40-8-EU</t>
  </si>
  <si>
    <t>Dolomite-Carbon type DC 40/7 ISO 10081-3</t>
  </si>
  <si>
    <t>SINDOFORM CS50-5-EU</t>
  </si>
  <si>
    <t>Casting/treatment ladle, AOD/MRP Converter, null</t>
  </si>
  <si>
    <t>Magnesia-dolomite product type MD40 ISO 10081-2</t>
  </si>
  <si>
    <t>SINDOFORM CS50-8-EU</t>
  </si>
  <si>
    <t>Magnesia-Dolomite-Carbon type MDC 50/7 ISO 10081-3</t>
  </si>
  <si>
    <t>SINDOFORM CS65-8-EU</t>
  </si>
  <si>
    <t>Magnesia-Dolomite-Carbon type MDC 60/7 ISO 10081-3</t>
  </si>
  <si>
    <t>SINDOFORM CSF60-4-EU</t>
  </si>
  <si>
    <t>AOD/MRP Converter, Casting/treatment ladle, null</t>
  </si>
  <si>
    <t>Magnesia-dolomite product type MD60 ISO 10081-2</t>
  </si>
  <si>
    <t>SINDOFORM D6FZ-US</t>
  </si>
  <si>
    <t>Cement, Sintering and transition zones</t>
  </si>
  <si>
    <t>Dolomite product type D60 ISO 10081-2</t>
  </si>
  <si>
    <t>SINDOFORM DF8-US</t>
  </si>
  <si>
    <t>SINDOFORM DMX-US</t>
  </si>
  <si>
    <t>Sintering and transition zones, Cement</t>
  </si>
  <si>
    <t>SINDOFORM FM6-US</t>
  </si>
  <si>
    <t>SINDOFORM FM7Z-US</t>
  </si>
  <si>
    <t>Tuyere zone, AOD/MRP Converter</t>
  </si>
  <si>
    <t>SINDOFORM H65-EU</t>
  </si>
  <si>
    <t>Casting/treatment ladle, AOD/MRP Converter</t>
  </si>
  <si>
    <t>SINDOFORM H72-B1-CN</t>
  </si>
  <si>
    <t>Magnesia-dolomite product type MD70 ISO 10081-2</t>
  </si>
  <si>
    <t>SINDOFORM HD7M-US</t>
  </si>
  <si>
    <t>SINDOFORM HD7Z-US</t>
  </si>
  <si>
    <t>SINDOFORM HF65-A1-CN</t>
  </si>
  <si>
    <t>AOD-Converter (Slag zone and Tuyere area), null</t>
  </si>
  <si>
    <t>SINDOFORM HF65X-T1-EU</t>
  </si>
  <si>
    <t>Tuyere zone, Casting/treatment ladle, AOD/MRP Converter</t>
  </si>
  <si>
    <t>SINDOFORM HF70Z-T1-US</t>
  </si>
  <si>
    <t>AOD/MRP Converter, Tuyere zone</t>
  </si>
  <si>
    <t>SINDOFORM K TB314-CN</t>
  </si>
  <si>
    <t>SINDOFORM K TB498-EU</t>
  </si>
  <si>
    <t>SINDOFORM K TB500-EU</t>
  </si>
  <si>
    <t>AOD/MRP Converter, Casting/treatment ladle</t>
  </si>
  <si>
    <t>SINDOFORM K-TB313</t>
  </si>
  <si>
    <t>SINDOFORM K-TB376</t>
  </si>
  <si>
    <t>SINDOFORM K-TB377</t>
  </si>
  <si>
    <t>SINDOFORM K-TB378</t>
  </si>
  <si>
    <t>SINDOFORM K-TB379</t>
  </si>
  <si>
    <t>Casting/treatment ladle, Tuyere zone, AOD/MRP Converter</t>
  </si>
  <si>
    <t>SINDOFORM K-TB380</t>
  </si>
  <si>
    <t>null, Converter (BOF), Casting/treatment ladle</t>
  </si>
  <si>
    <t>SINDOFORM K-TB384</t>
  </si>
  <si>
    <t>SINDOFORM K-TB407</t>
  </si>
  <si>
    <t>SINDOFORM K-TB408</t>
  </si>
  <si>
    <t>Casting/treatment ladle, AOD/MRP Converter, Tuyere zone</t>
  </si>
  <si>
    <t>SINDOFORM K-TB412-US</t>
  </si>
  <si>
    <t>SINDOFORM K-TB442-US</t>
  </si>
  <si>
    <t>SINDOFORM K-TB454</t>
  </si>
  <si>
    <t>null, Casting/treatment ladle, Converter (BOF)</t>
  </si>
  <si>
    <t>SINDOFORM K-TB473-US</t>
  </si>
  <si>
    <t>SINDOFORM K20B-T1-GS</t>
  </si>
  <si>
    <t>SINDOFORM K40-E-EU</t>
  </si>
  <si>
    <t>SINDOFORM K40-EU-GS</t>
  </si>
  <si>
    <t>SINDOFORM K40-EU</t>
  </si>
  <si>
    <t>SINDOFORM K40</t>
  </si>
  <si>
    <t>SINDOFORM K45Z-US</t>
  </si>
  <si>
    <t>SINDOFORM K45Z</t>
  </si>
  <si>
    <t>SINDOFORM K48-US</t>
  </si>
  <si>
    <t>SINDOFORM K50Z-EU</t>
  </si>
  <si>
    <t>SINDOFORM K50Z</t>
  </si>
  <si>
    <t>SINDOFORM K55-EU</t>
  </si>
  <si>
    <t>SINDOFORM K55</t>
  </si>
  <si>
    <t>SINDOFORM K60-EU-GS</t>
  </si>
  <si>
    <t>SINDOFORM K60-EU</t>
  </si>
  <si>
    <t>AOD/MRP Converter, Casting/treatment ladle, Tuyere zone</t>
  </si>
  <si>
    <t>SINDOFORM K60</t>
  </si>
  <si>
    <t>SINDOFORM K60Z-US</t>
  </si>
  <si>
    <t>SINDOFORM K65-A-C-GS</t>
  </si>
  <si>
    <t>RH/DH units, AOD/MRP Converter</t>
  </si>
  <si>
    <t>SINDOFORM K65-C-GS</t>
  </si>
  <si>
    <t>SINDOFORM K65Z-US</t>
  </si>
  <si>
    <t>SINDOFORM K67-EU</t>
  </si>
  <si>
    <t>SINDOFORM K67</t>
  </si>
  <si>
    <t>SINDOFORM K75-A-C-GS</t>
  </si>
  <si>
    <t>SINDOFORM K75-A-GS</t>
  </si>
  <si>
    <t>SINDOFORM K75-C-GS</t>
  </si>
  <si>
    <t>SINDOFORM KD-US</t>
  </si>
  <si>
    <t>SINDOFORM KD65D-US</t>
  </si>
  <si>
    <t>SINDOFORM KE70-GS</t>
  </si>
  <si>
    <t>SINDOFORM KF60-US</t>
  </si>
  <si>
    <t>SINDOFORM KF60</t>
  </si>
  <si>
    <t>SINDOFORM KF62-US</t>
  </si>
  <si>
    <t>SINDOFORM KF65-T1</t>
  </si>
  <si>
    <t>SINDOFORM KF65</t>
  </si>
  <si>
    <t>SINDOFORM KF65Z-T2-US</t>
  </si>
  <si>
    <t>SINDOFORM KF65Z-T2</t>
  </si>
  <si>
    <t>SINDOFORM KF70-C-GS</t>
  </si>
  <si>
    <t>null, RH/DH units, AOD/MRP Converter</t>
  </si>
  <si>
    <t>SINDOFORM KF70-US</t>
  </si>
  <si>
    <t>SINDOFORM KF70Z</t>
  </si>
  <si>
    <t>SINDOFORM MDOL-KEY-US</t>
  </si>
  <si>
    <t>SINDOFORM R TB349</t>
  </si>
  <si>
    <t>SINDOFORM R TB383</t>
  </si>
  <si>
    <t>SINDOFORM R TB456</t>
  </si>
  <si>
    <t>SINDOFORM R TB457</t>
  </si>
  <si>
    <t>SINDOFORM R TB502</t>
  </si>
  <si>
    <t>SINDOFORM R-TB284-EU</t>
  </si>
  <si>
    <t>null, Casting/treatment ladle, AOD/MRP Converter</t>
  </si>
  <si>
    <t>SINDOFORM R-TB324</t>
  </si>
  <si>
    <t>SINDOFORM R-TB334</t>
  </si>
  <si>
    <t>SINDOFORM R-TB351</t>
  </si>
  <si>
    <t>SINDOFORM R40-3-E</t>
  </si>
  <si>
    <t>SINDOFORM R40-3-EU</t>
  </si>
  <si>
    <t>SINDOFORM R40-3-RE</t>
  </si>
  <si>
    <t>SINDOFORM R40-3-US</t>
  </si>
  <si>
    <t>SINDOFORM R40-3</t>
  </si>
  <si>
    <t>SINDOFORM R40-6-EU</t>
  </si>
  <si>
    <t>SINDOFORM R40-6-RE</t>
  </si>
  <si>
    <t>SINDOFORM R40-6-US</t>
  </si>
  <si>
    <t>SINDOFORM R40-6</t>
  </si>
  <si>
    <t>SINDOFORM R50-3-EU</t>
  </si>
  <si>
    <t>SINDOFORM R50-3-US</t>
  </si>
  <si>
    <t>SINDOFORM R50-3</t>
  </si>
  <si>
    <t>SINDOFORM R50-6-C2</t>
  </si>
  <si>
    <t>SINDOFORM R50-6-US</t>
  </si>
  <si>
    <t>SINDOFORM R50-6</t>
  </si>
  <si>
    <t>SINDOFORM R60-6-C2</t>
  </si>
  <si>
    <t>SINDOFORM R60-6-US</t>
  </si>
  <si>
    <t>SINDOFORM R60-6</t>
  </si>
  <si>
    <t>SINDOFORM R65-2-EU</t>
  </si>
  <si>
    <t>null, AOD/MRP Converter, Casting/treatment ladle</t>
  </si>
  <si>
    <t>SINDOFORM RF50-6-US</t>
  </si>
  <si>
    <t>SINDOFORM RF50-6</t>
  </si>
  <si>
    <t>SINDOFORM RF60-3-US</t>
  </si>
  <si>
    <t>SINDOFORM RF60-3</t>
  </si>
  <si>
    <t>SINDOFORM RF60-9</t>
  </si>
  <si>
    <t>SINDOFORM RF62-3-US</t>
  </si>
  <si>
    <t>SINDOFORM RF70-3-RE</t>
  </si>
  <si>
    <t>SINDOFORM RS40-3-EU</t>
  </si>
  <si>
    <t>SINDOFORM SPL-US</t>
  </si>
  <si>
    <t>SINDOFORM VO1-US</t>
  </si>
  <si>
    <t>SINDOFORM VO3-US</t>
  </si>
  <si>
    <t>SINDOFORM VO71-US</t>
  </si>
  <si>
    <t>SINDOFORM Y18-US</t>
  </si>
  <si>
    <t>SINDOFORM YMD-US</t>
  </si>
  <si>
    <t>SYNCARBON C F7Q05P</t>
  </si>
  <si>
    <t>SYNCARBON C F7Q14P</t>
  </si>
  <si>
    <t>SYNCARBON C F7T05P</t>
  </si>
  <si>
    <t>SYNCARBON C F7T14D</t>
  </si>
  <si>
    <t>SYNCARBON C F7V05P</t>
  </si>
  <si>
    <t>SYNCARBON C F7V14P</t>
  </si>
  <si>
    <t>SYNCARBON C F8Q10P</t>
  </si>
  <si>
    <t>SYNCARBON C F8T10P</t>
  </si>
  <si>
    <t>SYNCARBON C F8V10P</t>
  </si>
  <si>
    <t>ALUMAG 85-ACP-IN-E</t>
  </si>
  <si>
    <t>Alumina-carbon product type AC80/5 ISO 10081-4</t>
  </si>
  <si>
    <t>ALUMAG 85-ACP-IN</t>
  </si>
  <si>
    <t>Tundish, null, Ladle sliding gates</t>
  </si>
  <si>
    <t>ANKER D9-C93</t>
  </si>
  <si>
    <t>High alumina product type HA85 ISO 10081-1</t>
  </si>
  <si>
    <t>ANKER SEG-006</t>
  </si>
  <si>
    <t>Alumina-chromia-Zirconia product type ACrZ5/25 ISO10081-4</t>
  </si>
  <si>
    <t>ANKER SEG-015</t>
  </si>
  <si>
    <t>ANKER SEG-023-J-IN</t>
  </si>
  <si>
    <t>ANKERFORM 381</t>
  </si>
  <si>
    <t>Casting/treatment ladle, Purging lances</t>
  </si>
  <si>
    <t>Precast shape</t>
  </si>
  <si>
    <t>ANKERFORM 382</t>
  </si>
  <si>
    <t>Purging lances, Casting/treatment ladle</t>
  </si>
  <si>
    <t>ANKERFORM AT-FM-N</t>
  </si>
  <si>
    <t>Tundish</t>
  </si>
  <si>
    <t>ANKERFORM BM90S</t>
  </si>
  <si>
    <t>ANKERFORM BM94CS</t>
  </si>
  <si>
    <t>ANKERFORM BM94S</t>
  </si>
  <si>
    <t>ANKERFORM BM95S</t>
  </si>
  <si>
    <t>Purging lances, Tundish</t>
  </si>
  <si>
    <t>ANKERFORM EBT</t>
  </si>
  <si>
    <t>ANKERPERM DBS-95</t>
  </si>
  <si>
    <t>ANKERPERM PR-6-IN</t>
  </si>
  <si>
    <t>High alumina product type HA95 ISO 10081-1</t>
  </si>
  <si>
    <t>ANKERTAP TB357</t>
  </si>
  <si>
    <t>Alumina-Magnesia-carbon product type AMC70/10 ISO 10081-4</t>
  </si>
  <si>
    <t>ANKO 75MRC7</t>
  </si>
  <si>
    <t>Alumina-Magnesia-carbon product type AMC70/5 ISO 10081-4</t>
  </si>
  <si>
    <t>ANKO 80MR5A</t>
  </si>
  <si>
    <t>Alumina-Magnesia-carbon product type AMC80/5 ISO 10081-4</t>
  </si>
  <si>
    <t>ANKO 80MRC7</t>
  </si>
  <si>
    <t>ANKO 85MR5A</t>
  </si>
  <si>
    <t>null, Casting/treatment ladle, Torpedo ladle</t>
  </si>
  <si>
    <t>ANKO 85MRC7A</t>
  </si>
  <si>
    <t>ANKO 90MRC7A</t>
  </si>
  <si>
    <t>ANKO A95MA-IN</t>
  </si>
  <si>
    <t>Casting/treatment ladle, Torpedo ladle, Hot metal mixer</t>
  </si>
  <si>
    <t>Alumina-carbon product type AC90/5 ISO 10081-4</t>
  </si>
  <si>
    <t>ANKO AC17S</t>
  </si>
  <si>
    <t>Torpedo ladle</t>
  </si>
  <si>
    <t>Alumina-SiC-carbon product type ASC70/10 ISO 10081-4</t>
  </si>
  <si>
    <t>ANKO AC90</t>
  </si>
  <si>
    <t>ANKO AC90A</t>
  </si>
  <si>
    <t>Alumina-Magnesia-carbon product type AMC90/5 ISO 10081-4</t>
  </si>
  <si>
    <t>ANKO AC90AS</t>
  </si>
  <si>
    <t>ANKO AC90AZ</t>
  </si>
  <si>
    <t>ANKO AT90AZ</t>
  </si>
  <si>
    <t>ANKO AT92AZ</t>
  </si>
  <si>
    <t>ANKO B108HB</t>
  </si>
  <si>
    <t>Torpedo ladle, Casting/treatment ladle, null</t>
  </si>
  <si>
    <t>ANKO B710</t>
  </si>
  <si>
    <t>ANKO B712A</t>
  </si>
  <si>
    <t>ANKO B75 H/R</t>
  </si>
  <si>
    <t>High alumina product type HA75 ISO 10081-1</t>
  </si>
  <si>
    <t>ANKO BC85A</t>
  </si>
  <si>
    <t>Casting/treatment ladle, null, Torpedo ladle</t>
  </si>
  <si>
    <t>ANKO BT87AZ</t>
  </si>
  <si>
    <t>ANKO C87</t>
  </si>
  <si>
    <t>ANKO C87AZ</t>
  </si>
  <si>
    <t>ANKO CB85</t>
  </si>
  <si>
    <t>ANKO CB85AZ</t>
  </si>
  <si>
    <t>ANKO CM70AZ</t>
  </si>
  <si>
    <t>Alumina-Magnesia-carbon product type AMC60/5 ISO 10081-4</t>
  </si>
  <si>
    <t>ANKO CM80A</t>
  </si>
  <si>
    <t>ANKO DARTMIX-3.38-J-IN</t>
  </si>
  <si>
    <t>ANKO DARTMIX-3.4-J-IN</t>
  </si>
  <si>
    <t>ANKO DARTMIX-3.5-J-IN</t>
  </si>
  <si>
    <t>ANKO DARTMIX-3.55-J-IN</t>
  </si>
  <si>
    <t>ANKO DARTMIX-3.62-J-IN</t>
  </si>
  <si>
    <t>ANKO DARTMIX-3.8-O-IN</t>
  </si>
  <si>
    <t>Fireclay product type FC35 ISO 10081-1</t>
  </si>
  <si>
    <t>ANKO F108A</t>
  </si>
  <si>
    <t>ANKO F508</t>
  </si>
  <si>
    <t>ANKO F508A</t>
  </si>
  <si>
    <t>ANKO F513AB</t>
  </si>
  <si>
    <t>ANKO F708H</t>
  </si>
  <si>
    <t>ANKO R70AZ</t>
  </si>
  <si>
    <t>Alumina-Magnesia-carbon product type AMC60/10 ISO 10081-4</t>
  </si>
  <si>
    <t>ANKO RB80</t>
  </si>
  <si>
    <t>ANKO RB80AZ</t>
  </si>
  <si>
    <t>ANKO RE BC85A</t>
  </si>
  <si>
    <t>Torpedo ladle, null, Casting/treatment ladle</t>
  </si>
  <si>
    <t>ANKO RE CB85</t>
  </si>
  <si>
    <t>ANKO RE CM70AZ</t>
  </si>
  <si>
    <t>ANKO RE CM80A</t>
  </si>
  <si>
    <t>ANKO T106A</t>
  </si>
  <si>
    <t>ANKO T90AZ</t>
  </si>
  <si>
    <t>ANKO TB184</t>
  </si>
  <si>
    <t>ANKO TB323</t>
  </si>
  <si>
    <t>Alumina-Magnesia-carbon product type AMC80/1 ISO 10081-4</t>
  </si>
  <si>
    <t>ANKO TB392</t>
  </si>
  <si>
    <t>ANKO TB395</t>
  </si>
  <si>
    <t>ANKO TB396</t>
  </si>
  <si>
    <t>ANKO TB464</t>
  </si>
  <si>
    <t>ANKO ZE AC90AZ</t>
  </si>
  <si>
    <t>ANKOFORM 45R-3.9-10-O-IN</t>
  </si>
  <si>
    <t>Precast shape ( made of medium cement vibrating castable )</t>
  </si>
  <si>
    <t>ANKOFORM A93MA-6-O-IN</t>
  </si>
  <si>
    <t>null, Casting/treatment ladle, Tundish</t>
  </si>
  <si>
    <t>Precast shape ( made of low cement vibrating castable )</t>
  </si>
  <si>
    <t>ANKOFORM A93MAS-6-O-IN</t>
  </si>
  <si>
    <t>ANKOFORM A94MA-6-O-IN</t>
  </si>
  <si>
    <t>ANKOFORM A99-6-O-IN</t>
  </si>
  <si>
    <t>ANKOFORM B70-5-O-IN</t>
  </si>
  <si>
    <t>ANKOFORM B71-5-O-IN</t>
  </si>
  <si>
    <t>Tundish, null</t>
  </si>
  <si>
    <t>ANKOFORM B80-5-O-IN</t>
  </si>
  <si>
    <t>ANKOFORM B80S-5-O-IN</t>
  </si>
  <si>
    <t>ANKOFORM B82-5-O-IN</t>
  </si>
  <si>
    <t>ANKOFORM B82F-6-DE</t>
  </si>
  <si>
    <t>Kiln furniture</t>
  </si>
  <si>
    <t>ANKOFORM F49-5-O-GS</t>
  </si>
  <si>
    <t>ANKOFORM F49-5-O-IN</t>
  </si>
  <si>
    <t>ANKOFORM M78F-3-DE</t>
  </si>
  <si>
    <t>Precast shape ( made of ultra low cement vibrating castable )</t>
  </si>
  <si>
    <t>ANKOFORM PR-70P CD</t>
  </si>
  <si>
    <t>Reheat furnaces</t>
  </si>
  <si>
    <t>ANKOFORM S80-5-IN</t>
  </si>
  <si>
    <t>CARSIAL 70R-DE</t>
  </si>
  <si>
    <t>Silicon carbide product type SiC50 ISO 10081-4</t>
  </si>
  <si>
    <t>CARSIAL 70SIC</t>
  </si>
  <si>
    <t>Kiln furniture, null</t>
  </si>
  <si>
    <t>CARSIAL 70X-DE</t>
  </si>
  <si>
    <t>CARSIAL 80-GS</t>
  </si>
  <si>
    <t>Waste incineration, Blast furnace, null, Ferro alloys</t>
  </si>
  <si>
    <t>Silicon carbide product type SiC80 ISO 10081-4</t>
  </si>
  <si>
    <t>CARSIAL 85-IN</t>
  </si>
  <si>
    <t>Blast furnace, null, Waste incineration, Ferro alloys</t>
  </si>
  <si>
    <t>CARSIAL 90-03-DE</t>
  </si>
  <si>
    <t>CARSIAL 90-DE</t>
  </si>
  <si>
    <t>CARSIAL 90-IN</t>
  </si>
  <si>
    <t>null, Copper, Nickel, Lead, Waste incineration</t>
  </si>
  <si>
    <t>CARSIAL 90MV-03-DE</t>
  </si>
  <si>
    <t>Waste incineration, null</t>
  </si>
  <si>
    <t>CARSIAL 90MV-DE</t>
  </si>
  <si>
    <t>CARSIAL 90S-DE</t>
  </si>
  <si>
    <t>Silicon carbide product type SiC90 ISO 10081-4</t>
  </si>
  <si>
    <t>CARSIAL 90SIC</t>
  </si>
  <si>
    <t>CARSIAL 90SP</t>
  </si>
  <si>
    <t>CARSITAL 85F-3-DE</t>
  </si>
  <si>
    <t>Power plants, Waste incineration, Energy systems</t>
  </si>
  <si>
    <t>CARSITAL K30-8-BR</t>
  </si>
  <si>
    <t>Lime, Cement</t>
  </si>
  <si>
    <t>CR30AA</t>
  </si>
  <si>
    <t>Chromia product type Cr50 ISO 10081-4</t>
  </si>
  <si>
    <t>CR30WB</t>
  </si>
  <si>
    <t>Container glass, Special glass, Flat glass</t>
  </si>
  <si>
    <t>Chromia product type Cr30 ISO 10081-4</t>
  </si>
  <si>
    <t>CR50AA</t>
  </si>
  <si>
    <t>CR60AA</t>
  </si>
  <si>
    <t>CUPRAL 86R T4</t>
  </si>
  <si>
    <t>DELTEK ECO FORM GASKET</t>
  </si>
  <si>
    <t>Gasket</t>
  </si>
  <si>
    <t>Vacuum-formed products</t>
  </si>
  <si>
    <t>DELTEK ECO GASKET</t>
  </si>
  <si>
    <t>Paper</t>
  </si>
  <si>
    <t>DELTEK ECO INSULATION</t>
  </si>
  <si>
    <t>Thermal insulation</t>
  </si>
  <si>
    <t>DELTEK KU15</t>
  </si>
  <si>
    <t>Alumina-carbon product type AC90/1 ISO 10081-4</t>
  </si>
  <si>
    <t>DELTEK S682</t>
  </si>
  <si>
    <t>null, Flow control ISO</t>
  </si>
  <si>
    <t>DELTEK S790</t>
  </si>
  <si>
    <t>null, Tundish sliding gates</t>
  </si>
  <si>
    <t>Zirconia product type Z95 ISO 10081-4</t>
  </si>
  <si>
    <t>DICORDAL 35B</t>
  </si>
  <si>
    <t>DICORDAL 40B</t>
  </si>
  <si>
    <t>DIDURITAL AZ10TP</t>
  </si>
  <si>
    <t>Flat glass</t>
  </si>
  <si>
    <t>Precast shape ( made of self flowing castable )</t>
  </si>
  <si>
    <t>DIDURITAL AZ55TP</t>
  </si>
  <si>
    <t>DIDURITAL AZ75 TP</t>
  </si>
  <si>
    <t>DIDURITAL E-MB A97B-15</t>
  </si>
  <si>
    <t>DIDURITAL E-RK64G-3</t>
  </si>
  <si>
    <t>DIDURITAL E-SB-RK62-3</t>
  </si>
  <si>
    <t>DIDURITAL S60TP</t>
  </si>
  <si>
    <t>DIDURITAL S70TP</t>
  </si>
  <si>
    <t>DIDURITAL ZS65TP</t>
  </si>
  <si>
    <t>DIKASIL NW-BR</t>
  </si>
  <si>
    <t>Liquid binder</t>
  </si>
  <si>
    <t>DILOXIL T</t>
  </si>
  <si>
    <t>DILOXIL</t>
  </si>
  <si>
    <t>DIPERMAL A88-DBS-J-IN</t>
  </si>
  <si>
    <t>DIPERMAL A90-SEG</t>
  </si>
  <si>
    <t>DIPERMAL A94-DBS-O-IN</t>
  </si>
  <si>
    <t>DIPERMAL A95-DBS-BR</t>
  </si>
  <si>
    <t>DIPERMAL A95-DBS</t>
  </si>
  <si>
    <t>DIPERMAL A95-SEG-BR</t>
  </si>
  <si>
    <t>DIPERMAL A95-SEG</t>
  </si>
  <si>
    <t>DIPERMAL A95</t>
  </si>
  <si>
    <t>DIPERMAL AR87-SEG-O-IN</t>
  </si>
  <si>
    <t>DIPERMAL AR89-SEG</t>
  </si>
  <si>
    <t>DIPERMAL AR92</t>
  </si>
  <si>
    <t>DIPERMAL AR95 ROHLING</t>
  </si>
  <si>
    <t>DIPERMAL AR95-PU/E</t>
  </si>
  <si>
    <t>DIPERMAL E131</t>
  </si>
  <si>
    <t>DIPERMAL K90</t>
  </si>
  <si>
    <t>DIPERMAL K93 SP</t>
  </si>
  <si>
    <t>DIPERMAL K93</t>
  </si>
  <si>
    <t>DIPERMAL K94</t>
  </si>
  <si>
    <t>DIPERMAL KR92-PU/H</t>
  </si>
  <si>
    <t>DIPERMAL KR92</t>
  </si>
  <si>
    <t>Chemistry, Special refuse incineration, Lime, null, Casting/treatment ladle</t>
  </si>
  <si>
    <t>DIPERMAL V010-PU/E</t>
  </si>
  <si>
    <t>DIPERMAL V050-SEG</t>
  </si>
  <si>
    <t>DIVASIL FP-DE</t>
  </si>
  <si>
    <t>Lime, null, Flat glass, Cement, Special glass, Container glass</t>
  </si>
  <si>
    <t>DIVASIL-BR</t>
  </si>
  <si>
    <t>DIVASIL-CA</t>
  </si>
  <si>
    <t>null, Cement</t>
  </si>
  <si>
    <t>DIVASIL-DE</t>
  </si>
  <si>
    <t>Flat glass, Lime, Special glass, Container glass, null, Cement</t>
  </si>
  <si>
    <t>DIVASIL-MX</t>
  </si>
  <si>
    <t>DIVASIL-US</t>
  </si>
  <si>
    <t>DURITAL A78BH</t>
  </si>
  <si>
    <t>DURITAL A80BH</t>
  </si>
  <si>
    <t>DURITAL A85EB</t>
  </si>
  <si>
    <t>DURITAL A85F</t>
  </si>
  <si>
    <t>Petrochemistry, Chemistry, null</t>
  </si>
  <si>
    <t>DURITAL A90B</t>
  </si>
  <si>
    <t>DURITAL A90BH</t>
  </si>
  <si>
    <t>DURITAL A90BHE</t>
  </si>
  <si>
    <t>DURITAL A90F</t>
  </si>
  <si>
    <t>DURITAL A94F</t>
  </si>
  <si>
    <t>Chemistry, Petrochemistry, null</t>
  </si>
  <si>
    <t>DURITAL A95-DE</t>
  </si>
  <si>
    <t>null, Chem/petroch/oth.EEC</t>
  </si>
  <si>
    <t>DURITAL A99F</t>
  </si>
  <si>
    <t>null, Petrochemistry, Chemistry</t>
  </si>
  <si>
    <t>High alumina product type HA98 ISO 10081-1</t>
  </si>
  <si>
    <t>DURITAL AZ50-03-DE</t>
  </si>
  <si>
    <t>Special glass, Container glass, Flat glass, null</t>
  </si>
  <si>
    <t>Alumina-zirconia-silica product type AZS30/30 ISO 10081-4</t>
  </si>
  <si>
    <t>DURITAL AZ50-DE</t>
  </si>
  <si>
    <t>Special glass, null</t>
  </si>
  <si>
    <t>DURITAL AZ54-DE</t>
  </si>
  <si>
    <t>null, Flat glass, Container glass</t>
  </si>
  <si>
    <t>DURITAL AZ58-03-DE</t>
  </si>
  <si>
    <t>Alumina-zirconia-silica product type AZS60/15 ISO 10081-4</t>
  </si>
  <si>
    <t>DURITAL AZ58-03-IN</t>
  </si>
  <si>
    <t>Container glass, Flat glass, null, Special glass</t>
  </si>
  <si>
    <t>DURITAL AZ58</t>
  </si>
  <si>
    <t>DURITAL AZ58P-DE</t>
  </si>
  <si>
    <t>null, Special glass, Container glass, Flat glass</t>
  </si>
  <si>
    <t>DURITAL AZ58TS</t>
  </si>
  <si>
    <t>DURITAL AZ70-03-DE</t>
  </si>
  <si>
    <t>High alumina product type HA65 ISO 10081-1</t>
  </si>
  <si>
    <t>DURITAL AZ70-DE</t>
  </si>
  <si>
    <t>null, Special glass, Flat glass, Container glass</t>
  </si>
  <si>
    <t>DURITAL AZ70P-DE</t>
  </si>
  <si>
    <t>DURITAL AZ72-DE</t>
  </si>
  <si>
    <t>DURITAL AZ95-03-DE</t>
  </si>
  <si>
    <t>Flat glass, Special glass, Chem/petroch/oth.EEC, Container glass</t>
  </si>
  <si>
    <t>Alumina-zirconia-silica product type AZS70/2 ISO 10081-4</t>
  </si>
  <si>
    <t>DURITAL AZ95</t>
  </si>
  <si>
    <t>Flat glass, Special glass, Container glass, null, Chem/petroch/oth.EEC</t>
  </si>
  <si>
    <t>DURITAL AZ98-03-DE</t>
  </si>
  <si>
    <t>null, Flat glass, Chem/petroch/oth.EEC, Special glass, Container glass</t>
  </si>
  <si>
    <t>DURITAL AZ98-DE</t>
  </si>
  <si>
    <t>Chem/petroch/oth.EEC, null</t>
  </si>
  <si>
    <t>DURITAL BHM004</t>
  </si>
  <si>
    <t>DURITAL BHM010</t>
  </si>
  <si>
    <t>DURITAL E75B</t>
  </si>
  <si>
    <t>DURITAL E75EXTRA-03-DE</t>
  </si>
  <si>
    <t>Special glass, Container glass, Tundish, Flat glass, null, Blast furnace</t>
  </si>
  <si>
    <t>DURITAL E75EXTRA-CN</t>
  </si>
  <si>
    <t>Special glass, null, Flat glass, Container glass</t>
  </si>
  <si>
    <t>DURITAL E75EXTRA-DE</t>
  </si>
  <si>
    <t>null, Blast furnace, Special glass, Tundish, Cement, Container glass, Flat glass</t>
  </si>
  <si>
    <t>DURITAL E75X-DE</t>
  </si>
  <si>
    <t>DURITAL E80B</t>
  </si>
  <si>
    <t>DURITAL E80BH 27</t>
  </si>
  <si>
    <t>DURITAL E80BH</t>
  </si>
  <si>
    <t>null, Kiln furniture, Flow control ISO</t>
  </si>
  <si>
    <t>DURITAL E80BHE</t>
  </si>
  <si>
    <t>DURITAL E80BHF</t>
  </si>
  <si>
    <t>DURITAL E90-03-DE</t>
  </si>
  <si>
    <t>Special glass, Chem/petroch/oth.EEC, null, Container glass, Flat glass</t>
  </si>
  <si>
    <t>DURITAL E90-DE</t>
  </si>
  <si>
    <t>DURITAL E92-CN</t>
  </si>
  <si>
    <t>DURITAL E92-DE</t>
  </si>
  <si>
    <t>null, Ferro alloys, Chem/petroch/oth.EEC</t>
  </si>
  <si>
    <t>DURITAL E92-IN</t>
  </si>
  <si>
    <t>DURITAL E92EXTRA-DE</t>
  </si>
  <si>
    <t>DURITAL K90-BR</t>
  </si>
  <si>
    <t>DURITAL K95-BR</t>
  </si>
  <si>
    <t>null, Other industries, Blast furnace</t>
  </si>
  <si>
    <t>DURITAL K95-IN</t>
  </si>
  <si>
    <t>Chem/petroch/oth.EEC, Blast furnace, Casting/treatment ladle, Smelting reduction, null</t>
  </si>
  <si>
    <t>DURITAL K95IS-IN</t>
  </si>
  <si>
    <t>Chem/petroch/oth.EEC</t>
  </si>
  <si>
    <t>DURITAL K99-03-DE</t>
  </si>
  <si>
    <t>Flat glass, Chem/petroch/oth.EEC, Furnaces of ceramic industries, null, Special glass, Container glass</t>
  </si>
  <si>
    <t>DURITAL K99-CN</t>
  </si>
  <si>
    <t>Chem/petroch/oth.EEC, Container glass, Flat glass, null</t>
  </si>
  <si>
    <t>DURITAL K99-DE</t>
  </si>
  <si>
    <t>Chem/petroch/oth.EEC, Furnaces of ceramic industries, null, Other ceramics</t>
  </si>
  <si>
    <t>DURITAL K99-IN</t>
  </si>
  <si>
    <t>Blast furnace, null, Chem/petroch/oth.EEC, Smelting reduction, Casting/treatment ladle</t>
  </si>
  <si>
    <t>DURITAL K99B</t>
  </si>
  <si>
    <t>DURITAL K99EXTRA-03-DE</t>
  </si>
  <si>
    <t>Container glass, Chem/petroch/oth.EEC, null, Flat glass, Furnaces of ceramic industries</t>
  </si>
  <si>
    <t>DURITAL K99EXTRA-DE</t>
  </si>
  <si>
    <t>Flat glass, null, Container glass, Furnaces of ceramic industries</t>
  </si>
  <si>
    <t>DURITAL K99HS-DE</t>
  </si>
  <si>
    <t>DURITAL KR90SV</t>
  </si>
  <si>
    <t>DURITAL R93 ICR-DE</t>
  </si>
  <si>
    <t>Chem/petroch/oth.EEC, null, Energy systems</t>
  </si>
  <si>
    <t>Chromia product type Cr90 ISO 10081-4</t>
  </si>
  <si>
    <t>DURITAL R93</t>
  </si>
  <si>
    <t>null, Chem/petroch/oth.EEC, Energy systems</t>
  </si>
  <si>
    <t>DURITAL RK10-03-DE</t>
  </si>
  <si>
    <t>Special glass, Smelting reduction, null</t>
  </si>
  <si>
    <t>Alumina-chromia product type ACr80/10 ISO10081-4</t>
  </si>
  <si>
    <t>DURITAL RK10-1</t>
  </si>
  <si>
    <t>Smelting reduction, null, Special glass</t>
  </si>
  <si>
    <t>DURITAL RK10</t>
  </si>
  <si>
    <t>null, Smelting reduction, Special glass</t>
  </si>
  <si>
    <t>DURITAL RK10TS</t>
  </si>
  <si>
    <t>Container glass, null, Special glass</t>
  </si>
  <si>
    <t>DURITAL RK30-03</t>
  </si>
  <si>
    <t>null, Special glass</t>
  </si>
  <si>
    <t>Alumina-chromia product type ACr60/30 ISO10081-4</t>
  </si>
  <si>
    <t>DURITAL RK30N</t>
  </si>
  <si>
    <t>Chem/petroch/oth.EEC, null, Special glass</t>
  </si>
  <si>
    <t>DURITAL RK30NP EXTRA-DE</t>
  </si>
  <si>
    <t>New environmental technologies, Energy systems, Chem/petroch/oth.EEC, Special glass, Container glass, Flat glass</t>
  </si>
  <si>
    <t>DURITAL RK30NP-IN</t>
  </si>
  <si>
    <t>Special glass, Flat glass</t>
  </si>
  <si>
    <t>DURITAL RK30NP</t>
  </si>
  <si>
    <t>Flat glass, Chem/petroch/oth.EEC, Energy systems, Special glass, Container glass, New environmental technologies</t>
  </si>
  <si>
    <t>DURITAL RK30S-03</t>
  </si>
  <si>
    <t>Smelting reduction, Special glass, null, Ferro alloys, Special refuse incineration</t>
  </si>
  <si>
    <t>DURITAL RK30S</t>
  </si>
  <si>
    <t>Special glass, null, Ferro alloys, Special refuse incineration, Smelting reduction</t>
  </si>
  <si>
    <t>DURITAL RK30SP-DE</t>
  </si>
  <si>
    <t>Container glass, Energy systems, New environmental technologies, Flat glass, Chem/petroch/oth.EEC, Special glass</t>
  </si>
  <si>
    <t>DURITAL RK30SR</t>
  </si>
  <si>
    <t>DURITAL RK50NP</t>
  </si>
  <si>
    <t>Alumina-chromia product type ACr50/40 ISO10081-4</t>
  </si>
  <si>
    <t>DURITAL RK50S-03-DE</t>
  </si>
  <si>
    <t>DURITAL RK50S</t>
  </si>
  <si>
    <t>Container glass, null, Special glass, Flat glass, Corrosion resistant lining of gasifiers and waste vitrification units</t>
  </si>
  <si>
    <t>DURITAL RK50SP-DE</t>
  </si>
  <si>
    <t>DURITAL RK55S-DE</t>
  </si>
  <si>
    <t>DURITAL RK70-03-DE</t>
  </si>
  <si>
    <t>Special glass, null, Chem/petroch/oth.EEC</t>
  </si>
  <si>
    <t>DURITAL RK70</t>
  </si>
  <si>
    <t>New environmental technologies, Special glass, Copper, Nickel, Lead</t>
  </si>
  <si>
    <t>DURITAL S65G</t>
  </si>
  <si>
    <t>Flat glass, Container glass, Special glass, Hot blast stoves, Blast furnace, null</t>
  </si>
  <si>
    <t>High alumina product type HA55 ISO 10081-1</t>
  </si>
  <si>
    <t>DURITAL S70-03-DE</t>
  </si>
  <si>
    <t>Hot blast stoves, Blast furnace, Special glass, null</t>
  </si>
  <si>
    <t>DURITAL S70</t>
  </si>
  <si>
    <t>DURITAL S70HM-DE</t>
  </si>
  <si>
    <t>DURITAL SP72-DE</t>
  </si>
  <si>
    <t>DURITAL ZR55</t>
  </si>
  <si>
    <t>Zirkonia silica product Type ZS50 ISO 10081-4</t>
  </si>
  <si>
    <t>E75F</t>
  </si>
  <si>
    <t>EXAKTA 38A</t>
  </si>
  <si>
    <t>Ingot casting</t>
  </si>
  <si>
    <t>Fireclay product type FC40 ISO 10081-1</t>
  </si>
  <si>
    <t>EXAKTA 55-P</t>
  </si>
  <si>
    <t>EXAKTA 63H-P</t>
  </si>
  <si>
    <t>EXAKTA 63H</t>
  </si>
  <si>
    <t>EXAKTA 72</t>
  </si>
  <si>
    <t>EXAKTA 80S</t>
  </si>
  <si>
    <t>FONDAL E76 GS</t>
  </si>
  <si>
    <t>null, Aluminium</t>
  </si>
  <si>
    <t>FONDAL SCW-03-DE</t>
  </si>
  <si>
    <t>null, Flat glass, Chem/petroch/oth.EEC, Container glass</t>
  </si>
  <si>
    <t>Silica product type SL93 ISO 10081-1</t>
  </si>
  <si>
    <t>FONDAL SCW-DE</t>
  </si>
  <si>
    <t>null, Container glass, Flat glass, Chem/petroch/oth.EEC</t>
  </si>
  <si>
    <t>GKOR AMC B3T</t>
  </si>
  <si>
    <t>GKOR AMC BFA</t>
  </si>
  <si>
    <t>GKOR AMC WFA</t>
  </si>
  <si>
    <t>Aluminium</t>
  </si>
  <si>
    <t>GRAFERMAL 16-130</t>
  </si>
  <si>
    <t>GRASANIT AC100 ML T2</t>
  </si>
  <si>
    <t>GRASANIT AC100 ML T4</t>
  </si>
  <si>
    <t>GRASANIT AC100 T2</t>
  </si>
  <si>
    <t>GRASANIT AC100 T4</t>
  </si>
  <si>
    <t>GRASANIT AC41 T4</t>
  </si>
  <si>
    <t>GRASANIT ACA931 ML T4</t>
  </si>
  <si>
    <t>GRASANIT ACA931 T4</t>
  </si>
  <si>
    <t>GRASANIT ALR35 ML T2</t>
  </si>
  <si>
    <t>Slide gate</t>
  </si>
  <si>
    <t>Alumina-carbon product type AC70/5 ISO 10081-4</t>
  </si>
  <si>
    <t>GRASANIT ALR35 ML T4</t>
  </si>
  <si>
    <t>GRASANIT ALR35 T2</t>
  </si>
  <si>
    <t>GRASANIT ALR35 T4</t>
  </si>
  <si>
    <t>GRASANIT ALR70 TBT3</t>
  </si>
  <si>
    <t>GRASANIT ALR8 ML TBT3</t>
  </si>
  <si>
    <t>GRASANIT ALR8TB T3</t>
  </si>
  <si>
    <t>GRASANIT D1015 ML</t>
  </si>
  <si>
    <t>GRASANIT D1015</t>
  </si>
  <si>
    <t>GRASANIT D1036</t>
  </si>
  <si>
    <t>GRASANIT D1042</t>
  </si>
  <si>
    <t>GRASANIT D1049 ML</t>
  </si>
  <si>
    <t>GRASANIT D1049</t>
  </si>
  <si>
    <t>GRASANIT D1050</t>
  </si>
  <si>
    <t>GRASANIT D1057</t>
  </si>
  <si>
    <t>GRASANIT D1063</t>
  </si>
  <si>
    <t>GRASANIT D310 T4</t>
  </si>
  <si>
    <t>GRASANIT D412</t>
  </si>
  <si>
    <t>GRASANIT D420</t>
  </si>
  <si>
    <t>GRASANIT D424</t>
  </si>
  <si>
    <t>GRASANIT D557 T3</t>
  </si>
  <si>
    <t>GRASANIT D638</t>
  </si>
  <si>
    <t>GRASANIT D663</t>
  </si>
  <si>
    <t>Alumina-carbon product type AC80/20 ISO 10081-4</t>
  </si>
  <si>
    <t>GRASANIT D747</t>
  </si>
  <si>
    <t>GRASANIT D787 ML</t>
  </si>
  <si>
    <t>GRASANIT D787</t>
  </si>
  <si>
    <t>GRASANIT D910</t>
  </si>
  <si>
    <t>GRASANIT D937</t>
  </si>
  <si>
    <t>GRASANIT D938</t>
  </si>
  <si>
    <t>GRASANIT DSF60 ML T2</t>
  </si>
  <si>
    <t>GRASANIT DSF60 ML T4</t>
  </si>
  <si>
    <t>GRASANIT DSF60 T2</t>
  </si>
  <si>
    <t>GRASANIT DSF60 T4</t>
  </si>
  <si>
    <t>GRASANIT DSF628 ML T2</t>
  </si>
  <si>
    <t>GRASANIT DSF628 T2</t>
  </si>
  <si>
    <t>GRASANIT DSF628 T4</t>
  </si>
  <si>
    <t>GRASANIT DSF803 TBT3</t>
  </si>
  <si>
    <t>GRASANIT E100</t>
  </si>
  <si>
    <t>GRASANIT E101</t>
  </si>
  <si>
    <t>GRASANIT E104</t>
  </si>
  <si>
    <t>GRASANIT E105</t>
  </si>
  <si>
    <t>GRASANIT E116</t>
  </si>
  <si>
    <t>GRASANIT E119</t>
  </si>
  <si>
    <t>GRASANIT E130</t>
  </si>
  <si>
    <t>GRASANIT E134</t>
  </si>
  <si>
    <t>GRASANIT E137</t>
  </si>
  <si>
    <t>GRASANIT E156</t>
  </si>
  <si>
    <t>GRASANIT E159</t>
  </si>
  <si>
    <t>GRASANIT E160</t>
  </si>
  <si>
    <t>GRASANIT E193</t>
  </si>
  <si>
    <t>GRASANIT E209</t>
  </si>
  <si>
    <t>GRASANIT E214</t>
  </si>
  <si>
    <t>GRASANIT E215</t>
  </si>
  <si>
    <t>GRASANIT E220</t>
  </si>
  <si>
    <t>GRASANIT M224</t>
  </si>
  <si>
    <t>Alumina-carbon material</t>
  </si>
  <si>
    <t>GRASANIT M226</t>
  </si>
  <si>
    <t>GRASANIT M227</t>
  </si>
  <si>
    <t>GRASANIT M229</t>
  </si>
  <si>
    <t>GRASANIT M273</t>
  </si>
  <si>
    <t>GRASANIT M275</t>
  </si>
  <si>
    <t>GRASANIT R1005</t>
  </si>
  <si>
    <t>GRASANIT R1006</t>
  </si>
  <si>
    <t>Alumina-carbon product type AC70/1 ISO 10081-4</t>
  </si>
  <si>
    <t>GRASANIT SL595 ML</t>
  </si>
  <si>
    <t>GRASANIT SL595</t>
  </si>
  <si>
    <t>GRASANIT SL647 ML</t>
  </si>
  <si>
    <t>GRASANIT SL647</t>
  </si>
  <si>
    <t>IC M70 LC-0</t>
  </si>
  <si>
    <t>Refractory castable</t>
  </si>
  <si>
    <t>IC M80 NC-0</t>
  </si>
  <si>
    <t>INSUCOAT MP</t>
  </si>
  <si>
    <t>INSUCOAT</t>
  </si>
  <si>
    <t>ISOFRAX 1260 MSF</t>
  </si>
  <si>
    <t>Thermal insulation, Gasket, Starter tube, null</t>
  </si>
  <si>
    <t>ISOMAG 70 XCO</t>
  </si>
  <si>
    <t>Thermal insulation, null</t>
  </si>
  <si>
    <t>Block insulation</t>
  </si>
  <si>
    <t>ISOMAG 70</t>
  </si>
  <si>
    <t>ISOPLAST 1250 S</t>
  </si>
  <si>
    <t>Fibre mix</t>
  </si>
  <si>
    <t>KLEBER OG800</t>
  </si>
  <si>
    <t>Adhesive</t>
  </si>
  <si>
    <t>KONTIBLOCK 120/1600</t>
  </si>
  <si>
    <t>null, Thermal insulation</t>
  </si>
  <si>
    <t>Module</t>
  </si>
  <si>
    <t>KONTIBLOCK 150/1600</t>
  </si>
  <si>
    <t>KONTIBLOCK 160/1260</t>
  </si>
  <si>
    <t>KONTIBLOCK 160/1430</t>
  </si>
  <si>
    <t>KONTIBLOCK 170/1260</t>
  </si>
  <si>
    <t>KONTIBLOCK 170/1430</t>
  </si>
  <si>
    <t>KONTIBLOCK 190/1260</t>
  </si>
  <si>
    <t>KONTIBLOCK 190/1430</t>
  </si>
  <si>
    <t>KONTIBLOCK 240/1430</t>
  </si>
  <si>
    <t>KONTIBLOCK SW 160/1300</t>
  </si>
  <si>
    <t>KONTIBLOCK SW 190/1300</t>
  </si>
  <si>
    <t>KOR 70-CI-QL-MM</t>
  </si>
  <si>
    <t>Casting/treatment ladle, Pig Iron Ladle, Reheat furnaces, Electric arc furnace</t>
  </si>
  <si>
    <t>KOR 70-CI-QL</t>
  </si>
  <si>
    <t>Casting/treatment ladle, Pig Iron Ladle, Electric arc furnace, Reheat furnaces</t>
  </si>
  <si>
    <t>L105</t>
  </si>
  <si>
    <t>Insulating refractory brick Type 105-0,60-L ISO 2245</t>
  </si>
  <si>
    <t>L130</t>
  </si>
  <si>
    <t>Insulating refractory brick Type 130-0,80-L ISO 2245</t>
  </si>
  <si>
    <t>L141</t>
  </si>
  <si>
    <t>Insulating refractory brick Type 140-0,80-L ISO 2245</t>
  </si>
  <si>
    <t>L17 GS</t>
  </si>
  <si>
    <t>Insulating refractory brick Type 95-0,5 ISO 2245</t>
  </si>
  <si>
    <t>L23 GS</t>
  </si>
  <si>
    <t>Insulating refractory brick Type 125-0,50-L ISO 2245</t>
  </si>
  <si>
    <t>L230</t>
  </si>
  <si>
    <t>Insulating refractory brick Type 130-0,50-L ISO 2245</t>
  </si>
  <si>
    <t>L23</t>
  </si>
  <si>
    <t>L26 GS</t>
  </si>
  <si>
    <t>L260 GS</t>
  </si>
  <si>
    <t>L260</t>
  </si>
  <si>
    <t>L26</t>
  </si>
  <si>
    <t>L28 GS</t>
  </si>
  <si>
    <t>Insulating refractory brick Type 150-0,90-L ISO 2245</t>
  </si>
  <si>
    <t>L280 GS</t>
  </si>
  <si>
    <t>null, Flat glass, Container glass, Special glass</t>
  </si>
  <si>
    <t>L280</t>
  </si>
  <si>
    <t>Insulating refractory brick Type 150-0,95-L ISO 2245</t>
  </si>
  <si>
    <t>L28</t>
  </si>
  <si>
    <t>L30</t>
  </si>
  <si>
    <t>Insulating refractory brick Type 160-1,00-L ISO 2245</t>
  </si>
  <si>
    <t>L32</t>
  </si>
  <si>
    <t>Insulating refractory brick Type 170-1,25-L ISO 2245</t>
  </si>
  <si>
    <t>L330 GS</t>
  </si>
  <si>
    <t>Insulating refractory brick Type 180-1,6-L ISO 2245</t>
  </si>
  <si>
    <t>L330</t>
  </si>
  <si>
    <t>L340 GS</t>
  </si>
  <si>
    <t>Insulating refractory brick Type 180-1,45-L ISO 2245</t>
  </si>
  <si>
    <t>L340</t>
  </si>
  <si>
    <t>LEGRAL 05/07-MX</t>
  </si>
  <si>
    <t>Furnaces of ceramic industries, Chem/petroch/oth.EEC, null</t>
  </si>
  <si>
    <t>Insulating refractory brick Type 110-0,7-L   ISO 2245</t>
  </si>
  <si>
    <t>LEGRAL 05/12-MX</t>
  </si>
  <si>
    <t>Casting/treatment ladle, null, Torpedo ladle, Hot blast stoves, Furnaces of ceramic industries</t>
  </si>
  <si>
    <t>Insulating refractory brick Type 110-1,2-L ISO 2245</t>
  </si>
  <si>
    <t>LEGRAL 10/05-GS</t>
  </si>
  <si>
    <t>LEGRAL 23</t>
  </si>
  <si>
    <t>LEGRAL 25/08-MX</t>
  </si>
  <si>
    <t>null, Lime, Chem/petroch/oth.EEC</t>
  </si>
  <si>
    <t>Insulating refractory brick Type 125-0,8-L ISO 2245</t>
  </si>
  <si>
    <t>LEGRAL 25/09-MX</t>
  </si>
  <si>
    <t>Lime, null, Chem/petroch/oth.EEC, Furnaces of ceramic industries</t>
  </si>
  <si>
    <t>LEGRAL 26/5</t>
  </si>
  <si>
    <t>LEGRAL 26/7 GS</t>
  </si>
  <si>
    <t>null, Universal</t>
  </si>
  <si>
    <t>Insulating refractory brick Type 125-0,60-L ISO 2245</t>
  </si>
  <si>
    <t>LEGRAL 26/7</t>
  </si>
  <si>
    <t>Universal, Cement</t>
  </si>
  <si>
    <t>Insulating refractory brick Type 125-0,7-L   ISO 2245</t>
  </si>
  <si>
    <t>LEGRAL 30/5C-CN</t>
  </si>
  <si>
    <t>Insulating refractory brick Type 130-1,6 ISO 2245</t>
  </si>
  <si>
    <t>LEGRAL 30/5C-IN</t>
  </si>
  <si>
    <t>Lime, Container glass, Special glass, Furnaces of ceramic industries, Cement, Flat glass, null, Other industries</t>
  </si>
  <si>
    <t>LEGRAL 30/5C</t>
  </si>
  <si>
    <t>Calcining zone, Universal</t>
  </si>
  <si>
    <t>Insulating refractory brick Type 135-1,7 ISO 2245</t>
  </si>
  <si>
    <t>LEGRAL 30/5Z GS</t>
  </si>
  <si>
    <t>Calcining zone, Universal, null</t>
  </si>
  <si>
    <t>LEGRAL 30/5Z</t>
  </si>
  <si>
    <t>null, Universal, Calcining zone</t>
  </si>
  <si>
    <t>LEGRAL 35/0 GS</t>
  </si>
  <si>
    <t>Insulating refractory brick Type 135-1,0 ISO 2245</t>
  </si>
  <si>
    <t>LEGRAL 35/0</t>
  </si>
  <si>
    <t>LEGRAL 35/2G-DE</t>
  </si>
  <si>
    <t>Insulating refractory brick Type 125-1,3 ISO 2245</t>
  </si>
  <si>
    <t>LEGRAL 35/3G-DE</t>
  </si>
  <si>
    <t>null, Special glass, Lime, Flat glass, Container glass</t>
  </si>
  <si>
    <t>Insulating refractory brick Type 130-1,4 ISO 2245</t>
  </si>
  <si>
    <t>LEGRAL 35/3G-GS</t>
  </si>
  <si>
    <t>LEGRAL 35/8</t>
  </si>
  <si>
    <t>Insulating refractory brick Type 135-0,80-L ISO 2245</t>
  </si>
  <si>
    <t>LEGRAL 40/08-MX</t>
  </si>
  <si>
    <t>Container glass, Special glass, null, Flat glass, Lime, Furnaces of ceramic industries</t>
  </si>
  <si>
    <t>Insulating refractory brick Type 140-1,0-L   ISO 2245</t>
  </si>
  <si>
    <t>LEGRAL 40/2 GS</t>
  </si>
  <si>
    <t>Insulating refractory brick Type 140-1,1 ISO 2245</t>
  </si>
  <si>
    <t>LEGRAL 40/2</t>
  </si>
  <si>
    <t>LEGRAL 40/3 GS</t>
  </si>
  <si>
    <t>LEGRAL 40/9EA</t>
  </si>
  <si>
    <t>Insulating refractory brick Type 140-0,90-L ISO 2245</t>
  </si>
  <si>
    <t>LEGRAL 45/08</t>
  </si>
  <si>
    <t>LEGRAL 50/04</t>
  </si>
  <si>
    <t>Insulating refractory brick Type 150-0,4-L ISO 2245</t>
  </si>
  <si>
    <t>LEGRAL 50/05</t>
  </si>
  <si>
    <t>Container glass, Special glass, Flat glass, null</t>
  </si>
  <si>
    <t>Insulating refractory brick Type 150-0,60-L ISO 2245</t>
  </si>
  <si>
    <t>LEGRAL 50/06</t>
  </si>
  <si>
    <t>Insulating refractory brick Type 150-0,65-L ISO 2245</t>
  </si>
  <si>
    <t>LEGRAL 50/10-MX</t>
  </si>
  <si>
    <t>Flat glass, Furnaces of ceramic industries, null, Container glass, Special glass</t>
  </si>
  <si>
    <t>Insulating refractory brick Type 150-1,0 ISO 2245</t>
  </si>
  <si>
    <t>LEGRAL 55/0 GS</t>
  </si>
  <si>
    <t>Insulating refractory brick Type 155-0,98 ISO 2245</t>
  </si>
  <si>
    <t>LEGRAL 55/0</t>
  </si>
  <si>
    <t>Insulating refractory brick Type 160-1,15-L ISO 2245</t>
  </si>
  <si>
    <t>LEGRAL 55/07-GS</t>
  </si>
  <si>
    <t>Insulating refractory brick Type 160-0,80-L ISO 2245</t>
  </si>
  <si>
    <t>LEGRAL 55/08</t>
  </si>
  <si>
    <t>Insulating refractory brick Type 155-0,85-L ISO 2245</t>
  </si>
  <si>
    <t>LEGRAL 55/2 GS</t>
  </si>
  <si>
    <t>Insulating refractory brick Type 155-1,08 ISO 2245</t>
  </si>
  <si>
    <t>LEGRAL 55/2</t>
  </si>
  <si>
    <t>Special glass, Container glass, null, Flat glass, Hot blast stoves</t>
  </si>
  <si>
    <t>Insulating refractory brick Type 160-1,3-L ISO 2245</t>
  </si>
  <si>
    <t>LEGRAL 60/22 EB</t>
  </si>
  <si>
    <t>Furnaces of ceramic industries, null</t>
  </si>
  <si>
    <t>Insulating refractory brick Type 160-2,2 ISO 2245</t>
  </si>
  <si>
    <t>LEGRAL S55/3 EB</t>
  </si>
  <si>
    <t>Insulating refractory brick Type 155-1,5-L ISO 2245</t>
  </si>
  <si>
    <t>LEGRAL S55/3 GS</t>
  </si>
  <si>
    <t>LEGRAL S60/2</t>
  </si>
  <si>
    <t>LEGRITAL 143-1,2-1-MS</t>
  </si>
  <si>
    <t>Precast shape ( made of insulating refractory castable )</t>
  </si>
  <si>
    <t>MARINITE C</t>
  </si>
  <si>
    <t>MARINITE I</t>
  </si>
  <si>
    <t>MARINITE P</t>
  </si>
  <si>
    <t>MAXIAL 110S-MX</t>
  </si>
  <si>
    <t>null, Ferrous foundries</t>
  </si>
  <si>
    <t>MAXIAL 20 GS</t>
  </si>
  <si>
    <t>Low alumina product type LF10 ISO 10081-1</t>
  </si>
  <si>
    <t>MAXIAL 20-IN</t>
  </si>
  <si>
    <t>Lime, null, Chem/petroch/oth.EEC, Aluminium, Cement</t>
  </si>
  <si>
    <t>MAXIAL 210-MX</t>
  </si>
  <si>
    <t>Chem/petroch/oth.EEC, Power plants, Torpedo ladle, null, Waste incineration, Ferrous foundries, Lime</t>
  </si>
  <si>
    <t>MAXIAL 210K-MX</t>
  </si>
  <si>
    <t>Torpedo ladle, null, Ferrous foundries</t>
  </si>
  <si>
    <t>MAXIAL 25 GS</t>
  </si>
  <si>
    <t>Fireclay product type FC30 ISO 10081-1</t>
  </si>
  <si>
    <t>MAXIAL 25-BR</t>
  </si>
  <si>
    <t>Cement, null</t>
  </si>
  <si>
    <t>MAXIAL 25-CN</t>
  </si>
  <si>
    <t>MAXIAL 25-MX</t>
  </si>
  <si>
    <t>null, New environmental technologies, Cement, Alkali resistant lining, Chemistry</t>
  </si>
  <si>
    <t>MAXIAL 26-GS</t>
  </si>
  <si>
    <t>MAXIAL 300-03-DE</t>
  </si>
  <si>
    <t>Flat glass, Energy systems, Hot blast stoves, Torpedo ladle, null, Chem/petroch/oth.EEC, Aluminium, Container glass</t>
  </si>
  <si>
    <t>High alumina product type HA45 ISO 10081-1</t>
  </si>
  <si>
    <t>MAXIAL 300-GS</t>
  </si>
  <si>
    <t>Flat glass, New environmental technologies, Container glass, null, Special glass</t>
  </si>
  <si>
    <t>MAXIAL 300</t>
  </si>
  <si>
    <t>Flat glass, Container glass, New environmental technologies, Special glass, null</t>
  </si>
  <si>
    <t>MAXIAL 300C-03-DE</t>
  </si>
  <si>
    <t>Flat glass, Power plants, null, Waste incineration</t>
  </si>
  <si>
    <t>MAXIAL 300C</t>
  </si>
  <si>
    <t>Waste incineration, null, Container glass, Flat glass, Special refuse incineration, Power plants, Special glass</t>
  </si>
  <si>
    <t>MAXIAL 300NIS-IN</t>
  </si>
  <si>
    <t>MAXIAL 300TS-IN</t>
  </si>
  <si>
    <t>Container glass, Flat glass, null</t>
  </si>
  <si>
    <t>MAXIAL 302H-BR</t>
  </si>
  <si>
    <t>null, Universal, Blast furnace</t>
  </si>
  <si>
    <t>MAXIAL 304-DE</t>
  </si>
  <si>
    <t>MAXIAL 305 GS</t>
  </si>
  <si>
    <t>MAXIAL 305-IN</t>
  </si>
  <si>
    <t>null, Blast furnace, Hot blast stoves</t>
  </si>
  <si>
    <t>MAXIAL 306-GS</t>
  </si>
  <si>
    <t>Chem/petroch/oth.EEC, Aluminium, Torpedo ladle, Hot blast stoves, Energy systems, Lime, null, Flat glass, Container glass</t>
  </si>
  <si>
    <t>MAXIAL 306-TR-GS</t>
  </si>
  <si>
    <t>Universal, null</t>
  </si>
  <si>
    <t>MAXIAL 306</t>
  </si>
  <si>
    <t>Aluminium, Container glass, Hot blast stoves, null, Energy systems, Torpedo ladle, Lime, Chem/petroch/oth.EEC, Flat glass</t>
  </si>
  <si>
    <t>MAXIAL 306AL-BR</t>
  </si>
  <si>
    <t>Universal, Blast furnace, null</t>
  </si>
  <si>
    <t>MAXIAL 30G</t>
  </si>
  <si>
    <t>MAXIAL 30N-IN</t>
  </si>
  <si>
    <t>Lime, Cement, Other industries</t>
  </si>
  <si>
    <t>MAXIAL 310 GS</t>
  </si>
  <si>
    <t>MAXIAL 310-BR</t>
  </si>
  <si>
    <t>Container glass, Torpedo ladle, Flat glass, null, Ferrous foundries, Special glass</t>
  </si>
  <si>
    <t>MAXIAL 310-CN</t>
  </si>
  <si>
    <t>MAXIAL 310-DE-GS</t>
  </si>
  <si>
    <t>Ferro alloys, Special glass, Copper, Nickel, Lead, Container glass, Reheat furnaces, Cement, Lime, Flat glass</t>
  </si>
  <si>
    <t>MAXIAL 310-DE</t>
  </si>
  <si>
    <t>Copper, Nickel, Lead, Cement, Special glass, Container glass, Reheat furnaces, Ferro alloys, Flat glass, Lime</t>
  </si>
  <si>
    <t>MAXIAL 310-EC-CN</t>
  </si>
  <si>
    <t>MAXIAL 310-IN</t>
  </si>
  <si>
    <t>Aluminium, Torpedo ladle, Flat glass, Chem/petroch/oth.EEC, Hot blast stoves, Other industries, Cement, Lime, Ferrous foundries, Special glass, Container glass</t>
  </si>
  <si>
    <t>MAXIAL 310-MX</t>
  </si>
  <si>
    <t>Aluminium, Torpedo ladle, Ferrous foundries, Flat glass, Container glass, Special glass, null</t>
  </si>
  <si>
    <t>MAXIAL 310</t>
  </si>
  <si>
    <t>Cement, Copper, Nickel, Lead, Reheat furnaces, Special glass, Flat glass, Container glass, Lime, Ferro alloys</t>
  </si>
  <si>
    <t>MAXIAL 310G-GS</t>
  </si>
  <si>
    <t>Flat glass, Reheat furnaces, Special glass, Cement, Container glass, Lime</t>
  </si>
  <si>
    <t>MAXIAL 310IS-IN</t>
  </si>
  <si>
    <t>Chem/petroch/oth.EEC, Cement, Lime</t>
  </si>
  <si>
    <t>MAXIAL 310K</t>
  </si>
  <si>
    <t>null, Reheat furnaces</t>
  </si>
  <si>
    <t>MAXIAL 334-03-MX</t>
  </si>
  <si>
    <t>Cement, Acid applications, null, Chem/petroch/oth.EEC, Lime, Calcination, Roaster, Flat glass, Container glass, Special glass, New environmental technologies</t>
  </si>
  <si>
    <t>MAXIAL 334-BR</t>
  </si>
  <si>
    <t>MAXIAL 334-GS</t>
  </si>
  <si>
    <t>Container glass, Roaster, Acid applications, Cement, Flat glass, null, Calcination, New environmental technologies, Lime, Special glass, Chem/petroch/oth.EEC</t>
  </si>
  <si>
    <t>MAXIAL 334-MX</t>
  </si>
  <si>
    <t>Roaster, Cement, Acid applications, Lime, Flat glass, Container glass, null, Calcination, New environmental technologies, Chem/petroch/oth.EEC, Special glass</t>
  </si>
  <si>
    <t>MAXIAL 334</t>
  </si>
  <si>
    <t>Flat glass, Acid applications, Lime, Roaster, New environmental technologies, Special glass, Chem/petroch/oth.EEC, Cement, null, Container glass, Calcination</t>
  </si>
  <si>
    <t>MAXIAL 334IS-IN</t>
  </si>
  <si>
    <t>MAXIAL 334SIC</t>
  </si>
  <si>
    <t>Alkali resistant lining, Abrasion resistant lining, Cement</t>
  </si>
  <si>
    <t>MAXIAL 336C-IN</t>
  </si>
  <si>
    <t>Chem/petroch/oth.EEC, Lime, Abrasion resistant lining</t>
  </si>
  <si>
    <t>MAXIAL 36-IN</t>
  </si>
  <si>
    <t>Cement, Casting/treatment ladle, Lime</t>
  </si>
  <si>
    <t>MAXIAL 37</t>
  </si>
  <si>
    <t>MAXIAL 382AL-IN</t>
  </si>
  <si>
    <t>Industrial Chimneys, Aluminium, Other industries, Kilns which require chemical-resistant brick lining, Cement</t>
  </si>
  <si>
    <t>MAXIAL 382AL</t>
  </si>
  <si>
    <t>MAXIAL 382Z-GS</t>
  </si>
  <si>
    <t>Special glass, Calcination-TiO2 production, null, Flat glass, Container glass, Lime, Abrasion resistant lining</t>
  </si>
  <si>
    <t>MAXIAL 382Z</t>
  </si>
  <si>
    <t>Special glass, Container glass, Aluminium, Abrasion resistant lining, null, Calcination-TiO2 production, Flat glass, Lime</t>
  </si>
  <si>
    <t>MAXIAL 40-MX</t>
  </si>
  <si>
    <t>MAXIAL 40K-MX</t>
  </si>
  <si>
    <t>Ferrous foundries, Torpedo ladle, null</t>
  </si>
  <si>
    <t>MAXIAL 42 GS</t>
  </si>
  <si>
    <t>MAXIAL 42-BR</t>
  </si>
  <si>
    <t>MAXIAL 42</t>
  </si>
  <si>
    <t>Ferrous foundries, null, Hot blast stoves, Torpedo ladle</t>
  </si>
  <si>
    <t>MAXIAL 42D-IN</t>
  </si>
  <si>
    <t>Lime, Other industries, Cement</t>
  </si>
  <si>
    <t>MAXIAL 42DIS-IN</t>
  </si>
  <si>
    <t>null, Cement, Lime, Alkali resistant lining</t>
  </si>
  <si>
    <t>MAXIAL 42K-BR</t>
  </si>
  <si>
    <t>MAXIAL 45D-IN</t>
  </si>
  <si>
    <t>Hot blast stoves, Coke oven, Cement, Other industries</t>
  </si>
  <si>
    <t>MAXIAL 45H-IN</t>
  </si>
  <si>
    <t>MAXIAL 45HD-CN</t>
  </si>
  <si>
    <t>MAXIAL 48-DE</t>
  </si>
  <si>
    <t>Kiln furniture, Cement</t>
  </si>
  <si>
    <t>MAXIAL 50 GS</t>
  </si>
  <si>
    <t>MINWOL 100</t>
  </si>
  <si>
    <t>Mineral wool</t>
  </si>
  <si>
    <t>MINWOL 120</t>
  </si>
  <si>
    <t>MINWOL 140</t>
  </si>
  <si>
    <t>MINWOL LW</t>
  </si>
  <si>
    <t>MONALITE M1T</t>
  </si>
  <si>
    <t>MONOFRAX M DC</t>
  </si>
  <si>
    <t>Special glass, Container glass, Flat glass</t>
  </si>
  <si>
    <t>MONOFRAX M DCL</t>
  </si>
  <si>
    <t>Flat glass, Container glass, Special glass</t>
  </si>
  <si>
    <t>MONOFRAX M OC</t>
  </si>
  <si>
    <t>Special glass, Flat glass, Container glass</t>
  </si>
  <si>
    <t>MONOFRAX M RC</t>
  </si>
  <si>
    <t>MXS2085 PLASTIC GASKET</t>
  </si>
  <si>
    <t>N-GRASANIT 1038 T4</t>
  </si>
  <si>
    <t>N-GRASANIT 851 T3</t>
  </si>
  <si>
    <t>N-GRASANIT 884 T2</t>
  </si>
  <si>
    <t>N-GRASANIT 884 T4</t>
  </si>
  <si>
    <t>N-GRASANIT 884 TBT3</t>
  </si>
  <si>
    <t>N-GRASANIT 896 T2</t>
  </si>
  <si>
    <t>N-GRASANIT 896 T4</t>
  </si>
  <si>
    <t>N-GRASANIT E167</t>
  </si>
  <si>
    <t>N-SANIT 065/KU HV T3</t>
  </si>
  <si>
    <t>N-SANIT 210H T4</t>
  </si>
  <si>
    <t>N-SANIT 50FC</t>
  </si>
  <si>
    <t>N-SANIT 701H T4</t>
  </si>
  <si>
    <t>N-SANIT 739H T4</t>
  </si>
  <si>
    <t>N-SANIT 810M</t>
  </si>
  <si>
    <t>N-SANIT 892H</t>
  </si>
  <si>
    <t>Alumina-carbon product type AC80/1 ISO 10081-4</t>
  </si>
  <si>
    <t>N-SANIT 892HV T3</t>
  </si>
  <si>
    <t>N-SANIT 945 T4</t>
  </si>
  <si>
    <t>N-SANIT 99H T4</t>
  </si>
  <si>
    <t>N-ZETTRAL D1067</t>
  </si>
  <si>
    <t>NORMA 38A</t>
  </si>
  <si>
    <t>NORMA 63M</t>
  </si>
  <si>
    <t>NORMA 72</t>
  </si>
  <si>
    <t>NORMA 80S</t>
  </si>
  <si>
    <t>NORMA S38U</t>
  </si>
  <si>
    <t>OCL INS.</t>
  </si>
  <si>
    <t>Blast furnace</t>
  </si>
  <si>
    <t>Insulating refractory brick Type 100-1,0 ISO 2245</t>
  </si>
  <si>
    <t>PODOLSK BK-33 FC</t>
  </si>
  <si>
    <t>PODOLSK BK-33 NC</t>
  </si>
  <si>
    <t>Container glass, null, Special glass, Flat glass</t>
  </si>
  <si>
    <t>PODOLSK BK-33 OC</t>
  </si>
  <si>
    <t>PODOLSK BK-33 RC</t>
  </si>
  <si>
    <t>PODOLSK BK-37 FC</t>
  </si>
  <si>
    <t>Container glass, null, Flat glass, Special glass</t>
  </si>
  <si>
    <t>PODOLSK BK-37 NC</t>
  </si>
  <si>
    <t>PODOLSK BK-37 OC</t>
  </si>
  <si>
    <t>PODOLSK BK-37 RC</t>
  </si>
  <si>
    <t>PODOLSK BK-41 FC</t>
  </si>
  <si>
    <t>Alumina-zirconia-silica product type AZS30/40 ISO 10081-4</t>
  </si>
  <si>
    <t>PODOLSK BK-41 NC</t>
  </si>
  <si>
    <t>PODOLSK BK-41 OC</t>
  </si>
  <si>
    <t>PODOLSK BK-41 RC</t>
  </si>
  <si>
    <t>PODOLSK KEL-93</t>
  </si>
  <si>
    <t>PODOLSK KEL-95</t>
  </si>
  <si>
    <t>PREPAK 126</t>
  </si>
  <si>
    <t>PREPAK 160</t>
  </si>
  <si>
    <t>PROCAST AF</t>
  </si>
  <si>
    <t>null, Starter tube</t>
  </si>
  <si>
    <t>PROCAST AH</t>
  </si>
  <si>
    <t>Gasket, Starter tube, Thermal insulation, null</t>
  </si>
  <si>
    <t>PROCAST MG</t>
  </si>
  <si>
    <t>Starter tube, null</t>
  </si>
  <si>
    <t>PSR 333</t>
  </si>
  <si>
    <t>PSR SM62</t>
  </si>
  <si>
    <t>PYROFIBER 1100</t>
  </si>
  <si>
    <t>Ceramic fibres</t>
  </si>
  <si>
    <t>PYROFIBER 1260 GS</t>
  </si>
  <si>
    <t>PYROFIBER 1260SR</t>
  </si>
  <si>
    <t>PYROFIBER 1430</t>
  </si>
  <si>
    <t>PYROFIBER 1600</t>
  </si>
  <si>
    <t>PYROFIBER SW 1300</t>
  </si>
  <si>
    <t>PYROSEAL 607 MAX</t>
  </si>
  <si>
    <t>null, Gasket</t>
  </si>
  <si>
    <t>PYROSTOP ANORGAN BOARD 1000</t>
  </si>
  <si>
    <t>PYROSTOP ANORGAN BOARD 1260</t>
  </si>
  <si>
    <t>PYROSTOP ANORGAN BOARD 1400</t>
  </si>
  <si>
    <t>PYROSTOP ANORGAN BOARD 1500</t>
  </si>
  <si>
    <t>PYROSTOP ANORGAN BOARD 1600</t>
  </si>
  <si>
    <t>PYROSTOP BAND I</t>
  </si>
  <si>
    <t>Ribbons</t>
  </si>
  <si>
    <t>Fibre mat</t>
  </si>
  <si>
    <t>PYROSTOP BLANKET 128/1260 GS</t>
  </si>
  <si>
    <t>PYROSTOP BLANKET 128/1430 GS</t>
  </si>
  <si>
    <t>PYROSTOP BLANKET 128/1600-GS</t>
  </si>
  <si>
    <t>PYROSTOP BLANKET 128/1600</t>
  </si>
  <si>
    <t>PYROSTOP BLANKET 160/1100</t>
  </si>
  <si>
    <t>PYROSTOP BLANKET 160/1260 GS</t>
  </si>
  <si>
    <t>PYROSTOP BLANKET 160/1430 GS</t>
  </si>
  <si>
    <t>PYROSTOP BLANKET 192/1430</t>
  </si>
  <si>
    <t>null, Thermal insulation, Expansion joint material</t>
  </si>
  <si>
    <t>PYROSTOP BLANKET 48/1260</t>
  </si>
  <si>
    <t>PYROSTOP BLANKET 64/1100</t>
  </si>
  <si>
    <t>PYROSTOP BLANKET 96/1100</t>
  </si>
  <si>
    <t>PYROSTOP BLANKET 96/1260 GS</t>
  </si>
  <si>
    <t>PYROSTOP BLANKET 96/1430 GS</t>
  </si>
  <si>
    <t>PYROSTOP BLANKET MP 240/1100</t>
  </si>
  <si>
    <t>null, Lime, Thermal insulation</t>
  </si>
  <si>
    <t>PYROSTOP BLANKET SW 128/1400</t>
  </si>
  <si>
    <t>Thermal insulation, null, Lime</t>
  </si>
  <si>
    <t>null, Lime, Aluminium</t>
  </si>
  <si>
    <t>PYROSTOP BLOCK 190/1430</t>
  </si>
  <si>
    <t>PYROSTOP BOARD 1200-GS</t>
  </si>
  <si>
    <t>PYROSTOP BOARD 1260 GS</t>
  </si>
  <si>
    <t>PYROSTOP BOARD 1400 GS</t>
  </si>
  <si>
    <t>PYROSTOP BOARD 1400B</t>
  </si>
  <si>
    <t>PYROSTOP BOARD 1500</t>
  </si>
  <si>
    <t>PYROSTOP BOARD 700</t>
  </si>
  <si>
    <t>PYROSTOP BOARD 850</t>
  </si>
  <si>
    <t>PYROSTOP BOARD SHD-MAX</t>
  </si>
  <si>
    <t>PYROSTOP BOARD SP1108</t>
  </si>
  <si>
    <t>PYROSTOP BOARD SP1112</t>
  </si>
  <si>
    <t>PYROSTOP BOARD SP1212S</t>
  </si>
  <si>
    <t>PYROSTOP BOARD SP1304</t>
  </si>
  <si>
    <t>PYROSTOP BOARD SP1308</t>
  </si>
  <si>
    <t>PYROSTOP BOARD SP1508</t>
  </si>
  <si>
    <t>PYROSTOP BOARD SP1515</t>
  </si>
  <si>
    <t>PYROSTOP BOARD SPEZIAL H</t>
  </si>
  <si>
    <t>PYROSTOP BOARD SW 1260</t>
  </si>
  <si>
    <t>PYROSTOP BOARD SW 1650SI</t>
  </si>
  <si>
    <t>PYROSTOP CARTO 110 SW</t>
  </si>
  <si>
    <t>PYROSTOP CARTO 75 SW</t>
  </si>
  <si>
    <t>PYROSTOP COATING 130</t>
  </si>
  <si>
    <t>PYROSTOP COATING 130M</t>
  </si>
  <si>
    <t>PYROSTOP COATING 130S</t>
  </si>
  <si>
    <t>PYROSTOP COATING 140</t>
  </si>
  <si>
    <t>PYROSTOP FALTBLOCK 160/1260</t>
  </si>
  <si>
    <t>Folded module</t>
  </si>
  <si>
    <t>PYROSTOP FALTBLOCK 160/1430</t>
  </si>
  <si>
    <t>Gasket, Expansion joint material, null, Thermal insulation</t>
  </si>
  <si>
    <t>Fibre felt</t>
  </si>
  <si>
    <t>Gasket, null, Thermal insulation, Expansion joint material</t>
  </si>
  <si>
    <t>null, Thermal insulation, Expansion joint material, Gasket</t>
  </si>
  <si>
    <t>PYROSTOP FELT 384/1320</t>
  </si>
  <si>
    <t>null, Expansion joint material, Gasket, Thermal insulation</t>
  </si>
  <si>
    <t>PYROSTOP FELT 64/1320</t>
  </si>
  <si>
    <t>Thermal insulation, null, Expansion joint material, Gasket</t>
  </si>
  <si>
    <t>Gasket, Thermal insulation, null, Expansion joint material</t>
  </si>
  <si>
    <t>PYROSTOP FELT SW 128/1300</t>
  </si>
  <si>
    <t>Thermal insulation, Gasket, Expansion joint material, null</t>
  </si>
  <si>
    <t>PYROSTOP FELT SW 384/1300</t>
  </si>
  <si>
    <t>PYROSTOP FELT SW 96/1300</t>
  </si>
  <si>
    <t>Gasket, Thermal insulation, Expansion joint material, null</t>
  </si>
  <si>
    <t>PYROSTOP FLAKES 1260</t>
  </si>
  <si>
    <t>Expansion joint material, Thermal insulation, null</t>
  </si>
  <si>
    <t>PYROSTOP FLAKES 1400</t>
  </si>
  <si>
    <t>Thermal insulation, null, Expansion joint material</t>
  </si>
  <si>
    <t>PYROSTOP FORM 1260 GS</t>
  </si>
  <si>
    <t>Thermal insulation, null, Gasket</t>
  </si>
  <si>
    <t>PYROSTOP FORM 1260 V</t>
  </si>
  <si>
    <t>PYROSTOP FORM 1260</t>
  </si>
  <si>
    <t>Thermal insulation, Starter tube, Gasket, null</t>
  </si>
  <si>
    <t>PYROSTOP FORM 1400</t>
  </si>
  <si>
    <t>null, Starter tube, Thermal insulation, Gasket</t>
  </si>
  <si>
    <t>PYROSTOP FORM 1400D</t>
  </si>
  <si>
    <t>Thermal insulation, null, Gasket, Starter tube</t>
  </si>
  <si>
    <t>PYROSTOP FORM 1500</t>
  </si>
  <si>
    <t>Gasket, Thermal insulation, Starter tube, null</t>
  </si>
  <si>
    <t>PYROSTOP FORM 1600</t>
  </si>
  <si>
    <t>Gasket, null, Thermal insulation, Starter tube</t>
  </si>
  <si>
    <t>PYROSTOP FORM 250</t>
  </si>
  <si>
    <t>PYROSTOP FORM SW1250</t>
  </si>
  <si>
    <t>PYROSTOP ISOL 450</t>
  </si>
  <si>
    <t>Insulating refractory brick Type 90-0,4 ISO 2245</t>
  </si>
  <si>
    <t>PYROSTOP ISOL 550V</t>
  </si>
  <si>
    <t>PYROSTOP ISOL 600</t>
  </si>
  <si>
    <t>Cement, Universal</t>
  </si>
  <si>
    <t>Insulating refractory brick Type 90-0,5-L ISO 2245</t>
  </si>
  <si>
    <t>PYROSTOP ISOL AB 40</t>
  </si>
  <si>
    <t>PYROSTOP ISOL AB 50</t>
  </si>
  <si>
    <t>PYROSTOP ISOL AB 55</t>
  </si>
  <si>
    <t>Insulating refractory brick Type 95-0,55-L ISO 2245</t>
  </si>
  <si>
    <t>PYROSTOP ISOL AW500</t>
  </si>
  <si>
    <t>Insulating refractory brick Type 90-0,5 ISO 2245</t>
  </si>
  <si>
    <t>PYROSTOP LD MATTE35/1600</t>
  </si>
  <si>
    <t>PYROSTOP NANO BOARD 550/1000-GS</t>
  </si>
  <si>
    <t>PYROSTOP PAPIER 1260 GS</t>
  </si>
  <si>
    <t>null, Expansion joint material, Gasket</t>
  </si>
  <si>
    <t>Expansion joint material, Gasket, null</t>
  </si>
  <si>
    <t>PYROSTOP PAPIER 1400 GS</t>
  </si>
  <si>
    <t>Expansion joint material, null, Gasket</t>
  </si>
  <si>
    <t>null, Gasket, Expansion joint material</t>
  </si>
  <si>
    <t>PYROSTOP PAPIER 1600-GS</t>
  </si>
  <si>
    <t>Gasket, null, Expansion joint material</t>
  </si>
  <si>
    <t>PYROSTOP PAPIER MAX 1200</t>
  </si>
  <si>
    <t>PYROSTOP PAPIER SW 1250</t>
  </si>
  <si>
    <t>PYROSTOP PAPIER SW 1300</t>
  </si>
  <si>
    <t>PYROSTOP REPAIR 1260</t>
  </si>
  <si>
    <t>PYROSTOP REPAIR 1400</t>
  </si>
  <si>
    <t>PYROSTOP REPAIR 1500</t>
  </si>
  <si>
    <t>PYROSTOP ROPE 1012</t>
  </si>
  <si>
    <t>Ropes</t>
  </si>
  <si>
    <t>PYROSTOP ROPE 1012SQ</t>
  </si>
  <si>
    <t>Gasket, null</t>
  </si>
  <si>
    <t>PYROSTOP ROPE 2010</t>
  </si>
  <si>
    <t>PYROSTOP ROPE 2506</t>
  </si>
  <si>
    <t>PYROSTOP ROPE 4006</t>
  </si>
  <si>
    <t>PYROSTOP ROPE 4012</t>
  </si>
  <si>
    <t>PYROSTOP ROPE SW 1012</t>
  </si>
  <si>
    <t>Aluminium, null</t>
  </si>
  <si>
    <t>PYROSTOP ROPE SW 1012M</t>
  </si>
  <si>
    <t>PYROSTOP S-RUNDSCHNUR</t>
  </si>
  <si>
    <t>PYROSTOP SUPERFELT 1300 BR</t>
  </si>
  <si>
    <t>null, Gasket, Thermal insulation, Expansion joint material</t>
  </si>
  <si>
    <t>PYROSTOP SUPERFELT 1400 GS</t>
  </si>
  <si>
    <t>Thermal insulation, Expansion joint material, Gasket, null</t>
  </si>
  <si>
    <t>PYROSTOP SUPERFELT 1500 BR</t>
  </si>
  <si>
    <t>PYROSTOP SUPERFELT 1500</t>
  </si>
  <si>
    <t>Thermal insulation, Gasket, null, Expansion joint material</t>
  </si>
  <si>
    <t>PYROSTOP SUPERFELT 1600 GS</t>
  </si>
  <si>
    <t>null, Expansion joint material, Thermal insulation, Gasket</t>
  </si>
  <si>
    <t>PYROSTOP SUPERFELT SW 1260</t>
  </si>
  <si>
    <t>PYROSTOP TYP HB 600</t>
  </si>
  <si>
    <t>Insulating refractory brick Type 90-0,65 ISO 2245</t>
  </si>
  <si>
    <t>PYROSTOP TYP HB 700</t>
  </si>
  <si>
    <t>Insulating refractory brick Type 90-0,75 ISO 2245</t>
  </si>
  <si>
    <t>PYROSTOP TYP HB 950</t>
  </si>
  <si>
    <t>Insulating refractory brick Type 100-0,95 ISO 2245</t>
  </si>
  <si>
    <t>PYROSTOP UNIFELT SW 220/1400</t>
  </si>
  <si>
    <t>Thermal insulation, Lime, null</t>
  </si>
  <si>
    <t>PYROSTOP WET 1260</t>
  </si>
  <si>
    <t>null, Gasket, Thermal insulation</t>
  </si>
  <si>
    <t>PYROSTOP WET 1400</t>
  </si>
  <si>
    <t>null, Thermal insulation, Gasket</t>
  </si>
  <si>
    <t>RADEX SMAC5-11</t>
  </si>
  <si>
    <t>RADEX SMAC5-11Y</t>
  </si>
  <si>
    <t>RADEX SMAC5-21</t>
  </si>
  <si>
    <t>RADEX SMAC5-21Y</t>
  </si>
  <si>
    <t>RADEX SMAC5-2</t>
  </si>
  <si>
    <t>RADEX SMAC5-2Y</t>
  </si>
  <si>
    <t>RADEX SMAC5-31</t>
  </si>
  <si>
    <t>RADEX SMAC5-3</t>
  </si>
  <si>
    <t>RADEX SMAC5-3Y</t>
  </si>
  <si>
    <t>RADEX SMAC5-4</t>
  </si>
  <si>
    <t>REF-MUL 77</t>
  </si>
  <si>
    <t>REF-MUL Z 11 AZS</t>
  </si>
  <si>
    <t>REF-MUL Z 30 AZS</t>
  </si>
  <si>
    <t>REFEL 1240 CR</t>
  </si>
  <si>
    <t>REFEL 1240 CRS</t>
  </si>
  <si>
    <t>REFEL 1240 FVB</t>
  </si>
  <si>
    <t>REFEL 1240 FVMO</t>
  </si>
  <si>
    <t>Container glass, Flat glass, Special glass</t>
  </si>
  <si>
    <t>Alumina-zirconia-silica product type AZS30/40 ISO 10081-4 with shapes molybdenum insert</t>
  </si>
  <si>
    <t>REFEL 1240 FVP</t>
  </si>
  <si>
    <t>REFEL 1240 FVS</t>
  </si>
  <si>
    <t>REFEL 1240 N</t>
  </si>
  <si>
    <t>REFEL 1334S CR</t>
  </si>
  <si>
    <t>REFEL 1334S CRS</t>
  </si>
  <si>
    <t>Flat glass, Special glass, Container glass</t>
  </si>
  <si>
    <t>REFEL 1334S FVB</t>
  </si>
  <si>
    <t>REFEL 1334S FVP</t>
  </si>
  <si>
    <t>REFEL 1334S FVS</t>
  </si>
  <si>
    <t>REFEL 1334S N</t>
  </si>
  <si>
    <t>REFEL 1334S NS</t>
  </si>
  <si>
    <t>REFEL 1334SC FVS</t>
  </si>
  <si>
    <t>REFEL 1334SC N</t>
  </si>
  <si>
    <t>REFEL 1532 FVP</t>
  </si>
  <si>
    <t>REFEL 1532 FVS</t>
  </si>
  <si>
    <t>REFEL 1532 HPM</t>
  </si>
  <si>
    <t>REFEL 1532 N</t>
  </si>
  <si>
    <t>REFEL 1532 NS</t>
  </si>
  <si>
    <t>REFEL 1616ULX FVS</t>
  </si>
  <si>
    <t>Flat glass, Container glass, Glass melting furnace superstructure</t>
  </si>
  <si>
    <t>REFEL 1616ULX N</t>
  </si>
  <si>
    <t>Container glass, Flat glass, Glass melting furnace superstructure</t>
  </si>
  <si>
    <t>REFEL 196 N</t>
  </si>
  <si>
    <t>Container glass, Special glass, Reheat furnaces, Flat glass, null</t>
  </si>
  <si>
    <t>RESISTAL 052B-BB</t>
  </si>
  <si>
    <t>RESISTAL 052B</t>
  </si>
  <si>
    <t>RESISTAL 052BE</t>
  </si>
  <si>
    <t>RESISTAL 052BPL</t>
  </si>
  <si>
    <t>RESISTAL 052LO T3</t>
  </si>
  <si>
    <t>RESISTAL 052LO</t>
  </si>
  <si>
    <t>RESISTAL 065/4B</t>
  </si>
  <si>
    <t>RESISTAL 62D</t>
  </si>
  <si>
    <t>Hot blast stoves, Lime, Other industries, Coke oven</t>
  </si>
  <si>
    <t>RESISTAL A87PCW</t>
  </si>
  <si>
    <t>RESISTAL A90-MX</t>
  </si>
  <si>
    <t>RESISTAL A90C-MX</t>
  </si>
  <si>
    <t>Power plants, null, Chem/petroch/oth.EEC</t>
  </si>
  <si>
    <t>RESISTAL B50 GS</t>
  </si>
  <si>
    <t>Other industries, Ferrous foundries, Cement, Lime</t>
  </si>
  <si>
    <t>RESISTAL B50</t>
  </si>
  <si>
    <t>Cement, Lime, Ferrous foundries, Other industries</t>
  </si>
  <si>
    <t>RESISTAL B50N-IN</t>
  </si>
  <si>
    <t>Other industries, Cement</t>
  </si>
  <si>
    <t>RESISTAL B50SIC GS</t>
  </si>
  <si>
    <t>RESISTAL B50SIC-CN</t>
  </si>
  <si>
    <t>RESISTAL B50SIC-EC-CN</t>
  </si>
  <si>
    <t>RESISTAL B50Z</t>
  </si>
  <si>
    <t>Lime, null, Cement</t>
  </si>
  <si>
    <t>RESISTAL B50ZIS-IN</t>
  </si>
  <si>
    <t>Cement, null, Lime</t>
  </si>
  <si>
    <t>RESISTAL B55SIC GS</t>
  </si>
  <si>
    <t>RESISTAL B55SIC-CN</t>
  </si>
  <si>
    <t>RESISTAL B55SIC-EC-CN</t>
  </si>
  <si>
    <t>RESISTAL B60N-IN</t>
  </si>
  <si>
    <t>RESISTAL B60NIS-IN</t>
  </si>
  <si>
    <t>RESISTAL B65 GS</t>
  </si>
  <si>
    <t>RESISTAL B65</t>
  </si>
  <si>
    <t>RESISTAL B65K-MX</t>
  </si>
  <si>
    <t>RESISTAL B65SIC GS</t>
  </si>
  <si>
    <t>RESISTAL B65SIC-CN</t>
  </si>
  <si>
    <t>RESISTAL B65SIC-EC-CN</t>
  </si>
  <si>
    <t>RESISTAL B65SIC</t>
  </si>
  <si>
    <t>Alkali resistant lining, Lime, New environmental technologies, Cement</t>
  </si>
  <si>
    <t>RESISTAL B65Z</t>
  </si>
  <si>
    <t>Lime, Cement, null</t>
  </si>
  <si>
    <t>RESISTAL B69R</t>
  </si>
  <si>
    <t>RESISTAL B70 GS</t>
  </si>
  <si>
    <t>Universal, Casting/treatment ladle, null, Cement, Electric arc furnace</t>
  </si>
  <si>
    <t>RESISTAL B70-BR</t>
  </si>
  <si>
    <t>null, Calcining zone, Cement</t>
  </si>
  <si>
    <t>RESISTAL B70</t>
  </si>
  <si>
    <t>Casting/treatment ladle, Cement</t>
  </si>
  <si>
    <t>RESISTAL B70K-BR</t>
  </si>
  <si>
    <t>Casting/treatment ladle, Kiln furniture, Other ceramics</t>
  </si>
  <si>
    <t>RESISTAL B70K-MX</t>
  </si>
  <si>
    <t>RESISTAL B70N-IN</t>
  </si>
  <si>
    <t>RESISTAL B70SIC GS</t>
  </si>
  <si>
    <t>RESISTAL B70SIC-CN</t>
  </si>
  <si>
    <t>RESISTAL B70SIC-EC-CN</t>
  </si>
  <si>
    <t>RESISTAL B72K-BR</t>
  </si>
  <si>
    <t>RESISTAL B75 H/R-DE</t>
  </si>
  <si>
    <t>RESISTAL B75 H/R</t>
  </si>
  <si>
    <t>RESISTAL B75-T1 SIC GS</t>
  </si>
  <si>
    <t>RESISTAL B75LO-DE</t>
  </si>
  <si>
    <t>Casting/treatment ladle, Tundish</t>
  </si>
  <si>
    <t>RESISTAL B75LO</t>
  </si>
  <si>
    <t>Tundish, Casting/treatment ladle</t>
  </si>
  <si>
    <t>RESISTAL B75ROHR</t>
  </si>
  <si>
    <t>RESISTAL B75SIC GS</t>
  </si>
  <si>
    <t>RESISTAL B75SIC-CN</t>
  </si>
  <si>
    <t>RESISTAL B75Z-BR</t>
  </si>
  <si>
    <t>RESISTAL B75Z</t>
  </si>
  <si>
    <t>Cement, Casting/treatment ladle, null, Electric arc furnace</t>
  </si>
  <si>
    <t>RESISTAL B75ZIS-IN</t>
  </si>
  <si>
    <t>RESISTAL B80 GS</t>
  </si>
  <si>
    <t>RESISTAL B80-03-DE</t>
  </si>
  <si>
    <t>RESISTAL B80-03-MX</t>
  </si>
  <si>
    <t>RESISTAL B80-BR</t>
  </si>
  <si>
    <t>Electric arc furnace, null, Casting/treatment ladle, Calcining zone, Cement</t>
  </si>
  <si>
    <t>RESISTAL B80</t>
  </si>
  <si>
    <t>Flat glass, null, Lime, Casting/treatment ladle, Container glass, Special glass, Electric arc furnace</t>
  </si>
  <si>
    <t>RESISTAL B80C</t>
  </si>
  <si>
    <t>Electric arc furnace, Cement, null, Lime, Aluminium</t>
  </si>
  <si>
    <t>RESISTAL B80PC-DE</t>
  </si>
  <si>
    <t>RESISTAL B80PC</t>
  </si>
  <si>
    <t>RESISTAL B80PCWLO</t>
  </si>
  <si>
    <t>RESISTAL B80SIC-CN</t>
  </si>
  <si>
    <t>RESISTAL B80SPEZ-DE</t>
  </si>
  <si>
    <t>RESISTAL B80Z</t>
  </si>
  <si>
    <t>Casting/treatment ladle, Lime, null, Aluminium, Cement</t>
  </si>
  <si>
    <t>RESISTAL B80ZIS-IN</t>
  </si>
  <si>
    <t>Cement, Lime, null</t>
  </si>
  <si>
    <t>RESISTAL B82-BR</t>
  </si>
  <si>
    <t>Electric arc furnace, Casting/treatment ladle, null, Other industries</t>
  </si>
  <si>
    <t>RESISTAL B85-03-DE</t>
  </si>
  <si>
    <t>Copper, Nickel, Lead</t>
  </si>
  <si>
    <t>RESISTAL B85</t>
  </si>
  <si>
    <t>RESISTAL B85AC-03-DE</t>
  </si>
  <si>
    <t>RESISTAL B85AC-GS</t>
  </si>
  <si>
    <t>Aluminium, Petroleum Coke Calciner, null</t>
  </si>
  <si>
    <t>RESISTAL B85AC</t>
  </si>
  <si>
    <t>null, Aluminium, Petroleum Coke Calciner</t>
  </si>
  <si>
    <t>RESISTAL B85BP-IN</t>
  </si>
  <si>
    <t>Torpedo ladle, Cement, Casting/treatment ladle, Lime</t>
  </si>
  <si>
    <t>RESISTAL B85C</t>
  </si>
  <si>
    <t>Alkali resistant lining, Cement, New environmental technologies, null, Ferro alloys</t>
  </si>
  <si>
    <t>RESISTAL B85K-BR</t>
  </si>
  <si>
    <t>Casting/treatment ladle, Cement, Electric arc furnace, Sintering and transition zones</t>
  </si>
  <si>
    <t>RESISTAL B85K-MX</t>
  </si>
  <si>
    <t>RESISTAL B85KN-BR</t>
  </si>
  <si>
    <t>RESISTAL BR80E</t>
  </si>
  <si>
    <t>Casting/treatment ladle, null, Electric arc furnace, Torpedo ladle</t>
  </si>
  <si>
    <t>RESISTAL BZ70-IN</t>
  </si>
  <si>
    <t>Cement, Waste incineration, Power plants, Lime, null</t>
  </si>
  <si>
    <t>RESISTAL CA65-DE</t>
  </si>
  <si>
    <t>RESISTAL CS01</t>
  </si>
  <si>
    <t>RESISTAL IN-6</t>
  </si>
  <si>
    <t>RESISTAL K65-DE</t>
  </si>
  <si>
    <t>RESISTAL K85C-03-DE</t>
  </si>
  <si>
    <t>Waste incineration, null, Special refuse incineration, Cement</t>
  </si>
  <si>
    <t>RESISTAL K85C</t>
  </si>
  <si>
    <t>Waste incineration, Special refuse incineration, Cement, null</t>
  </si>
  <si>
    <t>RESISTAL K85CIS-IN</t>
  </si>
  <si>
    <t>RESISTAL K85TL-IN</t>
  </si>
  <si>
    <t>Torpedo ladle, null</t>
  </si>
  <si>
    <t>RESISTAL K90-EB-BR</t>
  </si>
  <si>
    <t>Reheat furnaces, Electric arc furnace, null</t>
  </si>
  <si>
    <t>RESISTAL KR85C-CN</t>
  </si>
  <si>
    <t>null, Special refuse incineration, Chem/petroch/oth.EEC</t>
  </si>
  <si>
    <t>RESISTAL KR85C</t>
  </si>
  <si>
    <t>null, Special refuse incineration</t>
  </si>
  <si>
    <t>Alumina-chromia product type ACr80/5 ISO10081-4</t>
  </si>
  <si>
    <t>RESISTAL KR87TK-IN</t>
  </si>
  <si>
    <t>Special refuse incineration, Furnaces of ceramic industries</t>
  </si>
  <si>
    <t>RESISTAL KSP90K-BR</t>
  </si>
  <si>
    <t>RESISTAL KSP90K-MX</t>
  </si>
  <si>
    <t>RESISTAL KSP91-1-DE</t>
  </si>
  <si>
    <t>RESISTAL KSP91-IN</t>
  </si>
  <si>
    <t>Smelting reduction, Casting/treatment ladle, Torpedo ladle</t>
  </si>
  <si>
    <t>RESISTAL KSP93-IN</t>
  </si>
  <si>
    <t>Casting/treatment ladle, Pig Iron Ladle, Torpedo ladle</t>
  </si>
  <si>
    <t>RESISTAL KSP95-1-CN</t>
  </si>
  <si>
    <t>RESISTAL KSP95-1-DE</t>
  </si>
  <si>
    <t>RESISTAL KSP95-1-IN</t>
  </si>
  <si>
    <t>RESISTAL KSP95K-BR</t>
  </si>
  <si>
    <t>RESISTAL KSPR90-IN</t>
  </si>
  <si>
    <t>RESISTAL M45SIC-GS</t>
  </si>
  <si>
    <t>null, Cement, Alkali resistant lining</t>
  </si>
  <si>
    <t>RESISTAL M45SIC-MX</t>
  </si>
  <si>
    <t>Aluminium, null, Alkali, abrasion resistant lining</t>
  </si>
  <si>
    <t>RESISTAL M50 GS</t>
  </si>
  <si>
    <t>Blast furnace, Aluminium, Energy systems</t>
  </si>
  <si>
    <t>RESISTAL M50</t>
  </si>
  <si>
    <t>Special glass, Energy systems, Blast furnace, Flat glass, Aluminium, Cement, Container glass</t>
  </si>
  <si>
    <t>RESISTAL M50C-MX</t>
  </si>
  <si>
    <t>RESISTAL M50G-MX</t>
  </si>
  <si>
    <t>Flat glass, Container glass, null</t>
  </si>
  <si>
    <t>RESISTAL M50IS-IN</t>
  </si>
  <si>
    <t>Lime, Cement, Chem/petroch/oth.EEC, null</t>
  </si>
  <si>
    <t>RESISTAL M50SIC-MX</t>
  </si>
  <si>
    <t>Cement, New environmental technologies, Chem/petroch/oth.EEC, Aluminium</t>
  </si>
  <si>
    <t>RESISTAL M55SIC GS</t>
  </si>
  <si>
    <t>RESISTAL M55SIC-CN</t>
  </si>
  <si>
    <t>Ferrous foundries, Torpedo ladle, Cement</t>
  </si>
  <si>
    <t>RESISTAL M55SIC-DE</t>
  </si>
  <si>
    <t>Torpedo ladle, Ferrous foundries, Cement</t>
  </si>
  <si>
    <t>RESISTAL M55SIC-IN</t>
  </si>
  <si>
    <t>Cement, Ferrous foundries, Torpedo ladle</t>
  </si>
  <si>
    <t>RESISTAL M55SIC</t>
  </si>
  <si>
    <t>RESISTAL M55SICIS-IN</t>
  </si>
  <si>
    <t>Chem/petroch/oth.EEC, Special refuse incineration, Cement, null, Lime</t>
  </si>
  <si>
    <t>RESISTAL M60-MX</t>
  </si>
  <si>
    <t>Special glass, Chem/petroch/oth.EEC, Container glass, Ferro alloys, null, Flat glass, Aluminium</t>
  </si>
  <si>
    <t>RESISTAL M60B</t>
  </si>
  <si>
    <t>RESISTAL M65C-MX</t>
  </si>
  <si>
    <t>Aluminium, Blast furnace, Smelting reduction, Casting/treatment ladle, null</t>
  </si>
  <si>
    <t>RESISTAL M70-DE</t>
  </si>
  <si>
    <t>Furnaces of ceramic industries, Universal</t>
  </si>
  <si>
    <t>RESISTAL M70-MX</t>
  </si>
  <si>
    <t>Special glass, Container glass, null, Flat glass, Aluminium</t>
  </si>
  <si>
    <t>RESISTAL M70C-MX</t>
  </si>
  <si>
    <t>null, Aluminium, Cement, Lime</t>
  </si>
  <si>
    <t>RESISTAL M72-IN</t>
  </si>
  <si>
    <t>Container glass, Energy systems, Furnaces of ceramic industries, Blast furnace</t>
  </si>
  <si>
    <t>RESISTAL MK60C-IN</t>
  </si>
  <si>
    <t>Lime, Aluminium, Waste incineration, Cement</t>
  </si>
  <si>
    <t>RESISTAL MK60CIS-IN</t>
  </si>
  <si>
    <t>Special refuse incineration, Lime, Chem/petroch/oth.EEC, Cement</t>
  </si>
  <si>
    <t>RESISTAL MK65C CN</t>
  </si>
  <si>
    <t>Chem/petroch/oth.EEC, Special refuse incineration</t>
  </si>
  <si>
    <t>RESISTAL RA10</t>
  </si>
  <si>
    <t>Special refuse incineration, null</t>
  </si>
  <si>
    <t>RESISTAL RA13</t>
  </si>
  <si>
    <t>Ferro alloys, null, Special refuse incineration, Copper, Nickel, Lead</t>
  </si>
  <si>
    <t>Alumina-chromia product type ACr70/5 ISO10081-4</t>
  </si>
  <si>
    <t>RESISTAL RK05</t>
  </si>
  <si>
    <t>RESISTAL RK10 MV</t>
  </si>
  <si>
    <t>Ferro alloys, Copper, Nickel, Lead, null, Special refuse incineration</t>
  </si>
  <si>
    <t>RESISTAL RK10-03-DE</t>
  </si>
  <si>
    <t>null, Special glass, Smelting reduction, Chem/petroch/oth.EEC</t>
  </si>
  <si>
    <t>RESISTAL RK10-1</t>
  </si>
  <si>
    <t>Ferro alloys, null, Copper, Nickel, Lead</t>
  </si>
  <si>
    <t>RESISTAL RK10</t>
  </si>
  <si>
    <t>Chemistry, null, Container glass, Lime, Special glass, Flat glass, Special refuse incineration</t>
  </si>
  <si>
    <t>RESISTAL RK10SR</t>
  </si>
  <si>
    <t>RESISTAL RK15-CN-GS</t>
  </si>
  <si>
    <t>Copper, Nickel, Lead, null, Special refuse incineration, Ferro alloys</t>
  </si>
  <si>
    <t>Alumina-chromia product type ACr70/10 ISO10081-4</t>
  </si>
  <si>
    <t>RESISTAL RK15-CN</t>
  </si>
  <si>
    <t>null, Copper, Nickel, Lead, Ferro alloys, Special refuse incineration</t>
  </si>
  <si>
    <t>RESISTAL RK15</t>
  </si>
  <si>
    <t>Special refuse incineration, null, Smelting reduction</t>
  </si>
  <si>
    <t>RESISTAL RK20-CN</t>
  </si>
  <si>
    <t>Flat glass, Container glass, null, Special glass, Chem/petroch/oth.EEC</t>
  </si>
  <si>
    <t>RESISTAL RK30-03</t>
  </si>
  <si>
    <t>RESISTAL RK30-CN</t>
  </si>
  <si>
    <t>Special glass, Chem/petroch/oth.EEC</t>
  </si>
  <si>
    <t>RESISTAL RK30-DE</t>
  </si>
  <si>
    <t>Chem/petroch/oth.EEC, Special glass</t>
  </si>
  <si>
    <t>RESISTAL RK30N</t>
  </si>
  <si>
    <t>Chem/petroch/oth.EEC, Special glass, null</t>
  </si>
  <si>
    <t>RESISTAL RK30SR</t>
  </si>
  <si>
    <t>RESISTAL S45SIC20</t>
  </si>
  <si>
    <t>Alkali, abrasion resistant lining, Cement</t>
  </si>
  <si>
    <t>RESISTAL S50SIC20</t>
  </si>
  <si>
    <t>Special refuse incineration, Cement, Ferrous foundries</t>
  </si>
  <si>
    <t>RESISTAL S50SIC20IS-IN</t>
  </si>
  <si>
    <t>Ferro alloys, null, Cement, Alkali resistant lining, Chem/petroch/oth.EEC, Copper, Nickel, Lead</t>
  </si>
  <si>
    <t>RESISTAL S55SIC-GS</t>
  </si>
  <si>
    <t>Copper, Nickel, Lead, Waste incineration, Reheat furnaces, Cement, Torpedo ladle, null, Hot metal mixer</t>
  </si>
  <si>
    <t>RESISTAL S60-03-GS</t>
  </si>
  <si>
    <t>RESISTAL S60-BR</t>
  </si>
  <si>
    <t>RESISTAL S60-MX</t>
  </si>
  <si>
    <t>Chem/petroch/oth.EEC, Container glass</t>
  </si>
  <si>
    <t>RESISTAL S60</t>
  </si>
  <si>
    <t>null, Flat glass, Lime, Container glass, Cement, Special glass, Casting/treatment ladle, Torpedo ladle</t>
  </si>
  <si>
    <t>RESISTAL S60C-IN</t>
  </si>
  <si>
    <t>RESISTAL S60IS-IN</t>
  </si>
  <si>
    <t>Chem/petroch/oth.EEC, null, Container glass, Special refuse incineration, Cement, Flat glass</t>
  </si>
  <si>
    <t>RESISTAL S60P-DE</t>
  </si>
  <si>
    <t>RESISTAL S62D-CN</t>
  </si>
  <si>
    <t>Hot blast stoves, Other industries, Lime, Coke oven</t>
  </si>
  <si>
    <t>RESISTAL S63-DE</t>
  </si>
  <si>
    <t>Kiln furniture, Pig Iron Ladle</t>
  </si>
  <si>
    <t>RESISTAL S65</t>
  </si>
  <si>
    <t>Special glass, Flat glass, Universal, Container glass, null</t>
  </si>
  <si>
    <t>RESISTAL S65G-03-DE</t>
  </si>
  <si>
    <t>Container glass, Flat glass, Hot blast stoves, null, Chem/petroch/oth.EEC, Special glass, Energy systems</t>
  </si>
  <si>
    <t>RESISTAL S65IS-IN</t>
  </si>
  <si>
    <t>Chem/petroch/oth.EEC, Cement, Special refuse incineration, Container glass, null, Flat glass</t>
  </si>
  <si>
    <t>RESISTAL S65W-CN</t>
  </si>
  <si>
    <t>RESISTAL S65W</t>
  </si>
  <si>
    <t>Lime, Ceramic Anchor, Aluminium, Hot blast stoves, null</t>
  </si>
  <si>
    <t>RESISTAL S70-03-DE</t>
  </si>
  <si>
    <t>RESISTAL S70-CN</t>
  </si>
  <si>
    <t>RESISTAL S70-DE</t>
  </si>
  <si>
    <t>Chem/petroch/oth.EEC, Container glass, Flat glass, null, Special glass</t>
  </si>
  <si>
    <t>RESISTAL SK60C-03-DE</t>
  </si>
  <si>
    <t>Cement, Waste incineration, Special refuse incineration, null</t>
  </si>
  <si>
    <t>RESISTAL SK60C</t>
  </si>
  <si>
    <t>Special refuse incineration, Waste incineration, Cement, Lime, null</t>
  </si>
  <si>
    <t>RESISTAL SK60CH-DE</t>
  </si>
  <si>
    <t>Blast furnace, null</t>
  </si>
  <si>
    <t>RESISTAL SK65-BR</t>
  </si>
  <si>
    <t>Blast furnace, Other industries</t>
  </si>
  <si>
    <t>RESISTAL SK65-MX</t>
  </si>
  <si>
    <t>Hot blast stoves, Lime, null, Chem/petroch/oth.EEC, Waste incineration, Container glass, Hot metal mixer</t>
  </si>
  <si>
    <t>RESISTAL SK75W-BR</t>
  </si>
  <si>
    <t>Other industries, Universal, null</t>
  </si>
  <si>
    <t>RESISTAL SK85-IN</t>
  </si>
  <si>
    <t>Pig Iron Ladle, null</t>
  </si>
  <si>
    <t>RESISTAL SM60-IN</t>
  </si>
  <si>
    <t>Torpedo ladle, Container glass, Flat glass, Casting/treatment ladle, null, Special glass, Cement, Lime</t>
  </si>
  <si>
    <t>RESISTAL SM65-IN</t>
  </si>
  <si>
    <t>Flat glass, Universal, Container glass, Special glass, null</t>
  </si>
  <si>
    <t>RESISTAL SM72-BR</t>
  </si>
  <si>
    <t>RESISTAL SM72-EB-BR</t>
  </si>
  <si>
    <t>Universal, Other industries, null</t>
  </si>
  <si>
    <t>RESISTAL TWB-2</t>
  </si>
  <si>
    <t>RHIM AB RC</t>
  </si>
  <si>
    <t>RHIM AB VFB</t>
  </si>
  <si>
    <t>RHIM AB VFP</t>
  </si>
  <si>
    <t>RHIM AB VFS</t>
  </si>
  <si>
    <t>RHIM AZS33 RC</t>
  </si>
  <si>
    <t>RHIM AZS33 RCS</t>
  </si>
  <si>
    <t>RHIM AZS33 VFB</t>
  </si>
  <si>
    <t>Flat glass, null, Special glass, Container glass</t>
  </si>
  <si>
    <t>RHIM AZS33 VFP</t>
  </si>
  <si>
    <t>RHIM AZS33 VFS</t>
  </si>
  <si>
    <t>RHIM AZS33 VR</t>
  </si>
  <si>
    <t>RHIM AZS33 VRS</t>
  </si>
  <si>
    <t>RHIM AZS36 VFB</t>
  </si>
  <si>
    <t>RHIM AZS36 VFP</t>
  </si>
  <si>
    <t>RHIM AZS36 VFS</t>
  </si>
  <si>
    <t>RHIM AZS36 VR</t>
  </si>
  <si>
    <t>RHIM AZS36 VRS</t>
  </si>
  <si>
    <t>RHIM AZS41 VFB</t>
  </si>
  <si>
    <t>RHIM AZS41 VFP</t>
  </si>
  <si>
    <t>RHIM AZS41 VFS</t>
  </si>
  <si>
    <t>RHIM AZS41 VR</t>
  </si>
  <si>
    <t>RHIM AZS41 VRS</t>
  </si>
  <si>
    <t>RHIM B RC</t>
  </si>
  <si>
    <t>RHIM B VFB</t>
  </si>
  <si>
    <t>RHIM B VFP</t>
  </si>
  <si>
    <t>RHIM B VFS</t>
  </si>
  <si>
    <t>SANIT 051/1</t>
  </si>
  <si>
    <t>SANIT 065-4 T3</t>
  </si>
  <si>
    <t>SANIT 065-4 T4</t>
  </si>
  <si>
    <t>SANIT 065-4</t>
  </si>
  <si>
    <t>SANIT 065-4F T4</t>
  </si>
  <si>
    <t>SANIT 065-KU14 T4</t>
  </si>
  <si>
    <t>SANIT 065/4 T3</t>
  </si>
  <si>
    <t>SANIT 065/4</t>
  </si>
  <si>
    <t>SANIT 065/4F T3</t>
  </si>
  <si>
    <t>SANIT 065/4F</t>
  </si>
  <si>
    <t>SANIT 065/4FPL T3</t>
  </si>
  <si>
    <t>SANIT 065/KU14 T3</t>
  </si>
  <si>
    <t>SANIT 210HV T3</t>
  </si>
  <si>
    <t>SANIT 38FC</t>
  </si>
  <si>
    <t>SANIT 701HV T3</t>
  </si>
  <si>
    <t>SANIT 728 T3</t>
  </si>
  <si>
    <t>SANIT 728</t>
  </si>
  <si>
    <t>SANIT 739H</t>
  </si>
  <si>
    <t>SANIT 739HV T3</t>
  </si>
  <si>
    <t>SANIT 81ZRH</t>
  </si>
  <si>
    <t>SANIT 85H</t>
  </si>
  <si>
    <t>SANIT 86R T4</t>
  </si>
  <si>
    <t>SANIT 91H</t>
  </si>
  <si>
    <t>SANIT 91HV T3</t>
  </si>
  <si>
    <t>SANIT 94H</t>
  </si>
  <si>
    <t>SANIT 95M ML</t>
  </si>
  <si>
    <t>SANIT 95M</t>
  </si>
  <si>
    <t>SANIT 99H ML</t>
  </si>
  <si>
    <t>SANIT 99H</t>
  </si>
  <si>
    <t>SANIT 99HV ML T3</t>
  </si>
  <si>
    <t>SANIT 99HV T3</t>
  </si>
  <si>
    <t>SANIT 99HV T6</t>
  </si>
  <si>
    <t>SANIT CWB-5</t>
  </si>
  <si>
    <t>SANIT CWB-5R2</t>
  </si>
  <si>
    <t>SANIT D1054 ML</t>
  </si>
  <si>
    <t>SANIT D1054</t>
  </si>
  <si>
    <t>SANIT D1065</t>
  </si>
  <si>
    <t>SANIT D1069</t>
  </si>
  <si>
    <t>SANIT D1070</t>
  </si>
  <si>
    <t>SANIT D359</t>
  </si>
  <si>
    <t>SANIT D791</t>
  </si>
  <si>
    <t>SANIT E103</t>
  </si>
  <si>
    <t>SANIT E112</t>
  </si>
  <si>
    <t>SANIT E113</t>
  </si>
  <si>
    <t>SANIT E113ML</t>
  </si>
  <si>
    <t>SANIT E115</t>
  </si>
  <si>
    <t>SANIT E124</t>
  </si>
  <si>
    <t>SANIT E142</t>
  </si>
  <si>
    <t>SANIT E144</t>
  </si>
  <si>
    <t>SANIT E161</t>
  </si>
  <si>
    <t>SANIT E164</t>
  </si>
  <si>
    <t>SANIT E165</t>
  </si>
  <si>
    <t>SANIT E173</t>
  </si>
  <si>
    <t>SANIT E174</t>
  </si>
  <si>
    <t>SANIT E177</t>
  </si>
  <si>
    <t>SANIT E178</t>
  </si>
  <si>
    <t>SANIT E184</t>
  </si>
  <si>
    <t>Alumina-carbon product type AC50/5 ISO 10081-4</t>
  </si>
  <si>
    <t>SANIT E185</t>
  </si>
  <si>
    <t>SANIT E186</t>
  </si>
  <si>
    <t>SANIT E188</t>
  </si>
  <si>
    <t>SANIT E199</t>
  </si>
  <si>
    <t>SANIT E207</t>
  </si>
  <si>
    <t>SANIT E271</t>
  </si>
  <si>
    <t>SANIT E282</t>
  </si>
  <si>
    <t>SANIT E284</t>
  </si>
  <si>
    <t>SANIT M232</t>
  </si>
  <si>
    <t>SANIT M233</t>
  </si>
  <si>
    <t>SANIT M234</t>
  </si>
  <si>
    <t>SANIT M235</t>
  </si>
  <si>
    <t>SANIT M236</t>
  </si>
  <si>
    <t>SANIT NE202</t>
  </si>
  <si>
    <t>SANIT NE205 U</t>
  </si>
  <si>
    <t>SANIT NE231</t>
  </si>
  <si>
    <t>SANIT NE239</t>
  </si>
  <si>
    <t>SANIT NE241</t>
  </si>
  <si>
    <t>SANIT NE306</t>
  </si>
  <si>
    <t>SANIT NE311 T</t>
  </si>
  <si>
    <t>SANIT NE406 M</t>
  </si>
  <si>
    <t>SANIT RS74</t>
  </si>
  <si>
    <t>Ready for use Sealing</t>
  </si>
  <si>
    <t>SANIT SP8 T3</t>
  </si>
  <si>
    <t>SANIT SP8</t>
  </si>
  <si>
    <t>SANIT TN-3</t>
  </si>
  <si>
    <t>SANIT TN-3R5</t>
  </si>
  <si>
    <t>SANIT V005M</t>
  </si>
  <si>
    <t>SLCSDS</t>
  </si>
  <si>
    <t>Flat glass, null, Container glass</t>
  </si>
  <si>
    <t>STELLA EX GS</t>
  </si>
  <si>
    <t>STELLA EX-DE</t>
  </si>
  <si>
    <t>null, Hot blast stoves</t>
  </si>
  <si>
    <t>STELLA GG-IN</t>
  </si>
  <si>
    <t>STELLA GG</t>
  </si>
  <si>
    <t>Container glass, null, Flat glass</t>
  </si>
  <si>
    <t>STELLA GGS-03-DE</t>
  </si>
  <si>
    <t>STELLA GGS-DE</t>
  </si>
  <si>
    <t>STELLA GNL-03-DE</t>
  </si>
  <si>
    <t>null, Container glass, Flat glass</t>
  </si>
  <si>
    <t>STELLA GNL-DE</t>
  </si>
  <si>
    <t>STELLA KD</t>
  </si>
  <si>
    <t>Silica product DIN 1089-1</t>
  </si>
  <si>
    <t>STELLA KN</t>
  </si>
  <si>
    <t>STELLA KS</t>
  </si>
  <si>
    <t>STELLA SLCSDS-IN</t>
  </si>
  <si>
    <t>SUPERTHERM MIPO BR</t>
  </si>
  <si>
    <t>Thermal insulation, Expansion joint material, null</t>
  </si>
  <si>
    <t>SUPETHERM 1800 CD</t>
  </si>
  <si>
    <t>SUPETHERM 1800 GS</t>
  </si>
  <si>
    <t>SUPETHERM 1800-C-GS</t>
  </si>
  <si>
    <t>SUPETHERM 2000 SUPER</t>
  </si>
  <si>
    <t>SUPETHERM 2000-C-GS</t>
  </si>
  <si>
    <t>SUPETHERM D1650</t>
  </si>
  <si>
    <t>SUPETHERM D1830</t>
  </si>
  <si>
    <t>SUPETHERM MIPO ALU</t>
  </si>
  <si>
    <t>Block insulation with alu foil</t>
  </si>
  <si>
    <t>SUPETHERM MIPO G</t>
  </si>
  <si>
    <t>SUPETHERM MIPO GH</t>
  </si>
  <si>
    <t>SUPETHERM MIPO GR</t>
  </si>
  <si>
    <t>SUPETHERM MIPO GRH</t>
  </si>
  <si>
    <t>SUPETHERM MIPO LFS</t>
  </si>
  <si>
    <t>SUPETHERM MIPO PE</t>
  </si>
  <si>
    <t>Block insulation with PE-foil</t>
  </si>
  <si>
    <t>SUPETHERM VERMICULIT</t>
  </si>
  <si>
    <t>SUPRAL 40/1-GS</t>
  </si>
  <si>
    <t>SUPRAL 40</t>
  </si>
  <si>
    <t>SUPRAL 40BP</t>
  </si>
  <si>
    <t>SUPRAL 40F</t>
  </si>
  <si>
    <t>SUPRAL 40FG</t>
  </si>
  <si>
    <t>null, Flat glass</t>
  </si>
  <si>
    <t>SUPRAL 40H</t>
  </si>
  <si>
    <t>SUPRAL 40HP</t>
  </si>
  <si>
    <t>SUPRAL 40P</t>
  </si>
  <si>
    <t>SUPRAL 40V-GS</t>
  </si>
  <si>
    <t>SUPRAL AZ58</t>
  </si>
  <si>
    <t>SUPRAL AZ58P</t>
  </si>
  <si>
    <t>SUPRAL AZ70-GS</t>
  </si>
  <si>
    <t>SUPRAL AZ70</t>
  </si>
  <si>
    <t>SUPRAL AZ70P</t>
  </si>
  <si>
    <t>SUPRAL CA</t>
  </si>
  <si>
    <t>SUPRAL E75</t>
  </si>
  <si>
    <t>SUPRAL K99</t>
  </si>
  <si>
    <t>SUPRAL RK10</t>
  </si>
  <si>
    <t>Container glass, Special glass</t>
  </si>
  <si>
    <t>SUPRAL RK10P</t>
  </si>
  <si>
    <t>SUPRAL RK30N</t>
  </si>
  <si>
    <t>null, New environmental technologies, Special glass</t>
  </si>
  <si>
    <t>SUPRAL RK30NP</t>
  </si>
  <si>
    <t>SUPRAL RK30S</t>
  </si>
  <si>
    <t>Special glass</t>
  </si>
  <si>
    <t>SUPRAL RK30SP</t>
  </si>
  <si>
    <t>SUPRAL RK50S</t>
  </si>
  <si>
    <t>SUPRAL RK50SP</t>
  </si>
  <si>
    <t>SUPRAL RK55S</t>
  </si>
  <si>
    <t>SUPRAL RK55SP</t>
  </si>
  <si>
    <t>SUPRAL RK70</t>
  </si>
  <si>
    <t>Special glass, New environmental technologies, null</t>
  </si>
  <si>
    <t>SUPRAL S60</t>
  </si>
  <si>
    <t>SUPRAL S60BP</t>
  </si>
  <si>
    <t>SUPRAL S60GS</t>
  </si>
  <si>
    <t>SUPRAL S60P</t>
  </si>
  <si>
    <t>SUPRAL S70</t>
  </si>
  <si>
    <t>SUPRAL S70P</t>
  </si>
  <si>
    <t>T AL 30 V</t>
  </si>
  <si>
    <t>T AL 41 V</t>
  </si>
  <si>
    <t>T AL 57 V</t>
  </si>
  <si>
    <t>T AL 61 V</t>
  </si>
  <si>
    <t>T AL 66 V</t>
  </si>
  <si>
    <t>T AL 69 V</t>
  </si>
  <si>
    <t>T AL 73 V</t>
  </si>
  <si>
    <t>T AL 77 V LT</t>
  </si>
  <si>
    <t>T AL 77 V</t>
  </si>
  <si>
    <t>T AL 91 V</t>
  </si>
  <si>
    <t>T AL 99 V GC</t>
  </si>
  <si>
    <t>T AL 99 V</t>
  </si>
  <si>
    <t>T SIL 98 V</t>
  </si>
  <si>
    <t>T ZR 11 V GC</t>
  </si>
  <si>
    <t>T ZR 11 V SU</t>
  </si>
  <si>
    <t>T ZR 11 V</t>
  </si>
  <si>
    <t>T ZR 20 V GC</t>
  </si>
  <si>
    <t>T ZR 20 V SU</t>
  </si>
  <si>
    <t>T ZR 30 P</t>
  </si>
  <si>
    <t>T ZR 30 V GC</t>
  </si>
  <si>
    <t>T ZR 30 V SU</t>
  </si>
  <si>
    <t>T ZR 30 VD</t>
  </si>
  <si>
    <t>T ZR 65 V</t>
  </si>
  <si>
    <t>TANK AZS 35-HP</t>
  </si>
  <si>
    <t>THORGAS 1260</t>
  </si>
  <si>
    <t>URBLOCK 1850W-PG/E</t>
  </si>
  <si>
    <t>URBLOCK CSA</t>
  </si>
  <si>
    <t>URBLOCK MA4-PG/E</t>
  </si>
  <si>
    <t>UREX 42</t>
  </si>
  <si>
    <t>Lime, Cement, Flat glass, Special glass, Ferro alloys, Container glass, Copper, Nickel, Lead, Reheat furnaces</t>
  </si>
  <si>
    <t>UREX A03S</t>
  </si>
  <si>
    <t>null, Blast furnace</t>
  </si>
  <si>
    <t>Alumina-SiC-carbon product type ASC 90/5 ISO 10081-4</t>
  </si>
  <si>
    <t>UREX A07S</t>
  </si>
  <si>
    <t>Alumina-SiC-carbon product type ASC 80/15 ISO 10081-4</t>
  </si>
  <si>
    <t>UREX A95S</t>
  </si>
  <si>
    <t>Alumina-carbon product type AC90/10 ISO 10081-4</t>
  </si>
  <si>
    <t>UREX A98</t>
  </si>
  <si>
    <t>Pig Iron Ladle, Torpedo ladle</t>
  </si>
  <si>
    <t>UREX ARCO-90PU</t>
  </si>
  <si>
    <t>UREX ARCO-95SEG</t>
  </si>
  <si>
    <t>UREX B07MAK</t>
  </si>
  <si>
    <t>UREX B08S</t>
  </si>
  <si>
    <t>Alumina-SiC-carbon product type ASC70/5 ISO 10081-4</t>
  </si>
  <si>
    <t>UREX B75 H/R</t>
  </si>
  <si>
    <t>UREX B75 LOCHSTEIN</t>
  </si>
  <si>
    <t>UREX BA07S</t>
  </si>
  <si>
    <t>UREX BC05-GS</t>
  </si>
  <si>
    <t>null, Torpedo ladle, Pig Iron Ladle</t>
  </si>
  <si>
    <t>UREX BC05SZ</t>
  </si>
  <si>
    <t>null, Pig Iron Ladle, Torpedo ladle</t>
  </si>
  <si>
    <t>UREX BC06S</t>
  </si>
  <si>
    <t>Torpedo ladle, Pig Iron Ladle</t>
  </si>
  <si>
    <t>UREX BC07-GS</t>
  </si>
  <si>
    <t>UREX BC07N</t>
  </si>
  <si>
    <t>UREX BC07S</t>
  </si>
  <si>
    <t>Alumina-SiC-carbon product type ASC60/5 ISO 10081-4</t>
  </si>
  <si>
    <t>UREX BC09-GS</t>
  </si>
  <si>
    <t>Torpedo ladle, Pig Iron Ladle, null</t>
  </si>
  <si>
    <t>UREX C08S</t>
  </si>
  <si>
    <t>Alumina-SiC-carbon product type ASC 80/10 ISO 10081-4</t>
  </si>
  <si>
    <t>UREX C08SMA</t>
  </si>
  <si>
    <t>UREX C08SZ</t>
  </si>
  <si>
    <t>Alumina-SiC-carbon product type ASC 80/5 ISO 10081-4</t>
  </si>
  <si>
    <t>UREX C08SZX</t>
  </si>
  <si>
    <t>UREX C11S</t>
  </si>
  <si>
    <t>UREX C15S</t>
  </si>
  <si>
    <t>UREX C90S</t>
  </si>
  <si>
    <t>Casting/treatment ladle, null, Torpedo ladle, Pig Iron Ladle</t>
  </si>
  <si>
    <t>UREX CA06AZ</t>
  </si>
  <si>
    <t>UREX CA11S</t>
  </si>
  <si>
    <t>UREX CB05S</t>
  </si>
  <si>
    <t>UREX EX-CR</t>
  </si>
  <si>
    <t>null, Torpedo ladle, Electric arc furnace, Casting/treatment ladle</t>
  </si>
  <si>
    <t>UREX HB83</t>
  </si>
  <si>
    <t>UREX S06SZ</t>
  </si>
  <si>
    <t>UREX S62-IN</t>
  </si>
  <si>
    <t>UREX S64</t>
  </si>
  <si>
    <t>Alumina-carbon product type AC60/N5 ISO 10081-4</t>
  </si>
  <si>
    <t>UREX S68</t>
  </si>
  <si>
    <t>Alumina-carbon product type AC60/5 ISO 10081-4</t>
  </si>
  <si>
    <t>UREX S70</t>
  </si>
  <si>
    <t>UREX T07AZ</t>
  </si>
  <si>
    <t>UREX TC97AZ</t>
  </si>
  <si>
    <t>UREX ZE BC05SZ</t>
  </si>
  <si>
    <t>UREX ZE S06SZ</t>
  </si>
  <si>
    <t>UREX ZT95SA</t>
  </si>
  <si>
    <t>URSTAR A1</t>
  </si>
  <si>
    <t>URSTAR CA1</t>
  </si>
  <si>
    <t>VEGAZED VZ</t>
  </si>
  <si>
    <t>VERMIKULIT PLATTE</t>
  </si>
  <si>
    <t>VISION II</t>
  </si>
  <si>
    <t>ZA30F</t>
  </si>
  <si>
    <t>ZA30S</t>
  </si>
  <si>
    <t>ZB-1681 RC</t>
  </si>
  <si>
    <t>ZB-1681 VF</t>
  </si>
  <si>
    <t>ZB-1711 VF</t>
  </si>
  <si>
    <t>ZETTRAL 65-DE</t>
  </si>
  <si>
    <t>Flat glass, Container glass</t>
  </si>
  <si>
    <t>Zirconia silica product Type ZS60 ISO 10081-4</t>
  </si>
  <si>
    <t>ZETTRAL 65EB</t>
  </si>
  <si>
    <t>Container glass, Other industries</t>
  </si>
  <si>
    <t>ZETTRAL 65GG-03-DE</t>
  </si>
  <si>
    <t>ZETTRAL 65GG-DE</t>
  </si>
  <si>
    <t>ZETTRAL 65GGP-DE</t>
  </si>
  <si>
    <t>ZETTRAL 65GS-DE</t>
  </si>
  <si>
    <t>ZETTRAL 65SA</t>
  </si>
  <si>
    <t>ZETTRAL 82MA T3</t>
  </si>
  <si>
    <t>Zirconia-carbon product type ZC80/1 ISO 10081-4</t>
  </si>
  <si>
    <t>ZETTRAL 82MA T4</t>
  </si>
  <si>
    <t>ZETTRAL 82MA</t>
  </si>
  <si>
    <t>Zirconia product type Z70 ISO 10081-4</t>
  </si>
  <si>
    <t>ZETTRAL 95GR-DE</t>
  </si>
  <si>
    <t>Zirconia product type Z90 ISO 10081-4</t>
  </si>
  <si>
    <t>ZETTRAL 95GR</t>
  </si>
  <si>
    <t>ZETTRAL 95HD</t>
  </si>
  <si>
    <t>ZETTRAL 95I T3</t>
  </si>
  <si>
    <t>Zirconia-carbon product type ZC90/1 ISO 10081-4</t>
  </si>
  <si>
    <t>ZETTRAL 95I T4</t>
  </si>
  <si>
    <t>ZETTRAL 95I</t>
  </si>
  <si>
    <t>ZETTRAL 95S T3</t>
  </si>
  <si>
    <t>ZETTRAL 95S T4</t>
  </si>
  <si>
    <t>ZETTRAL 95S</t>
  </si>
  <si>
    <t>ZETTRAL 95SA T3</t>
  </si>
  <si>
    <t>ZETTRAL 95SA</t>
  </si>
  <si>
    <t>ZETTRAL 95SN</t>
  </si>
  <si>
    <t>ZETTRAL 95T T3</t>
  </si>
  <si>
    <t>ZETTRAL 95T</t>
  </si>
  <si>
    <t>null, Tap hole sliding gates, Ladle sliding gates, Tundish sliding gates</t>
  </si>
  <si>
    <t>ZETTRAL D1001</t>
  </si>
  <si>
    <t>ZETTRAL D1024</t>
  </si>
  <si>
    <t>ZETTRAL D1026</t>
  </si>
  <si>
    <t>ZETTRAL D1077</t>
  </si>
  <si>
    <t>ZETTRAL D1078</t>
  </si>
  <si>
    <t>ZETTRAL D1102</t>
  </si>
  <si>
    <t>ZETTRAL D575</t>
  </si>
  <si>
    <t>ZETTRAL D834</t>
  </si>
  <si>
    <t>ZETTRAL D867</t>
  </si>
  <si>
    <t>ZETTRAL D894</t>
  </si>
  <si>
    <t>ZETTRAL D899 T3</t>
  </si>
  <si>
    <t>ZETTRAL D899 T4</t>
  </si>
  <si>
    <t>ZETTRAL D899</t>
  </si>
  <si>
    <t>ZETTRAL D901</t>
  </si>
  <si>
    <t>ZETTRAL D908</t>
  </si>
  <si>
    <t>ZETTRAL D972</t>
  </si>
  <si>
    <t>ZETTRAL D973</t>
  </si>
  <si>
    <t>ZETTRAL D975</t>
  </si>
  <si>
    <t>ZETTRAL D976</t>
  </si>
  <si>
    <t>ZETTRAL M237</t>
  </si>
  <si>
    <t>ZETTRAL M238</t>
  </si>
  <si>
    <t>ZETTRAL NE901</t>
  </si>
  <si>
    <t>ZETTRAL NE902</t>
  </si>
  <si>
    <t>ZETTRAL R1030</t>
  </si>
  <si>
    <t>ZETTRAL R963</t>
  </si>
  <si>
    <t>ZETTRAL TZB-G-DE</t>
  </si>
  <si>
    <t>ZIRCON TD-VS</t>
  </si>
  <si>
    <t>ZK20F</t>
  </si>
  <si>
    <t>ZK20S</t>
  </si>
  <si>
    <t>ZM30F</t>
  </si>
  <si>
    <t>Addition</t>
  </si>
  <si>
    <t>ANKERFILL 060-AT</t>
  </si>
  <si>
    <t>Back filling mix</t>
  </si>
  <si>
    <t>ANKERFILL 159-AT</t>
  </si>
  <si>
    <t>ANKERFILL 171-BR</t>
  </si>
  <si>
    <t>Tap hole filler</t>
  </si>
  <si>
    <t>ANKERFILL 172-AT</t>
  </si>
  <si>
    <t>ANKERFILL 175-CN</t>
  </si>
  <si>
    <t>ANKERFILL 176-MX</t>
  </si>
  <si>
    <t>ANKERFILL 177-AT</t>
  </si>
  <si>
    <t>ANKERFILL CB-TR</t>
  </si>
  <si>
    <t>ANKERFILL DX45-X20-AT</t>
  </si>
  <si>
    <t>ANKERFILL FE10-CN</t>
  </si>
  <si>
    <t>ANKERFILL FE11-CN</t>
  </si>
  <si>
    <t>ANKERFILL FK30-AT</t>
  </si>
  <si>
    <t>ANKERFILL FN10-BR</t>
  </si>
  <si>
    <t>ANKERFILL FN12-BR</t>
  </si>
  <si>
    <t>ANKERFILL KL-AT</t>
  </si>
  <si>
    <t>ANKERFILL KL-CN</t>
  </si>
  <si>
    <t>ANKERFILL KL-MX</t>
  </si>
  <si>
    <t>ANKERFILL KL-TR</t>
  </si>
  <si>
    <t>ANKERFILL MX75-AT</t>
  </si>
  <si>
    <t>ANKERFILL NB83-MX</t>
  </si>
  <si>
    <t>ANKERFILL NB83-US</t>
  </si>
  <si>
    <t>ANKERFILL NE21-MX</t>
  </si>
  <si>
    <t>ANKERFILL NK91-AT</t>
  </si>
  <si>
    <t>ANKERFILL NK92-AT</t>
  </si>
  <si>
    <t>ANKERFILL NN07-AT</t>
  </si>
  <si>
    <t>Filling mix</t>
  </si>
  <si>
    <t>ANKERFILL NN10-AR</t>
  </si>
  <si>
    <t>ANKERFILL NN10-J-IN</t>
  </si>
  <si>
    <t>ANKERFILL NN14C-J-IN</t>
  </si>
  <si>
    <t>ANKERFILL NN70-AT</t>
  </si>
  <si>
    <t>ANKERFILL NN71-AT</t>
  </si>
  <si>
    <t>ANKERFILL NN71-X50-AT</t>
  </si>
  <si>
    <t>ANKERFILL NN77-AT</t>
  </si>
  <si>
    <t>ANKERFILL NN90-AT</t>
  </si>
  <si>
    <t>ANKERFILL NN92-BR</t>
  </si>
  <si>
    <t>ANKERFILL NP00-BR</t>
  </si>
  <si>
    <t>Hot repair mix</t>
  </si>
  <si>
    <t>ANKERFILL S-AT</t>
  </si>
  <si>
    <t>ANKERFILL SL-AT</t>
  </si>
  <si>
    <t>ANKERFILL SL-TR</t>
  </si>
  <si>
    <t>ANKERFILL TCP162</t>
  </si>
  <si>
    <t>nonbasic cover-powder</t>
  </si>
  <si>
    <t>ANKERFILL TCP163</t>
  </si>
  <si>
    <t>Basic cover-powder</t>
  </si>
  <si>
    <t>ANKERFILL TCP165</t>
  </si>
  <si>
    <t>ANKERFILL TCP166</t>
  </si>
  <si>
    <t>ANKERFILL TCP167</t>
  </si>
  <si>
    <t>ANKERFILL TCP168</t>
  </si>
  <si>
    <t>ANKERFILL TCP169</t>
  </si>
  <si>
    <t>ANKERFILL TCP441</t>
  </si>
  <si>
    <t>ANKERFILL XN72-AT</t>
  </si>
  <si>
    <t>ANKERFILL XW72-AT</t>
  </si>
  <si>
    <t>ANKERFILL YN10-BR</t>
  </si>
  <si>
    <t>ANKERFIX 847-AT</t>
  </si>
  <si>
    <t>null, Universal, Cement</t>
  </si>
  <si>
    <t>Mortar</t>
  </si>
  <si>
    <t>ANKERFIX CRP-CN</t>
  </si>
  <si>
    <t>null, Lime, Cement</t>
  </si>
  <si>
    <t>ANKERFIX FMD-MX</t>
  </si>
  <si>
    <t>ANKERFIX NP50-AT</t>
  </si>
  <si>
    <t>ANKERFIX NP51-AT</t>
  </si>
  <si>
    <t>ANKERFIX NS60-AT</t>
  </si>
  <si>
    <t>ANKERFIX NW01-CN</t>
  </si>
  <si>
    <t>ANKERFIX NW10-AR</t>
  </si>
  <si>
    <t>ANKERFIX NW60-AT</t>
  </si>
  <si>
    <t>ANKERFIX RP10-AT</t>
  </si>
  <si>
    <t>Cement, null, Universal</t>
  </si>
  <si>
    <t>ANKERFIX RP10-BR</t>
  </si>
  <si>
    <t>ANKERFIX RP10-CN</t>
  </si>
  <si>
    <t>null, Cement, Lime</t>
  </si>
  <si>
    <t>ANKERFIX RP10-MX</t>
  </si>
  <si>
    <t>ANKERFIX RP10-TR</t>
  </si>
  <si>
    <t>Cement, Universal, null</t>
  </si>
  <si>
    <t>ANKERFIX TN20-MX</t>
  </si>
  <si>
    <t>ANKERFIX TW40-BR</t>
  </si>
  <si>
    <t>ANKERFRIT 117</t>
  </si>
  <si>
    <t>ANKERFRIT 118</t>
  </si>
  <si>
    <t>ANKERFRIT 127M</t>
  </si>
  <si>
    <t>ANKERFRIT 128</t>
  </si>
  <si>
    <t>ANKERFRIT DF180XP</t>
  </si>
  <si>
    <t>ANKERFRIT DF316</t>
  </si>
  <si>
    <t>ANKERFRIT DX55M 2-8MM</t>
  </si>
  <si>
    <t>ANKERFRIT DX55M</t>
  </si>
  <si>
    <t>ANKERFRIT LN45-10-BR</t>
  </si>
  <si>
    <t>ANKERFRIT LX45-05-BR</t>
  </si>
  <si>
    <t>ANKERFRIT LX45-10-BR</t>
  </si>
  <si>
    <t>ANKERFRIT LX92H-10</t>
  </si>
  <si>
    <t>ANKERFRIT LX92L-10</t>
  </si>
  <si>
    <t>ANKERFRIT LX92L-20</t>
  </si>
  <si>
    <t>ANKERFRIT LX92L-X20</t>
  </si>
  <si>
    <t>ANKERFRIT LX92M-10</t>
  </si>
  <si>
    <t>ANKERFRIT NN20-BR</t>
  </si>
  <si>
    <t>ANKERFRIT NN20-X56-BR</t>
  </si>
  <si>
    <t>ANKERFRIT NX88H</t>
  </si>
  <si>
    <t>ANKERFRIT NX92H</t>
  </si>
  <si>
    <t>ANKERFRIT NX92L</t>
  </si>
  <si>
    <t>ANKERFRIT NX92M</t>
  </si>
  <si>
    <t>ANKERFRIT NX93H</t>
  </si>
  <si>
    <t>ANKERFRIT NX93L</t>
  </si>
  <si>
    <t>ANKERFRIT NX93M</t>
  </si>
  <si>
    <t>ANKERFRIT NX93Z</t>
  </si>
  <si>
    <t>ANKERFRIT NX95H-AR</t>
  </si>
  <si>
    <t>ANKERFRIT NX95H-BR</t>
  </si>
  <si>
    <t>ANKERFRIT NX95H</t>
  </si>
  <si>
    <t>ANKERFRIT NX95L</t>
  </si>
  <si>
    <t>ANKERFRIT NX95M</t>
  </si>
  <si>
    <t>ANKERFRIT NX98H-X20</t>
  </si>
  <si>
    <t>ANKERFRIT NX98H</t>
  </si>
  <si>
    <t>ANKERFRIT NX98L</t>
  </si>
  <si>
    <t>ANKERFRIT NX98Z</t>
  </si>
  <si>
    <t>ANKERGLIDE TT25-MX</t>
  </si>
  <si>
    <t>Dry-setting template</t>
  </si>
  <si>
    <t>Coating material</t>
  </si>
  <si>
    <t>ANKERGLIDE TT25</t>
  </si>
  <si>
    <t>ANKERHARTH 159</t>
  </si>
  <si>
    <t>Hearth ramming mix</t>
  </si>
  <si>
    <t>ANKERHARTH 160</t>
  </si>
  <si>
    <t>ANKERHARTH 161-BR</t>
  </si>
  <si>
    <t>ANKERHARTH DB55</t>
  </si>
  <si>
    <t>ANKERHARTH DC25</t>
  </si>
  <si>
    <t>ANKERHARTH DN55-X10</t>
  </si>
  <si>
    <t>ANKERHARTH DN55</t>
  </si>
  <si>
    <t>ANKERHARTH DN58</t>
  </si>
  <si>
    <t>ANKERHARTH NB18</t>
  </si>
  <si>
    <t>ANKERHARTH NB25</t>
  </si>
  <si>
    <t>ANKERHARTH NB35-BR</t>
  </si>
  <si>
    <t>ANKERHARTH NB90</t>
  </si>
  <si>
    <t>ANKERHARTH NN05</t>
  </si>
  <si>
    <t>ANKERHARTH NN15-CN</t>
  </si>
  <si>
    <t>ANKERHARTH NN15</t>
  </si>
  <si>
    <t>ANKERHARTH NN18</t>
  </si>
  <si>
    <t>ANKERHARTH NN25-CN</t>
  </si>
  <si>
    <t>ANKERHARTH NN25-X10</t>
  </si>
  <si>
    <t>ANKERHARTH NN25</t>
  </si>
  <si>
    <t>ANKERHARTH NN28-X10</t>
  </si>
  <si>
    <t>ANKERHARTH NN28</t>
  </si>
  <si>
    <t>ANKERHARTH NN35-AR</t>
  </si>
  <si>
    <t>Dry setting mix</t>
  </si>
  <si>
    <t>ANKERHARTH NN35-BR</t>
  </si>
  <si>
    <t>ANKERHARTH NN45</t>
  </si>
  <si>
    <t>ANKERHARTH NN55-BR</t>
  </si>
  <si>
    <t>ANKERHARTH NN95-X10</t>
  </si>
  <si>
    <t>ANKERHARTH NN95</t>
  </si>
  <si>
    <t>ANKERHARTH NN98</t>
  </si>
  <si>
    <t>ANKERHARTH SB25</t>
  </si>
  <si>
    <t>ANKERHARTH SB95</t>
  </si>
  <si>
    <t>ANKERHARTH TLS2</t>
  </si>
  <si>
    <t>ANKERINDUX KN10</t>
  </si>
  <si>
    <t>null, Crucible induction furnace</t>
  </si>
  <si>
    <t>Ramming mix</t>
  </si>
  <si>
    <t>ANKERINDUX KN11-CN</t>
  </si>
  <si>
    <t>Crucible induction furnace, null</t>
  </si>
  <si>
    <t>ANKERINDUX NN10-CN</t>
  </si>
  <si>
    <t>ANKERINDUX NN10</t>
  </si>
  <si>
    <t>ANKERINDUX NN12-TR</t>
  </si>
  <si>
    <t>ANKERINDUX NW10-AR</t>
  </si>
  <si>
    <t>ANKERINDUX RB10</t>
  </si>
  <si>
    <t>ANKERINDUX RB11-CN</t>
  </si>
  <si>
    <t>ANKERINDUX RB60</t>
  </si>
  <si>
    <t>ANKERINDUX RN50-CN</t>
  </si>
  <si>
    <t>ANKERINDUX YB20-AR</t>
  </si>
  <si>
    <t>ANKERJET 137-AT</t>
  </si>
  <si>
    <t>Gunning mix</t>
  </si>
  <si>
    <t>ANKERJET 305-TR</t>
  </si>
  <si>
    <t>ANKERJET 343-TR</t>
  </si>
  <si>
    <t>ANKERJET 343S-TR</t>
  </si>
  <si>
    <t>ANKERJET 349-TR</t>
  </si>
  <si>
    <t>ANKERJET 357-AT</t>
  </si>
  <si>
    <t>ANKERJET 376-TR</t>
  </si>
  <si>
    <t>ANKERJET 387-TR</t>
  </si>
  <si>
    <t>ANKERJET 388-TR</t>
  </si>
  <si>
    <t>ANKERJET 389-BR</t>
  </si>
  <si>
    <t>ANKERJET 390-BR</t>
  </si>
  <si>
    <t>ANKERJET 391-BR</t>
  </si>
  <si>
    <t>Casting/treatment ladle, RH/DH units</t>
  </si>
  <si>
    <t>ANKERJET 392-BR</t>
  </si>
  <si>
    <t>RH/DH units, Casting/treatment ladle</t>
  </si>
  <si>
    <t>ANKERJET 393-BR</t>
  </si>
  <si>
    <t>ANKERJET 397-US</t>
  </si>
  <si>
    <t>ANKERJET 399-TR</t>
  </si>
  <si>
    <t>ANKERJET 401-CN</t>
  </si>
  <si>
    <t>RH/DH units, null, Converter (BOF), Electric arc furnace</t>
  </si>
  <si>
    <t>ANKERJET 402-CN</t>
  </si>
  <si>
    <t>RH/DH units, Converter (BOF), null, Electric arc furnace</t>
  </si>
  <si>
    <t>ANKERJET 403-AT</t>
  </si>
  <si>
    <t>ANKERJET 404-AT</t>
  </si>
  <si>
    <t>ANKERJET 404-TR</t>
  </si>
  <si>
    <t>ANKERJET 411-CN</t>
  </si>
  <si>
    <t>ANKERJET 412-CN</t>
  </si>
  <si>
    <t>ANKERJET 413-MX</t>
  </si>
  <si>
    <t>ANKERJET 414-MX</t>
  </si>
  <si>
    <t>ANKERJET 415-AT</t>
  </si>
  <si>
    <t>ANKERJET 416-AT</t>
  </si>
  <si>
    <t>ANKERJET 417-AT</t>
  </si>
  <si>
    <t>ANKERJET 418-AT</t>
  </si>
  <si>
    <t>ANKERJET 419-CN</t>
  </si>
  <si>
    <t>Converter (BOF), RH/DH units, null, Electric arc furnace</t>
  </si>
  <si>
    <t>ANKERJET 420-AT</t>
  </si>
  <si>
    <t>ANKERJET 421-AT</t>
  </si>
  <si>
    <t>ANKERJET 422-AT</t>
  </si>
  <si>
    <t>ANKERJET 423-AT</t>
  </si>
  <si>
    <t>ANKERJET 424-AT</t>
  </si>
  <si>
    <t>ANKERJET 424-TR</t>
  </si>
  <si>
    <t>ANKERJET 425-TR</t>
  </si>
  <si>
    <t>ANKERJET 426-TR</t>
  </si>
  <si>
    <t>ANKERJET 427-TR</t>
  </si>
  <si>
    <t>ANKERJET 428-CN</t>
  </si>
  <si>
    <t>null, RH/DH units, Converter (BOF), Electric arc furnace</t>
  </si>
  <si>
    <t>ANKERJET 429-TR</t>
  </si>
  <si>
    <t>ANKERJET 430-AT</t>
  </si>
  <si>
    <t>ANKERJET 432-CN</t>
  </si>
  <si>
    <t>ANKERJET 433-TR</t>
  </si>
  <si>
    <t>ANKERJET BK40-AT</t>
  </si>
  <si>
    <t>Converter (BOF), OH furnace, null, Electric arc furnace, Casting/treatment ladle</t>
  </si>
  <si>
    <t>ANKERJET BM-AT</t>
  </si>
  <si>
    <t>Casting/treatment ladle, Converter (BOF), Electric arc furnace, Lime, null</t>
  </si>
  <si>
    <t>ANKERJET CP01-TR</t>
  </si>
  <si>
    <t>ANKERJET CP10-MX</t>
  </si>
  <si>
    <t>ANKERJET CP10-TR</t>
  </si>
  <si>
    <t>ANKERJET CP11-CN</t>
  </si>
  <si>
    <t>ANKERJET CP15-MX</t>
  </si>
  <si>
    <t>ANKERJET CP20-IN</t>
  </si>
  <si>
    <t>ANKERJET CP20-TR</t>
  </si>
  <si>
    <t>ANKERJET CP21-TR</t>
  </si>
  <si>
    <t>ANKERJET CP30-CN</t>
  </si>
  <si>
    <t>ANKERJET CP70-MX</t>
  </si>
  <si>
    <t>ANKERJET CP75-MX</t>
  </si>
  <si>
    <t>ANKERJET CU-BR</t>
  </si>
  <si>
    <t>ANKERJET CW11-CN</t>
  </si>
  <si>
    <t>ANKERJET CW19-CN</t>
  </si>
  <si>
    <t>ANKERJET DP10-AR</t>
  </si>
  <si>
    <t>ANKERJET DP10-BR</t>
  </si>
  <si>
    <t>ANKERJET DP20-AR</t>
  </si>
  <si>
    <t>ANKERJET DW10-AT</t>
  </si>
  <si>
    <t>ANKERJET GP15-AT</t>
  </si>
  <si>
    <t>ANKERJET GP15-BR</t>
  </si>
  <si>
    <t>ANKERJET GP15-IN</t>
  </si>
  <si>
    <t>ANKERJET GP15-MX</t>
  </si>
  <si>
    <t>ANKERJET GP15-TR</t>
  </si>
  <si>
    <t>ANKERJET GP15-US</t>
  </si>
  <si>
    <t>ANKERJET GP30-AT</t>
  </si>
  <si>
    <t>ANKERJET GP30-CN</t>
  </si>
  <si>
    <t>ANKERJET GP30-IN</t>
  </si>
  <si>
    <t>ANKERJET GP30-TR</t>
  </si>
  <si>
    <t>ANKERJET GP31-TR</t>
  </si>
  <si>
    <t>ANKERJET GW15-AT</t>
  </si>
  <si>
    <t>ANKERJET GW15-CN</t>
  </si>
  <si>
    <t>ANKERJET GW15-IN</t>
  </si>
  <si>
    <t>ANKERJET GW15-MX</t>
  </si>
  <si>
    <t>ANKERJET GW15-TR</t>
  </si>
  <si>
    <t>ANKERJET GW15-US</t>
  </si>
  <si>
    <t>ANKERJET GW30-AT</t>
  </si>
  <si>
    <t>ANKERJET GW30-CN</t>
  </si>
  <si>
    <t>ANKERJET GW30-MX</t>
  </si>
  <si>
    <t>ANKERJET GW30-NSH1-TR</t>
  </si>
  <si>
    <t>ANKERJET GW30-TR</t>
  </si>
  <si>
    <t>ANKERJET GW30-TW</t>
  </si>
  <si>
    <t>ANKERJET GW30-US</t>
  </si>
  <si>
    <t>ANKERJET GW30S-TR</t>
  </si>
  <si>
    <t>ANKERJET GW31-TR</t>
  </si>
  <si>
    <t>ANKERJET GW32-TR</t>
  </si>
  <si>
    <t>ANKERJET GW33-TR</t>
  </si>
  <si>
    <t>ANKERJET GW70-MX</t>
  </si>
  <si>
    <t>ANKERJET HK-AT</t>
  </si>
  <si>
    <t>Casting/treatment ladle, Electric arc furnace, null, OH furnace, Converter (BOF)</t>
  </si>
  <si>
    <t>ANKERJET KP83-AT</t>
  </si>
  <si>
    <t>ANKERJET LP10-30-AT</t>
  </si>
  <si>
    <t>ANKERJET LP10-BR</t>
  </si>
  <si>
    <t>ANKERJET LP11-BR</t>
  </si>
  <si>
    <t>ANKERJET LP12-AT</t>
  </si>
  <si>
    <t>ANKERJET LP12-TR</t>
  </si>
  <si>
    <t>ANKERJET LP20-CN</t>
  </si>
  <si>
    <t>ANKERJET LS20-AT</t>
  </si>
  <si>
    <t>Casting/treatment ladle, null, Electric arc furnace, OH furnace</t>
  </si>
  <si>
    <t>ANKERJET LW10-BR</t>
  </si>
  <si>
    <t>ANKERJET LW72-AT</t>
  </si>
  <si>
    <t>ANKERJET LW72-TR</t>
  </si>
  <si>
    <t>ANKERJET LW73-AT</t>
  </si>
  <si>
    <t>ANKERJET LW90-AT</t>
  </si>
  <si>
    <t>null, OH furnace, Casting/treatment ladle, Converter (BOF)</t>
  </si>
  <si>
    <t>ANKERJET NC11-BR</t>
  </si>
  <si>
    <t>ANKERJET NC12-BR</t>
  </si>
  <si>
    <t>ANKERJET NH10-BR</t>
  </si>
  <si>
    <t>ANKERJET NP11-BR</t>
  </si>
  <si>
    <t>ANKERJET NP12-AR</t>
  </si>
  <si>
    <t>Electric arc furnace, Converter (BOF), Casting/treatment ladle</t>
  </si>
  <si>
    <t>ANKERJET NP12-AT</t>
  </si>
  <si>
    <t>ANKERJET NP12-CN</t>
  </si>
  <si>
    <t>ANKERJET NP12-MX</t>
  </si>
  <si>
    <t>ANKERJET NP12-TR</t>
  </si>
  <si>
    <t>ANKERJET NP12-US</t>
  </si>
  <si>
    <t>ANKERJET NP13-CN</t>
  </si>
  <si>
    <t>Converter (BOF), Electric arc furnace, null, RH/DH units</t>
  </si>
  <si>
    <t>ANKERJET NP15-AT</t>
  </si>
  <si>
    <t>ANKERJET NP15-TR</t>
  </si>
  <si>
    <t>ANKERJET NP15-X20-AT</t>
  </si>
  <si>
    <t>ANKERJET NP25-AT</t>
  </si>
  <si>
    <t>Converter (BOF), Casting/treatment ladle, OH furnace, null</t>
  </si>
  <si>
    <t>ANKERJET NP72-AT</t>
  </si>
  <si>
    <t>OH furnace, Casting/treatment ladle, Converter (BOF), null</t>
  </si>
  <si>
    <t>ANKERJET NW01-TR</t>
  </si>
  <si>
    <t>ANKERJET NW10-BR</t>
  </si>
  <si>
    <t>ANKERJET NW11-BR</t>
  </si>
  <si>
    <t>ANKERJET NW12-TR</t>
  </si>
  <si>
    <t>ANKERJET NW22-AT</t>
  </si>
  <si>
    <t>ANKERJET OPL20-30-MX</t>
  </si>
  <si>
    <t>ANKERJET OW30-AT</t>
  </si>
  <si>
    <t>ANKERJET OW30-IN</t>
  </si>
  <si>
    <t>ANKERJET OW30-TR</t>
  </si>
  <si>
    <t>ANKERJET OW72-AT</t>
  </si>
  <si>
    <t>ANKERJET OWL20-30-MX</t>
  </si>
  <si>
    <t>ANKERJET QP11-TR</t>
  </si>
  <si>
    <t>ANKERJET QW11-TR</t>
  </si>
  <si>
    <t>ANKERJET RH-AT</t>
  </si>
  <si>
    <t>ANKERJET RH-CN</t>
  </si>
  <si>
    <t>ANKERJET RH-MX</t>
  </si>
  <si>
    <t>ANKERJET RH-TR</t>
  </si>
  <si>
    <t>null, RH/DH units, Casting/treatment ladle</t>
  </si>
  <si>
    <t>ANKERJET RP20-30-TR</t>
  </si>
  <si>
    <t>ANKERJET RTP70-20-AT</t>
  </si>
  <si>
    <t>ANKERJET RTW70-20-AT</t>
  </si>
  <si>
    <t>ANKERJET RW20-30-TR</t>
  </si>
  <si>
    <t>ANKERJET RW20-30-US</t>
  </si>
  <si>
    <t>ANKERJET RW21-30-TR</t>
  </si>
  <si>
    <t>ANKERJET S-BK40</t>
  </si>
  <si>
    <t>ANKERJET SP12-AT</t>
  </si>
  <si>
    <t>ANKERJET SP12-CN</t>
  </si>
  <si>
    <t>ANKERJET SP12-IN</t>
  </si>
  <si>
    <t>ANKERJET SP12-TR</t>
  </si>
  <si>
    <t>ANKERJET TS63-TR</t>
  </si>
  <si>
    <t>ANKERJET TW20-MX</t>
  </si>
  <si>
    <t>ANKERJET TW20-TR</t>
  </si>
  <si>
    <t>ANKERJET TW21-AT</t>
  </si>
  <si>
    <t>ANKERJET XLP15-MX</t>
  </si>
  <si>
    <t>ANKERJET XLW15-MX</t>
  </si>
  <si>
    <t>ANKERJET XNP15-AT</t>
  </si>
  <si>
    <t>ANKERJET XP10-AT</t>
  </si>
  <si>
    <t>ANKERJET XP15-AT</t>
  </si>
  <si>
    <t>ANKERJET XW10-AT</t>
  </si>
  <si>
    <t>ANKERJET XW15-AT</t>
  </si>
  <si>
    <t>ANKERJET XW21-AT</t>
  </si>
  <si>
    <t>ANKERJET YKW72-AT</t>
  </si>
  <si>
    <t>ANKERJET YP12-AT</t>
  </si>
  <si>
    <t>ANKERJET YRP12-AT</t>
  </si>
  <si>
    <t>ANKERJET YRW12-AT</t>
  </si>
  <si>
    <t>ANKERJET YRW12-TR</t>
  </si>
  <si>
    <t>ANKERJET YRW72-AT</t>
  </si>
  <si>
    <t>ANKERJET YS10-AR</t>
  </si>
  <si>
    <t>ANKERJET YW12-AT</t>
  </si>
  <si>
    <t>ANKERJET YW15-AT</t>
  </si>
  <si>
    <t>ANKERMIX 180-AT</t>
  </si>
  <si>
    <t>ANKERMIX 245</t>
  </si>
  <si>
    <t>Casting mix</t>
  </si>
  <si>
    <t>ANKERMIX 253-CN</t>
  </si>
  <si>
    <t>ANKERMIX 258-CN</t>
  </si>
  <si>
    <t>ANKERMIX 264 C</t>
  </si>
  <si>
    <t>ANKERMIX 264-CN</t>
  </si>
  <si>
    <t>ANKERMIX 268-CN</t>
  </si>
  <si>
    <t>ANKERMIX 271-AT</t>
  </si>
  <si>
    <t>ANKERMIX 279-AT</t>
  </si>
  <si>
    <t>ANKERMIX 290-TR</t>
  </si>
  <si>
    <t>ANKERMIX 290-US</t>
  </si>
  <si>
    <t>ANKERMIX 316</t>
  </si>
  <si>
    <t>ANKERMIX 322-CN</t>
  </si>
  <si>
    <t>ANKERMIX 327-CN</t>
  </si>
  <si>
    <t>Converter (BOF), Casting/treatment ladle, Electric arc furnace, Lime, null</t>
  </si>
  <si>
    <t>Ramming and Taphole repair mix</t>
  </si>
  <si>
    <t>ANKERMIX 328-CN</t>
  </si>
  <si>
    <t>Converter (BOF), Casting/treatment ladle, Lime, Electric arc furnace, null</t>
  </si>
  <si>
    <t>ANKERMIX 331-CN</t>
  </si>
  <si>
    <t>ANKERMIX 332-AT</t>
  </si>
  <si>
    <t>ANKERMIX 333-BR</t>
  </si>
  <si>
    <t>Ramming, Casting and Taphole repair mix</t>
  </si>
  <si>
    <t>ANKERMIX CP20-AR</t>
  </si>
  <si>
    <t>ANKERMIX CP20-BR</t>
  </si>
  <si>
    <t>ANKERMIX CS10-BR</t>
  </si>
  <si>
    <t>Converter (BOF), RH/DH units, Casting/treatment ladle</t>
  </si>
  <si>
    <t>ANKERMIX CS11-BR</t>
  </si>
  <si>
    <t>Refractory mix</t>
  </si>
  <si>
    <t>ANKERMIX CS12-BR</t>
  </si>
  <si>
    <t>ANKERMIX CS17-CN</t>
  </si>
  <si>
    <t>ANKERMIX CS20-BR</t>
  </si>
  <si>
    <t>ANKERMIX KS13-AT</t>
  </si>
  <si>
    <t>ANKERMIX KS13-TR</t>
  </si>
  <si>
    <t>ANKERMIX NB10-J-IN</t>
  </si>
  <si>
    <t>ANKERMIX NC50-BR</t>
  </si>
  <si>
    <t>Kiln furniture, Other industries</t>
  </si>
  <si>
    <t>ANKERMIX NH51-AT</t>
  </si>
  <si>
    <t>ANKERMIX NN03-MX</t>
  </si>
  <si>
    <t>ANKERMIX NN05-TR</t>
  </si>
  <si>
    <t>ANKERMIX NP01-AT</t>
  </si>
  <si>
    <t>ANKERMIX NP05-IN</t>
  </si>
  <si>
    <t>ANKERMIX NP06-AR</t>
  </si>
  <si>
    <t>ANKERMIX NP10-MX</t>
  </si>
  <si>
    <t>ANKERMIX NP11-BR</t>
  </si>
  <si>
    <t>ANKERMIX NP13-AT</t>
  </si>
  <si>
    <t>Casting and ramming mix</t>
  </si>
  <si>
    <t>ANKERMIX NP13-BR</t>
  </si>
  <si>
    <t>ANKERMIX NP13-CN</t>
  </si>
  <si>
    <t>ANKERMIX NP13-TR</t>
  </si>
  <si>
    <t>ANKERMIX NP14-CN</t>
  </si>
  <si>
    <t>ANKERMIX NP50-BR</t>
  </si>
  <si>
    <t>ANKERMIX NP51-AT</t>
  </si>
  <si>
    <t>ANKERMIX NP51-CN</t>
  </si>
  <si>
    <t>null, Casting/treatment ladle, Converter (BOF), Electric arc furnace, Lime</t>
  </si>
  <si>
    <t>ANKERMIX NS03-AT</t>
  </si>
  <si>
    <t>ANKERMIX NS03-CN</t>
  </si>
  <si>
    <t>ANKERMIX NS03-MX</t>
  </si>
  <si>
    <t>ANKERMIX NS03-TR</t>
  </si>
  <si>
    <t>ANKERMIX NS10-AT</t>
  </si>
  <si>
    <t>Casting/treatment ladle, Electric arc furnace, Lime, Converter (BOF), null</t>
  </si>
  <si>
    <t>ANKERMIX NS10-BR</t>
  </si>
  <si>
    <t>ANKERMIX NS13-AT</t>
  </si>
  <si>
    <t>Lime, Container glass, Converter (BOF), Special glass, Electric arc furnace, Casting/treatment ladle, null, Flat glass</t>
  </si>
  <si>
    <t>ANKERMIX NS13-CN</t>
  </si>
  <si>
    <t>Lime, Electric arc furnace, Casting/treatment ladle, null, Converter (BOF)</t>
  </si>
  <si>
    <t>ANKERMIX NS13-MX</t>
  </si>
  <si>
    <t>ANKERMIX NS13I-TR</t>
  </si>
  <si>
    <t>ANKERMIX NS14-CN</t>
  </si>
  <si>
    <t>ANKERMIX NS25-BR</t>
  </si>
  <si>
    <t>ANKERMIX NS60-AT</t>
  </si>
  <si>
    <t>ANKERMIX NS70-AT</t>
  </si>
  <si>
    <t>ANKERMIX NW50-BR</t>
  </si>
  <si>
    <t>Other industries, Kiln furniture</t>
  </si>
  <si>
    <t>Plastic ramming mix</t>
  </si>
  <si>
    <t>ANKERMIX NW51-BR</t>
  </si>
  <si>
    <t>Chemical recovery boiler, Other industries, Kiln furniture</t>
  </si>
  <si>
    <t>1 l Sodium silicate solution = 1,59 kg (4-5l/100kg)</t>
  </si>
  <si>
    <t>ANKERMIX OF10-BR</t>
  </si>
  <si>
    <t>ANKERMIX OP10-BR</t>
  </si>
  <si>
    <t>Trowelling mix</t>
  </si>
  <si>
    <t>ANKERMIX RO57-AT</t>
  </si>
  <si>
    <t>Lime, null, Electric arc furnace, Casting/treatment ladle, Converter (BOF)</t>
  </si>
  <si>
    <t>ANKERMIX RS57-AT</t>
  </si>
  <si>
    <t>ANKERMIX TS25-BR</t>
  </si>
  <si>
    <t>ANKERMIX XP12-AT</t>
  </si>
  <si>
    <t>ANKERMIX XS12-AT</t>
  </si>
  <si>
    <t>Casting/treatment ladle, null, Flat glass, Electric arc furnace, Container glass, Converter (BOF), Special glass, Lime</t>
  </si>
  <si>
    <t>ANKERMIX XS72-AT</t>
  </si>
  <si>
    <t>ANKERMIX ZP12-MX</t>
  </si>
  <si>
    <t>ANKERMIX ZP13-MX</t>
  </si>
  <si>
    <t>ANKERPATCH FTC10-CN</t>
  </si>
  <si>
    <t>Smearing mix</t>
  </si>
  <si>
    <t>ANKERPATCH MF10-CN</t>
  </si>
  <si>
    <t>ANKERPATCH MF10-TW</t>
  </si>
  <si>
    <t>ANKERPATCH MF20-CN</t>
  </si>
  <si>
    <t>ANKERREP 029</t>
  </si>
  <si>
    <t>Casting and Scrap impact repair mix</t>
  </si>
  <si>
    <t>ANKERREP 030-CN</t>
  </si>
  <si>
    <t>ANKERREP 032-US</t>
  </si>
  <si>
    <t>ANKERREP 034-IN</t>
  </si>
  <si>
    <t>ANKERREP 035-CN</t>
  </si>
  <si>
    <t>ANKERREP 036-CN</t>
  </si>
  <si>
    <t>ANKERREP 33-TR</t>
  </si>
  <si>
    <t>ANKERREP BOF1-BR</t>
  </si>
  <si>
    <t>ANKERREP LP20-BR</t>
  </si>
  <si>
    <t>ANKERREP LW90-AT</t>
  </si>
  <si>
    <t>ANKERREP NK01-AT</t>
  </si>
  <si>
    <t>ANKERREP NK01-MX</t>
  </si>
  <si>
    <t>ANKERREP NK10-TR</t>
  </si>
  <si>
    <t>ANKERREP NP12-TR</t>
  </si>
  <si>
    <t>ANKERREP NW20-CN</t>
  </si>
  <si>
    <t>ANKERREP NW90-AT</t>
  </si>
  <si>
    <t>ANKERSET CZ41-BR</t>
  </si>
  <si>
    <t>ANKERTAR 094-AT</t>
  </si>
  <si>
    <t>ANKERTAR 095-AT</t>
  </si>
  <si>
    <t>ANKERTAR FT02-AT</t>
  </si>
  <si>
    <t>ANKERTAR NE01-AR</t>
  </si>
  <si>
    <t>Ramming mix - ready for use</t>
  </si>
  <si>
    <t>ANKERTAR NT02-AT</t>
  </si>
  <si>
    <t>ANKERTAR NT05-AT</t>
  </si>
  <si>
    <t>ANKERTAR NT06-AR</t>
  </si>
  <si>
    <t>Casting/treatment ladle, Tundish, Converter (BOF)</t>
  </si>
  <si>
    <t>ANKERTAR NT06-BR</t>
  </si>
  <si>
    <t>ANKERTAR NT92-AT</t>
  </si>
  <si>
    <t>ANKERTUN 217 TBD-AT</t>
  </si>
  <si>
    <t>Slurry gunning mix</t>
  </si>
  <si>
    <t>ANKERTUN 217-AT</t>
  </si>
  <si>
    <t>ANKERTUN 217-D-AT</t>
  </si>
  <si>
    <t>ANKERTUN 217RM-AT</t>
  </si>
  <si>
    <t>ANKERTUN 252V-AT</t>
  </si>
  <si>
    <t>ANKERTUN 253-AT</t>
  </si>
  <si>
    <t>ANKERTUN 253-TR</t>
  </si>
  <si>
    <t>ANKERTUN 264-AT</t>
  </si>
  <si>
    <t>ANKERTUN 340-TR</t>
  </si>
  <si>
    <t>ANKERTUN 349 TBD-AT</t>
  </si>
  <si>
    <t>ANKERTUN 349-AT</t>
  </si>
  <si>
    <t>ANKERTUN 360-AT</t>
  </si>
  <si>
    <t>ANKERTUN 369HES2-AT</t>
  </si>
  <si>
    <t>ANKERTUN DS01-BR</t>
  </si>
  <si>
    <t>ANKERTUN DS10 TBD-AT</t>
  </si>
  <si>
    <t>ANKERTUN DS10-AT</t>
  </si>
  <si>
    <t>ANKERTUN DS10-TR</t>
  </si>
  <si>
    <t>ANKERTUN DS20 TBD-AT</t>
  </si>
  <si>
    <t>ANKERTUN DS20-AT</t>
  </si>
  <si>
    <t>ANKERTUN DS20-MX</t>
  </si>
  <si>
    <t>ANKERTUN DS20-TR</t>
  </si>
  <si>
    <t>ANKERTUN DS395-AT</t>
  </si>
  <si>
    <t>ANKERTUN DS399-AT</t>
  </si>
  <si>
    <t>ANKERTUN DS402-AT</t>
  </si>
  <si>
    <t>ANKERTUN DS421-AT</t>
  </si>
  <si>
    <t>ANKERTUN DS438-AT</t>
  </si>
  <si>
    <t>ANKERTUN DS456-BR</t>
  </si>
  <si>
    <t>ANKERTUN DS457-BR</t>
  </si>
  <si>
    <t>ANKERTUN DS461-CN</t>
  </si>
  <si>
    <t>ANKERTUN DS467-CN</t>
  </si>
  <si>
    <t>ANKERTUN DS468-CN</t>
  </si>
  <si>
    <t>ANKERTUN DS473-CN</t>
  </si>
  <si>
    <t>ANKERTUN DS474-CN</t>
  </si>
  <si>
    <t>ANKERTUN DS479-CN</t>
  </si>
  <si>
    <t>ANKERTUN DS480-CN</t>
  </si>
  <si>
    <t>ANKERTUN DS90-AT</t>
  </si>
  <si>
    <t>ANKERTUN DS90S-AT</t>
  </si>
  <si>
    <t>ANKERTUN DSC40-AT</t>
  </si>
  <si>
    <t>ANKERTUN DSD10-TR</t>
  </si>
  <si>
    <t>ANKERTUN DSD11-US</t>
  </si>
  <si>
    <t>ANKERTUN DSD13-AT</t>
  </si>
  <si>
    <t>ANKERTUN DSD13-TR</t>
  </si>
  <si>
    <t>ANKERTUN DSD13-US</t>
  </si>
  <si>
    <t>ANKERTUN DSD19-BR</t>
  </si>
  <si>
    <t>ANKERTUN DSD19-MX</t>
  </si>
  <si>
    <t>ANKERTUN DSD19-TR</t>
  </si>
  <si>
    <t>ANKERTUN DSD19-US</t>
  </si>
  <si>
    <t>ANKERTUN DSD23-CN</t>
  </si>
  <si>
    <t>ANKERTUN DSD23-TR</t>
  </si>
  <si>
    <t>ANKERTUN DSD26-CN</t>
  </si>
  <si>
    <t>ANKERTUN DSD478-US</t>
  </si>
  <si>
    <t>ANKERTUN DSD487-TR</t>
  </si>
  <si>
    <t>ANKERTUN DSD73-AT</t>
  </si>
  <si>
    <t>ANKERTUN DSR01-MX</t>
  </si>
  <si>
    <t>ANKERTUN DSR10-AR</t>
  </si>
  <si>
    <t>ANKERTUN DSR10-AT</t>
  </si>
  <si>
    <t>ANKERTUN DSR10-CN</t>
  </si>
  <si>
    <t>ANKERTUN DSR10-MX</t>
  </si>
  <si>
    <t>ANKERTUN DSR10-TR</t>
  </si>
  <si>
    <t>ANKERTUN DSR12-BR</t>
  </si>
  <si>
    <t>ANKERTUN DSR13-CN</t>
  </si>
  <si>
    <t>ANKERTUN DSR15-TR</t>
  </si>
  <si>
    <t>ANKERTUN DSR20-CN</t>
  </si>
  <si>
    <t>ANKERTUN DSR20-TR</t>
  </si>
  <si>
    <t>ANKERTUN DSR25-CN</t>
  </si>
  <si>
    <t>ANKERTUN DSR30-CN</t>
  </si>
  <si>
    <t>ANKERTUN DSR32-TR</t>
  </si>
  <si>
    <t>ANKERTUN DSR33-TR</t>
  </si>
  <si>
    <t>ANKERTUN DSR34-TR</t>
  </si>
  <si>
    <t>ANKERTUN DSR483-AT</t>
  </si>
  <si>
    <t>ANKERTUN DSR73-AT</t>
  </si>
  <si>
    <t>ANKERTUN DVM70</t>
  </si>
  <si>
    <t>ANKERTUN DVM75</t>
  </si>
  <si>
    <t>ANKERTUN DVM83</t>
  </si>
  <si>
    <t>ANKERTUN FF10-BR</t>
  </si>
  <si>
    <t>ANKERTUN FF13-BR</t>
  </si>
  <si>
    <t>ANKERTUN FF30-AT</t>
  </si>
  <si>
    <t>ANKERTUN FTC10-AT</t>
  </si>
  <si>
    <t>ANKERTUN FTC10-CN</t>
  </si>
  <si>
    <t>ANKERTUN FTC10-MX</t>
  </si>
  <si>
    <t>ANKERTUN FTC10-TR</t>
  </si>
  <si>
    <t>ANKERTUN FTC11-AR</t>
  </si>
  <si>
    <t>ANKERTUN FTC11-BR</t>
  </si>
  <si>
    <t>ANKERTUN FTC20-AT</t>
  </si>
  <si>
    <t>ANKERTUN FTC20-CN</t>
  </si>
  <si>
    <t>ANKERTUN FTC20-TR</t>
  </si>
  <si>
    <t>ANKERTUN FTC21-AT</t>
  </si>
  <si>
    <t>ANKERTUN FTC21-BR</t>
  </si>
  <si>
    <t>ANKERTUN FTC21-MX</t>
  </si>
  <si>
    <t>ANKERTUN FTC22-BR</t>
  </si>
  <si>
    <t>ANKERTUN FTC24-MX</t>
  </si>
  <si>
    <t>ANKERTUN FTC25-CN</t>
  </si>
  <si>
    <t>ANKERTUN FW10-AT</t>
  </si>
  <si>
    <t>ANKERTUN FW10-MX</t>
  </si>
  <si>
    <t>ANKERTUN FW10-TR</t>
  </si>
  <si>
    <t>ANKERTUN FW11-MX</t>
  </si>
  <si>
    <t>ANKERTUN FW12-MX</t>
  </si>
  <si>
    <t>ANKERTUN FW12-TR</t>
  </si>
  <si>
    <t>ANKERTUN FW13-AT</t>
  </si>
  <si>
    <t>ANKERTUN FW13-CN</t>
  </si>
  <si>
    <t>ANKERTUN FW13-TR</t>
  </si>
  <si>
    <t>ANKERTUN FW14-TR</t>
  </si>
  <si>
    <t>ANKERTUN FW15-MX</t>
  </si>
  <si>
    <t>ANKERTUN FW16-CN</t>
  </si>
  <si>
    <t>ANKERTUN FW30-AT</t>
  </si>
  <si>
    <t>ANKERTUN FW30-CN</t>
  </si>
  <si>
    <t>ANKERTUN FW30-MX</t>
  </si>
  <si>
    <t>ANKERTUN FW31-MX</t>
  </si>
  <si>
    <t>ANKERTUN FW34-AT</t>
  </si>
  <si>
    <t>ANKERTUN FW34-CN</t>
  </si>
  <si>
    <t>ANKERTUN FW35-AT</t>
  </si>
  <si>
    <t>ANKERTUN FW36-MX</t>
  </si>
  <si>
    <t>ANKERTUN FW37-AT</t>
  </si>
  <si>
    <t>ANKERTUN FW38-AT</t>
  </si>
  <si>
    <t>ANKERTUN FW72-AT</t>
  </si>
  <si>
    <t>ANKERTUN GTF6-CN</t>
  </si>
  <si>
    <t>ANKERTUN LB10-AR</t>
  </si>
  <si>
    <t>Cold setting mass</t>
  </si>
  <si>
    <t>ANKERTUN LB BINDER-AR, ANKERTUN LB HARDER-AR</t>
  </si>
  <si>
    <t>ANKERTUN LB10-US</t>
  </si>
  <si>
    <t>ANKERTUN LB HARDENER, ANKERTUN LB BINDER</t>
  </si>
  <si>
    <t>ANKERTUN LW10-AT</t>
  </si>
  <si>
    <t>ANKERTUN LW10-CN</t>
  </si>
  <si>
    <t>ANKERTUN LW70-AT</t>
  </si>
  <si>
    <t>ANKERTUN LW71-AT</t>
  </si>
  <si>
    <t>ANKERTUN LW73-AT</t>
  </si>
  <si>
    <t>ANKERTUN MF10-AR</t>
  </si>
  <si>
    <t>ANKERTUN MF10-BR</t>
  </si>
  <si>
    <t>ANKERTUN MW10 TBD-AT</t>
  </si>
  <si>
    <t>ANKERTUN MW10-AT</t>
  </si>
  <si>
    <t>ANKERTUN MW10-CN</t>
  </si>
  <si>
    <t>ANKERTUN MW10-MX</t>
  </si>
  <si>
    <t>ANKERTUN MW10-TR</t>
  </si>
  <si>
    <t>ANKERTUN MW10-TW</t>
  </si>
  <si>
    <t>ANKERTUN MW14-AT</t>
  </si>
  <si>
    <t>ANKERTUN MW70-AT</t>
  </si>
  <si>
    <t>ANKERTUN MW74-AT</t>
  </si>
  <si>
    <t>ANKERTUN QDS26-TR</t>
  </si>
  <si>
    <t>ANKERTUN RW11-TR</t>
  </si>
  <si>
    <t>ANKERTUN RW14-TR</t>
  </si>
  <si>
    <t>ANKERTUN SG405-AT</t>
  </si>
  <si>
    <t>ANKERTUN SG411-TR</t>
  </si>
  <si>
    <t>ANKERTUN SG440-TR</t>
  </si>
  <si>
    <t>ANKERTUN SG448-TR</t>
  </si>
  <si>
    <t>ANKERTUN SG451-BR</t>
  </si>
  <si>
    <t>ANKERTUN SG460-TR</t>
  </si>
  <si>
    <t>ANKERTUN SG471-MX</t>
  </si>
  <si>
    <t>ANKERTUN SG482-TR</t>
  </si>
  <si>
    <t>ANKERTUN SG488-TR</t>
  </si>
  <si>
    <t>ANKERTUN SG489-TR</t>
  </si>
  <si>
    <t>ANKERTUN SG490-TR</t>
  </si>
  <si>
    <t>ANKERTUN SH10-AR</t>
  </si>
  <si>
    <t>ANKERTUN SH10-AT</t>
  </si>
  <si>
    <t>Cold setting mix</t>
  </si>
  <si>
    <t>ANKERTUN SH10-CN</t>
  </si>
  <si>
    <t>ANKERTUN SH10-MX</t>
  </si>
  <si>
    <t>ANKERTUN SH10-TR</t>
  </si>
  <si>
    <t>ANKERTUN SH10-US</t>
  </si>
  <si>
    <t>ANKERTUN SH10A-AT</t>
  </si>
  <si>
    <t>ANKERTUN SH10A-TR</t>
  </si>
  <si>
    <t>ANKERTUN SH17-CN</t>
  </si>
  <si>
    <t>ANKERTUN SH20-AT</t>
  </si>
  <si>
    <t>ANKERTUN SH20-BR</t>
  </si>
  <si>
    <t>ANKERTUN SH20-CN</t>
  </si>
  <si>
    <t>ANKERTUN SH20-TR</t>
  </si>
  <si>
    <t>ANKERTUN SH20A-AT</t>
  </si>
  <si>
    <t>ANKERTUN SH20A-TR</t>
  </si>
  <si>
    <t>ANKERTUN SH25-TR</t>
  </si>
  <si>
    <t>ANKERTUN SH25A-TR</t>
  </si>
  <si>
    <t>ANKERTUN SH26-AT</t>
  </si>
  <si>
    <t>ANKERTUN SH26-CN</t>
  </si>
  <si>
    <t>ANKERTUN SH26-MX</t>
  </si>
  <si>
    <t>ANKERTUN SH26-TR</t>
  </si>
  <si>
    <t>ANKERTUN SH26A-AT</t>
  </si>
  <si>
    <t>ANKERTUN SH26A-TR</t>
  </si>
  <si>
    <t>ANKERTUN SH27-TR</t>
  </si>
  <si>
    <t>ANKERTUN SH30-AT</t>
  </si>
  <si>
    <t>ANKERTUN SH30-BR</t>
  </si>
  <si>
    <t>ANKERTUN SH30-CN</t>
  </si>
  <si>
    <t>ANKERTUN SH30-MX</t>
  </si>
  <si>
    <t>ANKERTUN SH30-TR</t>
  </si>
  <si>
    <t>ANKERTUN SH30A-AT</t>
  </si>
  <si>
    <t>ANKERTUN SH30A-TR</t>
  </si>
  <si>
    <t>ANKERTUN SH40-AT</t>
  </si>
  <si>
    <t>ANKERTUN SH40A-AT</t>
  </si>
  <si>
    <t>ANKERTUN SH47-AT</t>
  </si>
  <si>
    <t>ANKERTUN SH47A-AT</t>
  </si>
  <si>
    <t>ANKERTUN SH60-AT</t>
  </si>
  <si>
    <t>ANKERTUN SH60A-AT</t>
  </si>
  <si>
    <t>ANKERTUN SH61-AT</t>
  </si>
  <si>
    <t>ANKERTUN SH70-AT</t>
  </si>
  <si>
    <t>ANKERTUN SH70A-AT</t>
  </si>
  <si>
    <t>ANKERTUN TF10-TR</t>
  </si>
  <si>
    <t>ANKERTUN TF15-TR</t>
  </si>
  <si>
    <t>ANKERTUN TF25G-TR</t>
  </si>
  <si>
    <t>ANKERTUN TF25G</t>
  </si>
  <si>
    <t>ANKERTUN TF28G-TR</t>
  </si>
  <si>
    <t>ANKERTUN TF30-TR</t>
  </si>
  <si>
    <t>ANKERTUN TF40G-TR</t>
  </si>
  <si>
    <t>ANKERTUN TF41G-TR</t>
  </si>
  <si>
    <t>ANKERTUN TM12-TR</t>
  </si>
  <si>
    <t>ANKERTUN TM14-TR</t>
  </si>
  <si>
    <t>ANKERTUN TME10-TR</t>
  </si>
  <si>
    <t>ANKERTUN TME12-TR</t>
  </si>
  <si>
    <t>CROMBOND-MX</t>
  </si>
  <si>
    <t>CROMSET-MX</t>
  </si>
  <si>
    <t>DOLA 125</t>
  </si>
  <si>
    <t>DOLA BR80</t>
  </si>
  <si>
    <t>DOLA DRI</t>
  </si>
  <si>
    <t>DOLAHARTH 100-CN</t>
  </si>
  <si>
    <t>FLOWMAG LD-FL</t>
  </si>
  <si>
    <t>FLOWMAG LD-SR-C-EZ</t>
  </si>
  <si>
    <t>FLOWMAG LD-SR-C</t>
  </si>
  <si>
    <t>FLOWMAG PA-SR</t>
  </si>
  <si>
    <t>FURNIT 95WR-BR</t>
  </si>
  <si>
    <t>JEBCO FILL D1-EU</t>
  </si>
  <si>
    <t>JEBCO FILL D2-EU</t>
  </si>
  <si>
    <t>JEBCO FILL DR2-EU</t>
  </si>
  <si>
    <t>JEBCO HEARTH D5-EU</t>
  </si>
  <si>
    <t>JEBCO HEARTH D6-EU</t>
  </si>
  <si>
    <t>JEBCO HEARTH D7-EU</t>
  </si>
  <si>
    <t>JEBCO RAM D2-US</t>
  </si>
  <si>
    <t>N-ANKERBOND XN60-AT</t>
  </si>
  <si>
    <t>null, Cement, Universal</t>
  </si>
  <si>
    <t>N-ANKERTUN DSR483-AT</t>
  </si>
  <si>
    <t>N-PREMIX FLOWMAG-1</t>
  </si>
  <si>
    <t>N-PREMIX FLOWMAG-2</t>
  </si>
  <si>
    <t>OLIVIA FILL 002 T</t>
  </si>
  <si>
    <t>OLIVIA FILL AT</t>
  </si>
  <si>
    <t>OLIVIA FILL RU</t>
  </si>
  <si>
    <t>OLIVIA FILL SI 2-7</t>
  </si>
  <si>
    <t>OLIVIA FILL SI</t>
  </si>
  <si>
    <t>OLIVIA FILL T 3-8</t>
  </si>
  <si>
    <t>OLIVIA FILL T</t>
  </si>
  <si>
    <t>OLIVIA FILL</t>
  </si>
  <si>
    <t>OXIMAG 90-MX</t>
  </si>
  <si>
    <t>PENTADOL 0-5L</t>
  </si>
  <si>
    <t>PENTAPLAST XT</t>
  </si>
  <si>
    <t>PENTASOL S10</t>
  </si>
  <si>
    <t>PENTASOL S10L</t>
  </si>
  <si>
    <t>PENTASOL S</t>
  </si>
  <si>
    <t>PENTASOL S22</t>
  </si>
  <si>
    <t>PENTASOL S25-5</t>
  </si>
  <si>
    <t>PERFILL IT</t>
  </si>
  <si>
    <t>PERFRIT CB39-TR</t>
  </si>
  <si>
    <t>PERFRIT DB39</t>
  </si>
  <si>
    <t>PERFRIT V597 T</t>
  </si>
  <si>
    <t>PERMASIT GS</t>
  </si>
  <si>
    <t>Converter (BOF), Flat glass, Special glass, null, Casting/treatment ladle, Container glass, Electric arc furnace</t>
  </si>
  <si>
    <t>PERMASIT TM102-AT</t>
  </si>
  <si>
    <t>PERMASIT TM30-AT</t>
  </si>
  <si>
    <t>PERRAMIT CD80-CN</t>
  </si>
  <si>
    <t>OH furnace, Electric arc furnace, null</t>
  </si>
  <si>
    <t>PERRAMIT CT38-TR</t>
  </si>
  <si>
    <t>PERRAMIT DB38-EU</t>
  </si>
  <si>
    <t>PERRAMIT HP75-CN</t>
  </si>
  <si>
    <t>PERRAMIT HP85-CN</t>
  </si>
  <si>
    <t>PERRAMIT MA20</t>
  </si>
  <si>
    <t>Special glass, Flat glass, null, Electric arc furnace, OH furnace, Container glass</t>
  </si>
  <si>
    <t>PERRAMIT MA25E</t>
  </si>
  <si>
    <t>null, Electric arc furnace, OH furnace, Container glass, Special glass, Flat glass</t>
  </si>
  <si>
    <t>PERRAMIT MA35-AR</t>
  </si>
  <si>
    <t>PERRAMIT MA70</t>
  </si>
  <si>
    <t>PERRAMIT MA90</t>
  </si>
  <si>
    <t>Electric arc furnace, OH furnace, null</t>
  </si>
  <si>
    <t>PERRAMIT MA95E</t>
  </si>
  <si>
    <t>PERRAMIT MA98E</t>
  </si>
  <si>
    <t>PERRAMIT MB50-CN</t>
  </si>
  <si>
    <t>OH furnace, null, Electric arc furnace</t>
  </si>
  <si>
    <t>PERRAMIT MB98E</t>
  </si>
  <si>
    <t>PERRAMIT MC50-CN</t>
  </si>
  <si>
    <t>null, OH furnace, Electric arc furnace</t>
  </si>
  <si>
    <t>PERRAMIT MC51-CN</t>
  </si>
  <si>
    <t>PERRAMIT MC85-CN</t>
  </si>
  <si>
    <t>PERRAMIT MT25-TR</t>
  </si>
  <si>
    <t>PERRAMIT OHF 95C10</t>
  </si>
  <si>
    <t>null, OH furnace</t>
  </si>
  <si>
    <t>PERRAMIT OHF 95CSX</t>
  </si>
  <si>
    <t>OH furnace, null</t>
  </si>
  <si>
    <t>PERRAMIT OHF 95DX</t>
  </si>
  <si>
    <t>RECYCLE MAGCHROME DB</t>
  </si>
  <si>
    <t>RUBINIT 800-AT</t>
  </si>
  <si>
    <t>Pump mix</t>
  </si>
  <si>
    <t>RUBINIT 815-AT</t>
  </si>
  <si>
    <t>RUBINIT 835-AT</t>
  </si>
  <si>
    <t>RUBINIT 835-CN</t>
  </si>
  <si>
    <t>RUBINIT 921-AT</t>
  </si>
  <si>
    <t>RUBINIT VH-AT</t>
  </si>
  <si>
    <t>RUBINIT VK-AT</t>
  </si>
  <si>
    <t>Container glass, null, Casting/treatment ladle, Flat glass, Electric arc furnace, Special glass, Converter (BOF)</t>
  </si>
  <si>
    <t>RUBINIT VK-CN</t>
  </si>
  <si>
    <t>Casting/treatment ladle, Special glass, Converter (BOF), null, Container glass, Flat glass, Electric arc furnace</t>
  </si>
  <si>
    <t>RUBINIT VK-TR</t>
  </si>
  <si>
    <t>RUBINIT VK1-BR</t>
  </si>
  <si>
    <t>RUBINIT VK3-AR</t>
  </si>
  <si>
    <t>RUBINIT VK3-AT</t>
  </si>
  <si>
    <t>Casting/treatment ladle, Converter (BOF), Special glass, null, Electric arc furnace, Container glass, Flat glass</t>
  </si>
  <si>
    <t>RUBINIT VK3-BR</t>
  </si>
  <si>
    <t>RUBINIT VK3-CN</t>
  </si>
  <si>
    <t>RUBINIT VK3-TR</t>
  </si>
  <si>
    <t>RUBINIT VK33-AT</t>
  </si>
  <si>
    <t>Casting/treatment ladle, null, Electric arc furnace, Converter (BOF), Flat glass, Special glass, Container glass</t>
  </si>
  <si>
    <t>SINTERMAG 208</t>
  </si>
  <si>
    <t>ANKERINDUX MB14-6-DE</t>
  </si>
  <si>
    <t>Ramming mix, dry</t>
  </si>
  <si>
    <t>ANKERINDUX RN10-BR</t>
  </si>
  <si>
    <t>ANKERINDUX RN50-4-BR</t>
  </si>
  <si>
    <t>ANKOCAST VL92MA-15-DE</t>
  </si>
  <si>
    <t>Refractory concrete (LCC) DIN EN ISO 1927-1</t>
  </si>
  <si>
    <t>ANKOCAST VL92MA-6-DE</t>
  </si>
  <si>
    <t>ANKOCAST VL92MAS-15-DE</t>
  </si>
  <si>
    <t>ANKOCAST VL93M-15-DE</t>
  </si>
  <si>
    <t>Refractory concrete (ULCC) DIN EN ISO 1927-1</t>
  </si>
  <si>
    <t>ANKOCAST VL93M-6-CN</t>
  </si>
  <si>
    <t>ANKOCAST VL93M-6-DE</t>
  </si>
  <si>
    <t>ANKOCAST VL97-15-CN</t>
  </si>
  <si>
    <t>ANKOCAST VL97-15-DE</t>
  </si>
  <si>
    <t>ANKOCAST ZV92 0-15</t>
  </si>
  <si>
    <t>Refractory concrete (MCC) DIN EN ISO 1927-1</t>
  </si>
  <si>
    <t>Self flowing castable</t>
  </si>
  <si>
    <t>ANKOFLO 94M-15-DE</t>
  </si>
  <si>
    <t>ANKOFLO 94M-6-DE</t>
  </si>
  <si>
    <t>ANKOFLO MAX-15-DE</t>
  </si>
  <si>
    <t>ANKOFLO MAX-6-DE</t>
  </si>
  <si>
    <t>ANKOFORM B83S-6-Y-TP</t>
  </si>
  <si>
    <t>Refractory concrete, conventional DIN EN ISO 1927-1</t>
  </si>
  <si>
    <t>CARSIMUR 44-03-DE</t>
  </si>
  <si>
    <t>Dry mortar</t>
  </si>
  <si>
    <t>CARSIMUR 85V-03-BR</t>
  </si>
  <si>
    <t>CARSIMUR 85V-03-IN</t>
  </si>
  <si>
    <t>CARSIMUR 93P-03-DE</t>
  </si>
  <si>
    <t>Difosil (10,5-12,5l/100kg), Water</t>
  </si>
  <si>
    <t>CARSIMUR B10V-05-IN</t>
  </si>
  <si>
    <t>CARSIMUR SB 92-03-DE</t>
  </si>
  <si>
    <t>Divasil FP (19-22l/100kg)</t>
  </si>
  <si>
    <t>CARSIT 60-6-DE</t>
  </si>
  <si>
    <t>NC additive (7,3-8,4l/100kg)</t>
  </si>
  <si>
    <t>CARSIT 60-6-US</t>
  </si>
  <si>
    <t>CARSIT 75-3-DE</t>
  </si>
  <si>
    <t>Chem/petroch/oth.EEC, Aluminium</t>
  </si>
  <si>
    <t>Divasil BR (7,7-8,5l/100kg)</t>
  </si>
  <si>
    <t>CARSIT 86-3-DE</t>
  </si>
  <si>
    <t>Divasil, Divasil FP (8,7-9,7l/100kg)</t>
  </si>
  <si>
    <t>Divasil FP, Divasil (7,0-8,0l/100kg)</t>
  </si>
  <si>
    <t>CARSIT A18S-15-IN</t>
  </si>
  <si>
    <t>Lime, Cement, null, Energy systems</t>
  </si>
  <si>
    <t>CARSIT B07GR-5-BR</t>
  </si>
  <si>
    <t>null, Torpedo ladle</t>
  </si>
  <si>
    <t>Divasil, Divasil FP (11,0-13,0l/100kg)</t>
  </si>
  <si>
    <t>CARSIT B08G-5-BR</t>
  </si>
  <si>
    <t>CARSIT B08RS-10-BR</t>
  </si>
  <si>
    <t>Energy systems, null</t>
  </si>
  <si>
    <t>NC additive, Divasil FP, Divasil (8,5-9,5l/100kg)</t>
  </si>
  <si>
    <t>CARSIT B10-6-TR</t>
  </si>
  <si>
    <t>Divasil FP, Divasil (6,5-7,5l/100kg)</t>
  </si>
  <si>
    <t>NC additive (12-0,-14,0l/100kg)</t>
  </si>
  <si>
    <t>CARSIT B10GR-5-BR</t>
  </si>
  <si>
    <t>CARSIT B15-5-MX</t>
  </si>
  <si>
    <t>null, Energy systems</t>
  </si>
  <si>
    <t>Divasil FP, Divasil (8,2-9,2l/100kg)</t>
  </si>
  <si>
    <t>CARSIT B15-6-BR</t>
  </si>
  <si>
    <t>Divasil FP, Divasil (6,8-7,8l/100kg)</t>
  </si>
  <si>
    <t>CARSIT B18-8-AR</t>
  </si>
  <si>
    <t>Vibrating mix</t>
  </si>
  <si>
    <t>CARSIT F07-5-BR</t>
  </si>
  <si>
    <t>Cement, null, Lime, Alkali, abrasion resistant lining</t>
  </si>
  <si>
    <t>CARSIT F10-5-CQ-GS</t>
  </si>
  <si>
    <t>Cement, Energy systems, null</t>
  </si>
  <si>
    <t>Divasil FP, Divasil (7,8-8,8l/100kg)</t>
  </si>
  <si>
    <t>CARSIT F10-5-IN</t>
  </si>
  <si>
    <t>Energy systems, Cement, null</t>
  </si>
  <si>
    <t>Divasil, Divasil FP (7,3-8,3l/100kg)</t>
  </si>
  <si>
    <t>CARSIT F10-5-MX</t>
  </si>
  <si>
    <t>Energy systems, null, Cement, Lime</t>
  </si>
  <si>
    <t>CARSIT F10-6-DE</t>
  </si>
  <si>
    <t>Cement, Energy systems, null, Lime</t>
  </si>
  <si>
    <t>Divasil FP, Divasil (11,0-13,0l/100kg)</t>
  </si>
  <si>
    <t>CARSIT F10E-8-GS</t>
  </si>
  <si>
    <t>CARSIT F10G-5-IN</t>
  </si>
  <si>
    <t>CARSIT F10G-6-CN</t>
  </si>
  <si>
    <t>Divasil FP, Divasil (10,0-13,0l/100kg)</t>
  </si>
  <si>
    <t>CARSIT F10G-6-DE</t>
  </si>
  <si>
    <t>CARSIT F10Z-6-DE</t>
  </si>
  <si>
    <t>Cement, null, Lime, Energy systems</t>
  </si>
  <si>
    <t>Divasil FP, NC additive, Divasil (5,8-6,2l/100kg)</t>
  </si>
  <si>
    <t>CARSIT F12G-5-AR</t>
  </si>
  <si>
    <t>CARSIT F15E-5-IN</t>
  </si>
  <si>
    <t>null, Cement, Energy systems</t>
  </si>
  <si>
    <t>Divasil, Divasil FP (6,9-7,7l/100kg)</t>
  </si>
  <si>
    <t>CARSIT F25G-5-AR</t>
  </si>
  <si>
    <t>CARSIT F30-5-IN</t>
  </si>
  <si>
    <t>Divasil (5,1-5,9l/100kg)</t>
  </si>
  <si>
    <t>CARSIT F30-5-MX</t>
  </si>
  <si>
    <t>CARSIT F30-6-DE</t>
  </si>
  <si>
    <t>null, Lime, Energy systems, Cement</t>
  </si>
  <si>
    <t>Divasil, Divasil FP, NC additive (5,8-6,2l/100kg)</t>
  </si>
  <si>
    <t>CARSIT F30G-6-DE</t>
  </si>
  <si>
    <t>Divasil, Divasil FP (6,4-7,4l/100kg)</t>
  </si>
  <si>
    <t>CARSIT F40G-5-AR</t>
  </si>
  <si>
    <t>CARSIT FLO 49-6-DE</t>
  </si>
  <si>
    <t>Cement, Copper, Nickel, Lead, Aluminium</t>
  </si>
  <si>
    <t>Divasil, Divasil FP (6,8-7,8l/100kg)</t>
  </si>
  <si>
    <t>CARSIT FLO 69ABR-3-DE</t>
  </si>
  <si>
    <t>null, Power plants</t>
  </si>
  <si>
    <t>NC additive (5,5-5,9l/100kg)</t>
  </si>
  <si>
    <t>CARSIT FLO 70-2-DE</t>
  </si>
  <si>
    <t>Waste incineration</t>
  </si>
  <si>
    <t>NC additive (4,5-5,0l/100kg)</t>
  </si>
  <si>
    <t>CARSIT FLO B15-6-DE</t>
  </si>
  <si>
    <t>NC additive (11,0-13,0l/100kg)</t>
  </si>
  <si>
    <t>CARSIT FLO SB 76-05-DE</t>
  </si>
  <si>
    <t>Refractory concrete (NCC) DIN EN ISO 1927-1</t>
  </si>
  <si>
    <t>CARSIT FLO SB B16C-8-BR</t>
  </si>
  <si>
    <t>NC additive (5,0-5,8l/100kg)</t>
  </si>
  <si>
    <t>CARSIT FLO SB S16C-8-BR</t>
  </si>
  <si>
    <t>Divasil (5,5-6,5l/100kg)</t>
  </si>
  <si>
    <t>CARSIT FLO SB TC K19-8-BR</t>
  </si>
  <si>
    <t>Divasil (5,5-6,5l/100kg) / Additive FLOWGUN-CSC</t>
  </si>
  <si>
    <t>CARSIT FLO TC K21-8-BR</t>
  </si>
  <si>
    <t>Blast furnace runner, null</t>
  </si>
  <si>
    <t>null, Blast furnace runner</t>
  </si>
  <si>
    <t>CARSIT FLO TC K23HR-16-BR</t>
  </si>
  <si>
    <t>Divasil FP, Divasil (11,0-14,0l/100kg)</t>
  </si>
  <si>
    <t>Grouting Mix</t>
  </si>
  <si>
    <t>CARSIT K08CS-8-BR</t>
  </si>
  <si>
    <t>Divasil, Divasil FP (9,5-10,5l/100kg)</t>
  </si>
  <si>
    <t>CARSIT K16-5-BR</t>
  </si>
  <si>
    <t>null, Copper, Nickel, Lead, Hot metal mixer</t>
  </si>
  <si>
    <t>Divasil, Divasil FP (7,5-8,5l/100kg)</t>
  </si>
  <si>
    <t>CARSIT K30-8-AR</t>
  </si>
  <si>
    <t>CARSIT K30-8-BR</t>
  </si>
  <si>
    <t>Lime, null, Cement, Alkali, abrasion resistant lining</t>
  </si>
  <si>
    <t>Divasil, Divasil FP (6,2-7,1l/100kg)</t>
  </si>
  <si>
    <t>CARSIT M05E-8-GS</t>
  </si>
  <si>
    <t>CARSIT M10-5-BR</t>
  </si>
  <si>
    <t>Divasil (10,0-12,0l/100kg)</t>
  </si>
  <si>
    <t>CARSIT M10-5-IN</t>
  </si>
  <si>
    <t>Energy systems, null, Lime, Cement</t>
  </si>
  <si>
    <t>Divasil BR (6,1-7,7l/100kg)</t>
  </si>
  <si>
    <t>CARSIT M10-5-MX</t>
  </si>
  <si>
    <t>null, Energy systems, Cement, Lime</t>
  </si>
  <si>
    <t>Divasil, Divasil FP (8,5-10,0l/100kg)</t>
  </si>
  <si>
    <t>CARSIT M10-6-CN</t>
  </si>
  <si>
    <t>Energy systems, null, Universal</t>
  </si>
  <si>
    <t>Divasil, Divasil FP (6,2-6,8l/100kg)</t>
  </si>
  <si>
    <t>CARSIT M10-6-CQ-GS</t>
  </si>
  <si>
    <t>null, Universal, Energy systems</t>
  </si>
  <si>
    <t>Divasil FP, Divasil (6,0-6,6l/100kg)</t>
  </si>
  <si>
    <t>CARSIT M10-6-DE</t>
  </si>
  <si>
    <t>Divasil FP, Divasil (6,2-6,8l/100kg)</t>
  </si>
  <si>
    <t>CARSIT M10G-6-DE</t>
  </si>
  <si>
    <t>Divasil, Divasil FP (6,0-6,6l/100kg)</t>
  </si>
  <si>
    <t>CARSIT M10GZ-6-DE</t>
  </si>
  <si>
    <t>CARSIT M10Z-6-DE</t>
  </si>
  <si>
    <t>Lime, null, Cement, Energy systems</t>
  </si>
  <si>
    <t>CARSIT M14S-5-BR</t>
  </si>
  <si>
    <t>CARSIT M20E-8-GS</t>
  </si>
  <si>
    <t>CARSIT M25-5-CQ-GS</t>
  </si>
  <si>
    <t>Cement, null, Energy systems</t>
  </si>
  <si>
    <t>CARSIT M25-5-IN</t>
  </si>
  <si>
    <t>null, Energy systems, Cement</t>
  </si>
  <si>
    <t>Divasil, Divasil FP (5,2-6,0l/100kg)</t>
  </si>
  <si>
    <t>CARSIT M25-6-DE</t>
  </si>
  <si>
    <t>CARSIT M30G-3-IN</t>
  </si>
  <si>
    <t>CARSIT PLAST B13C-5-BR</t>
  </si>
  <si>
    <t>Ramming mix, plasticized</t>
  </si>
  <si>
    <t>CARSIT PLAST K15-2-AR</t>
  </si>
  <si>
    <t>Ramming mix, slightly moist</t>
  </si>
  <si>
    <t>CARSIT RAM 70C-8-BR</t>
  </si>
  <si>
    <t>CARSIT RAM B06-5-J-IN</t>
  </si>
  <si>
    <t>Divasil FP, Divasil (7,2-8,2l/100kg)</t>
  </si>
  <si>
    <t>CARSIT RAM B11C-6-J-IN</t>
  </si>
  <si>
    <t>Divasil, Divasil FP (7,4-8,4l/100kg)</t>
  </si>
  <si>
    <t>CARSIT RAM B12C-6-J-IN</t>
  </si>
  <si>
    <t>CARSIT RAM B13C-5-AR</t>
  </si>
  <si>
    <t>CARSIT RAM B14C-8-BR</t>
  </si>
  <si>
    <t>Divasil, Divasil FP (7,0-8,0l/100kg)</t>
  </si>
  <si>
    <t>CARSIT RAM B17C-6-DE</t>
  </si>
  <si>
    <t>CARSIT RAM B19C-8-BR</t>
  </si>
  <si>
    <t>CARSIT RAM B20C-3-DE</t>
  </si>
  <si>
    <t>Divasil FP, Divasil (7,3-8,1l/100kg)</t>
  </si>
  <si>
    <t>CARSIT RAM B20C-6-DE</t>
  </si>
  <si>
    <t>CARSIT RAM B20C-8-BR</t>
  </si>
  <si>
    <t>Divasil, Divasil FP (8,0-9,0l/100kg)</t>
  </si>
  <si>
    <t>Dry back filling mix</t>
  </si>
  <si>
    <t>CARSIT RAM K15C-8-BR</t>
  </si>
  <si>
    <t>Divasil FP, Divasil (8,1-9,1l/100kg)</t>
  </si>
  <si>
    <t>CARSIT RAM K19C-5-BR</t>
  </si>
  <si>
    <t>Divasil FP, Divasil (8,0-8,8l/100kg)</t>
  </si>
  <si>
    <t>CARSIT RAM K19C-6-US</t>
  </si>
  <si>
    <t>CARSIT RAM K20C-8-BR</t>
  </si>
  <si>
    <t>Divasil FP, Divasil (7,5-8,5l/100kg)</t>
  </si>
  <si>
    <t>CARSIT RAM K21C-5-BR</t>
  </si>
  <si>
    <t>CARSIT S14S-15-IN</t>
  </si>
  <si>
    <t>CARSIT S14S-5-IN</t>
  </si>
  <si>
    <t>CARSIT S30-5-BR</t>
  </si>
  <si>
    <t>CARSIT S30-6-TR</t>
  </si>
  <si>
    <t>Divasil, Divasil FP (7,7-8,8l/100kg)</t>
  </si>
  <si>
    <t>CARSIT S30-8-MX</t>
  </si>
  <si>
    <t>Divasil FP, Divasil (13,4-14,2l/100kg)</t>
  </si>
  <si>
    <t>CARSIT SHOT 60-5-BR</t>
  </si>
  <si>
    <t>Lime, Cement, Alkali, abrasion resistant lining</t>
  </si>
  <si>
    <t>Divasil (9,8-10,8l/100kg)</t>
  </si>
  <si>
    <t>CARSIT SHOT F10-6-DE</t>
  </si>
  <si>
    <t>Blast furnace, Cement, null</t>
  </si>
  <si>
    <t>Divasil FP, Divasil (7,7-8,8l/100kg) / DIKASIL SK</t>
  </si>
  <si>
    <t>Cement, Lime, Alkali, abrasion resistant lining</t>
  </si>
  <si>
    <t>CARSIT SHOT SB B20-5-BR</t>
  </si>
  <si>
    <t>Divasil FP, Divasil (11,0-13,0l/100kg) / Additive FLOWGUN-CSC-BFR</t>
  </si>
  <si>
    <t>CARSIT SHOT SB K18-5-BR</t>
  </si>
  <si>
    <t>Divasil (5,2-6,0l/100kg) / Additive FLOWGUN-CSC-BR</t>
  </si>
  <si>
    <t>CARSIT SHOT SB M10-3-DE</t>
  </si>
  <si>
    <t>Divasil (6,5-7,3l/100kg) / DIKASIL SK</t>
  </si>
  <si>
    <t>CARSIT SHOT SB M10-5-BR</t>
  </si>
  <si>
    <t>Divasil (5,4-6,2l/100kg) / DIKASIL SK</t>
  </si>
  <si>
    <t>CARSIT SHOT SB TC B19-5-BR</t>
  </si>
  <si>
    <t>Divasil (5,4-6,2l/100kg) / Additive FLOWGUN-CSC</t>
  </si>
  <si>
    <t>CARSIT SHOT SB TC K19-5-BR</t>
  </si>
  <si>
    <t>Divasil (5,2-6,0l/100kg) / Additive FLOWGUN-CSC</t>
  </si>
  <si>
    <t>CARSIT SHOT SB TC K19-6-US</t>
  </si>
  <si>
    <t>Divasil (5,4-6,4l/100kg) / DIKASIL SK</t>
  </si>
  <si>
    <t>CARSIT SHOT TB024-BR</t>
  </si>
  <si>
    <t>Divasil FP, Divasil (6,0-7,0l/100kg) / DIKASIL SK-BR</t>
  </si>
  <si>
    <t>Blast furnace runner</t>
  </si>
  <si>
    <t>CARSIT SOL 88-3-DE</t>
  </si>
  <si>
    <t>Divasil FP, Divasil (8,0-9,0l/100kg)</t>
  </si>
  <si>
    <t>CARSIT SOL 92-3-DE</t>
  </si>
  <si>
    <t>Dikasil 3:1 (33,0-37,0l/100kg)</t>
  </si>
  <si>
    <t>CARSIT SOL B05-5-BR</t>
  </si>
  <si>
    <t>Dikasil 2:1 (35-40l/100kg)</t>
  </si>
  <si>
    <t>CARSIT SOL B14C-8-BR</t>
  </si>
  <si>
    <t>Dikasil 3:1 (35,0-40,0l/100kg)</t>
  </si>
  <si>
    <t>CARSIT SOL F10-6-DE</t>
  </si>
  <si>
    <t>CARSIT SOL F10G-6-DE</t>
  </si>
  <si>
    <t>Sol bonded gunning mix</t>
  </si>
  <si>
    <t>CARSIT SOL F22-8-BR</t>
  </si>
  <si>
    <t>null, Lime, Alkali, abrasion resistant lining, Cement</t>
  </si>
  <si>
    <t>Difosil 32-BR (8,9-9,5l/100kg)</t>
  </si>
  <si>
    <t>CARSIT SOL F30-6-DE</t>
  </si>
  <si>
    <t>CARSIT SOL M10-5-BR</t>
  </si>
  <si>
    <t>Lime, Energy systems, Cement</t>
  </si>
  <si>
    <t>Difosil 32 (4,0-7,0l/100kg)</t>
  </si>
  <si>
    <t>CARSIT SOL M10-5-IN</t>
  </si>
  <si>
    <t>null, Cement, Energy systems, Lime</t>
  </si>
  <si>
    <t>Difosil 32-BR (8,42l/100kg)</t>
  </si>
  <si>
    <t>CARSIT SOL M10-6-CN</t>
  </si>
  <si>
    <t>Exo-Aktivator (8,3-8,9l/100kg)</t>
  </si>
  <si>
    <t>CARSIT SOL M10-6-CQ-GS</t>
  </si>
  <si>
    <t>CARSIT SOL M10-6-DE</t>
  </si>
  <si>
    <t>Lime, Cement, Energy systems, null</t>
  </si>
  <si>
    <t>Dikasil 2:1 (14-16l/100kg)</t>
  </si>
  <si>
    <t>Dikasil 2:1 (9,0-16,0l/100kg)</t>
  </si>
  <si>
    <t>CARSIT SOL M10-6-US</t>
  </si>
  <si>
    <t>CARSIT SOL M10-8-MX</t>
  </si>
  <si>
    <t>CARSIT SOL M10G-5-BR</t>
  </si>
  <si>
    <t>Divasil FP, Divasil (22,0-25,5l/100kg)</t>
  </si>
  <si>
    <t>CARSIT SOL M10G-5-IN</t>
  </si>
  <si>
    <t>Lime, Energy systems, Cement, null</t>
  </si>
  <si>
    <t>Divasil, Divasil FP (22,0-25,5l/100kg)</t>
  </si>
  <si>
    <t>CARSIT SOL M10G-5-MX</t>
  </si>
  <si>
    <t>CARSIT SOL M10G-6-DE</t>
  </si>
  <si>
    <t>Cement, Lime, null, Energy systems</t>
  </si>
  <si>
    <t>CARSIT SOL M10G-6-SI</t>
  </si>
  <si>
    <t>CARSIT SOL M10GZ-6-DE</t>
  </si>
  <si>
    <t>Energy systems, Cement, null, Lime</t>
  </si>
  <si>
    <t>Divasil, Divasil FP (7,3-7,9l/100kg)</t>
  </si>
  <si>
    <t>CARSIT SOL M10Z-5-BR</t>
  </si>
  <si>
    <t>Divasil, Divasil FP (11,0-15,0l/100kg)</t>
  </si>
  <si>
    <t>CARSIT SOL M10Z-6-DE</t>
  </si>
  <si>
    <t>Divasil FP, Divasil (11,0-15,0l/100kg)</t>
  </si>
  <si>
    <t>CARSIT SOL M30-5-CN</t>
  </si>
  <si>
    <t>WASSER, Water (20-24l/100kg)</t>
  </si>
  <si>
    <t>CARSIT SOL M30-5-IN</t>
  </si>
  <si>
    <t>CARSIT SOL M30G-6-DE</t>
  </si>
  <si>
    <t>Difosil : Water;  at the rate of  2 : 1 (per volume) (20,0-24,0l/100kg)</t>
  </si>
  <si>
    <t>CARSIT SOL MB A10-6-CN</t>
  </si>
  <si>
    <t>null, Copper, Nickel, Lead, Cement, Aluminium</t>
  </si>
  <si>
    <t>Dikasil 3:1 (25-30l/100kg)</t>
  </si>
  <si>
    <t>CARSIT SOL MB A10-6-DE</t>
  </si>
  <si>
    <t>Aluminium, null, Cement, Copper, Nickel, Lead</t>
  </si>
  <si>
    <t>CARSIT SOL MB A10-6-MX</t>
  </si>
  <si>
    <t>CARSIT SOL S30-5-BR</t>
  </si>
  <si>
    <t>Divasil, Divasil FP, NC additive</t>
  </si>
  <si>
    <t>CARSIT SOL S30-6-DE</t>
  </si>
  <si>
    <t>Divasil, Divasil FP</t>
  </si>
  <si>
    <t>CARSIT SOL S30-8-MX</t>
  </si>
  <si>
    <t>CARSIT SOL TC B16S-19-BR</t>
  </si>
  <si>
    <t>NC additive</t>
  </si>
  <si>
    <t>CARSIT SOL TC K11-8-BR</t>
  </si>
  <si>
    <t>CARSIT SOL TC K15S-19-BR</t>
  </si>
  <si>
    <t>CARSIT SOL TC K35-8-BR</t>
  </si>
  <si>
    <t>CARSIT SOL TG B10-5-BR</t>
  </si>
  <si>
    <t>CARSIT SOL TG B11-5-BR</t>
  </si>
  <si>
    <t>CARSIT TB027-BR</t>
  </si>
  <si>
    <t>CARSIT TC B19-10-DE</t>
  </si>
  <si>
    <t>CARSIT TC K14-8-BR</t>
  </si>
  <si>
    <t>CARSIT TC K14-8-MX</t>
  </si>
  <si>
    <t>CARSIT TC K15S-5-BR</t>
  </si>
  <si>
    <t>CARSIT TC K20-8-BR</t>
  </si>
  <si>
    <t>CARSIT TC K21-8-BR</t>
  </si>
  <si>
    <t>CARSIT TC K23-8-BR</t>
  </si>
  <si>
    <t>CARSIT TC K24-8-BR</t>
  </si>
  <si>
    <t>CARSIT TC K24-GOB-8-BR</t>
  </si>
  <si>
    <t>CARSIT TC K26-6-DE</t>
  </si>
  <si>
    <t>CARSIT TC K35-19-BR</t>
  </si>
  <si>
    <t>CARSIT TC K38-8-BR</t>
  </si>
  <si>
    <t>CARSIT TC K40-19-BR</t>
  </si>
  <si>
    <t>CARSIT TC SB K18-8-BR</t>
  </si>
  <si>
    <t>CARSIT TC V001-8-BR</t>
  </si>
  <si>
    <t>CARSIT TG B20-3-DE</t>
  </si>
  <si>
    <t>CARSIT TG K20-5-BR</t>
  </si>
  <si>
    <t>CARSITECT 78V-05-DE</t>
  </si>
  <si>
    <t>Ready for use mortar</t>
  </si>
  <si>
    <t>CARSITECT 86P-03 E20-DE</t>
  </si>
  <si>
    <t>CEKOR 70-U</t>
  </si>
  <si>
    <t>CERABOND 60-U</t>
  </si>
  <si>
    <t>COMPAC DRY B74HR-5-MX</t>
  </si>
  <si>
    <t>null, Hot repair ladle bottom</t>
  </si>
  <si>
    <t>COMPAC ROX A93MAS-15-DE</t>
  </si>
  <si>
    <t>Divasil</t>
  </si>
  <si>
    <t>COMPAC ROX A93MAS-15-IN</t>
  </si>
  <si>
    <t>COMPAC ROX A99-15-DE</t>
  </si>
  <si>
    <t>COMPAC ROX A99S-15-DE</t>
  </si>
  <si>
    <t>COMPAC SHOT A92MA-6-DE</t>
  </si>
  <si>
    <t>null, Smelting reduction</t>
  </si>
  <si>
    <t>Shotcast mix</t>
  </si>
  <si>
    <t>COMPAC SHOT A92MA-6-MX</t>
  </si>
  <si>
    <t>DIKASIL SK M</t>
  </si>
  <si>
    <t>COMPAC SHOT A92MA-6-US</t>
  </si>
  <si>
    <t>DIKASIL SK-BR</t>
  </si>
  <si>
    <t>COMPAC SHOT B84-3-DE</t>
  </si>
  <si>
    <t>Cement, Torpedo ladle</t>
  </si>
  <si>
    <t>COMPAC SHOT B84-3-IN</t>
  </si>
  <si>
    <t>COMPAC SHOT F47AL-6-DE</t>
  </si>
  <si>
    <t>Petrochemistry, null, Chemistry</t>
  </si>
  <si>
    <t>COMPAC SHOT F49S-6-DE</t>
  </si>
  <si>
    <t>Cement, Blast furnace</t>
  </si>
  <si>
    <t>Reheat furnaces, null</t>
  </si>
  <si>
    <t>COMPAC SHOT M64-6-DE</t>
  </si>
  <si>
    <t>Chem/petroch/oth.EEC, Torpedo ladle, Cement</t>
  </si>
  <si>
    <t>COMPAC SHOT M67-5-IN</t>
  </si>
  <si>
    <t>COMPAC SHOT M67-8-MX</t>
  </si>
  <si>
    <t>Casting/treatment ladle, Torpedo ladle</t>
  </si>
  <si>
    <t>COMPAC SHOT RK64-3-DE</t>
  </si>
  <si>
    <t>COMPAC SHOT S68-5-IN</t>
  </si>
  <si>
    <t>COMPAC SHOT SB A87CR-6-DE</t>
  </si>
  <si>
    <t>Divasil, Divasil FP / DIKASIL SK</t>
  </si>
  <si>
    <t>COMPAC SHOT SB A94CR-6-DE</t>
  </si>
  <si>
    <t>Divasil FP, Divasil / DIKASIL SK</t>
  </si>
  <si>
    <t>COMPAC SHOT SB F53-3-DE</t>
  </si>
  <si>
    <t>Coke oven, null</t>
  </si>
  <si>
    <t>COMPAC SOL A100S-15-DE</t>
  </si>
  <si>
    <t>COMPAC SOL A100S-15-IN</t>
  </si>
  <si>
    <t>COMPAC SOL A100S-6-DE</t>
  </si>
  <si>
    <t>COMPAC SOL A70CR-6-DE</t>
  </si>
  <si>
    <t>COMPAC SOL A87-8-BR</t>
  </si>
  <si>
    <t>COMPAC SOL A87CR-6-BR</t>
  </si>
  <si>
    <t>Special glass, Cement, Flat glass, null, Container glass</t>
  </si>
  <si>
    <t>COMPAC SOL A87CR-6-CN</t>
  </si>
  <si>
    <t>null, Waste incineration, Cement</t>
  </si>
  <si>
    <t>COMPAC SOL A87CR-6-DE</t>
  </si>
  <si>
    <t>COMPAC SOL A87CR-6-MX</t>
  </si>
  <si>
    <t>COMPAC SOL A87GCR-6-DE</t>
  </si>
  <si>
    <t>COMPAC SOL A94CR-15-DE</t>
  </si>
  <si>
    <t>COMPAC SOL A94CR-6-BR</t>
  </si>
  <si>
    <t>Special glass, Flat glass, null, Container glass, Cement</t>
  </si>
  <si>
    <t>COMPAC SOL A94CR-6-DE</t>
  </si>
  <si>
    <t>null, Flat glass, Special glass, Cement, Container glass</t>
  </si>
  <si>
    <t>COMPAC SOL A94CRS-15-IN</t>
  </si>
  <si>
    <t>null, Container glass, Special glass, Flat glass, Cement</t>
  </si>
  <si>
    <t>Divasil FP, Divasil</t>
  </si>
  <si>
    <t>COMPAC SOL A94CRS-16-AR</t>
  </si>
  <si>
    <t>Divasil BR</t>
  </si>
  <si>
    <t>COMPAC SOL A94CRS-6-IN</t>
  </si>
  <si>
    <t>Special glass, null, Flat glass, Container glass, Cement</t>
  </si>
  <si>
    <t>COMPAC SOL A94GCR-6-DE</t>
  </si>
  <si>
    <t>COMPAC SOL A96G-6</t>
  </si>
  <si>
    <t>COMPAC SOL A96S-16-AR</t>
  </si>
  <si>
    <t>COMPAC SOL A97-12-US</t>
  </si>
  <si>
    <t>COMPAC SOL A97-15-BR</t>
  </si>
  <si>
    <t>COMPAC SOL A97-15-DE</t>
  </si>
  <si>
    <t>COMPAC SOL A97-15-MX</t>
  </si>
  <si>
    <t>COMPAC SOL A97-6-BR</t>
  </si>
  <si>
    <t>COMPAC SOL A97-6-CN</t>
  </si>
  <si>
    <t>COMPAC SOL A97-6-DE</t>
  </si>
  <si>
    <t>COMPAC SOL A97-6-US</t>
  </si>
  <si>
    <t>COMPAC SOL A97S-15-CN</t>
  </si>
  <si>
    <t>COMPAC SOL A97S-15-DE</t>
  </si>
  <si>
    <t>COMPAC SOL A98-15-CN</t>
  </si>
  <si>
    <t>COMPAC SOL A98-15-DE</t>
  </si>
  <si>
    <t>COMPAC SOL A98S-6-IN</t>
  </si>
  <si>
    <t>COMPAC SOL B77CR-5-BR</t>
  </si>
  <si>
    <t>COMPAC SOL B80GAL-6-CN</t>
  </si>
  <si>
    <t>COMPAC SOL B81-8-AR</t>
  </si>
  <si>
    <t>COMPAC SOL B81AL-6-CN</t>
  </si>
  <si>
    <t>COMPAC SOL B81AL-6-DE</t>
  </si>
  <si>
    <t>COMPAC SOL B82-6-DE</t>
  </si>
  <si>
    <t>COMPAC SOL B82S-15-DE</t>
  </si>
  <si>
    <t>COMPAC SOL B87-5-IN</t>
  </si>
  <si>
    <t>Chem/petroch/oth.EEC, null, Cement</t>
  </si>
  <si>
    <t>COMPAC SOL B87-6-DE</t>
  </si>
  <si>
    <t>Cement, Chem/petroch/oth.EEC, null</t>
  </si>
  <si>
    <t>COMPAC SOL B87S-5-IN</t>
  </si>
  <si>
    <t>null, Cement, Chem/petroch/oth.EEC</t>
  </si>
  <si>
    <t>COMPAC SOL B88-5-BR</t>
  </si>
  <si>
    <t>COMPAC SOL B88-6-CN</t>
  </si>
  <si>
    <t>COMPAC SOL B88-6-DE</t>
  </si>
  <si>
    <t>COMPAC SOL B88-6-MX</t>
  </si>
  <si>
    <t>COMPAC SOL B88-6-US</t>
  </si>
  <si>
    <t>COMPAC SOL B88S-5-BR</t>
  </si>
  <si>
    <t>COMPAC SOL F46-6-DE</t>
  </si>
  <si>
    <t>COMPAC SOL F53-5-BR</t>
  </si>
  <si>
    <t>COMPAC SOL F53-6-CN</t>
  </si>
  <si>
    <t>null, Chem/petroch/oth.EEC, Cement</t>
  </si>
  <si>
    <t>COMPAC SOL F53-6-DE</t>
  </si>
  <si>
    <t>Chem/petroch/oth.EEC, Cement, Lime, null</t>
  </si>
  <si>
    <t>COMPAC SOL F53-6-MX</t>
  </si>
  <si>
    <t>COMPAC SOL F53G-5-BR</t>
  </si>
  <si>
    <t>COMPAC SOL F53G-5-MX</t>
  </si>
  <si>
    <t>COMPAC SOL F53G-6-DE</t>
  </si>
  <si>
    <t>COMPAC SOL F54-8-AR</t>
  </si>
  <si>
    <t>COMPAC SOL F57-6-DE</t>
  </si>
  <si>
    <t>null, Purging lances</t>
  </si>
  <si>
    <t>COMPAC SOL FS98-3-BR</t>
  </si>
  <si>
    <t>COMPAC SOL FS98-3-DE</t>
  </si>
  <si>
    <t>COMPAC SOL FS98-3-US</t>
  </si>
  <si>
    <t>Energy systems, Coke oven, null</t>
  </si>
  <si>
    <t>COMPAC SOL FS98G-3-DE</t>
  </si>
  <si>
    <t>null, Container glass, Chem/petroch/oth.EEC, Special glass, Flat glass</t>
  </si>
  <si>
    <t>COMPAC SOL FS99G-3-DE</t>
  </si>
  <si>
    <t>null, Special glass, Flat glass, Chem/petroch/oth.EEC, Container glass</t>
  </si>
  <si>
    <t>COMPAC SOL M61-6-US</t>
  </si>
  <si>
    <t>COMPAC SOL M64-5-BR</t>
  </si>
  <si>
    <t>COMPAC SOL M64-5-IN</t>
  </si>
  <si>
    <t>COMPAC SOL M64-5-MX</t>
  </si>
  <si>
    <t>COMPAC SOL M64-6 BP</t>
  </si>
  <si>
    <t>COMPAC SOL M64-6-CN</t>
  </si>
  <si>
    <t>Cement, Aluminium, Chem/petroch/oth.EEC, Lime, null</t>
  </si>
  <si>
    <t>COMPAC SOL M64-6-CQ-GS</t>
  </si>
  <si>
    <t>null, Cement, Lime, Aluminium, Chem/petroch/oth.EEC</t>
  </si>
  <si>
    <t>COMPAC SOL M64-6-DE</t>
  </si>
  <si>
    <t>null, Chem/petroch/oth.EEC, Aluminium, Lime, Cement</t>
  </si>
  <si>
    <t>COMPAC SOL M64COR-6-DE</t>
  </si>
  <si>
    <t>Chem/petroch/oth.EEC, Cement, null, Aluminium, Lime</t>
  </si>
  <si>
    <t>COMPAC SOL M64G-6-CN</t>
  </si>
  <si>
    <t>COMPAC SOL M64G-6-DE</t>
  </si>
  <si>
    <t>Aluminium, null, Cement, Lime</t>
  </si>
  <si>
    <t>COMPAC SOL MB A100-15-DE</t>
  </si>
  <si>
    <t>COMPAC SOL MB A100-15-MX</t>
  </si>
  <si>
    <t>COMPAC SOL MB A100-6-DE</t>
  </si>
  <si>
    <t>COMPAC SOL MB A100-6-MX</t>
  </si>
  <si>
    <t>COMPAC SOL MB A100S-15-DE</t>
  </si>
  <si>
    <t>COMPAC SOL MB A100S-15-IN</t>
  </si>
  <si>
    <t>COMPAC SOL MB A100S-6-DE</t>
  </si>
  <si>
    <t>COMPAC SOL RK65-3-DE</t>
  </si>
  <si>
    <t>COMPAC SOL ZM29-3-DE</t>
  </si>
  <si>
    <t>Flat glass, Cement, Lime, Chem/petroch/oth.EEC, null, Container glass, Special glass</t>
  </si>
  <si>
    <t>COMPAC VIB-M992 0-15</t>
  </si>
  <si>
    <t>COMPRIT 185HMV-6-DE</t>
  </si>
  <si>
    <t>COMPRIT 185HMVS-6-DE</t>
  </si>
  <si>
    <t>COMPRIT A84GCR-3-DE</t>
  </si>
  <si>
    <t>COMPRIT A89GM-3-DE</t>
  </si>
  <si>
    <t>COMPRIT A90G-3-IN</t>
  </si>
  <si>
    <t>COMPRIT A90GMA-6-AR</t>
  </si>
  <si>
    <t>COMPRIT A91GAL-3-DE</t>
  </si>
  <si>
    <t>null, Aluminium, Chem/petroch/oth.EEC</t>
  </si>
  <si>
    <t>COMPRIT A94-4-MX</t>
  </si>
  <si>
    <t>COMPRIT A94-6-DE</t>
  </si>
  <si>
    <t>COMPRIT A94G-3 BP</t>
  </si>
  <si>
    <t>COMPRIT A94G-3-AR</t>
  </si>
  <si>
    <t>COMPRIT A94G-3-DE</t>
  </si>
  <si>
    <t>COMPRIT A94G-3-MX</t>
  </si>
  <si>
    <t>COMPRIT A94G-3-US</t>
  </si>
  <si>
    <t>Chemistry, Petrochemistry</t>
  </si>
  <si>
    <t>COMPRIT A94GRF-3-DE</t>
  </si>
  <si>
    <t>COMPRIT A94MA-6-AR</t>
  </si>
  <si>
    <t>COMPRIT A95-1-DE</t>
  </si>
  <si>
    <t>COMPRIT A95-3-BR</t>
  </si>
  <si>
    <t>COMPRIT A95-3-DE</t>
  </si>
  <si>
    <t>COMPRIT A95-3-IN</t>
  </si>
  <si>
    <t>COMPRIT A95-3-TR</t>
  </si>
  <si>
    <t>COMPRIT A95-6-BR</t>
  </si>
  <si>
    <t>COMPRIT A95-6-CN</t>
  </si>
  <si>
    <t>Lime, Chem/petroch/oth.EEC, null</t>
  </si>
  <si>
    <t>COMPRIT A95-6-DE</t>
  </si>
  <si>
    <t>Lime, Special glass, Container glass, Flat glass, Cement, null</t>
  </si>
  <si>
    <t>COMPRIT A95-6-IN</t>
  </si>
  <si>
    <t>COMPRIT A95-6-TR</t>
  </si>
  <si>
    <t>COMPRIT A95HR-1-DE</t>
  </si>
  <si>
    <t>COMPRIT A95RF-6 BP</t>
  </si>
  <si>
    <t>Chem/petroch/oth.EEC, null, Petrochemistry</t>
  </si>
  <si>
    <t>COMPRIT A95RF-6-DE</t>
  </si>
  <si>
    <t>COMPRIT A96-6-BR</t>
  </si>
  <si>
    <t>null, Casting/treatment ladle, Pelletizing furnace</t>
  </si>
  <si>
    <t>COMPRIT A96HR-6-BR</t>
  </si>
  <si>
    <t>COMPRIT A96M-1-MX</t>
  </si>
  <si>
    <t>COMPRIT A97-15-CN</t>
  </si>
  <si>
    <t>COMPRIT A97-3-DE</t>
  </si>
  <si>
    <t>COMPRIT A97-6-CN</t>
  </si>
  <si>
    <t>COMPRIT A97-6-DE</t>
  </si>
  <si>
    <t>COMPRIT A97-6-MX</t>
  </si>
  <si>
    <t>COMPRIT A97S-6-CN</t>
  </si>
  <si>
    <t>COMPRIT A97S-6-DE</t>
  </si>
  <si>
    <t>COMPRIT A98S-6-BR</t>
  </si>
  <si>
    <t>COMPRIT B57-5-MX</t>
  </si>
  <si>
    <t>COMPRIT B60-5-MX</t>
  </si>
  <si>
    <t>COMPRIT B63-6-TR</t>
  </si>
  <si>
    <t>COMPRIT B64-5-BR</t>
  </si>
  <si>
    <t>COMPRIT B65-5-AR</t>
  </si>
  <si>
    <t>COMPRIT B69-5-BR</t>
  </si>
  <si>
    <t>COMPRIT B72-6-DE</t>
  </si>
  <si>
    <t>COMPRIT B72G-3-BR</t>
  </si>
  <si>
    <t>COMPRIT B72G-6-DE</t>
  </si>
  <si>
    <t>COMPRIT B73-6-CN</t>
  </si>
  <si>
    <t>COMPRIT B73-6-CQ-GS</t>
  </si>
  <si>
    <t>COMPRIT B73-6-TR</t>
  </si>
  <si>
    <t>COMPRIT B75-6-DE</t>
  </si>
  <si>
    <t>Container glass, Cement, Special glass, null, Flat glass</t>
  </si>
  <si>
    <t>COMPRIT B77-5-BR</t>
  </si>
  <si>
    <t>COMPRIT B78G-3-DE</t>
  </si>
  <si>
    <t>COMPRIT B79G-3-IN</t>
  </si>
  <si>
    <t>Universal, Torpedo ladle</t>
  </si>
  <si>
    <t>COMPRIT B80G-3-DE</t>
  </si>
  <si>
    <t>COMPRIT B80G-5-BR</t>
  </si>
  <si>
    <t>COMPRIT B80G-6-DE</t>
  </si>
  <si>
    <t>COMPRIT B81-5-IN</t>
  </si>
  <si>
    <t>COMPRIT B81-6-CN</t>
  </si>
  <si>
    <t>COMPRIT B81G-3-CN</t>
  </si>
  <si>
    <t>COMPRIT B82-5-MX</t>
  </si>
  <si>
    <t>COMPRIT B83-5-BR</t>
  </si>
  <si>
    <t>COMPRIT B83-6-TR</t>
  </si>
  <si>
    <t>COMPRIT B83G-3-IN</t>
  </si>
  <si>
    <t>COMPRIT B86G-3-DE</t>
  </si>
  <si>
    <t>COMPRIT F25-5-IN</t>
  </si>
  <si>
    <t>COMPRIT F30G-5-IN</t>
  </si>
  <si>
    <t>COMPRIT F30G-6-DE</t>
  </si>
  <si>
    <t>COMPRIT F32-6-TR</t>
  </si>
  <si>
    <t>COMPRIT F33-5-MX</t>
  </si>
  <si>
    <t>COMPRIT F33-6-DE</t>
  </si>
  <si>
    <t>Special glass, null, Flat glass, Lime, Cement, Container glass</t>
  </si>
  <si>
    <t>COMPRIT F34-5-IN</t>
  </si>
  <si>
    <t>Universal, null, Cement</t>
  </si>
  <si>
    <t>COMPRIT F38G-5-MX</t>
  </si>
  <si>
    <t>COMPRIT F40-5-IN</t>
  </si>
  <si>
    <t>COMPRIT F40-6-DE</t>
  </si>
  <si>
    <t>COMPRIT F41-5-MX</t>
  </si>
  <si>
    <t>COMPRIT F41-6-DE</t>
  </si>
  <si>
    <t>COMPRIT F41G-6-DE</t>
  </si>
  <si>
    <t>COMPRIT F42-5 BP</t>
  </si>
  <si>
    <t>Chem/petroch/oth.EEC, Petrochemistry, null</t>
  </si>
  <si>
    <t>COMPRIT F42-5-IN</t>
  </si>
  <si>
    <t>COMPRIT F43-6-TR</t>
  </si>
  <si>
    <t>COMPRIT F43G-6 BP</t>
  </si>
  <si>
    <t>Chemistry, Chem/petroch/oth.EEC, null</t>
  </si>
  <si>
    <t>COMPRIT F43G-6-DE</t>
  </si>
  <si>
    <t>Chem/petroch/oth.EEC, Waste heat boiler, null, Cement</t>
  </si>
  <si>
    <t>COMPRIT F43G-6-TR</t>
  </si>
  <si>
    <t>COMPRIT F44-3-DE</t>
  </si>
  <si>
    <t>COMPRIT F44-6-DE</t>
  </si>
  <si>
    <t>null, Cement, Lime, Container glass, Special glass, Flat glass</t>
  </si>
  <si>
    <t>COMPRIT F44-6-IN</t>
  </si>
  <si>
    <t>COMPRIT F45-3-BR</t>
  </si>
  <si>
    <t>COMPRIT F45-6-MX</t>
  </si>
  <si>
    <t>COMPRIT F45G-6-DE</t>
  </si>
  <si>
    <t>COMPRIT F47-6-TR</t>
  </si>
  <si>
    <t>COMPRIT F48-19-MX</t>
  </si>
  <si>
    <t>COMPRIT F48G-3-DE</t>
  </si>
  <si>
    <t>COMPRIT F48G-5-MX</t>
  </si>
  <si>
    <t>COMPRIT F49-6-CN</t>
  </si>
  <si>
    <t>Waste incineration, null, Power plants, Chem/petroch/oth.EEC</t>
  </si>
  <si>
    <t>COMPRIT F50-5-BR</t>
  </si>
  <si>
    <t>COMPRIT F50-5-MX</t>
  </si>
  <si>
    <t>COMPRIT F50G-3-BR</t>
  </si>
  <si>
    <t>COMPRIT F50G-5-IN</t>
  </si>
  <si>
    <t>COMPRIT F50G-5-MX</t>
  </si>
  <si>
    <t>COMPRIT F50G-6-CN</t>
  </si>
  <si>
    <t>COMPRIT F50G-6-CQ-GS</t>
  </si>
  <si>
    <t>COMPRIT F50G-6-DE</t>
  </si>
  <si>
    <t>Cement, null, Aluminium, Lime</t>
  </si>
  <si>
    <t>COMPRIT F52-5-BR</t>
  </si>
  <si>
    <t>COMPRIT F52-5-IN</t>
  </si>
  <si>
    <t>Flat glass, Lime, Container glass, Special glass, Cement, null</t>
  </si>
  <si>
    <t>COMPRIT F52-5-MX</t>
  </si>
  <si>
    <t>COMPRIT F53-5-BR</t>
  </si>
  <si>
    <t>Tuyere zone, Blast furnace, null, Lime, Cement</t>
  </si>
  <si>
    <t>COMPRIT F53-6-TR</t>
  </si>
  <si>
    <t>COMPRIT F54G-3-AR</t>
  </si>
  <si>
    <t>COMPRIT F55-5-BR</t>
  </si>
  <si>
    <t>COMPRIT F55-5-MX</t>
  </si>
  <si>
    <t>COMPRIT F57-5-BR</t>
  </si>
  <si>
    <t>COMPRIT F58G-6-CN</t>
  </si>
  <si>
    <t>COMPRIT F58G-6-DE</t>
  </si>
  <si>
    <t>Special glass, Container glass, Cement, Flat glass, null</t>
  </si>
  <si>
    <t>COMPRIT F63G-6-TR</t>
  </si>
  <si>
    <t>COMPRIT F64-5-BR</t>
  </si>
  <si>
    <t>COMPRIT K71C-5-BR</t>
  </si>
  <si>
    <t>COMPRIT K87-1-AR</t>
  </si>
  <si>
    <t>COMPRIT K90-6-IN</t>
  </si>
  <si>
    <t>COMPRIT K90T-5-BR</t>
  </si>
  <si>
    <t>Thermal power units</t>
  </si>
  <si>
    <t>COMPRIT K94-5-MX</t>
  </si>
  <si>
    <t>COMPRIT K95-3-CN</t>
  </si>
  <si>
    <t>COMPRIT K95-6-CN</t>
  </si>
  <si>
    <t>COMPRIT K96-8-MX</t>
  </si>
  <si>
    <t>COMPRIT M30GE-5-GS</t>
  </si>
  <si>
    <t>COMPRIT M40GE-5-GS</t>
  </si>
  <si>
    <t>COMPRIT M50GE-5-GS</t>
  </si>
  <si>
    <t>COMPRIT M60-5-MX</t>
  </si>
  <si>
    <t>COMPRIT M60-6 BP</t>
  </si>
  <si>
    <t>COMPRIT M60-6-DE</t>
  </si>
  <si>
    <t>COMPRIT M63G-6-DE</t>
  </si>
  <si>
    <t>Power plants, Circulating fluidized bed, null</t>
  </si>
  <si>
    <t>COMPRIT M70G-5-MX</t>
  </si>
  <si>
    <t>COMPRIT M75COR-6-DE</t>
  </si>
  <si>
    <t>COMPRIT SUPERHEAT 70-5-IN</t>
  </si>
  <si>
    <t>COMPRIT SUPERHEAT 80-5-IN</t>
  </si>
  <si>
    <t>COMPRIT SUPERHEAT 86-5-IN</t>
  </si>
  <si>
    <t>COMPRIT SUPERHEAT 90-5-IN</t>
  </si>
  <si>
    <t>COMPRIT SUPREME 35-5-IN</t>
  </si>
  <si>
    <t>COMPRIT SUPREME 35INS-5-IN</t>
  </si>
  <si>
    <t>Insulating refractory castable</t>
  </si>
  <si>
    <t>COMPRIT SUPREME 45-5-IN</t>
  </si>
  <si>
    <t>COMPRIT SUPREME 50-5-IN</t>
  </si>
  <si>
    <t>COMPRIT SUPREME 60-5-IN</t>
  </si>
  <si>
    <t>COMPRIT SUPREME 60N-5-IN</t>
  </si>
  <si>
    <t>COMPRIT ZM22G-3-DE</t>
  </si>
  <si>
    <t>COMPRIT ZM23-6-CQ-GS</t>
  </si>
  <si>
    <t>Universal, Lime, null, Cement</t>
  </si>
  <si>
    <t>COMPRIT ZM23-6-DE</t>
  </si>
  <si>
    <t>Universal, Cement, Lime, null</t>
  </si>
  <si>
    <t>COMPRIT ZS450 0-0,3-DE</t>
  </si>
  <si>
    <t>COMPRIT ZS56-03-DE</t>
  </si>
  <si>
    <t>DELTEK G20</t>
  </si>
  <si>
    <t>Anti-stick coating, null</t>
  </si>
  <si>
    <t>DELTEK G30</t>
  </si>
  <si>
    <t>null, Anti-stick coating</t>
  </si>
  <si>
    <t>DIDOFLO A89CR-3-DE</t>
  </si>
  <si>
    <t>Special refuse incineration, Inducer</t>
  </si>
  <si>
    <t>DIDOFLO A93 SLURRY 02-US</t>
  </si>
  <si>
    <t>DIDOFLO A94M-6-DE</t>
  </si>
  <si>
    <t>DIDOFLO A94MS-6-DE</t>
  </si>
  <si>
    <t>DIDOFLO B60S-8-BR</t>
  </si>
  <si>
    <t>DIDOFLO B67S-8-BR</t>
  </si>
  <si>
    <t>DIDOFLO B87-3-DE</t>
  </si>
  <si>
    <t>DIDOFLO B88AL-3-DE</t>
  </si>
  <si>
    <t>DIDOFLO B88AL-6-DE</t>
  </si>
  <si>
    <t>DIDOFLO B89-6-DE</t>
  </si>
  <si>
    <t>DIDOFLO CA70-3-DE</t>
  </si>
  <si>
    <t>Special glass, Container glass, Flat glass, Copper, Nickel, Lead</t>
  </si>
  <si>
    <t>DIDOFLO D531-6-DE</t>
  </si>
  <si>
    <t>DIDOFLO F56COR-6-DE</t>
  </si>
  <si>
    <t>Fluidized-bed furnace, Power plants</t>
  </si>
  <si>
    <t>DIDOFLO F62-8-BR</t>
  </si>
  <si>
    <t>DIDOFLO K98-1-CN</t>
  </si>
  <si>
    <t>DIDOFLO K98-1-DE</t>
  </si>
  <si>
    <t>DIDOFLO K98-3-CN</t>
  </si>
  <si>
    <t>Tundish, Petrochemistry</t>
  </si>
  <si>
    <t>DIDOFLO K98-3-DE</t>
  </si>
  <si>
    <t>DIDOFLO K98-6-DE</t>
  </si>
  <si>
    <t>null, Tundish, Cement</t>
  </si>
  <si>
    <t>DIDOFLO M67COR-6-DE</t>
  </si>
  <si>
    <t>Power plants, Fluidized-bed furnace</t>
  </si>
  <si>
    <t>DIDOFLO M69-6-DE</t>
  </si>
  <si>
    <t>Fluidized-bed furnace</t>
  </si>
  <si>
    <t>DIDOFLO M75-6-DE</t>
  </si>
  <si>
    <t>DIDOFLO SB A96-6-DE</t>
  </si>
  <si>
    <t>DIDOFLO SB A98 SLURRY-03-DE</t>
  </si>
  <si>
    <t>DIDOFLO SB B70-8-BR</t>
  </si>
  <si>
    <t>DIDOFLO SB B89-6-DE</t>
  </si>
  <si>
    <t>DIDOFLO ZM30-3-DE</t>
  </si>
  <si>
    <t>DIDOGLAZE LADLE V001-DE</t>
  </si>
  <si>
    <t>Glaze</t>
  </si>
  <si>
    <t>DIDOMUR 8 0-1</t>
  </si>
  <si>
    <t>DIDOMUR A49PZ-03-DE</t>
  </si>
  <si>
    <t>DIDOMUR B53V-05-CN</t>
  </si>
  <si>
    <t>DIDOMUR B53VC-05-DE</t>
  </si>
  <si>
    <t>Dikasil 3:1</t>
  </si>
  <si>
    <t>DIDOMUR F40-05-DE</t>
  </si>
  <si>
    <t>DIDOMUR F40-05-IN</t>
  </si>
  <si>
    <t>DIDOMUR F41V-03-BR</t>
  </si>
  <si>
    <t>DIDOMUR F43V-03-BR</t>
  </si>
  <si>
    <t>DIDOMUR F44H-05-DE</t>
  </si>
  <si>
    <t>DIDOMUR F45-05-DE</t>
  </si>
  <si>
    <t>DIDOMUR F45V-05-MX</t>
  </si>
  <si>
    <t>Dikasil 2:1</t>
  </si>
  <si>
    <t>DIDOMUR F46V-05-CN</t>
  </si>
  <si>
    <t>DIDOMUR F46V-05-CQ-GS</t>
  </si>
  <si>
    <t>DIDOMUR F46V-05-DE</t>
  </si>
  <si>
    <t>DIDOMUR F46V-05-IN</t>
  </si>
  <si>
    <t>DIDOMUR F48-03-MX</t>
  </si>
  <si>
    <t>DIDOMUR F48V-03-BR</t>
  </si>
  <si>
    <t>DIDOMUR F48VC-05-IN</t>
  </si>
  <si>
    <t>DIDOMUR F60-05-MX</t>
  </si>
  <si>
    <t>DIDOMUR GLUE-03-CN</t>
  </si>
  <si>
    <t>DIDOMUR Q23VC-05-DE</t>
  </si>
  <si>
    <t>Lime, Special glass, Container glass, Aluminium, Flat glass, Cement, null</t>
  </si>
  <si>
    <t>DIDOMUR S45-05-IN</t>
  </si>
  <si>
    <t>DIDOMUR S60-05-IN</t>
  </si>
  <si>
    <t>DIDOMUR S60V-05-IN</t>
  </si>
  <si>
    <t>DIDOMUR Z49H-03-DE</t>
  </si>
  <si>
    <t>DIDOTECT B50VC-05-DE</t>
  </si>
  <si>
    <t>Container glass, Cement, Special glass, Lime, Flat glass, null</t>
  </si>
  <si>
    <t>DIDOTECT B60VC-05-DE</t>
  </si>
  <si>
    <t>Flat glass, Special glass, Lime, Container glass, null</t>
  </si>
  <si>
    <t>DIDOTECT B62V-05-MX</t>
  </si>
  <si>
    <t>DIDOTECT F38V-03-BR</t>
  </si>
  <si>
    <t>DIDOTECT F40V-05-MX</t>
  </si>
  <si>
    <t>DIDOTECT F42V-02-BR</t>
  </si>
  <si>
    <t>DIDOTECT F47V-02-BR</t>
  </si>
  <si>
    <t>DIDOTECT GLUE-03-DE</t>
  </si>
  <si>
    <t>DIDOTECT K23PCR-03-DE</t>
  </si>
  <si>
    <t>Chem/petroch/oth.EEC, Flat glass, Special glass, Container glass</t>
  </si>
  <si>
    <t>DIDOTECT Q21VC-05-DE</t>
  </si>
  <si>
    <t>Lime, Aluminium, Flat glass, null, Container glass, Cement, Special glass</t>
  </si>
  <si>
    <t>DIDURIT A67CR-6-DE</t>
  </si>
  <si>
    <t>DIDURIT A80-6-BR</t>
  </si>
  <si>
    <t>DIDURIT A83MAM-6-US</t>
  </si>
  <si>
    <t>DIDURIT A85AL-6-CN</t>
  </si>
  <si>
    <t>Container glass, Special glass, Aluminium, Flat glass</t>
  </si>
  <si>
    <t>DIDURIT A85AL-6-DE</t>
  </si>
  <si>
    <t>DIDURIT A87CR-15-DE</t>
  </si>
  <si>
    <t>DIDURIT A87CR-6-CN</t>
  </si>
  <si>
    <t>DIDURIT A87CR-6-DE</t>
  </si>
  <si>
    <t>DIDURIT A87CR-6-MX</t>
  </si>
  <si>
    <t>DIDURIT A88S-8-AR</t>
  </si>
  <si>
    <t>DIDURIT A89CR-6-DE</t>
  </si>
  <si>
    <t>DIDURIT A89CRS-12-BR</t>
  </si>
  <si>
    <t>DIDURIT A89MAM-12-GS</t>
  </si>
  <si>
    <t>DIDURIT A90-5-MX</t>
  </si>
  <si>
    <t>DIDURIT A90-6-AR</t>
  </si>
  <si>
    <t>DIDURIT A90AL-6-DE</t>
  </si>
  <si>
    <t>DIDURIT A90MAM-15-MX</t>
  </si>
  <si>
    <t>DIDURIT A91-8-BR</t>
  </si>
  <si>
    <t>RH/DH units, Blast furnace, Cement, null</t>
  </si>
  <si>
    <t>DIDURIT A91MA-10-AR</t>
  </si>
  <si>
    <t>DIDURIT A91MA-12-BR</t>
  </si>
  <si>
    <t>Furnaces of ceramic industries, null, Reheat furnaces, RH/DH units</t>
  </si>
  <si>
    <t>DIDURIT A91MAS-12-BR</t>
  </si>
  <si>
    <t>Reheat furnaces, Furnaces of ceramic industries, RH/DH units</t>
  </si>
  <si>
    <t>DIDURIT A92MA-12-MX</t>
  </si>
  <si>
    <t>DIDURIT A92MA-15-DE</t>
  </si>
  <si>
    <t>DIDURIT A92MA-6-DE</t>
  </si>
  <si>
    <t>DIDURIT A92MA-6-MX</t>
  </si>
  <si>
    <t>DIDURIT A92MA-6-US</t>
  </si>
  <si>
    <t>DIDURIT A92MAS-15-DE</t>
  </si>
  <si>
    <t>DIDURIT A93AL-15-CN</t>
  </si>
  <si>
    <t>DIDURIT A93AL-15-DE</t>
  </si>
  <si>
    <t>DIDURIT A93AL-5-BR</t>
  </si>
  <si>
    <t>DIDURIT A93AL-6-CN</t>
  </si>
  <si>
    <t>DIDURIT A93AL-6-DE</t>
  </si>
  <si>
    <t>DIDURIT A93AL-6-US</t>
  </si>
  <si>
    <t>DIDURIT A93MA-12-BR</t>
  </si>
  <si>
    <t>DIDURIT A93S-16-AR</t>
  </si>
  <si>
    <t>DIDURIT A94-12-BR</t>
  </si>
  <si>
    <t>DIDURIT A94CR-16-AR</t>
  </si>
  <si>
    <t>DIDURIT A94CR-6-DE</t>
  </si>
  <si>
    <t>Aluminium, Copper, Nickel, Lead</t>
  </si>
  <si>
    <t>DIDURIT A94CR-6-MX</t>
  </si>
  <si>
    <t>DIDURIT A94MAS-15-CN</t>
  </si>
  <si>
    <t>DIDURIT A95-6-CN</t>
  </si>
  <si>
    <t>DIDURIT A95MAS-15-CN</t>
  </si>
  <si>
    <t>DIDURIT A96M-6-DE</t>
  </si>
  <si>
    <t>DIDURIT A96M-6-MX</t>
  </si>
  <si>
    <t>DIDURIT A98-3-DE</t>
  </si>
  <si>
    <t>DIDURIT B62-5-BR</t>
  </si>
  <si>
    <t>Universal, Torpedo ladle, Reheat furnaces, null</t>
  </si>
  <si>
    <t>DIDURIT B63S-5-BR</t>
  </si>
  <si>
    <t>Torpedo ladle, Reheat furnaces, Universal</t>
  </si>
  <si>
    <t>DIDURIT B67-AR</t>
  </si>
  <si>
    <t>DIDURIT B69S-5-BR</t>
  </si>
  <si>
    <t>Copper, Nickel, Lead, Abrasion resistant lining, Calcining zone</t>
  </si>
  <si>
    <t>DIDURIT B72S-10-BR</t>
  </si>
  <si>
    <t>DIDURIT B73-5-IN</t>
  </si>
  <si>
    <t>DIDURIT B73S-6-AR</t>
  </si>
  <si>
    <t>DIDURIT B76AL-15-CN</t>
  </si>
  <si>
    <t>DIDURIT B76AL-15-DE</t>
  </si>
  <si>
    <t>DIDURIT B76AL-5-BR</t>
  </si>
  <si>
    <t>Aluminium, Flat glass, Special glass, Container glass</t>
  </si>
  <si>
    <t>DIDURIT B76AL-6-CN</t>
  </si>
  <si>
    <t>DIDURIT B76AL-6-DE</t>
  </si>
  <si>
    <t>Special glass, Flat glass, Aluminium, Container glass</t>
  </si>
  <si>
    <t>DIDURIT B78-5-BR</t>
  </si>
  <si>
    <t>Torpedo ladle, Lime, null, Cement</t>
  </si>
  <si>
    <t>DIDURIT B78-5-O-IN</t>
  </si>
  <si>
    <t>DIDURIT B78-6-DE</t>
  </si>
  <si>
    <t>DIDURIT B78S-5-BR</t>
  </si>
  <si>
    <t>Torpedo ladle, Cement, Lime</t>
  </si>
  <si>
    <t>DIDURIT B78S-6-DE</t>
  </si>
  <si>
    <t>DIDURIT B80CR-6-TR</t>
  </si>
  <si>
    <t>DIDURIT B80CRS-15-IN</t>
  </si>
  <si>
    <t>DIDURIT B80GV-3-DE</t>
  </si>
  <si>
    <t>DIDURIT B80GV-3-IN</t>
  </si>
  <si>
    <t>DIDURIT B81AL-6-DE</t>
  </si>
  <si>
    <t>DIDURIT B82-6-TR</t>
  </si>
  <si>
    <t>DIDURIT B82AL-5-MX</t>
  </si>
  <si>
    <t>DIDURIT B82S-6-TR</t>
  </si>
  <si>
    <t>DIDURIT B83-15-CN</t>
  </si>
  <si>
    <t>DIDURIT B83-15-IN</t>
  </si>
  <si>
    <t>DIDURIT B83-3-DE</t>
  </si>
  <si>
    <t>DIDURIT B83-5-CQ-GS</t>
  </si>
  <si>
    <t>DIDURIT B83-5-IN</t>
  </si>
  <si>
    <t>DIDURIT B83-6-AR</t>
  </si>
  <si>
    <t>DIDURIT B83-6-BR</t>
  </si>
  <si>
    <t>DIDURIT B83-6-CN</t>
  </si>
  <si>
    <t>DIDURIT B83-6-DE</t>
  </si>
  <si>
    <t>Flat glass, null, Cement, Special glass, Container glass</t>
  </si>
  <si>
    <t>DIDURIT B83-6-US</t>
  </si>
  <si>
    <t>DIDURIT B83-8-MX</t>
  </si>
  <si>
    <t>DIDURIT B83GP-3-DE</t>
  </si>
  <si>
    <t>DIDURIT B83S-15-CN</t>
  </si>
  <si>
    <t>DIDURIT B83S-15-CQ-GS</t>
  </si>
  <si>
    <t>DIDURIT B83S-15-IN</t>
  </si>
  <si>
    <t>DIDURIT B83S-6-DE</t>
  </si>
  <si>
    <t>DIDURIT B83S-6-US</t>
  </si>
  <si>
    <t>DIDURIT B83S-8-MX</t>
  </si>
  <si>
    <t>DIDURIT B83SD-15-CN</t>
  </si>
  <si>
    <t>DIDURIT B84DG-6-DE</t>
  </si>
  <si>
    <t>DIDURIT B85CRS-15-IN</t>
  </si>
  <si>
    <t>DIDURIT B86-6-DE</t>
  </si>
  <si>
    <t>DIDURIT B86CRS-19-BR</t>
  </si>
  <si>
    <t>DIDURIT B87S-8-BR</t>
  </si>
  <si>
    <t>Cement, Torpedo ladle, Lime</t>
  </si>
  <si>
    <t>DIDURIT B88-6-US</t>
  </si>
  <si>
    <t>DIDURIT B88S-6-MX</t>
  </si>
  <si>
    <t>DIDURIT B89AL-6-DE</t>
  </si>
  <si>
    <t>DIDURIT D499-1-DE</t>
  </si>
  <si>
    <t>DIDURIT D541-6-DE</t>
  </si>
  <si>
    <t>DIDURIT F25E-8-GS</t>
  </si>
  <si>
    <t>DIDURIT F30E-8-GS</t>
  </si>
  <si>
    <t>DIDURIT F30SE-8-GS</t>
  </si>
  <si>
    <t>DIDURIT F38-5-MX</t>
  </si>
  <si>
    <t>DIDURIT F40E-8-GS</t>
  </si>
  <si>
    <t>DIDURIT F40SE-8-GS</t>
  </si>
  <si>
    <t>DIDURIT F42-5-IN</t>
  </si>
  <si>
    <t>Universal, Cement, null, Chem/petroch/oth.EEC</t>
  </si>
  <si>
    <t>DIDURIT F43-5-BR</t>
  </si>
  <si>
    <t>DIDURIT F43AL-8-MX</t>
  </si>
  <si>
    <t>DIDURIT F46-5-MX</t>
  </si>
  <si>
    <t>DIDURIT F47-6-TR</t>
  </si>
  <si>
    <t>DIDURIT F50-5-BR</t>
  </si>
  <si>
    <t>DIDURIT F50-5-IN</t>
  </si>
  <si>
    <t>DIDURIT F50-6-AR</t>
  </si>
  <si>
    <t>DIDURIT F50-6-CN</t>
  </si>
  <si>
    <t>DIDURIT F50-6-CQ-GS</t>
  </si>
  <si>
    <t>DIDURIT F50-6-DE</t>
  </si>
  <si>
    <t>Flat glass, Aluminium, Special glass, null, Container glass, Cement, Lime</t>
  </si>
  <si>
    <t>DIDURIT F50-6-MX</t>
  </si>
  <si>
    <t>DIDURIT F51-5-BR</t>
  </si>
  <si>
    <t>Reheat furnaces, null, Lime, Petrochemistry, Universal</t>
  </si>
  <si>
    <t>DIDURIT F51-6-CN</t>
  </si>
  <si>
    <t>Lime, Cement, Container glass, Flat glass, null, Special glass</t>
  </si>
  <si>
    <t>DIDURIT F52-5-BR</t>
  </si>
  <si>
    <t>null, Calcining zone, Copper, Nickel, Lead, Abrasion resistant lining</t>
  </si>
  <si>
    <t>DIDURIT F52S-5-BR</t>
  </si>
  <si>
    <t>DIDURIT F53DG-6-DE</t>
  </si>
  <si>
    <t>Lime, Universal</t>
  </si>
  <si>
    <t>DIDURIT F53S-5-BR</t>
  </si>
  <si>
    <t>DIDURIT F55-5-BR</t>
  </si>
  <si>
    <t>Petrochemistry, null, Tuyere zone, Cement, Reheat furnaces, Blast furnace, Universal, Metallurgy</t>
  </si>
  <si>
    <t>DIDURIT F55HR-5-BR</t>
  </si>
  <si>
    <t>Reheat furnaces, Blast furnace, Tuyere zone, null, Universal, Petrochemistry, Cement, Metallurgy</t>
  </si>
  <si>
    <t>DIDURIT F55S-5-BR</t>
  </si>
  <si>
    <t>DIDURIT F57-6-DE</t>
  </si>
  <si>
    <t>Purging lances, null</t>
  </si>
  <si>
    <t>DIDURIT K86-6-AR</t>
  </si>
  <si>
    <t>DIDURIT K88-5-IN</t>
  </si>
  <si>
    <t>DIDURIT K89-6-DE</t>
  </si>
  <si>
    <t>DIDURIT K90CRS-8-BR</t>
  </si>
  <si>
    <t>DIDURIT K90G-3-DE</t>
  </si>
  <si>
    <t>Casting/treatment ladle, RH/DH units, Universal</t>
  </si>
  <si>
    <t>DIDURIT K91CRS-8-BR</t>
  </si>
  <si>
    <t>DIDURIT K98P-5-BR</t>
  </si>
  <si>
    <t>null, Cement, Aluminium</t>
  </si>
  <si>
    <t>Difosil 32-BR</t>
  </si>
  <si>
    <t>DIDURIT LC40-5-IN</t>
  </si>
  <si>
    <t>DIDURIT LC50-5-IN</t>
  </si>
  <si>
    <t>DIDURIT LC60-5-IN</t>
  </si>
  <si>
    <t>DIDURIT LC60N-5-IN</t>
  </si>
  <si>
    <t>DIDURIT LC70-5-IN</t>
  </si>
  <si>
    <t>DIDURIT LC70LI-5-IN</t>
  </si>
  <si>
    <t>DIDURIT LC74-5-IN</t>
  </si>
  <si>
    <t>DIDURIT LC80-5-IN</t>
  </si>
  <si>
    <t>DIDURIT LC90-5-IN</t>
  </si>
  <si>
    <t>DIDURIT LC90S-5-IN</t>
  </si>
  <si>
    <t>DIDURIT M42E-8-GS</t>
  </si>
  <si>
    <t>DIDURIT M57ZAL-6-US</t>
  </si>
  <si>
    <t>DIDURIT M60-15-CN</t>
  </si>
  <si>
    <t>DIDURIT M60-15-DE</t>
  </si>
  <si>
    <t>DIDURIT M60-5-IN</t>
  </si>
  <si>
    <t>DIDURIT M60-6 BP</t>
  </si>
  <si>
    <t>DIDURIT M60-6-CN</t>
  </si>
  <si>
    <t>DIDURIT M60-6-CQ-GS</t>
  </si>
  <si>
    <t>DIDURIT M60-6-DE</t>
  </si>
  <si>
    <t>Lime, Aluminium, Tundish, Chem/petroch/oth.EEC, null, Cement</t>
  </si>
  <si>
    <t>DIDURIT M60-8-MX</t>
  </si>
  <si>
    <t>DIDURIT M63-5-MX</t>
  </si>
  <si>
    <t>Petrochemistry, Energy systems</t>
  </si>
  <si>
    <t>DIDURIT M66-5-MX</t>
  </si>
  <si>
    <t>DIDURIT M66-6-DE</t>
  </si>
  <si>
    <t>Cement, null, Lime, Aluminium, Tundish, Chem/petroch/oth.EEC</t>
  </si>
  <si>
    <t>DIDURIT M66-6-US</t>
  </si>
  <si>
    <t>DIDURIT M66-6</t>
  </si>
  <si>
    <t>Cement, Chem/petroch/oth.EEC, null, Aluminium, Lime, Tundish</t>
  </si>
  <si>
    <t>DIDURIT M66AL-5-MX</t>
  </si>
  <si>
    <t>DIDURIT M67-8-MX</t>
  </si>
  <si>
    <t>DIDURIT M67S-8-MX</t>
  </si>
  <si>
    <t>DIDURIT M68DG-5-MX</t>
  </si>
  <si>
    <t>Lime, null, Cement, Converter (BOF), Energy systems</t>
  </si>
  <si>
    <t>DIDURIT M68DG-5-US</t>
  </si>
  <si>
    <t>Converter (BOF), Cement, Energy systems, null, Lime</t>
  </si>
  <si>
    <t>DIDURIT M70-6-BR</t>
  </si>
  <si>
    <t>DIDURIT M70-8-AR</t>
  </si>
  <si>
    <t>DIDURIT M70DGRF-3-US</t>
  </si>
  <si>
    <t>DIDURIT M77-8-BR</t>
  </si>
  <si>
    <t>DIDURIT M78-3-DE</t>
  </si>
  <si>
    <t>DIDURIT NC A90MAM-12-US</t>
  </si>
  <si>
    <t>DIDURIT NC A90MAM-6-US</t>
  </si>
  <si>
    <t>DIDURIT R90ALSPF-GS</t>
  </si>
  <si>
    <t>DIDURIT RK05S-5-O-IN</t>
  </si>
  <si>
    <t>DIDURIT RK30-6-DE</t>
  </si>
  <si>
    <t>DIDURIT RK64-3-DE</t>
  </si>
  <si>
    <t>DIDURIT S64-5-BR</t>
  </si>
  <si>
    <t>DIDURIT S64S-5-BR</t>
  </si>
  <si>
    <t>Combustion Chamber, Reheat furnaces, null</t>
  </si>
  <si>
    <t>DIDURIT SR485 0-6-DE</t>
  </si>
  <si>
    <t>DIDURIT SR493 0-6-DE</t>
  </si>
  <si>
    <t>DIDURIT TB028-CN</t>
  </si>
  <si>
    <t>DIDURIT Z55-3-DE</t>
  </si>
  <si>
    <t>Special glass, Cement, Flat glass, Copper, Nickel, Lead, Container glass</t>
  </si>
  <si>
    <t>DIDURIT ZM27-3-DE</t>
  </si>
  <si>
    <t>DIDURIT ZM31-3-DE</t>
  </si>
  <si>
    <t>DIDURIT ZM45GV-6-DE</t>
  </si>
  <si>
    <t>DIDURIT ZM460 0-3-DE</t>
  </si>
  <si>
    <t>DIDURIT ZM465 0-3-DE</t>
  </si>
  <si>
    <t>DIKASIL 1:2-BR</t>
  </si>
  <si>
    <t>Refractory binder, liquid</t>
  </si>
  <si>
    <t>DIKASIL 2:1-DE</t>
  </si>
  <si>
    <t>Container glass, Lime, Special glass, Flat glass, null</t>
  </si>
  <si>
    <t>DIKASIL 2:1-MX</t>
  </si>
  <si>
    <t>DIKASIL 3:1-DE</t>
  </si>
  <si>
    <t>Special glass, Lime, Container glass, null, Aluminium, Flat glass</t>
  </si>
  <si>
    <t>DIKASIL K-DE</t>
  </si>
  <si>
    <t>Aluminium, Lime, null</t>
  </si>
  <si>
    <t>DIKASIL K-J-IN</t>
  </si>
  <si>
    <t>Lime, Aluminium, null</t>
  </si>
  <si>
    <t>DIKASIL SK-DE</t>
  </si>
  <si>
    <t>DIKASIL SK-IN</t>
  </si>
  <si>
    <t>DIKASIL SK-MX</t>
  </si>
  <si>
    <t>DIKASIL SK-US</t>
  </si>
  <si>
    <t>DIPLAST 140 BATZEN</t>
  </si>
  <si>
    <t>DIPLAST 150 BATZEN</t>
  </si>
  <si>
    <t>DIPLAST 160P</t>
  </si>
  <si>
    <t>DIPLAST 165 BATZEN</t>
  </si>
  <si>
    <t>DIPLAST 170 BATZEN</t>
  </si>
  <si>
    <t>DIPLAST 170 SPEZIALBATZEN</t>
  </si>
  <si>
    <t>DIPLAST 170P</t>
  </si>
  <si>
    <t>DIPLAST 175 BATZEN</t>
  </si>
  <si>
    <t>DIPLAST 85P</t>
  </si>
  <si>
    <t>DIPLAST 90P-C5</t>
  </si>
  <si>
    <t>DIPLAST A81CRP-3-MX</t>
  </si>
  <si>
    <t>DIPLAST A87P-5-MX</t>
  </si>
  <si>
    <t>DIPLAST B74-8-BR</t>
  </si>
  <si>
    <t>DIPLAST B78-5-MX</t>
  </si>
  <si>
    <t>DIPLAST B80P-5-BR</t>
  </si>
  <si>
    <t>DIPLAST B80P-6-MX</t>
  </si>
  <si>
    <t>DIPLAST B80P-6-US</t>
  </si>
  <si>
    <t>DIPLAST B80V-6-US</t>
  </si>
  <si>
    <t>DIPLAST B81P-5-BR</t>
  </si>
  <si>
    <t>Combustion Chamber, Sintered furnace, Aluminium, Reheat furnaces</t>
  </si>
  <si>
    <t>DIPLAST B82P-5-BR</t>
  </si>
  <si>
    <t>Petrochemistry, Sintered furnace, Combustion Chamber, Reheat furnaces, null</t>
  </si>
  <si>
    <t>DIPLAST B83-8-BR</t>
  </si>
  <si>
    <t>DIPLAST B83P-5-AR</t>
  </si>
  <si>
    <t>DIPLAST F44-8-BR</t>
  </si>
  <si>
    <t>DIPLAST F47-5-MX</t>
  </si>
  <si>
    <t>DIPLAST F50-5-BR</t>
  </si>
  <si>
    <t>DIPLAST F50V-6-US</t>
  </si>
  <si>
    <t>DIPLAST F55-3-DE</t>
  </si>
  <si>
    <t>DIPLAST K83CRP-3-BR</t>
  </si>
  <si>
    <t>DIPLAST M68P-6-US</t>
  </si>
  <si>
    <t>null, Chemistry, Petrochemistry</t>
  </si>
  <si>
    <t>DIRAM 70 SPECIAL</t>
  </si>
  <si>
    <t>DIRAM A59ZSP-1-DE</t>
  </si>
  <si>
    <t>DIRAM A67CRP-6-DE</t>
  </si>
  <si>
    <t>DIRAM A68PZ-3-DE</t>
  </si>
  <si>
    <t>DIRAM A86CRP-3-DE</t>
  </si>
  <si>
    <t>DIRAM A87CRP-3-DE</t>
  </si>
  <si>
    <t>DIRAM A87CRP-6-DE</t>
  </si>
  <si>
    <t>DIRAM A89P-6-US</t>
  </si>
  <si>
    <t>DIRAM A90CRP-5-AR</t>
  </si>
  <si>
    <t>DIRAM A93P-5-AR</t>
  </si>
  <si>
    <t>DIRAM A94P-6-DE</t>
  </si>
  <si>
    <t>DIRAM A98P-1-DE</t>
  </si>
  <si>
    <t>DIRAM B62PAL-6-DE</t>
  </si>
  <si>
    <t>DIRAM B65C-4-MX</t>
  </si>
  <si>
    <t>DIRAM B65C-4-US</t>
  </si>
  <si>
    <t>DIRAM B78-3-US</t>
  </si>
  <si>
    <t>DIRAM B80-5-BR</t>
  </si>
  <si>
    <t>DIRAM B80-6-DE</t>
  </si>
  <si>
    <t>DIRAM B80P-5-MX</t>
  </si>
  <si>
    <t>DIRAM B82P-6-MX</t>
  </si>
  <si>
    <t>DIRAM B82P-6-US</t>
  </si>
  <si>
    <t>DIRAM B84-5-MX</t>
  </si>
  <si>
    <t>DIRAM B85CX-AT</t>
  </si>
  <si>
    <t>DIRAM B87P-5-US</t>
  </si>
  <si>
    <t>DIRAM B88P-6-DE</t>
  </si>
  <si>
    <t>Special glass, null, Flat glass, Container glass, Aluminium</t>
  </si>
  <si>
    <t>DIRAM BACK UP M70-6-DE</t>
  </si>
  <si>
    <t>DIRAM DRY A84M-8-AR</t>
  </si>
  <si>
    <t>DIRAM DRY A87CRP-6-DE</t>
  </si>
  <si>
    <t>Difosil 32</t>
  </si>
  <si>
    <t>DIRAM DRY B85V-3-DE</t>
  </si>
  <si>
    <t>DIRAM DRY D562-6</t>
  </si>
  <si>
    <t>DIRAM DRY TB012-CN</t>
  </si>
  <si>
    <t>DIRAM F32AL-6-DE</t>
  </si>
  <si>
    <t>Aluminium, Flat glass, null, Container glass, Special glass</t>
  </si>
  <si>
    <t>DIRAM F52C-3-BR</t>
  </si>
  <si>
    <t>Ferrous foundries, null</t>
  </si>
  <si>
    <t>DIRAM F54C-5-BR</t>
  </si>
  <si>
    <t>DIRAM F58C-2-BR</t>
  </si>
  <si>
    <t>DIRAM F59V-5-BR</t>
  </si>
  <si>
    <t>DIRAM F62-6-DE</t>
  </si>
  <si>
    <t>DIRAM F67V-1-DE</t>
  </si>
  <si>
    <t>DIRAM K90P-5-BR</t>
  </si>
  <si>
    <t>phosphoric acid, Water</t>
  </si>
  <si>
    <t>DIRAM K92-6-DE</t>
  </si>
  <si>
    <t>DIRAM K95HP-5-BR</t>
  </si>
  <si>
    <t>High abrasion resistant special mix</t>
  </si>
  <si>
    <t>DIRAM M67V-1-DE</t>
  </si>
  <si>
    <t>DIRAM M68PS-2-US</t>
  </si>
  <si>
    <t>DIRAM Z63P-3-DE</t>
  </si>
  <si>
    <t>DIRAM Z64P-6-DE</t>
  </si>
  <si>
    <t>DIRAM Z65V-3-DE</t>
  </si>
  <si>
    <t>DURAMUR 70CV E17 0-0,3-DE</t>
  </si>
  <si>
    <t>Tundish sliding gates</t>
  </si>
  <si>
    <t>DURAMUR 70SV 0-0,3-DE</t>
  </si>
  <si>
    <t>Flat glass, null, Special glass, Container glass, Mortaring of Nozzles to Well and Seating Blocks</t>
  </si>
  <si>
    <t>EXOKAST B90P-6-CN</t>
  </si>
  <si>
    <t>Refractory concrete, exothermic</t>
  </si>
  <si>
    <t>Exo-Aktivator</t>
  </si>
  <si>
    <t>EXOKAST B90P-6-DE</t>
  </si>
  <si>
    <t>FLOWGUN CS-60-RK</t>
  </si>
  <si>
    <t>FONDIT H 0-6-DE</t>
  </si>
  <si>
    <t>FONDIT K 0-3-DE</t>
  </si>
  <si>
    <t>FONDIT K 0-6-DE</t>
  </si>
  <si>
    <t>Repair mix</t>
  </si>
  <si>
    <t>GLASUR 011</t>
  </si>
  <si>
    <t>glaze, ready for processing</t>
  </si>
  <si>
    <t>GLASUR D-BR</t>
  </si>
  <si>
    <t>Vegetable oil</t>
  </si>
  <si>
    <t>GLASUR D</t>
  </si>
  <si>
    <t>GLASUR DRY</t>
  </si>
  <si>
    <t>GRAFITAP ACP-BR</t>
  </si>
  <si>
    <t>Tap hole mix</t>
  </si>
  <si>
    <t>GRAFITAP ACS-AF1-BR</t>
  </si>
  <si>
    <t>GRAFITAP ACS-AF2-BR</t>
  </si>
  <si>
    <t>GRAFITAP AFCV-BR</t>
  </si>
  <si>
    <t>GRAFITAP AMLC-AH1-BR</t>
  </si>
  <si>
    <t>GRAFITAP AMT-AF1-02-BR</t>
  </si>
  <si>
    <t>GRAFITAP AMT-BF1-RC-BR</t>
  </si>
  <si>
    <t>GRAFITAP BPSL-BF1-J-IN</t>
  </si>
  <si>
    <t>GRAFITAP CAP-BR</t>
  </si>
  <si>
    <t>GRAFITAP CSA-BR</t>
  </si>
  <si>
    <t>GRAFITAP CSA-CC-BR</t>
  </si>
  <si>
    <t>GRAFITAP CSP-AF1-BR</t>
  </si>
  <si>
    <t>GRAFITAP CSP-AF1-HS-BR</t>
  </si>
  <si>
    <t>GRAFITAP CST-AF1-RC-BR</t>
  </si>
  <si>
    <t>GRAFITAP CST-AF2-MC-BR</t>
  </si>
  <si>
    <t>GRAFITAP ECO-01-BR</t>
  </si>
  <si>
    <t>GRAFITAP ESL-BF2-J-IN</t>
  </si>
  <si>
    <t>GRAFITAP ESL-BF3-J-IN</t>
  </si>
  <si>
    <t>GRAFITAP EXP-07-18-01-BR</t>
  </si>
  <si>
    <t>GRAFITAP FN-M-BR</t>
  </si>
  <si>
    <t>GRAFITAP GA-CSN-AF2-BR</t>
  </si>
  <si>
    <t>GRAFITAP GA-VT-BR</t>
  </si>
  <si>
    <t>GRAFITAP GACM-AF1-BR</t>
  </si>
  <si>
    <t>Blast furnace tap hole, null</t>
  </si>
  <si>
    <t>GRAFITAP GACM-AF1-FG2-BR</t>
  </si>
  <si>
    <t>GRAFITAP GACM-AF2-BR</t>
  </si>
  <si>
    <t>null, Blast furnace tap hole</t>
  </si>
  <si>
    <t>GRAFITAP GAN-M-CSN-AF3-BR</t>
  </si>
  <si>
    <t>GRAFITAP GN-BJM-BR</t>
  </si>
  <si>
    <t>GRAFITAP GOB-AF1-HS-BR</t>
  </si>
  <si>
    <t>GRAFITAP GOB-AF2-CC-BR</t>
  </si>
  <si>
    <t>GRAFITAP JSW-COR-J-IN</t>
  </si>
  <si>
    <t>GRAFITAP MNI-BF1-J-IN</t>
  </si>
  <si>
    <t>GRAFITAP MT-USM-AF2-BR</t>
  </si>
  <si>
    <t>GRAFITAP MT-USM-BR</t>
  </si>
  <si>
    <t>GRAFITAP NECO-BF1-J-IN</t>
  </si>
  <si>
    <t>GRAFITAP NMK-BF1-J-IN</t>
  </si>
  <si>
    <t>GRAFITAP R-APDR-AR</t>
  </si>
  <si>
    <t>GRAFITAP RASM-BF1-J-IN</t>
  </si>
  <si>
    <t>GRAFITAP RMK-BF2-J-IN</t>
  </si>
  <si>
    <t>GRAFITAP RML1-01-BR</t>
  </si>
  <si>
    <t>GRAFITAP RSP-BF1-J-IN</t>
  </si>
  <si>
    <t>GRAFITAP SBF1-J-IN</t>
  </si>
  <si>
    <t>GRAFITAP SESA-BF3-J-IN</t>
  </si>
  <si>
    <t>GRAFITAP SID-R-AF2-AR</t>
  </si>
  <si>
    <t>GRAFITAP SID-RC-AR</t>
  </si>
  <si>
    <t>GRAFITAP SKP-BF1-J-IN</t>
  </si>
  <si>
    <t>GRAFITAP TB-AF2-HS-BR</t>
  </si>
  <si>
    <t>GRAFITAP TB004-BR</t>
  </si>
  <si>
    <t>GRAFITAP TB018-BR</t>
  </si>
  <si>
    <t>GRAFITAP THH-01</t>
  </si>
  <si>
    <t>GRAFITAP THH2CC-01-BR</t>
  </si>
  <si>
    <t>GRAFITAP THH4-01-BR</t>
  </si>
  <si>
    <t>GRAFITAP THHHS-01-BR</t>
  </si>
  <si>
    <t>GRAFITAP THM2-01-BR</t>
  </si>
  <si>
    <t>GRAFITAP THM2-02-BR</t>
  </si>
  <si>
    <t>GRAFITAP TML1-01-BR</t>
  </si>
  <si>
    <t>GRAFITAP TMM-02-BR</t>
  </si>
  <si>
    <t>GRAFITAP TMM1HS-01-BR</t>
  </si>
  <si>
    <t>GRAFITAP TMMCC-01-BR</t>
  </si>
  <si>
    <t>GRAFITAP TMMCC-02-BR</t>
  </si>
  <si>
    <t>GRAFITAP TSLP-BF2-J-IN</t>
  </si>
  <si>
    <t>GRAFITAP USM-AF3-HS-BR</t>
  </si>
  <si>
    <t>GRAFITAP VSP-BF1-J-IN</t>
  </si>
  <si>
    <t>GRAFITAP VSP-BF2-J-IN</t>
  </si>
  <si>
    <t>GRAFITAP VT-J-IN</t>
  </si>
  <si>
    <t>GRAFITAP WLS-BF1-J-IN</t>
  </si>
  <si>
    <t>IC F-14</t>
  </si>
  <si>
    <t>Flat glass, Special glass, Container glass, null, Copper, Nickel, Lead</t>
  </si>
  <si>
    <t>LEGRIT 100-0,5 0-5-MX</t>
  </si>
  <si>
    <t>Insulating mix</t>
  </si>
  <si>
    <t>LEGRIT 120-1,3G 0-6-DE</t>
  </si>
  <si>
    <t>LEGRIT 120-1,5GAL 0-4-DE</t>
  </si>
  <si>
    <t>LEGRIT 125-1,0G 0-6-DE</t>
  </si>
  <si>
    <t>Petrochemistry, null</t>
  </si>
  <si>
    <t>LEGRIT 126-1,0G 0-6-DE</t>
  </si>
  <si>
    <t>LEGRIT 135-1,0G 0-6-DE</t>
  </si>
  <si>
    <t>LEGRIT 135-1,3 0-4 BP</t>
  </si>
  <si>
    <t>LEGRIT 135-1,3 0-4-DE</t>
  </si>
  <si>
    <t>Lime, Thermal insulation, Chem/petroch/oth.EEC, null</t>
  </si>
  <si>
    <t>LEGRIT 135-1,3S 0-5 BP</t>
  </si>
  <si>
    <t>LEGRIT 135-1,3S 0-5-DE</t>
  </si>
  <si>
    <t>Container glass, Special glass, Lime, Flat glass, null, Chem/petroch/oth.EEC</t>
  </si>
  <si>
    <t>LEGRIT 135-1,9COR 0-3 GUN-DE</t>
  </si>
  <si>
    <t>LEGRIT 135-1,9COR 0-3-DE</t>
  </si>
  <si>
    <t>LEGRIT 135-1,9SF 0-3-DE</t>
  </si>
  <si>
    <t>Petrochemistry</t>
  </si>
  <si>
    <t>LEGRIT 140-1,2-2-BR</t>
  </si>
  <si>
    <t>LEGRIT 143-0,8 0-6-DE</t>
  </si>
  <si>
    <t>LEGRIT 143-1,1G 0-3-CN</t>
  </si>
  <si>
    <t>LEGRIT 143-1,1G 0-3-DE</t>
  </si>
  <si>
    <t>LEGRIT 143-1,2G 0-6-DE</t>
  </si>
  <si>
    <t>LEGRIT 143-1,3G 0-3-CN</t>
  </si>
  <si>
    <t>LEGRIT 143-1,3G 0-3-DE</t>
  </si>
  <si>
    <t>LEGRIT 145-1,2 0-6-DE</t>
  </si>
  <si>
    <t>LEGRIT 145-1,5AL 0-6-DE</t>
  </si>
  <si>
    <t>LEGRIT 150-1,8AL 0-3-DE</t>
  </si>
  <si>
    <t>LEGRIT 23LI-DE</t>
  </si>
  <si>
    <t>LEGRIT 23LIG-DE</t>
  </si>
  <si>
    <t>LEGRIT 26LIG-DE</t>
  </si>
  <si>
    <t>LEGRIT T3 C-DE</t>
  </si>
  <si>
    <t>LEGRIT T4 G-DE</t>
  </si>
  <si>
    <t>LEGRIT T5 G-DE</t>
  </si>
  <si>
    <t>LEGRIT T6 G-DE</t>
  </si>
  <si>
    <t>LEGRIT ULTIMA-G-DE</t>
  </si>
  <si>
    <t>LEGRITAL 143-0,8-6-U-TP</t>
  </si>
  <si>
    <t>null, Petrochemistry</t>
  </si>
  <si>
    <t>LITECAST 44G 0-3-DE</t>
  </si>
  <si>
    <t>null, Aluminium, Fluidized-bed furnace</t>
  </si>
  <si>
    <t>N-ANKOFORM A91MAS-12-BR</t>
  </si>
  <si>
    <t>null, RH/DH units, Reheat furnaces, Furnaces of ceramic industries</t>
  </si>
  <si>
    <t>N-ANKOFORM A94MA-3-BR</t>
  </si>
  <si>
    <t>N-ANKOFORM A97S-6-BR</t>
  </si>
  <si>
    <t>Reheat furnaces, null, RH/DH units, Furnaces of ceramic industries</t>
  </si>
  <si>
    <t>N-ANKOFORM SB A95S-15-CN</t>
  </si>
  <si>
    <t>N-DIDURITAL A97S-15-CN</t>
  </si>
  <si>
    <t>N-DIDURITAL A99S-15-CN</t>
  </si>
  <si>
    <t>N-RESITECT K86P-05-DE</t>
  </si>
  <si>
    <t>N-SANIT 185MAW 0-3 CD</t>
  </si>
  <si>
    <t>Dry Premix</t>
  </si>
  <si>
    <t>PREMIX BACKFILL B72P-1-DE</t>
  </si>
  <si>
    <t>PREMIX TB021-DE</t>
  </si>
  <si>
    <t>PREMIX TB022-DE</t>
  </si>
  <si>
    <t>PREMIX VL93M-15-DE</t>
  </si>
  <si>
    <t>PYROSET 23VLIG</t>
  </si>
  <si>
    <t>PYROSET 26LI</t>
  </si>
  <si>
    <t>PYROSET 28LI</t>
  </si>
  <si>
    <t>PYROSET LOD607</t>
  </si>
  <si>
    <t>PYROSTOP MORTAR 95T</t>
  </si>
  <si>
    <t>RAWMAT FIRECLAY TYPE 60 0-6</t>
  </si>
  <si>
    <t>RESIMUR A71Z-03-DE</t>
  </si>
  <si>
    <t>RESIMUR A83PCR-05-CN</t>
  </si>
  <si>
    <t>RESIMUR A83VCR-05-CN</t>
  </si>
  <si>
    <t>WASSER, Water</t>
  </si>
  <si>
    <t>RESIMUR A86V-03-DE</t>
  </si>
  <si>
    <t>RESIMUR A91-05-MX</t>
  </si>
  <si>
    <t>RESIMUR A91P-05-DE</t>
  </si>
  <si>
    <t>Difosil : Water;  at the rate of  2 : 1 (per volume)</t>
  </si>
  <si>
    <t>RESIMUR A91V-03-DE</t>
  </si>
  <si>
    <t>RESIMUR A91V-05-CN</t>
  </si>
  <si>
    <t>RESIMUR A93-05-IN</t>
  </si>
  <si>
    <t>RESIMUR A93H-05-DE</t>
  </si>
  <si>
    <t>RESIMUR A93P-03-DE</t>
  </si>
  <si>
    <t>Dry mastic</t>
  </si>
  <si>
    <t>RESIMUR A93P-05-CN</t>
  </si>
  <si>
    <t>RESIMUR A94-05-DE</t>
  </si>
  <si>
    <t>RESIMUR A97-05-BR</t>
  </si>
  <si>
    <t>RESIMUR A98-05-DE</t>
  </si>
  <si>
    <t>RESIMUR B64-05-DE</t>
  </si>
  <si>
    <t>RESIMUR B65V-03-AR</t>
  </si>
  <si>
    <t>RESIMUR B65V-03-BR</t>
  </si>
  <si>
    <t>RESIMUR B67V-02 GS</t>
  </si>
  <si>
    <t>RESIMUR B69-05-MX</t>
  </si>
  <si>
    <t>RESIMUR B70V-01-CN</t>
  </si>
  <si>
    <t>RESIMUR B70V-01-CQ-GS</t>
  </si>
  <si>
    <t>RESIMUR B71V-03-BR</t>
  </si>
  <si>
    <t>RESIMUR B73V-05-IN</t>
  </si>
  <si>
    <t>RESIMUR B76-05-BR</t>
  </si>
  <si>
    <t>RESIMUR B76V-02-BR</t>
  </si>
  <si>
    <t>RESIMUR B78-05-MX</t>
  </si>
  <si>
    <t>RESIMUR B78PAL-02-CN</t>
  </si>
  <si>
    <t>RESIMUR B78V-07-DE</t>
  </si>
  <si>
    <t>RESIMUR B80H-05-CN</t>
  </si>
  <si>
    <t>RESIMUR B80PAL-05-DE</t>
  </si>
  <si>
    <t>RESIMUR B83-05-DE</t>
  </si>
  <si>
    <t>Special glass, Flat glass, null, Lime, Cement, Container glass</t>
  </si>
  <si>
    <t>RESIMUR B83P-02-CN</t>
  </si>
  <si>
    <t>RESIMUR B85P-05-DE</t>
  </si>
  <si>
    <t>RESIMUR CA68H-03-DE</t>
  </si>
  <si>
    <t>RESIMUR K88PCR-05-DE</t>
  </si>
  <si>
    <t>Tundish sliding gates, Ladle sliding gates</t>
  </si>
  <si>
    <t>RESIMUR K90PCR-01-IN</t>
  </si>
  <si>
    <t>RESIMUR K90PCR-03-IN</t>
  </si>
  <si>
    <t>RESIMUR M70-03-CN</t>
  </si>
  <si>
    <t>RESIMUR M70-03-DE</t>
  </si>
  <si>
    <t>RESIMUR M73-03-DE</t>
  </si>
  <si>
    <t>Special glass, Mortaring of Nozzles to Well and Seating Blocks, null, Container glass, Flat glass</t>
  </si>
  <si>
    <t>RESIMUR M73-03</t>
  </si>
  <si>
    <t>null, Mortaring of Nozzles to Well and Seating Blocks, Flat glass, Container glass, Special glass</t>
  </si>
  <si>
    <t>RESIMUR MA70PVAL-05-DE</t>
  </si>
  <si>
    <t>RESIMUR S70-05-IN</t>
  </si>
  <si>
    <t>RESIMUR TC320 0-0,3-DE</t>
  </si>
  <si>
    <t>RESIMUR Z60P-03-DE</t>
  </si>
  <si>
    <t>RESIMUR Z60V-03-DE</t>
  </si>
  <si>
    <t>RESIMUR ZM361 0-0,3-DE</t>
  </si>
  <si>
    <t>RESIMUR ZM362 0-0,3-DE</t>
  </si>
  <si>
    <t>RESIMUR ZS49V-2-BR</t>
  </si>
  <si>
    <t>RESIMUR ZS716 0-0,3-DE</t>
  </si>
  <si>
    <t>RESISTIT SR885 0-6-DE</t>
  </si>
  <si>
    <t>RESISTIT SR888 0-6-DE</t>
  </si>
  <si>
    <t>RESISTIT ZM160P 0-1-DE</t>
  </si>
  <si>
    <t>RESISTIT ZM160P-1-US</t>
  </si>
  <si>
    <t>RESISTIT ZM25P-2-GS</t>
  </si>
  <si>
    <t>RESISTIT ZM260 0-3-DE</t>
  </si>
  <si>
    <t>RESISTIT ZS150P 0-3-DE</t>
  </si>
  <si>
    <t>RESISTIT ZS717 W 0-3-DE</t>
  </si>
  <si>
    <t>RESISTIT ZS748 0-3-DE</t>
  </si>
  <si>
    <t>RESITECT A66VCR-03-DE</t>
  </si>
  <si>
    <t>RESITECT A83VC-06-BR</t>
  </si>
  <si>
    <t>RESITECT A83VC-07-DE</t>
  </si>
  <si>
    <t>RESITECT A86PCR-02 E27-BR</t>
  </si>
  <si>
    <t>RESITECT A86V-05-BR</t>
  </si>
  <si>
    <t>RESITECT A88PCR-02 E25-BR</t>
  </si>
  <si>
    <t>RESITECT A88PCR-02 E28-BR</t>
  </si>
  <si>
    <t>RESITECT A88V-03 E15-DE</t>
  </si>
  <si>
    <t>Ready for use mastic</t>
  </si>
  <si>
    <t>RESITECT A89PCR-03 E13-MX</t>
  </si>
  <si>
    <t>RESITECT A90P-03-P12-US</t>
  </si>
  <si>
    <t>RESITECT A90P-03-P18-US</t>
  </si>
  <si>
    <t>RESITECT A93P-03 E20-DE</t>
  </si>
  <si>
    <t>Ladle sliding gates, Tundish sliding gates</t>
  </si>
  <si>
    <t>RESITECT A93P-05 E10-DE</t>
  </si>
  <si>
    <t>RESITECT A93P-05 E13-DE</t>
  </si>
  <si>
    <t>RESITECT A93P-05 E23-BR</t>
  </si>
  <si>
    <t>RESITECT A93P-05 E24-BR</t>
  </si>
  <si>
    <t>RESITECT A93P-05 E25-DE</t>
  </si>
  <si>
    <t>RESITECT A94-03-DE</t>
  </si>
  <si>
    <t>RESITECT A94-03-IN</t>
  </si>
  <si>
    <t>RESITECT A94P-06-BR</t>
  </si>
  <si>
    <t>RESITECT A95-03-DE</t>
  </si>
  <si>
    <t>Purge ceramic for casting/treatment ladle, null</t>
  </si>
  <si>
    <t>RESITECT B65-07-DE</t>
  </si>
  <si>
    <t>RESITECT B70C-03 E16-DE</t>
  </si>
  <si>
    <t>RESITECT B70C-03 E25-DE</t>
  </si>
  <si>
    <t>RESITECT B70V-02-BR</t>
  </si>
  <si>
    <t>RESITECT B75VC-02 E29-BR</t>
  </si>
  <si>
    <t>RESITECT B76VC-02 E29-BR</t>
  </si>
  <si>
    <t>RESITECT B80P-05-MX</t>
  </si>
  <si>
    <t>RESITECT B86P-05 E13-DE</t>
  </si>
  <si>
    <t>RESITECT B86PAL-05 E16-DE</t>
  </si>
  <si>
    <t>RESITECT B87P-05 E15-DE</t>
  </si>
  <si>
    <t>RESITECT K77V-05-DE</t>
  </si>
  <si>
    <t>RESITECT K81PCR-03 E13-DE</t>
  </si>
  <si>
    <t>RESITECT K85P-05 E10-DE</t>
  </si>
  <si>
    <t>RESITECT K86PCR-03 E09-DE</t>
  </si>
  <si>
    <t>RESITECT K89PCR-03 E10-DE</t>
  </si>
  <si>
    <t>RESITECT K89PCR-03 E13-DE</t>
  </si>
  <si>
    <t>RESITECT K90P-03-P23-US</t>
  </si>
  <si>
    <t>RESITECT M77VC-03 P26-MX</t>
  </si>
  <si>
    <t>RESITECT M80C-03 E13-DE</t>
  </si>
  <si>
    <t>RESITECT M80C-03 E17-DE</t>
  </si>
  <si>
    <t>RESITECT M81-03 E13-DE</t>
  </si>
  <si>
    <t>RESITECT M81-03 E22-DE</t>
  </si>
  <si>
    <t>RESITECT RK87P-05-DE</t>
  </si>
  <si>
    <t>RESITECT SR391 0-0,3-DE</t>
  </si>
  <si>
    <t>RESITECT TB030-BR</t>
  </si>
  <si>
    <t>RESITECT TB033-US</t>
  </si>
  <si>
    <t>RESITECT V001-BR</t>
  </si>
  <si>
    <t>SOR MASSE HB 30</t>
  </si>
  <si>
    <t>SOR MASSE HB 40 ASC 30</t>
  </si>
  <si>
    <t>SOR MASSE HB 40 D</t>
  </si>
  <si>
    <t>SOR MASSE HB 40</t>
  </si>
  <si>
    <t>SOR MASSE HB 45</t>
  </si>
  <si>
    <t>SOR MASSE HB 50</t>
  </si>
  <si>
    <t>SOR MASSE HB 60</t>
  </si>
  <si>
    <t>SOR MASSE HB 70</t>
  </si>
  <si>
    <t>SOR MASSE HB 80 S CR</t>
  </si>
  <si>
    <t>SOR MASSE HB 80 S</t>
  </si>
  <si>
    <t>SOR MASSE HB 80 SC 10</t>
  </si>
  <si>
    <t>SOR MASSE HB 80 SF</t>
  </si>
  <si>
    <t>SOR MASSE HB 80</t>
  </si>
  <si>
    <t>SOR MASSE HB 95 RAST 3</t>
  </si>
  <si>
    <t>SOR MASSE HB 95 RAST 6</t>
  </si>
  <si>
    <t>SORGUN HB 40</t>
  </si>
  <si>
    <t>SORGUN HB 60</t>
  </si>
  <si>
    <t>SPEEDCAST M60AL-6-US</t>
  </si>
  <si>
    <t>STELLAMUR 89P-05-DE</t>
  </si>
  <si>
    <t>STELLAMUR 94V-03-DE</t>
  </si>
  <si>
    <t>STELLAMUR 96-03-DE</t>
  </si>
  <si>
    <t>STELLAMUR GLS 0-0,3-CN</t>
  </si>
  <si>
    <t>STELLAMUR GLS 0-0,3-DE</t>
  </si>
  <si>
    <t>STELLAMUR Q98-03-DE</t>
  </si>
  <si>
    <t>STELLIT FS65-4-DE</t>
  </si>
  <si>
    <t>Power plants, null</t>
  </si>
  <si>
    <t>STELLIT FS86-1-DE</t>
  </si>
  <si>
    <t>STELLIT FS95-3-DE</t>
  </si>
  <si>
    <t>STELLIT GH 0-1-DE</t>
  </si>
  <si>
    <t>STELLIT Q78GVHR-3-BR</t>
  </si>
  <si>
    <t>STELLIT RAM FS99V-6-DE</t>
  </si>
  <si>
    <t>STELLIT RAM Q91C-1-AR</t>
  </si>
  <si>
    <t>STELLIT WELD Q95R-2-GS</t>
  </si>
  <si>
    <t>Container glass, Special glass, Coke oven, null, Flat glass</t>
  </si>
  <si>
    <t>SUPER COMPRIT A96M-1-US</t>
  </si>
  <si>
    <t>SUPER COMPRIT B68S-5-CN</t>
  </si>
  <si>
    <t>Universal, Blast furnace</t>
  </si>
  <si>
    <t>SUPER COMPRIT B86-6-DE</t>
  </si>
  <si>
    <t>SUPER COMPRIT F41-6-DE</t>
  </si>
  <si>
    <t>Flat glass, Lime, null, Aluminium, Cement, Container glass, Special glass</t>
  </si>
  <si>
    <t>SUPER COMPRIT F41AL-6-DE</t>
  </si>
  <si>
    <t>Cement, Aluminium, null</t>
  </si>
  <si>
    <t>SUPER COMPRIT F45COR-6-DE</t>
  </si>
  <si>
    <t>SUPER COMPRIT F50-5-MX</t>
  </si>
  <si>
    <t>SUPER COMPRIT F55-6-DE</t>
  </si>
  <si>
    <t>null, Coke oven</t>
  </si>
  <si>
    <t>SUPER COMPRIT K84-5-BR</t>
  </si>
  <si>
    <t>SV FINISH SPRAY</t>
  </si>
  <si>
    <t>Tap hole sliding gates, Ladle sliding gates, Tundish sliding gates</t>
  </si>
  <si>
    <t>SV FINISH</t>
  </si>
  <si>
    <t>Tundish sliding gates, Tap hole sliding gates, Ladle sliding gates</t>
  </si>
  <si>
    <t>T IS CA 30 BF</t>
  </si>
  <si>
    <t>TAFKAST RH-CI</t>
  </si>
  <si>
    <t>TRI MOR HIGUN 160</t>
  </si>
  <si>
    <t>URGRUS 40PF-3-DE</t>
  </si>
  <si>
    <t>ANKERFORM 399</t>
  </si>
  <si>
    <t>ANKERFORM BM88</t>
  </si>
  <si>
    <t>ANKERFORM BM93</t>
  </si>
  <si>
    <t>ANKERFORM BM94S-AR</t>
  </si>
  <si>
    <t>ANKERFORM BOARD 83-J-IN</t>
  </si>
  <si>
    <t>Tundish lining boards/Cold start boards</t>
  </si>
  <si>
    <t>ANKERFORM CM68S</t>
  </si>
  <si>
    <t>ANKERFORM CM86-J-IN</t>
  </si>
  <si>
    <t>ANKERFORM CM90</t>
  </si>
  <si>
    <t>ANKERFORM CM90CRS</t>
  </si>
  <si>
    <t>ANKERFORM CM90S-GS</t>
  </si>
  <si>
    <t>ANKERFORM CM90S</t>
  </si>
  <si>
    <t>ANKERFORM M68S-BR</t>
  </si>
  <si>
    <t>ANKERFORM M91</t>
  </si>
  <si>
    <t>ANKERFORM M91A</t>
  </si>
  <si>
    <t>ANKERFORM M91S</t>
  </si>
  <si>
    <t>ANKERFORM M94CR</t>
  </si>
  <si>
    <t>ANKERFORM MCR49</t>
  </si>
  <si>
    <t>ANKERFORM MCR49S</t>
  </si>
  <si>
    <t>ANKERFORM MCR65S-CN</t>
  </si>
  <si>
    <t>ANKERFORM ST82-J-IN</t>
  </si>
  <si>
    <t>Starter tube</t>
  </si>
  <si>
    <t>ANKERFORM TM68</t>
  </si>
  <si>
    <t>ANKERFORM TM68S</t>
  </si>
  <si>
    <t>ANKERFORM TM90</t>
  </si>
  <si>
    <t>ANKERFORM TM90CRS</t>
  </si>
  <si>
    <t>ANKERFORM TM90S-TP</t>
  </si>
  <si>
    <t>ANKERFORM TM90S</t>
  </si>
  <si>
    <t>ANKERPERM SPT-002-J-IN</t>
  </si>
  <si>
    <t>ANKOFORCE SB A91S1-03-MS</t>
  </si>
  <si>
    <t>ANKOFORCE TB023-DE</t>
  </si>
  <si>
    <t>ANKOFORM 204 0-6</t>
  </si>
  <si>
    <t>ANKOFORM 97NS 0-15</t>
  </si>
  <si>
    <t>ANKOFORM A87CR-15-DE</t>
  </si>
  <si>
    <t>ANKOFORM A87CR-6-DE</t>
  </si>
  <si>
    <t>ANKOFORM A87CR-6-MX</t>
  </si>
  <si>
    <t>ANKOFORM A87CRD-6-DE</t>
  </si>
  <si>
    <t>ANKOFORM A87CRS-15-CN</t>
  </si>
  <si>
    <t>ANKOFORM A87CRS-15-DE</t>
  </si>
  <si>
    <t>ANKOFORM A87CRS-15-IN</t>
  </si>
  <si>
    <t>ANKOFORM A87CRS-15-MX</t>
  </si>
  <si>
    <t>ANKOFORM A87CRS-3-DE</t>
  </si>
  <si>
    <t>ANKOFORM A87CRS-6-DE</t>
  </si>
  <si>
    <t>ANKOFORM A87CRS-6-MX</t>
  </si>
  <si>
    <t>ANKOFORM A87CRXS-15-BR</t>
  </si>
  <si>
    <t>ANKOFORM A87CRXS-15-DE</t>
  </si>
  <si>
    <t>ANKOFORM A87CRXS-15-IN</t>
  </si>
  <si>
    <t>ANKOFORM A87MAMS-6-CN</t>
  </si>
  <si>
    <t>ANKOFORM A87MAMS-6-DE</t>
  </si>
  <si>
    <t>ANKOFORM A88-16-AR</t>
  </si>
  <si>
    <t>ANKOFORM A88-8-AR</t>
  </si>
  <si>
    <t>ANKOFORM A88CR-8-BR</t>
  </si>
  <si>
    <t>Electric arc furnace, null, Reheat furnaces</t>
  </si>
  <si>
    <t>ANKOFORM A88MACR-6-J-IN</t>
  </si>
  <si>
    <t>ANKOFORM A89CRS-12-BR</t>
  </si>
  <si>
    <t>null, Ferro alloys, Torpedo ladle</t>
  </si>
  <si>
    <t>ANKOFORM A89MCRS-6-BR</t>
  </si>
  <si>
    <t>ANKOFORM A90-3S3SS-6-R-IN</t>
  </si>
  <si>
    <t>ANKOFORM A90-4SS-6-R-IN</t>
  </si>
  <si>
    <t>ANKOFORM A90-6SS-6-B-IN</t>
  </si>
  <si>
    <t>ANKOFORM A90-6SS-6-R-IN</t>
  </si>
  <si>
    <t>ANKOFORM A90CRS-19-BR</t>
  </si>
  <si>
    <t>Casting/treatment ladle, Metallurgy</t>
  </si>
  <si>
    <t>ANKOFORM A90MA-15-J-IN</t>
  </si>
  <si>
    <t>ANKOFORM A90MA-6-J-IN</t>
  </si>
  <si>
    <t>ANKOFORM A90MACR-15-J-IN</t>
  </si>
  <si>
    <t>ANKOFORM A90MAM-15-DE</t>
  </si>
  <si>
    <t>ANKOFORM A90MAM-15-MX</t>
  </si>
  <si>
    <t>ANKOFORM A90MAM-15-T-TP</t>
  </si>
  <si>
    <t>ANKOFORM A90MAMS-15-MX</t>
  </si>
  <si>
    <t>ANKOFORM A90MAMS-15-T-TP</t>
  </si>
  <si>
    <t>ANKOFORM A91-8-BR</t>
  </si>
  <si>
    <t>Blast furnace, null, RH/DH units</t>
  </si>
  <si>
    <t>ANKOFORM A91MA-10-AR</t>
  </si>
  <si>
    <t>ANKOFORM A91MA-12-BR</t>
  </si>
  <si>
    <t>Pelletizing furnace, null, RH/DH units, Furnaces of ceramic industries, Reheat furnaces</t>
  </si>
  <si>
    <t>ANKOFORM A91MA-6-GS</t>
  </si>
  <si>
    <t>ANKOFORM A91MAS-12-BR</t>
  </si>
  <si>
    <t>Precast shape ( made of conventional castable )</t>
  </si>
  <si>
    <t>ANKOFORM A91MS-25-IN</t>
  </si>
  <si>
    <t>ANKOFORM A92CRS-12-BR</t>
  </si>
  <si>
    <t>ANKOFORM A92MA-10-AR</t>
  </si>
  <si>
    <t>ANKOFORM A92MA-12-MX</t>
  </si>
  <si>
    <t>ANKOFORM A92MA-15-CN</t>
  </si>
  <si>
    <t>ANKOFORM A92MA-15-DE</t>
  </si>
  <si>
    <t>ANKOFORM A92MA-15-MX</t>
  </si>
  <si>
    <t>ANKOFORM A92MA-3-DE</t>
  </si>
  <si>
    <t>ANKOFORM A92MA-3-IN</t>
  </si>
  <si>
    <t>ANKOFORM A92MA-3-J-IN</t>
  </si>
  <si>
    <t>ANKOFORM A92MA-3-MX</t>
  </si>
  <si>
    <t>ANKOFORM A92MA-4S-10-B-DE</t>
  </si>
  <si>
    <t>ANKOFORM A92MA-6-BR</t>
  </si>
  <si>
    <t>ANKOFORM A92MA-6-CN</t>
  </si>
  <si>
    <t>ANKOFORM A92MA-6-DE</t>
  </si>
  <si>
    <t>ANKOFORM A92MA-6-IN</t>
  </si>
  <si>
    <t>ANKOFORM A92MA-6-MX</t>
  </si>
  <si>
    <t>ANKOFORM A92MAF-3-DE</t>
  </si>
  <si>
    <t>ANKOFORM A92MAS-12-BR</t>
  </si>
  <si>
    <t>Furnaces of ceramic industries, Reheat furnaces, RH/DH units</t>
  </si>
  <si>
    <t>ANKOFORM A92MAS-15-DE</t>
  </si>
  <si>
    <t>ANKOFORM A92MAS-15-IN</t>
  </si>
  <si>
    <t>ANKOFORM A92MAS-15-MX</t>
  </si>
  <si>
    <t>ANKOFORM A92MAS-6-DE</t>
  </si>
  <si>
    <t>ANKOFORM A92MAS-6-IN</t>
  </si>
  <si>
    <t>ANKOFORM A92MAS-6-J-IN</t>
  </si>
  <si>
    <t>ANKOFORM A92MAS-6-MX</t>
  </si>
  <si>
    <t>ANKOFORM A93AL-6-DE</t>
  </si>
  <si>
    <t>ANKOFORM A93M-12-BR</t>
  </si>
  <si>
    <t>ANKOFORM A93MA-15-DE</t>
  </si>
  <si>
    <t>ANKOFORM A93MA-3-BR</t>
  </si>
  <si>
    <t>Ladle sliding gates, Tundish</t>
  </si>
  <si>
    <t>ANKOFORM A93MA-3-DE</t>
  </si>
  <si>
    <t>ANKOFORM A93MA-6-J-IN</t>
  </si>
  <si>
    <t>ANKOFORM A93MAF-6-MX</t>
  </si>
  <si>
    <t>ANKOFORM A94-6-DE</t>
  </si>
  <si>
    <t>ANKOFORM A94CR-6-DE</t>
  </si>
  <si>
    <t>ANKOFORM A94CR-6-MX</t>
  </si>
  <si>
    <t>ANKOFORM A94CRF-16-AR</t>
  </si>
  <si>
    <t>ANKOFORM A94CRS-6-DE</t>
  </si>
  <si>
    <t>ANKOFORM A94M-6-CN</t>
  </si>
  <si>
    <t>ANKOFORM A94MA-12-BR</t>
  </si>
  <si>
    <t>ANKOFORM A94MA-15-DE</t>
  </si>
  <si>
    <t>ANKOFORM A94MA-6-J-IN</t>
  </si>
  <si>
    <t>ANKOFORM A94MAS-12-BR</t>
  </si>
  <si>
    <t>ANKOFORM A94MAS-15-DE</t>
  </si>
  <si>
    <t>ANKOFORM A94S-6-DE</t>
  </si>
  <si>
    <t>ANKOFORM A95-3-DE</t>
  </si>
  <si>
    <t>ANKOFORM A95-6-MS</t>
  </si>
  <si>
    <t>ANKOFORM A95M-6-DE</t>
  </si>
  <si>
    <t>Casting/treatment ladle, Ladle sliding gates, Electric arc furnace, null</t>
  </si>
  <si>
    <t>ANKOFORM A95MA-3-MS</t>
  </si>
  <si>
    <t>ANKOFORM A95MA-6-IN</t>
  </si>
  <si>
    <t>Casting/treatment ladle, Lime, Cement, Aluminium, Chem/petroch/oth.EEC</t>
  </si>
  <si>
    <t>ANKOFORM A95MF-3-DE</t>
  </si>
  <si>
    <t>Ferro alloys, null, Copper, Nickel, Lead, Electric arc furnace, Casting/treatment ladle</t>
  </si>
  <si>
    <t>ANKOFORM A96-10-DE</t>
  </si>
  <si>
    <t>ANKOFORM A96-3-J-IN</t>
  </si>
  <si>
    <t>ANKOFORM A96-6-BR</t>
  </si>
  <si>
    <t>ANKOFORM A96-6-DE</t>
  </si>
  <si>
    <t>ANKOFORM A96M-15-CN</t>
  </si>
  <si>
    <t>ANKOFORM A96M-15-DE</t>
  </si>
  <si>
    <t>ANKOFORM A96M-6-DE</t>
  </si>
  <si>
    <t>ANKOFORM A96M-6-MX</t>
  </si>
  <si>
    <t>ANKOFORM A96MA-10-AR</t>
  </si>
  <si>
    <t>ANKOFORM A96MA-15-BR</t>
  </si>
  <si>
    <t>ANKOFORM A96MA-15-CN</t>
  </si>
  <si>
    <t>ANKOFORM A96MA-15-DE</t>
  </si>
  <si>
    <t>ANKOFORM A96MA-15-IN</t>
  </si>
  <si>
    <t>ANKOFORM A96MA-15-MX</t>
  </si>
  <si>
    <t>ANKOFORM A96MA-3-CN</t>
  </si>
  <si>
    <t>ANKOFORM A96MA-6-CN</t>
  </si>
  <si>
    <t>ANKOFORM A96MA-6-DE</t>
  </si>
  <si>
    <t>ANKOFORM A96MA-6-IN</t>
  </si>
  <si>
    <t>ANKOFORM A96MA-6-J-IN</t>
  </si>
  <si>
    <t>ANKOFORM A96MA-6-MX</t>
  </si>
  <si>
    <t>ANKOFORM A96MAS-15-CN</t>
  </si>
  <si>
    <t>ANKOFORM A96MAS-15-DE</t>
  </si>
  <si>
    <t>ANKOFORM A96MAS-15-IN</t>
  </si>
  <si>
    <t>ANKOFORM A96MAS-15-MX</t>
  </si>
  <si>
    <t>ANKOFORM A96MAS-6-CN</t>
  </si>
  <si>
    <t>ANKOFORM A96MAS-6-IN</t>
  </si>
  <si>
    <t>ANKOFORM A96MS-6-DE</t>
  </si>
  <si>
    <t>ANKOFORM A96MS-6-MX</t>
  </si>
  <si>
    <t>ANKOFORM A97-1-DE</t>
  </si>
  <si>
    <t>ANKOFORM A97-1-T3-DE</t>
  </si>
  <si>
    <t>ANKOFORM A97-15-CN</t>
  </si>
  <si>
    <t>ANKOFORM A97-15-DE</t>
  </si>
  <si>
    <t>ANKOFORM A97-15-IN</t>
  </si>
  <si>
    <t>ANKOFORM A97-3-DE</t>
  </si>
  <si>
    <t>ANKOFORM A97-3-J-IN</t>
  </si>
  <si>
    <t>ANKOFORM A97-6-CN</t>
  </si>
  <si>
    <t>ANKOFORM A97-6-DE</t>
  </si>
  <si>
    <t>ANKOFORM A97-6-IN</t>
  </si>
  <si>
    <t>ANKOFORM A97-6-J-IN</t>
  </si>
  <si>
    <t>ANKOFORM A97-6-O-IN</t>
  </si>
  <si>
    <t>ANKOFORM A97F-6-DE</t>
  </si>
  <si>
    <t>ANKOFORM A97M-6-DE</t>
  </si>
  <si>
    <t>ANKOFORM A97S-15-CN</t>
  </si>
  <si>
    <t>ANKOFORM A97S-15-DE</t>
  </si>
  <si>
    <t>ANKOFORM A97S-15-IN</t>
  </si>
  <si>
    <t>ANKOFORM A98-4S-6-B-DE</t>
  </si>
  <si>
    <t>ANKOFORM A98-6-J-IN</t>
  </si>
  <si>
    <t>ANKOFORM A98F-3-DE</t>
  </si>
  <si>
    <t>ANKOFORM A98F-3-U-TP</t>
  </si>
  <si>
    <t>ANKOFORM A98F-6 GS</t>
  </si>
  <si>
    <t>ANKOFORM A98F-6-DE</t>
  </si>
  <si>
    <t>ANKOFORM A98HF-3-DE</t>
  </si>
  <si>
    <t>ANKOFORM A98S-15-CN</t>
  </si>
  <si>
    <t>ANKOFORM A98S-6-DE</t>
  </si>
  <si>
    <t>ANKOFORM A99S-15-CN</t>
  </si>
  <si>
    <t>ANKOFORM B50S-5-IN</t>
  </si>
  <si>
    <t>ANKOFORM B61-8-BR</t>
  </si>
  <si>
    <t>ANKOFORM B62R-10-BR</t>
  </si>
  <si>
    <t>ANKOFORM B67RS-10-BR</t>
  </si>
  <si>
    <t>Casting/treatment ladle, Pig Iron Ladle</t>
  </si>
  <si>
    <t>ANKOFORM B69-5-BR</t>
  </si>
  <si>
    <t>ANKOFORM B70-5-BR</t>
  </si>
  <si>
    <t>ANKOFORM B70RS-10-BR</t>
  </si>
  <si>
    <t>Pig Iron Ladle, Casting/treatment ladle</t>
  </si>
  <si>
    <t>ANKOFORM B70XS-6-J-IN</t>
  </si>
  <si>
    <t>ANKOFORM B72-6-DE</t>
  </si>
  <si>
    <t>ANKOFORM B73-6-DE</t>
  </si>
  <si>
    <t>ANKOFORM B73RS-10-BR</t>
  </si>
  <si>
    <t>Purging lances, Pig Iron Ladle</t>
  </si>
  <si>
    <t>ANKOFORM B73S-6-AR</t>
  </si>
  <si>
    <t>ANKOFORM B75-5-J-IN</t>
  </si>
  <si>
    <t>ANKOFORM B75-8-AR</t>
  </si>
  <si>
    <t>ANKOFORM B75-8-BR</t>
  </si>
  <si>
    <t>ANKOFORM B75AL-6-DE</t>
  </si>
  <si>
    <t>ANKOFORM B76S-5-IN</t>
  </si>
  <si>
    <t>ANKOFORM B78-5-O-IN</t>
  </si>
  <si>
    <t>ANKOFORM B78RS-10-BR</t>
  </si>
  <si>
    <t>Purging lances</t>
  </si>
  <si>
    <t>ANKOFORM B79-5-IN</t>
  </si>
  <si>
    <t>Universal, Tundish</t>
  </si>
  <si>
    <t>ANKOFORM B80-8-AR</t>
  </si>
  <si>
    <t>ANKOFORM B80-8-BR</t>
  </si>
  <si>
    <t>ANKOFORM B80CRS-19-BR</t>
  </si>
  <si>
    <t>ANKOFORM B80RS-10-BR</t>
  </si>
  <si>
    <t>ANKOFORM B81S-6-DE</t>
  </si>
  <si>
    <t>ANKOFORM B82-15-CN</t>
  </si>
  <si>
    <t>ANKOFORM B82-15-IN</t>
  </si>
  <si>
    <t>ANKOFORM B82-4S-6-B-DE</t>
  </si>
  <si>
    <t>ANKOFORM B82-6-CN</t>
  </si>
  <si>
    <t>ANKOFORM B82-6-DE</t>
  </si>
  <si>
    <t>ANKOFORM B82-6-IN</t>
  </si>
  <si>
    <t>Tundish, Universal</t>
  </si>
  <si>
    <t>ANKOFORM B82-6-MX</t>
  </si>
  <si>
    <t>ANKOFORM B82S-15-CN</t>
  </si>
  <si>
    <t>ANKOFORM B82S-15-IN</t>
  </si>
  <si>
    <t>ANKOFORM B82S-6-CN</t>
  </si>
  <si>
    <t>ANKOFORM B82S-6-DE</t>
  </si>
  <si>
    <t>ANKOFORM B82S-6-IN</t>
  </si>
  <si>
    <t>ANKOFORM B82S-6-MX</t>
  </si>
  <si>
    <t>ANKOFORM B83-6-BR</t>
  </si>
  <si>
    <t>Rotary kiln (Precooling zone)</t>
  </si>
  <si>
    <t>ANKOFORM B84RS-10-BR</t>
  </si>
  <si>
    <t>ANKOFORM B85-4S-8-B-IN</t>
  </si>
  <si>
    <t>ANKOFORM B85-4S-8-R-IN</t>
  </si>
  <si>
    <t>ANKOFORM B85CRS-15-IN</t>
  </si>
  <si>
    <t>ANKOFORM B85CRS-19-BR</t>
  </si>
  <si>
    <t>ANKOFORM B85CRS-19-MX</t>
  </si>
  <si>
    <t>ANKOFORM B85R-6-DE</t>
  </si>
  <si>
    <t>ANKOFORM B86-4S-8-R-IN</t>
  </si>
  <si>
    <t>ANKOFORM B86S-5-BR</t>
  </si>
  <si>
    <t>ANKOFORM B86S-6-MX</t>
  </si>
  <si>
    <t>ANKOFORM B87-3-DE</t>
  </si>
  <si>
    <t>ANKOFORM B87-8-BR</t>
  </si>
  <si>
    <t>ANKOFORM B87CRS-16-AR</t>
  </si>
  <si>
    <t>ANKOFORM B87S-8-BR</t>
  </si>
  <si>
    <t>ANKOFORM B88-3S3SS-6-R-IN</t>
  </si>
  <si>
    <t>ANKOFORM B88-6-GS</t>
  </si>
  <si>
    <t>ANKOFORM B88-6-MX</t>
  </si>
  <si>
    <t>ANKOFORM B88-6SS-6-R-IN</t>
  </si>
  <si>
    <t>ANKOFORM B88S-6-MX</t>
  </si>
  <si>
    <t>ANKOFORM B89AL-6-DE</t>
  </si>
  <si>
    <t>ANKOFORM B89S-16-AR</t>
  </si>
  <si>
    <t>ANKOFORM B90-1-DE</t>
  </si>
  <si>
    <t>ANKOFORM B90-3-DE</t>
  </si>
  <si>
    <t>ANKOFORM BOARD FS94-J-IN</t>
  </si>
  <si>
    <t>ANKOFORM DBS-97Z</t>
  </si>
  <si>
    <t>Security device</t>
  </si>
  <si>
    <t>ANKOFORM F27-3.7-2-T-MX</t>
  </si>
  <si>
    <t>ANKOFORM F40-6-DE</t>
  </si>
  <si>
    <t>ANKOFORM F41-2S-6-B-DE</t>
  </si>
  <si>
    <t>ANKOFORM F44-6-MS</t>
  </si>
  <si>
    <t>ANKOFORM F45-5SS-10-B-DE</t>
  </si>
  <si>
    <t>ANKOFORM F45COR-6-DE</t>
  </si>
  <si>
    <t>ANKOFORM F47-5SS-10-B-DE</t>
  </si>
  <si>
    <t>ANKOFORM F47-6-DE</t>
  </si>
  <si>
    <t>ANKOFORM F47-8-BR</t>
  </si>
  <si>
    <t>ANKOFORM F48F-GS</t>
  </si>
  <si>
    <t>ANKOFORM F49S-6-DE</t>
  </si>
  <si>
    <t>ANKOFORM F50-5-IN</t>
  </si>
  <si>
    <t>ANKOFORM F50-6-DE</t>
  </si>
  <si>
    <t>ANKOFORM F50-6SS-15-B-IN</t>
  </si>
  <si>
    <t>ANKOFORM F50-7SS-15-B-IN</t>
  </si>
  <si>
    <t>ANKOFORM F51S-5-BR</t>
  </si>
  <si>
    <t>ANKOFORM F53-5-BR</t>
  </si>
  <si>
    <t>ANKOFORM F55F-6-DE</t>
  </si>
  <si>
    <t>ANKOFORM K74-5-BR</t>
  </si>
  <si>
    <t>ANKOFORM K79MCRS-19-BR</t>
  </si>
  <si>
    <t>ANKOFORM K81C-19-BR</t>
  </si>
  <si>
    <t>ANKOFORM K83-16-AR</t>
  </si>
  <si>
    <t>ANKOFORM K85-16-AR</t>
  </si>
  <si>
    <t>ANKOFORM K86CRS-6-DE</t>
  </si>
  <si>
    <t>ANKOFORM K87-2S-6-B-DE</t>
  </si>
  <si>
    <t>ANKOFORM K87CR-8-AR</t>
  </si>
  <si>
    <t>ANKOFORM K87CRS-19-BR</t>
  </si>
  <si>
    <t>Metallurgy, Casting/treatment ladle</t>
  </si>
  <si>
    <t>ANKOFORM K87S-6-CN</t>
  </si>
  <si>
    <t>ANKOFORM K88-4S-6-B-DE</t>
  </si>
  <si>
    <t>ANKOFORM K88-5-IN</t>
  </si>
  <si>
    <t>ANKOFORM K89CRS-19-BR</t>
  </si>
  <si>
    <t>ANKOFORM K91CRS-8-BR</t>
  </si>
  <si>
    <t>ANKOFORM K92CS-8-BR</t>
  </si>
  <si>
    <t>ANKOFORM K92S-8-BR</t>
  </si>
  <si>
    <t>ANKOFORM K96M-6-DE</t>
  </si>
  <si>
    <t>ANKOFORM K97-3-DE</t>
  </si>
  <si>
    <t>ANKOFORM K97-6-DE</t>
  </si>
  <si>
    <t>ANKOFORM K98-3-DE</t>
  </si>
  <si>
    <t>ANKOFORM K98-3-MS</t>
  </si>
  <si>
    <t>ANKOFORM LAN-90WS-5-IN</t>
  </si>
  <si>
    <t>ANKOFORM LAN-91WS-15-IN</t>
  </si>
  <si>
    <t>ANKOFORM LAN-A87Z-15-IN</t>
  </si>
  <si>
    <t>ANKOFORM LAN-A90MS-15-IN</t>
  </si>
  <si>
    <t>ANKOFORM LAN-B81M-5-IN</t>
  </si>
  <si>
    <t>ANKOFORM LAN-B82MS-5-IN</t>
  </si>
  <si>
    <t>ANKOFORM LAN-B84MS-15-IN</t>
  </si>
  <si>
    <t>ANKOFORM LAN-B85S-5-IN</t>
  </si>
  <si>
    <t>ANKOFORM LAN-K98S-10-IN</t>
  </si>
  <si>
    <t>ANKOFORM LAN-LC80NT-5-IN</t>
  </si>
  <si>
    <t>ANKOFORM LAN-MB B90S-15-IN</t>
  </si>
  <si>
    <t>ANKOFORM LAN-MB M68S-15-IN</t>
  </si>
  <si>
    <t>ANKOFORM LAN-S60S-5-IN</t>
  </si>
  <si>
    <t>ANKOFORM M60F-6-DE</t>
  </si>
  <si>
    <t>ANKOFORM M61-6-DE</t>
  </si>
  <si>
    <t>Aluminium, null, Reheat furnaces</t>
  </si>
  <si>
    <t>ANKOFORM M61-6-IN</t>
  </si>
  <si>
    <t>null, Lime, Reheat furnaces</t>
  </si>
  <si>
    <t>ANKOFORM M66-5-MX</t>
  </si>
  <si>
    <t>ANKOFORM M66S-5-MX</t>
  </si>
  <si>
    <t>null, Purging lances, Tundish</t>
  </si>
  <si>
    <t>ANKOFORM M67-8-MX</t>
  </si>
  <si>
    <t>ANKOFORM M67S-8-MX</t>
  </si>
  <si>
    <t>ANKOFORM M68P-GS</t>
  </si>
  <si>
    <t>ANKOFORM M70-8-AR</t>
  </si>
  <si>
    <t>ANKOFORM M77-8-BR</t>
  </si>
  <si>
    <t>ANKOFORM M78-3-U-TP</t>
  </si>
  <si>
    <t>ANKOFORM M78F-6-DE</t>
  </si>
  <si>
    <t>ANKOFORM MA76CR-6-DE</t>
  </si>
  <si>
    <t>ANKOFORM MA76CR-6-IN</t>
  </si>
  <si>
    <t>ANKOFORM MA76CR-6-MX</t>
  </si>
  <si>
    <t>ANKOFORM MA81-6-DE</t>
  </si>
  <si>
    <t>ANKOFORM MA90-15-DE</t>
  </si>
  <si>
    <t>ANKOFORM MB A96S-15-DE</t>
  </si>
  <si>
    <t>ANKOFORM MB A97-15-DE</t>
  </si>
  <si>
    <t>ANKOFORM MB A97-6-DE</t>
  </si>
  <si>
    <t>ANKOFORM MB A97F-15-DE</t>
  </si>
  <si>
    <t>ANKOFORM MB A97S-15 MX</t>
  </si>
  <si>
    <t>ANKOFORM MB A97S-15-BR</t>
  </si>
  <si>
    <t>ANKOFORM MB A97S-15-DE</t>
  </si>
  <si>
    <t>ANKOFORM MB A97S-15-IN</t>
  </si>
  <si>
    <t>ANKOFORM R57S-5-R-IN</t>
  </si>
  <si>
    <t>ANKOFORM RE-A90CRS-19-BR</t>
  </si>
  <si>
    <t>ANKOFORM RE-B70RS-10-BR</t>
  </si>
  <si>
    <t>ANKOFORM RE-B84RS-10-BR</t>
  </si>
  <si>
    <t>ANKOFORM RE-K92CS-8-BR</t>
  </si>
  <si>
    <t>ANKOFORM RK29-6-DE</t>
  </si>
  <si>
    <t>ANKOFORM RK30ZF-6-DE</t>
  </si>
  <si>
    <t>ANKOFORM RK55ZF-6-DE</t>
  </si>
  <si>
    <t>ANKOFORM RK83-2S2SS-3-R-IN</t>
  </si>
  <si>
    <t>ANKOFORM ROX A86R-3-DE</t>
  </si>
  <si>
    <t>ANKOFORM ROX A93MA-15-DE</t>
  </si>
  <si>
    <t>ANKOFORM ROX A93MAS-15-DE</t>
  </si>
  <si>
    <t>ANKOFORM ROX A93MAS-15-IN</t>
  </si>
  <si>
    <t>ANKOFORM ROX A96-15-DE</t>
  </si>
  <si>
    <t>ANKOFORM ROX A96-15-IN</t>
  </si>
  <si>
    <t>ANKOFORM ROX A96-6-DE</t>
  </si>
  <si>
    <t>ANKOFORM ROX A96S-15-DE</t>
  </si>
  <si>
    <t>ANKOFORM S60-5-IN</t>
  </si>
  <si>
    <t>ANKOFORM S61F-GS</t>
  </si>
  <si>
    <t>ANKOFORM S64-5-BR</t>
  </si>
  <si>
    <t>ANKOFORM S64-5SS-6-B-DE</t>
  </si>
  <si>
    <t>ANKOFORM S64F-GS</t>
  </si>
  <si>
    <t>Flat glass, Container glass, Flat glass, Special glass, Special glass, Special glass, Flat glass, Flat glass, Container glass, Container glass, Container glass, Special glass</t>
  </si>
  <si>
    <t>Precast shape ( made of low cement vibrating castable ), Precast shape ( made of low cement vibrating castable )</t>
  </si>
  <si>
    <t>ANKOFORM S64S-5-BR</t>
  </si>
  <si>
    <t>ANKOFORM S67-6SS-5-R-IN</t>
  </si>
  <si>
    <t>ANKOFORM S67F-6-DE</t>
  </si>
  <si>
    <t>ANKOFORM S68-3-IN</t>
  </si>
  <si>
    <t>ANKOFORM S70F-3-IN</t>
  </si>
  <si>
    <t>ANKOFORM SB A84CR-15-DE</t>
  </si>
  <si>
    <t>ANKOFORM SB A84CR-6-CN</t>
  </si>
  <si>
    <t>ANKOFORM SB A84CR-6-DE</t>
  </si>
  <si>
    <t>ANKOFORM SB A84CRS-6-DE</t>
  </si>
  <si>
    <t>ANKOFORM SB A89CR-2S-6-B-DE</t>
  </si>
  <si>
    <t>ANKOFORM SB A89CR-6-MX</t>
  </si>
  <si>
    <t>ANKOFORM SB A89CRS-15-IN</t>
  </si>
  <si>
    <t>ANKOFORM SB A89CRS-6-IN</t>
  </si>
  <si>
    <t>ANKOFORM SB A90CRS-16-AR</t>
  </si>
  <si>
    <t>ANKOFORM SB A92-4S-6-B-DE</t>
  </si>
  <si>
    <t>ANKOFORM SB A92CRS-15-DE</t>
  </si>
  <si>
    <t>ANKOFORM SB A92CRS-6-DE</t>
  </si>
  <si>
    <t>ANKOFORM SB A93-6-MX</t>
  </si>
  <si>
    <t>ANKOFORM SB A94-15-MX</t>
  </si>
  <si>
    <t>ANKOFORM SB A94-6-DE</t>
  </si>
  <si>
    <t>ANKOFORM SB A94S-15-BR</t>
  </si>
  <si>
    <t>ANKOFORM SB A94S-15-DE</t>
  </si>
  <si>
    <t>ANKOFORM SB A94S-16-AR</t>
  </si>
  <si>
    <t>ANKOFORM SB A95S-15-CN</t>
  </si>
  <si>
    <t>ANKOFORM SB A95S-15-DE</t>
  </si>
  <si>
    <t>ANKOFORM SB A95S-6-IN</t>
  </si>
  <si>
    <t>ANKOFORM SB B80-6-DE</t>
  </si>
  <si>
    <t>ANKOFORM SB B83S-5-IN</t>
  </si>
  <si>
    <t>ANKOFORM SB B83S-6-DE</t>
  </si>
  <si>
    <t>ANKOFORM SB B83S-6</t>
  </si>
  <si>
    <t>ANKOFORM SB B84-4S-6-B-DE</t>
  </si>
  <si>
    <t>ANKOFORM SB B84-6-MX</t>
  </si>
  <si>
    <t>ANKOFORM SB B84S-6-MX</t>
  </si>
  <si>
    <t>ANKOFORM SB B85S-6-CN</t>
  </si>
  <si>
    <t>ANKOFORM SB B85S-8-T-TP</t>
  </si>
  <si>
    <t>ANKOFORM SB F44-2S-6-B-DE</t>
  </si>
  <si>
    <t>ANKOFORM SB F48F-5-IN</t>
  </si>
  <si>
    <t>ANKOFORM SB F48S-5-IN</t>
  </si>
  <si>
    <t>ANKOFORM SB F53F-6-CN</t>
  </si>
  <si>
    <t>ANKOFORM SB F54-5SS-6-B-DE</t>
  </si>
  <si>
    <t>ANKOFORM SB FS97-3-DE</t>
  </si>
  <si>
    <t>Customized prefabricated shapes</t>
  </si>
  <si>
    <t>ANKOFORM SB FS97-3-IN</t>
  </si>
  <si>
    <t>ANKOFORM SB FS97F-3-U-TP</t>
  </si>
  <si>
    <t>ANKOFORM SB FS99-3-DE</t>
  </si>
  <si>
    <t>ANKOFORM SB FS99-3-IN</t>
  </si>
  <si>
    <t>ANKOFORM SB M62-5SS-6-B-DE</t>
  </si>
  <si>
    <t>ANKOFORM SB M62-6-DE</t>
  </si>
  <si>
    <t>ANKOFORM SB M62-6-MS</t>
  </si>
  <si>
    <t>ANKOFORM SB M62-6-U-TP</t>
  </si>
  <si>
    <t>ANKOFORM SB M64F-15-IN</t>
  </si>
  <si>
    <t>ANKOFORM SB M64S-5-MX</t>
  </si>
  <si>
    <t>ANKOFORM TB010-DE</t>
  </si>
  <si>
    <t>ANKOFORM TB011-DE</t>
  </si>
  <si>
    <t>ANKOFORM TB019-DE</t>
  </si>
  <si>
    <t>ANKOFORM TB020-DE</t>
  </si>
  <si>
    <t>ANKOFORM TB025-BR</t>
  </si>
  <si>
    <t>ANKOFORM TB032-6-DE</t>
  </si>
  <si>
    <t>ANKOFORM ZM23-6-DE</t>
  </si>
  <si>
    <t>ANKOFORM ZM29F-GS</t>
  </si>
  <si>
    <t>ANKOFORM ZM33F-3-DE</t>
  </si>
  <si>
    <t>ANKOFORM ZS60F-3-DE</t>
  </si>
  <si>
    <t>CARSITAL 90F-3-IN</t>
  </si>
  <si>
    <t>CARSITAL B08RS-10-BR</t>
  </si>
  <si>
    <t>CARSITAL B14S-19-BR</t>
  </si>
  <si>
    <t>CARSITAL B14S-19-MX</t>
  </si>
  <si>
    <t>CARSITAL B15-6-BR</t>
  </si>
  <si>
    <t>CARSITAL F07-5-BR</t>
  </si>
  <si>
    <t>CARSITAL K18CS-19-BR</t>
  </si>
  <si>
    <t>CARSITAL K22C-8-BR</t>
  </si>
  <si>
    <t>CARSITAL K23C-16-AR</t>
  </si>
  <si>
    <t>CARSITAL K31C-19-BR</t>
  </si>
  <si>
    <t>CARSITAL K35CS-19-BR</t>
  </si>
  <si>
    <t>CARSITAL M10-6-DE</t>
  </si>
  <si>
    <t>CARSITAL M14S-19-BR</t>
  </si>
  <si>
    <t>CARSITAL M14S-19-RE-BR</t>
  </si>
  <si>
    <t>CARSITAL M25-6-DE</t>
  </si>
  <si>
    <t>CARSITAL M60-3-DE</t>
  </si>
  <si>
    <t>CARSITAL MB A10-15-DE</t>
  </si>
  <si>
    <t>CARSITAL RE-B14S-19-BR</t>
  </si>
  <si>
    <t>CARSITAL SB 79-3-DE</t>
  </si>
  <si>
    <t>CARSITAL SB A13S-19-BR</t>
  </si>
  <si>
    <t>CARSITAL SB K20C-8-BR</t>
  </si>
  <si>
    <t>CARSITAL SB M10-5-BR</t>
  </si>
  <si>
    <t>CARSITAL SB M10-5-IN</t>
  </si>
  <si>
    <t>CARSITAL SB S30S-6-DE</t>
  </si>
  <si>
    <t>CARSITAL SIC55W 0-6</t>
  </si>
  <si>
    <t>CARSITAL SIC85W 0-3</t>
  </si>
  <si>
    <t>COMPAC COKE-BLOCK-IN</t>
  </si>
  <si>
    <t>COMPAC COKE-BLOCK-W-DE</t>
  </si>
  <si>
    <t>COMPAC COKE-BLOCK-W-IN</t>
  </si>
  <si>
    <t>COMPAC COKE-BLOCK</t>
  </si>
  <si>
    <t>COMPAC COKE-DOOR-BR</t>
  </si>
  <si>
    <t>DELTEK D14H</t>
  </si>
  <si>
    <t>Flow control ISO</t>
  </si>
  <si>
    <t>DIDURITAL 110WAL-0-6</t>
  </si>
  <si>
    <t>DIDURITAL 120WAL 0-6</t>
  </si>
  <si>
    <t>DIDURITAL 130WAL 0-6</t>
  </si>
  <si>
    <t>DIDURITAL 140WAL 0-6</t>
  </si>
  <si>
    <t>DIDURITAL B89AL-6</t>
  </si>
  <si>
    <t>DIDURITAL RK29-6</t>
  </si>
  <si>
    <t>DIDURITAL SB E-A94-6-US</t>
  </si>
  <si>
    <t>DIDURITAL SB M62-6</t>
  </si>
  <si>
    <t>DIDURITAL V013 0-1</t>
  </si>
  <si>
    <t>DIPERMAL 120WAL</t>
  </si>
  <si>
    <t>DIPERMAL A91-SEG-J-IN</t>
  </si>
  <si>
    <t>FONDAL SXW</t>
  </si>
  <si>
    <t>KORBLOC 70</t>
  </si>
  <si>
    <t>KORBLOC 80-BT</t>
  </si>
  <si>
    <t>KORBLOC 80-LAR-01</t>
  </si>
  <si>
    <t>KORBLOC 85-LAR-04</t>
  </si>
  <si>
    <t>KORBLOC 90-FE</t>
  </si>
  <si>
    <t>KORBLOC 90-HR-FM</t>
  </si>
  <si>
    <t>KORBLOC 90-TFC</t>
  </si>
  <si>
    <t>null, Reheat furnaces, Pelletizing furnace, Furnaces of ceramic industries, RH/DH units</t>
  </si>
  <si>
    <t>KORBLOC FEA-10</t>
  </si>
  <si>
    <t>LEGRITAL 125-0,9-4-IN</t>
  </si>
  <si>
    <t>LEGRITAL 125-1,0-03-J-IN</t>
  </si>
  <si>
    <t>null, for use as Pretap Plug in the converter</t>
  </si>
  <si>
    <t>LEGRITAL 135-1,3-5-DE</t>
  </si>
  <si>
    <t>LEGRITAL 135-1,3F-GS</t>
  </si>
  <si>
    <t>LEGRITAL 137-1,7-5-IN</t>
  </si>
  <si>
    <t>LEGRITAL 140-1,8F-GS</t>
  </si>
  <si>
    <t>LEGRITAL 180-1,4-3-DE</t>
  </si>
  <si>
    <t>LEGRITAL 180-1,4-3-MS</t>
  </si>
  <si>
    <t>LEGRITAL 180-1,4F-3-DE</t>
  </si>
  <si>
    <t>LEGRITAL 180-1,8-6-BR</t>
  </si>
  <si>
    <t>Casting/treatment ladle, Pelletizing furnace</t>
  </si>
  <si>
    <t>LEGRITAL SB 165-1,1-3-BR</t>
  </si>
  <si>
    <t>LEGRITAL SB 165-1,1-3-MX</t>
  </si>
  <si>
    <t>OXICAST A96-6-DE</t>
  </si>
  <si>
    <t>RUBINAL NP04-US</t>
  </si>
  <si>
    <t>RUBINAL VK 0-4</t>
  </si>
  <si>
    <t>SANIT 170DWLF 0-3</t>
  </si>
  <si>
    <t>SANIT 180LW 0-15</t>
  </si>
  <si>
    <t>SANIT 180MAW 0-15</t>
  </si>
  <si>
    <t>SANIT 180MAW 0-6 C</t>
  </si>
  <si>
    <t>SANIT 180MAW 0-6 V</t>
  </si>
  <si>
    <t>SANIT 180MAWF 0-6 V</t>
  </si>
  <si>
    <t>Casting/treatment ladle, Chem/petroch/oth.EEC, Cement, Lime, Aluminium</t>
  </si>
  <si>
    <t>SANIT 185MAW 0-15</t>
  </si>
  <si>
    <t>SANIT 185MAW 0-3 C</t>
  </si>
  <si>
    <t>SANIT 185MAW 0-3 M</t>
  </si>
  <si>
    <t>SANIT 185MAW 0-3 T</t>
  </si>
  <si>
    <t>SANIT 185MAW 0-3 V</t>
  </si>
  <si>
    <t>SANIT 185MAW 0-6 M</t>
  </si>
  <si>
    <t>SANIT 185MAW 0-6-BR</t>
  </si>
  <si>
    <t>SANIT 185MAW 0-6</t>
  </si>
  <si>
    <t>SANIT 185MAW FC 0-3</t>
  </si>
  <si>
    <t>SANIT 185MAW-3-MX</t>
  </si>
  <si>
    <t>SANIT 185MAWF 0-3-BR</t>
  </si>
  <si>
    <t>SANIT 185MAWF 0-3</t>
  </si>
  <si>
    <t>SANIT 539W 0-6</t>
  </si>
  <si>
    <t>SANIT D643 T3</t>
  </si>
  <si>
    <t>SANIT ROX A86R-3-DE</t>
  </si>
  <si>
    <t>SANIT ROX A96-6-DE</t>
  </si>
  <si>
    <t>SANIT ROX A96-6-IN</t>
  </si>
  <si>
    <t>SANIT SP9 T3</t>
  </si>
  <si>
    <t>Electric arc furnace, null, Copper, Nickel, Lead, Ferro alloys, Casting/treatment ladle</t>
  </si>
  <si>
    <t>SANIT SP9</t>
  </si>
  <si>
    <t>Electric arc furnace, null, Ferro alloys, Casting/treatment ladle, Copper, Nickel, Lead</t>
  </si>
  <si>
    <t>SANIT TC95</t>
  </si>
  <si>
    <t>SANIT V012</t>
  </si>
  <si>
    <t>SANIT V017 0-3</t>
  </si>
  <si>
    <t>SANIT V023 0-3</t>
  </si>
  <si>
    <t>SANIT V027 0-6</t>
  </si>
  <si>
    <t>SANIT V028 0-3</t>
  </si>
  <si>
    <t>SEDEKOR 90-ACS</t>
  </si>
  <si>
    <t>SEDEKOR 90-TFC-FM</t>
  </si>
  <si>
    <t>RH/DH units, Reheat furnaces, Furnaces of ceramic industries</t>
  </si>
  <si>
    <t>SEDEKOR 95-UHS-A</t>
  </si>
  <si>
    <t>URBLOCK 1850WS 0-15</t>
  </si>
  <si>
    <t>URBLOCK A95MAS-6-AR</t>
  </si>
  <si>
    <t>Purging plug with directed porosity</t>
  </si>
  <si>
    <t>URBLOCK V221 0-6 C</t>
  </si>
  <si>
    <t>URBLOCK V252-6</t>
  </si>
  <si>
    <t>URBLOCK V253-6</t>
  </si>
  <si>
    <t>URBLOCK V254-6-CN</t>
  </si>
  <si>
    <t>URBLOCK V254-6</t>
  </si>
  <si>
    <t>URBLOCK V255-6</t>
  </si>
  <si>
    <t>ANKERFILL 173-CN</t>
  </si>
  <si>
    <t>ANKERFILL 174-CN</t>
  </si>
  <si>
    <t>ANKERFILL FN10-CN</t>
  </si>
  <si>
    <t>ANKERFILL FN11-CN</t>
  </si>
  <si>
    <t>ANKERFILL SL-CN</t>
  </si>
  <si>
    <t>ANKERINDUX KN12-TR</t>
  </si>
  <si>
    <t>ANKERINDUX RB12-TR</t>
  </si>
  <si>
    <t>ANKERMIX CS15-CN</t>
  </si>
  <si>
    <t>ANKERMIX NP13-J-IN</t>
  </si>
  <si>
    <t>ANKERTAR FC01-AT</t>
  </si>
  <si>
    <t>ANKERTUN DSR10-BR</t>
  </si>
  <si>
    <t>ANKERTUN SG455-US</t>
  </si>
  <si>
    <t>JEBCO FILL D1</t>
  </si>
  <si>
    <t>JEBCO FILL D8</t>
  </si>
  <si>
    <t>JEBCO MORTAR D3</t>
  </si>
  <si>
    <t>JEBCO RAM B1</t>
  </si>
  <si>
    <t>JEBCO RAM D1</t>
  </si>
  <si>
    <t>JEBCO RAM D2-EU</t>
  </si>
  <si>
    <t>JEBCO RAM D2</t>
  </si>
  <si>
    <t>JEBCO RAM D3-EU</t>
  </si>
  <si>
    <t>JEBCO RAM DC2-EU</t>
  </si>
  <si>
    <t>JEBCO RAM DC2</t>
  </si>
  <si>
    <t>JEBCO RAM YDC2</t>
  </si>
  <si>
    <t>JEBCO REP DC1</t>
  </si>
  <si>
    <t>JEBCO REP DC2</t>
  </si>
  <si>
    <t>JEBCO REP DR1</t>
  </si>
  <si>
    <t>JEBCO SLAB D1</t>
  </si>
  <si>
    <t>PENTAFILL B</t>
  </si>
  <si>
    <t>PENTAMIX E</t>
  </si>
  <si>
    <t>PENTAMIX EL</t>
  </si>
  <si>
    <t>PENTARAM 4</t>
  </si>
  <si>
    <t>PENTARAM</t>
  </si>
  <si>
    <t>PERRAMIT DU55</t>
  </si>
  <si>
    <t>PERRAMIT DU68</t>
  </si>
  <si>
    <t>PERRAMIT DU72-CN</t>
  </si>
  <si>
    <t>Shape &amp; Brand</t>
  </si>
  <si>
    <t>Material Code</t>
  </si>
  <si>
    <t>14640x610x13PYROSTOP BLANKET 128/1260</t>
  </si>
  <si>
    <t>000000000009012817</t>
  </si>
  <si>
    <t>7320x610x25PYROSTOP BLANKET 128/1260</t>
  </si>
  <si>
    <t>000000000009012819</t>
  </si>
  <si>
    <t>ELEKTRODE 3,2X350 STSPECIAL ELECTRODE ST</t>
  </si>
  <si>
    <t>000000000009054281</t>
  </si>
  <si>
    <t>5500x610x6PYROSTOP BLANKET 128/1260</t>
  </si>
  <si>
    <t>000000000009012815</t>
  </si>
  <si>
    <t>HTH.8-160-310K</t>
  </si>
  <si>
    <t xml:space="preserve">AISI 310SS (1.4845) </t>
  </si>
  <si>
    <t xml:space="preserve">HTH.8-160-310KAISI 310SS (1.4845) </t>
  </si>
  <si>
    <t>000000000009010776</t>
  </si>
  <si>
    <t>HTH.8-190-310K</t>
  </si>
  <si>
    <t xml:space="preserve">HTH.8-190-310KAISI 310SS (1.4845) </t>
  </si>
  <si>
    <t>000000000009009612</t>
  </si>
  <si>
    <t>HTH.8-220-310K</t>
  </si>
  <si>
    <t xml:space="preserve">HTH.8-220-310KAISI 310SS (1.4845) </t>
  </si>
  <si>
    <t>000000000009039763</t>
  </si>
  <si>
    <t>H210X190X2</t>
  </si>
  <si>
    <t>ST 12</t>
  </si>
  <si>
    <t>H210X190X2ST 12</t>
  </si>
  <si>
    <t>000000000009016568</t>
  </si>
  <si>
    <t>HTH.8-120-310K</t>
  </si>
  <si>
    <t xml:space="preserve">HTH.8-120-310KAISI 310SS (1.4845) </t>
  </si>
  <si>
    <t>000000000009036089</t>
  </si>
  <si>
    <t>HTH.8-230-310K</t>
  </si>
  <si>
    <t xml:space="preserve">HTH.8-230-310KAISI 310SS (1.4845) </t>
  </si>
  <si>
    <t>000000000009005270</t>
  </si>
  <si>
    <t>TWM.8-220-310K</t>
  </si>
  <si>
    <t xml:space="preserve">TWM.8-220-310KAISI 310SS (1.4845) </t>
  </si>
  <si>
    <t>000000000009042228</t>
  </si>
  <si>
    <t>H100000X1000</t>
  </si>
  <si>
    <t>ALU-FOLIE</t>
  </si>
  <si>
    <t>H100000X1000ALU-FOLIE</t>
  </si>
  <si>
    <t>000000000009051539</t>
  </si>
  <si>
    <t>H50000x500x0,9</t>
  </si>
  <si>
    <t>GLASS FIBER CLOTH</t>
  </si>
  <si>
    <t>H50000x500x0,9GLASS FIBER CLOTH</t>
  </si>
  <si>
    <t>000000000009070365</t>
  </si>
  <si>
    <t>MF300x300x200</t>
  </si>
  <si>
    <t>KONTIBLOCK 120/1600 AC</t>
  </si>
  <si>
    <t>MF300x300x200KONTIBLOCK 120/1600 AC</t>
  </si>
  <si>
    <t>000000000009013548</t>
  </si>
  <si>
    <t>MF300x300x250</t>
  </si>
  <si>
    <t>MF300x300x250KONTIBLOCK 120/1600 AC</t>
  </si>
  <si>
    <t>000000000009013549</t>
  </si>
  <si>
    <t>MF300x300x270</t>
  </si>
  <si>
    <t>MF300x300x270KONTIBLOCK 120/1600 AC</t>
  </si>
  <si>
    <t>000000000009013551</t>
  </si>
  <si>
    <t>MF300x300x300</t>
  </si>
  <si>
    <t>MF300x300x300KONTIBLOCK 120/1600 AC</t>
  </si>
  <si>
    <t>000000000009013547</t>
  </si>
  <si>
    <t>MF300x300x350</t>
  </si>
  <si>
    <t>MF300x300x350KONTIBLOCK 120/1600 AC</t>
  </si>
  <si>
    <t>000000000009013550</t>
  </si>
  <si>
    <t>KONTIBLOCK 120/1600 AO</t>
  </si>
  <si>
    <t>MF300x300x200KONTIBLOCK 120/1600 AO</t>
  </si>
  <si>
    <t>000000000009013538</t>
  </si>
  <si>
    <t>MF300x300x250KONTIBLOCK 120/1600 AO</t>
  </si>
  <si>
    <t>000000000009013539</t>
  </si>
  <si>
    <t>MF300x300x270KONTIBLOCK 120/1600 AO</t>
  </si>
  <si>
    <t>000000000009013541</t>
  </si>
  <si>
    <t>MF300x300x300KONTIBLOCK 120/1600 AO</t>
  </si>
  <si>
    <t>000000000009013537</t>
  </si>
  <si>
    <t>MF300x300x350KONTIBLOCK 120/1600 AO</t>
  </si>
  <si>
    <t>000000000009013540</t>
  </si>
  <si>
    <t>KONTIBLOCK 120/1600 AP</t>
  </si>
  <si>
    <t>MF300x300x200KONTIBLOCK 120/1600 AP</t>
  </si>
  <si>
    <t>000000000009013533</t>
  </si>
  <si>
    <t>MF300x300x250KONTIBLOCK 120/1600 AP</t>
  </si>
  <si>
    <t>000000000009013534</t>
  </si>
  <si>
    <t>MF300x300x270KONTIBLOCK 120/1600 AP</t>
  </si>
  <si>
    <t>000000000009013536</t>
  </si>
  <si>
    <t>MF300x300x300KONTIBLOCK 120/1600 AP</t>
  </si>
  <si>
    <t>000000000009013532</t>
  </si>
  <si>
    <t>MF300x300x350KONTIBLOCK 120/1600 AP</t>
  </si>
  <si>
    <t>000000000009013535</t>
  </si>
  <si>
    <t>KONTIBLOCK 120/1600 AS</t>
  </si>
  <si>
    <t>MF300x300x200KONTIBLOCK 120/1600 AS</t>
  </si>
  <si>
    <t>000000000009013543</t>
  </si>
  <si>
    <t>MF300x300x250KONTIBLOCK 120/1600 AS</t>
  </si>
  <si>
    <t>000000000009013544</t>
  </si>
  <si>
    <t>MF300x300x270KONTIBLOCK 120/1600 AS</t>
  </si>
  <si>
    <t>000000000009013546</t>
  </si>
  <si>
    <t>MF300x300x300KONTIBLOCK 120/1600 AS</t>
  </si>
  <si>
    <t>000000000009013542</t>
  </si>
  <si>
    <t>MF300x300x350KONTIBLOCK 120/1600 AS</t>
  </si>
  <si>
    <t>000000000009013545</t>
  </si>
  <si>
    <t>KONTIBLOCK 160/1100 AC</t>
  </si>
  <si>
    <t>MF300x300x200KONTIBLOCK 160/1100 AC</t>
  </si>
  <si>
    <t>000000000009013528</t>
  </si>
  <si>
    <t>MF300x300x250KONTIBLOCK 160/1100 AC</t>
  </si>
  <si>
    <t>000000000009013529</t>
  </si>
  <si>
    <t>MF300x300x270KONTIBLOCK 160/1100 AC</t>
  </si>
  <si>
    <t>000000000009013531</t>
  </si>
  <si>
    <t>MF300x300x300KONTIBLOCK 160/1100 AC</t>
  </si>
  <si>
    <t>000000000009013527</t>
  </si>
  <si>
    <t>MF300x300x350KONTIBLOCK 160/1100 AC</t>
  </si>
  <si>
    <t>000000000009013530</t>
  </si>
  <si>
    <t>KONTIBLOCK 160/1100 AO</t>
  </si>
  <si>
    <t>MF300x300x200KONTIBLOCK 160/1100 AO</t>
  </si>
  <si>
    <t>000000000009013518</t>
  </si>
  <si>
    <t>MF300x300x250KONTIBLOCK 160/1100 AO</t>
  </si>
  <si>
    <t>000000000009013519</t>
  </si>
  <si>
    <t>MF300x300x270KONTIBLOCK 160/1100 AO</t>
  </si>
  <si>
    <t>000000000009013521</t>
  </si>
  <si>
    <t>MF300x300x300KONTIBLOCK 160/1100 AO</t>
  </si>
  <si>
    <t>000000000009013517</t>
  </si>
  <si>
    <t>MF300x300x350KONTIBLOCK 160/1100 AO</t>
  </si>
  <si>
    <t>000000000009013520</t>
  </si>
  <si>
    <t>KONTIBLOCK 160/1100 AP</t>
  </si>
  <si>
    <t>MF300x300x200KONTIBLOCK 160/1100 AP</t>
  </si>
  <si>
    <t>000000000009013513</t>
  </si>
  <si>
    <t>MF300x300x250KONTIBLOCK 160/1100 AP</t>
  </si>
  <si>
    <t>000000000009013514</t>
  </si>
  <si>
    <t>MF300x300x270KONTIBLOCK 160/1100 AP</t>
  </si>
  <si>
    <t>000000000009013516</t>
  </si>
  <si>
    <t>MF300x300x300KONTIBLOCK 160/1100 AP</t>
  </si>
  <si>
    <t>000000000009013512</t>
  </si>
  <si>
    <t>MF300x300x350KONTIBLOCK 160/1100 AP</t>
  </si>
  <si>
    <t>000000000009013515</t>
  </si>
  <si>
    <t>KONTIBLOCK 160/1100 AS</t>
  </si>
  <si>
    <t>MF300x300x200KONTIBLOCK 160/1100 AS</t>
  </si>
  <si>
    <t>000000000009013523</t>
  </si>
  <si>
    <t>MF300x300x250KONTIBLOCK 160/1100 AS</t>
  </si>
  <si>
    <t>000000000009013524</t>
  </si>
  <si>
    <t>MF300x300x270KONTIBLOCK 160/1100 AS</t>
  </si>
  <si>
    <t>000000000009013526</t>
  </si>
  <si>
    <t>MF300x300x300KONTIBLOCK 160/1100 AS</t>
  </si>
  <si>
    <t>000000000009013522</t>
  </si>
  <si>
    <t>MF300x300x350KONTIBLOCK 160/1100 AS</t>
  </si>
  <si>
    <t>000000000009013525</t>
  </si>
  <si>
    <t>MF300x300x150</t>
  </si>
  <si>
    <t>KONTIBLOCK 160/1260 AC</t>
  </si>
  <si>
    <t>MF300x300x150KONTIBLOCK 160/1260 AC</t>
  </si>
  <si>
    <t>000000000009019154</t>
  </si>
  <si>
    <t>MF300x300x200KONTIBLOCK 160/1260 AC</t>
  </si>
  <si>
    <t>000000000009013563</t>
  </si>
  <si>
    <t>MF300x300x250KONTIBLOCK 160/1260 AC</t>
  </si>
  <si>
    <t>000000000009013251</t>
  </si>
  <si>
    <t>MF300x300x270KONTIBLOCK 160/1260 AC</t>
  </si>
  <si>
    <t>000000000009013250</t>
  </si>
  <si>
    <t>MF300x300x300KONTIBLOCK 160/1260 AC</t>
  </si>
  <si>
    <t>000000000009013562</t>
  </si>
  <si>
    <t>MF300x300x350KONTIBLOCK 160/1260 AC</t>
  </si>
  <si>
    <t>000000000009013564</t>
  </si>
  <si>
    <t>KONTIBLOCK 160/1260 AO</t>
  </si>
  <si>
    <t>MF300x300x200KONTIBLOCK 160/1260 AO</t>
  </si>
  <si>
    <t>000000000009013555</t>
  </si>
  <si>
    <t>MF300x300x250KONTIBLOCK 160/1260 AO</t>
  </si>
  <si>
    <t>000000000009013556</t>
  </si>
  <si>
    <t>MF300x300x270KONTIBLOCK 160/1260 AO</t>
  </si>
  <si>
    <t>000000000009013558</t>
  </si>
  <si>
    <t>MF300x300x300KONTIBLOCK 160/1260 AO</t>
  </si>
  <si>
    <t>000000000009013554</t>
  </si>
  <si>
    <t>MF300x300x350KONTIBLOCK 160/1260 AO</t>
  </si>
  <si>
    <t>000000000009013557</t>
  </si>
  <si>
    <t>KONTIBLOCK 160/1260 AP</t>
  </si>
  <si>
    <t>MF300x300x200KONTIBLOCK 160/1260 AP</t>
  </si>
  <si>
    <t>000000000009013239</t>
  </si>
  <si>
    <t>MF300x300x205</t>
  </si>
  <si>
    <t>MF300x300x205KONTIBLOCK 160/1260 AP</t>
  </si>
  <si>
    <t>MF300x300x250KONTIBLOCK 160/1260 AP</t>
  </si>
  <si>
    <t>000000000009013294</t>
  </si>
  <si>
    <t>MF300x300x270KONTIBLOCK 160/1260 AP</t>
  </si>
  <si>
    <t>000000000009013292</t>
  </si>
  <si>
    <t>MF300x300x275</t>
  </si>
  <si>
    <t>MF300x300x275KONTIBLOCK 160/1260 AP</t>
  </si>
  <si>
    <t>000000000009013240</t>
  </si>
  <si>
    <t>MF300x300x300KONTIBLOCK 160/1260 AP</t>
  </si>
  <si>
    <t>000000000009013552</t>
  </si>
  <si>
    <t>MF300x300x350KONTIBLOCK 160/1260 AP</t>
  </si>
  <si>
    <t>000000000009013553</t>
  </si>
  <si>
    <t>KONTIBLOCK 160/1260 AS</t>
  </si>
  <si>
    <t>MF300x300x200KONTIBLOCK 160/1260 AS</t>
  </si>
  <si>
    <t>000000000009013560</t>
  </si>
  <si>
    <t>MF300x300x250KONTIBLOCK 160/1260 AS</t>
  </si>
  <si>
    <t>000000000009012569</t>
  </si>
  <si>
    <t>MF300x300x270KONTIBLOCK 160/1260 AS</t>
  </si>
  <si>
    <t>000000000009012566</t>
  </si>
  <si>
    <t>MF300x400x200</t>
  </si>
  <si>
    <t>MF300x400x200KONTIBLOCK 160/1260 AS</t>
  </si>
  <si>
    <t>000000000009013467</t>
  </si>
  <si>
    <t>MF300x300x300KONTIBLOCK 160/1260 AS</t>
  </si>
  <si>
    <t>000000000009013559</t>
  </si>
  <si>
    <t>MF300x300x350KONTIBLOCK 160/1260 AS</t>
  </si>
  <si>
    <t>000000000009013561</t>
  </si>
  <si>
    <t>KONTIBLOCK 160/1430 AC</t>
  </si>
  <si>
    <t>MF300x300x200KONTIBLOCK 160/1430 AC</t>
  </si>
  <si>
    <t>000000000009013576</t>
  </si>
  <si>
    <t>MF300x300x250KONTIBLOCK 160/1430 AC</t>
  </si>
  <si>
    <t>000000000009013577</t>
  </si>
  <si>
    <t>MF300x300x270KONTIBLOCK 160/1430 AC</t>
  </si>
  <si>
    <t>000000000009013579</t>
  </si>
  <si>
    <t>MF300x300x300KONTIBLOCK 160/1430 AC</t>
  </si>
  <si>
    <t>000000000009013575</t>
  </si>
  <si>
    <t>MF300x300x350KONTIBLOCK 160/1430 AC</t>
  </si>
  <si>
    <t>000000000009013578</t>
  </si>
  <si>
    <t>KONTIBLOCK 160/1430 AO</t>
  </si>
  <si>
    <t>MF300x300x200KONTIBLOCK 160/1430 AO</t>
  </si>
  <si>
    <t>000000000009011128</t>
  </si>
  <si>
    <t>MF300x300x250KONTIBLOCK 160/1430 AO</t>
  </si>
  <si>
    <t>000000000009013569</t>
  </si>
  <si>
    <t>MF300x300x270KONTIBLOCK 160/1430 AO</t>
  </si>
  <si>
    <t>000000000009013571</t>
  </si>
  <si>
    <t>MF300x300x300KONTIBLOCK 160/1430 AO</t>
  </si>
  <si>
    <t>000000000009013568</t>
  </si>
  <si>
    <t>MF300x300x350KONTIBLOCK 160/1430 AO</t>
  </si>
  <si>
    <t>000000000009013570</t>
  </si>
  <si>
    <t>KONTIBLOCK 160/1430 AP</t>
  </si>
  <si>
    <t>MF300x300x200KONTIBLOCK 160/1430 AP</t>
  </si>
  <si>
    <t>000000000009011795</t>
  </si>
  <si>
    <t>MF300x300x250KONTIBLOCK 160/1430 AP</t>
  </si>
  <si>
    <t>000000000009013566</t>
  </si>
  <si>
    <t>MF300x300x270KONTIBLOCK 160/1430 AP</t>
  </si>
  <si>
    <t>000000000009013372</t>
  </si>
  <si>
    <t>MF300x300x300KONTIBLOCK 160/1430 AP</t>
  </si>
  <si>
    <t>000000000009013565</t>
  </si>
  <si>
    <t>MF300x300x350KONTIBLOCK 160/1430 AP</t>
  </si>
  <si>
    <t>000000000009013567</t>
  </si>
  <si>
    <t>KONTIBLOCK 160/1430 AS</t>
  </si>
  <si>
    <t>MF300x300x200KONTIBLOCK 160/1430 AS</t>
  </si>
  <si>
    <t>000000000009013573</t>
  </si>
  <si>
    <t>MF300x300x250KONTIBLOCK 160/1430 AS</t>
  </si>
  <si>
    <t>000000000009013574</t>
  </si>
  <si>
    <t>MF300x300x270KONTIBLOCK 160/1430 AS</t>
  </si>
  <si>
    <t>MF300x300x300KONTIBLOCK 160/1430 AS</t>
  </si>
  <si>
    <t>000000000009013572</t>
  </si>
  <si>
    <t>MF300x300x350KONTIBLOCK 160/1430 AS</t>
  </si>
  <si>
    <t>KONTIBLOCK 190/1260 AC</t>
  </si>
  <si>
    <t>MF300x300x200KONTIBLOCK 190/1260 AC</t>
  </si>
  <si>
    <t>000000000009013596</t>
  </si>
  <si>
    <t>MF300x300x250KONTIBLOCK 190/1260 AC</t>
  </si>
  <si>
    <t>000000000009013597</t>
  </si>
  <si>
    <t>MF300x300x270KONTIBLOCK 190/1260 AC</t>
  </si>
  <si>
    <t>000000000009013599</t>
  </si>
  <si>
    <t>MF300x300x300KONTIBLOCK 190/1260 AC</t>
  </si>
  <si>
    <t>000000000009013595</t>
  </si>
  <si>
    <t>MF300x300x350KONTIBLOCK 190/1260 AC</t>
  </si>
  <si>
    <t>000000000009013598</t>
  </si>
  <si>
    <t>KONTIBLOCK 190/1260 AO</t>
  </si>
  <si>
    <t>MF300x300x200KONTIBLOCK 190/1260 AO</t>
  </si>
  <si>
    <t>000000000009013586</t>
  </si>
  <si>
    <t>MF300x300x250KONTIBLOCK 190/1260 AO</t>
  </si>
  <si>
    <t>000000000009013587</t>
  </si>
  <si>
    <t>MF300x300x270KONTIBLOCK 190/1260 AO</t>
  </si>
  <si>
    <t>000000000009013589</t>
  </si>
  <si>
    <t>MF300x300x300KONTIBLOCK 190/1260 AO</t>
  </si>
  <si>
    <t>000000000009013585</t>
  </si>
  <si>
    <t>MF300x300x350KONTIBLOCK 190/1260 AO</t>
  </si>
  <si>
    <t>000000000009013588</t>
  </si>
  <si>
    <t>KONTIBLOCK 190/1260 AP</t>
  </si>
  <si>
    <t>MF300x300x200KONTIBLOCK 190/1260 AP</t>
  </si>
  <si>
    <t>000000000009013581</t>
  </si>
  <si>
    <t>MF300x300x250KONTIBLOCK 190/1260 AP</t>
  </si>
  <si>
    <t>000000000009013582</t>
  </si>
  <si>
    <t>MF300x300x270KONTIBLOCK 190/1260 AP</t>
  </si>
  <si>
    <t>000000000009013584</t>
  </si>
  <si>
    <t>MF300x300x300KONTIBLOCK 190/1260 AP</t>
  </si>
  <si>
    <t>000000000009013580</t>
  </si>
  <si>
    <t>MF300x300x350KONTIBLOCK 190/1260 AP</t>
  </si>
  <si>
    <t>000000000009013583</t>
  </si>
  <si>
    <t>KONTIBLOCK 190/1260 AS</t>
  </si>
  <si>
    <t>MF300x300x200KONTIBLOCK 190/1260 AS</t>
  </si>
  <si>
    <t>000000000009013591</t>
  </si>
  <si>
    <t>MF300x300x250KONTIBLOCK 190/1260 AS</t>
  </si>
  <si>
    <t>000000000009013592</t>
  </si>
  <si>
    <t>MF300x300x270KONTIBLOCK 190/1260 AS</t>
  </si>
  <si>
    <t>000000000009013594</t>
  </si>
  <si>
    <t>MF300x300x300KONTIBLOCK 190/1260 AS</t>
  </si>
  <si>
    <t>000000000009013590</t>
  </si>
  <si>
    <t>MF300x300x350KONTIBLOCK 190/1260 AS</t>
  </si>
  <si>
    <t>000000000009013593</t>
  </si>
  <si>
    <t>KONTIBLOCK 190/1430 AC</t>
  </si>
  <si>
    <t>MF300x300x200KONTIBLOCK 190/1430 AC</t>
  </si>
  <si>
    <t>000000000009013508</t>
  </si>
  <si>
    <t>MF300x300x250KONTIBLOCK 190/1430 AC</t>
  </si>
  <si>
    <t>000000000009013509</t>
  </si>
  <si>
    <t>MF300x300x270KONTIBLOCK 190/1430 AC</t>
  </si>
  <si>
    <t>000000000009013510</t>
  </si>
  <si>
    <t>MF300x300x300KONTIBLOCK 190/1430 AC</t>
  </si>
  <si>
    <t>000000000009013507</t>
  </si>
  <si>
    <t>MF300x300x320</t>
  </si>
  <si>
    <t>MF300x300x320KONTIBLOCK 190/1430 AC</t>
  </si>
  <si>
    <t>000000000009018642</t>
  </si>
  <si>
    <t>MF300x300x350KONTIBLOCK 190/1430 AC</t>
  </si>
  <si>
    <t>000000000009013511</t>
  </si>
  <si>
    <t>KONTIBLOCK 190/1430 AO</t>
  </si>
  <si>
    <t>MF300x300x200KONTIBLOCK 190/1430 AO</t>
  </si>
  <si>
    <t>000000000009013488</t>
  </si>
  <si>
    <t>MF300x300x250KONTIBLOCK 190/1430 AO</t>
  </si>
  <si>
    <t>000000000009013489</t>
  </si>
  <si>
    <t>MF300x300x270KONTIBLOCK 190/1430 AO</t>
  </si>
  <si>
    <t>000000000009013501</t>
  </si>
  <si>
    <t>MF300x300x300KONTIBLOCK 190/1430 AO</t>
  </si>
  <si>
    <t>000000000009013487</t>
  </si>
  <si>
    <t>MF300x300x350KONTIBLOCK 190/1430 AO</t>
  </si>
  <si>
    <t>000000000009013500</t>
  </si>
  <si>
    <t>KONTIBLOCK 190/1430 AP</t>
  </si>
  <si>
    <t>MF300x300x200KONTIBLOCK 190/1430 AP</t>
  </si>
  <si>
    <t>000000000009013483</t>
  </si>
  <si>
    <t>MF300x300x250KONTIBLOCK 190/1430 AP</t>
  </si>
  <si>
    <t>000000000009013484</t>
  </si>
  <si>
    <t>MF300x300x270KONTIBLOCK 190/1430 AP</t>
  </si>
  <si>
    <t>000000000009013486</t>
  </si>
  <si>
    <t>MF300x300x300KONTIBLOCK 190/1430 AP</t>
  </si>
  <si>
    <t>000000000009013482</t>
  </si>
  <si>
    <t>MF300x300x350KONTIBLOCK 190/1430 AP</t>
  </si>
  <si>
    <t>000000000009013485</t>
  </si>
  <si>
    <t>KONTIBLOCK 190/1430 AS</t>
  </si>
  <si>
    <t>MF300x300x200KONTIBLOCK 190/1430 AS</t>
  </si>
  <si>
    <t>000000000009013503</t>
  </si>
  <si>
    <t>MF300x300x250KONTIBLOCK 190/1430 AS</t>
  </si>
  <si>
    <t>000000000009013504</t>
  </si>
  <si>
    <t>MF300x300x270KONTIBLOCK 190/1430 AS</t>
  </si>
  <si>
    <t>000000000009013506</t>
  </si>
  <si>
    <t>MF300x300x300KONTIBLOCK 190/1430 AS</t>
  </si>
  <si>
    <t>000000000009013502</t>
  </si>
  <si>
    <t>MF300x300x350KONTIBLOCK 190/1430 AS</t>
  </si>
  <si>
    <t>000000000009013505</t>
  </si>
  <si>
    <t>H1220x1220x13</t>
  </si>
  <si>
    <t>H1220x1220x13MARINITE I</t>
  </si>
  <si>
    <t>000000000009042682</t>
  </si>
  <si>
    <t>H1220x1220x19</t>
  </si>
  <si>
    <t>H1220x1220x19MARINITE I</t>
  </si>
  <si>
    <t>000000000009014092</t>
  </si>
  <si>
    <t>H1220x1220x25</t>
  </si>
  <si>
    <t>H1220x1220x25MARINITE I</t>
  </si>
  <si>
    <t>000000000009013434</t>
  </si>
  <si>
    <t>H300x300x7</t>
  </si>
  <si>
    <t>MICROTHERM SUPER G</t>
  </si>
  <si>
    <t>H300x300x7MICROTHERM SUPER G</t>
  </si>
  <si>
    <t>000000000009013192</t>
  </si>
  <si>
    <t>H500x500x10</t>
  </si>
  <si>
    <t>H500x500x10MICROTHERM SUPER G</t>
  </si>
  <si>
    <t>000000000009014022</t>
  </si>
  <si>
    <t>H1000x500x15</t>
  </si>
  <si>
    <t>H1000x500x15MICROTHERM SUPER G</t>
  </si>
  <si>
    <t>000000000009014023</t>
  </si>
  <si>
    <t>H1250x500x30</t>
  </si>
  <si>
    <t>H1250x500x30MINWOL 100</t>
  </si>
  <si>
    <t>000000000009068203</t>
  </si>
  <si>
    <t>H1250x500x40</t>
  </si>
  <si>
    <t>H1250x500x40MINWOL 100</t>
  </si>
  <si>
    <t>000000000009066781</t>
  </si>
  <si>
    <t>H1250x500x30MINWOL 120</t>
  </si>
  <si>
    <t>000000000009072680</t>
  </si>
  <si>
    <t>H1250x500x50</t>
  </si>
  <si>
    <t>H1250x500x50MINWOL 120</t>
  </si>
  <si>
    <t>000000000009074070</t>
  </si>
  <si>
    <t>H1250x500x60</t>
  </si>
  <si>
    <t>H1250x500x60MINWOL 120</t>
  </si>
  <si>
    <t>000000000009068127</t>
  </si>
  <si>
    <t>H1250x500x30MINWOL 140</t>
  </si>
  <si>
    <t>000000000009073069</t>
  </si>
  <si>
    <t>H1250x500x40MINWOL 140</t>
  </si>
  <si>
    <t>000000000009059865</t>
  </si>
  <si>
    <t>H1250x500x50MINWOL 140</t>
  </si>
  <si>
    <t>000000000009064850</t>
  </si>
  <si>
    <t>H1250x500x60MINWOL 140</t>
  </si>
  <si>
    <t>000000000009059866</t>
  </si>
  <si>
    <t>H1250x500x80</t>
  </si>
  <si>
    <t>H1250x500x80MINWOL 140</t>
  </si>
  <si>
    <t>000000000009061769</t>
  </si>
  <si>
    <t>H1500x1220x13</t>
  </si>
  <si>
    <t>MONALITE M1</t>
  </si>
  <si>
    <t>H1500x1220x13MONALITE M1</t>
  </si>
  <si>
    <t>000000000009013108</t>
  </si>
  <si>
    <t>H1500x1220x19</t>
  </si>
  <si>
    <t>H1500x1220x19MONALITE M1</t>
  </si>
  <si>
    <t>000000000009013109</t>
  </si>
  <si>
    <t>H1500x1220x25</t>
  </si>
  <si>
    <t>H1500x1220x25MONALITE M1</t>
  </si>
  <si>
    <t>000000000009013110</t>
  </si>
  <si>
    <t>H1500x1220x31</t>
  </si>
  <si>
    <t>H1500x1220x31MONALITE M1</t>
  </si>
  <si>
    <t>000000000009013111</t>
  </si>
  <si>
    <t>H1500x1220x38</t>
  </si>
  <si>
    <t>H1500x1220x38MONALITE M1</t>
  </si>
  <si>
    <t>000000000009013112</t>
  </si>
  <si>
    <t>H1500x1220x50</t>
  </si>
  <si>
    <t>H1500x1220x50MONALITE M1</t>
  </si>
  <si>
    <t>000000000009013113</t>
  </si>
  <si>
    <t>H1500x1220x76</t>
  </si>
  <si>
    <t>H1500x1220x76MONALITE M1</t>
  </si>
  <si>
    <t>000000000009013114</t>
  </si>
  <si>
    <t>H1500x1220x100</t>
  </si>
  <si>
    <t>H1500x1220x100MONALITE M1</t>
  </si>
  <si>
    <t>000000000009013115</t>
  </si>
  <si>
    <t>MONOLUX 500</t>
  </si>
  <si>
    <t>H1220x1220x13MONOLUX 500</t>
  </si>
  <si>
    <t>000000000009013194</t>
  </si>
  <si>
    <t>H1220x1220x19MONOLUX 500</t>
  </si>
  <si>
    <t>000000000009013193</t>
  </si>
  <si>
    <t>H1220x1220x25MONOLUX 500</t>
  </si>
  <si>
    <t>000000000009013195</t>
  </si>
  <si>
    <t>H100000x1000x0,07</t>
  </si>
  <si>
    <t>ÖLPAPIER 1000</t>
  </si>
  <si>
    <t>H100000x1000x0,07ÖLPAPIER 1000</t>
  </si>
  <si>
    <t>000000000009002751</t>
  </si>
  <si>
    <t>H100000x1000x0,2</t>
  </si>
  <si>
    <t>H100000x1000x0,2ÖLPAPIER 1000</t>
  </si>
  <si>
    <t>000000000009069607</t>
  </si>
  <si>
    <t>H150000x1000x0,5 (china)</t>
  </si>
  <si>
    <t>H150000x1000x0,5 (china)ÖLPAPIER 1000</t>
  </si>
  <si>
    <t>000000000009079073</t>
  </si>
  <si>
    <t>H25000x1000x2</t>
  </si>
  <si>
    <t>PE-FOAM</t>
  </si>
  <si>
    <t>H25000x1000x2PE-FOAM</t>
  </si>
  <si>
    <t>000000000009081166</t>
  </si>
  <si>
    <t>H50000x1000x3</t>
  </si>
  <si>
    <t>H50000x1000x3PE-FOAM</t>
  </si>
  <si>
    <t>000000000009076357</t>
  </si>
  <si>
    <t>H2000X5000X0,1</t>
  </si>
  <si>
    <t>PE-Folie</t>
  </si>
  <si>
    <t>H2000X5000X0,1PE-Folie</t>
  </si>
  <si>
    <t>000000000009017473</t>
  </si>
  <si>
    <t>MF300x300x28</t>
  </si>
  <si>
    <t>MF300x300x28PREPAK 126</t>
  </si>
  <si>
    <t>000000000009011471</t>
  </si>
  <si>
    <t>MF300x300x38</t>
  </si>
  <si>
    <t>MF300x300x38PREPAK 126</t>
  </si>
  <si>
    <t>000000000009010012</t>
  </si>
  <si>
    <t>MF300x300x50</t>
  </si>
  <si>
    <t>MF300x300x50PREPAK 126</t>
  </si>
  <si>
    <t>000000000009011740</t>
  </si>
  <si>
    <t>MF300x300x75</t>
  </si>
  <si>
    <t>MF300x300x75PREPAK 126</t>
  </si>
  <si>
    <t>PREPAK 143</t>
  </si>
  <si>
    <t>MF300x300x38PREPAK 143</t>
  </si>
  <si>
    <t>000000000009013332</t>
  </si>
  <si>
    <t>MF300x300x40</t>
  </si>
  <si>
    <t>MF300x300x40PREPAK 143</t>
  </si>
  <si>
    <t>000000000009011801</t>
  </si>
  <si>
    <t>H900x600x20</t>
  </si>
  <si>
    <t>PV 900</t>
  </si>
  <si>
    <t>H900x600x20PV 900</t>
  </si>
  <si>
    <t>000000000009013181</t>
  </si>
  <si>
    <t>H900x600x25</t>
  </si>
  <si>
    <t>H900x600x25PV 900</t>
  </si>
  <si>
    <t>000000000009013182</t>
  </si>
  <si>
    <t>H900x600x30</t>
  </si>
  <si>
    <t>H900x600x30PV 900</t>
  </si>
  <si>
    <t>000000000009013183</t>
  </si>
  <si>
    <t>H900x600x40</t>
  </si>
  <si>
    <t>H900x600x40PV 900</t>
  </si>
  <si>
    <t>000000000009013184</t>
  </si>
  <si>
    <t>H900x600x50</t>
  </si>
  <si>
    <t>H900x600x50PV 900</t>
  </si>
  <si>
    <t>000000000009013185</t>
  </si>
  <si>
    <t>H900x600x60</t>
  </si>
  <si>
    <t>H900x600x60PV 900</t>
  </si>
  <si>
    <t>000000000009013186</t>
  </si>
  <si>
    <t>H900x600x70</t>
  </si>
  <si>
    <t>H900x600x70PV 900</t>
  </si>
  <si>
    <t>000000000009013187</t>
  </si>
  <si>
    <t>H900x600x75</t>
  </si>
  <si>
    <t>H900x600x75PV 900</t>
  </si>
  <si>
    <t>000000000009013188</t>
  </si>
  <si>
    <t>H900x600x80</t>
  </si>
  <si>
    <t>H900x600x80PV 900</t>
  </si>
  <si>
    <t>000000000009013189</t>
  </si>
  <si>
    <t>H900x600x90</t>
  </si>
  <si>
    <t>H900x600x90PV 900</t>
  </si>
  <si>
    <t>000000000009013190</t>
  </si>
  <si>
    <t>H900x600x100</t>
  </si>
  <si>
    <t>H900x600x100PV 900</t>
  </si>
  <si>
    <t>000000000009013191</t>
  </si>
  <si>
    <t>BAND30x40x2</t>
  </si>
  <si>
    <t>PYROSTOP BAND G</t>
  </si>
  <si>
    <t>BAND30x40x2PYROSTOP BAND G</t>
  </si>
  <si>
    <t>000000000009014516</t>
  </si>
  <si>
    <t>BAND20x40x2</t>
  </si>
  <si>
    <t>BAND20x40x2PYROSTOP BAND I</t>
  </si>
  <si>
    <t>000000000009013004</t>
  </si>
  <si>
    <t>BAND25x50x3</t>
  </si>
  <si>
    <t>BAND25x50x3PYROSTOP BAND I</t>
  </si>
  <si>
    <t>000000000009030904</t>
  </si>
  <si>
    <t>BAND10x75x5</t>
  </si>
  <si>
    <t>BAND10x75x5PYROSTOP BAND I</t>
  </si>
  <si>
    <t>000000000009028803</t>
  </si>
  <si>
    <t>H7200x620x13</t>
  </si>
  <si>
    <t>H7200x620x13PYROSTOP BLANKET 100/1600</t>
  </si>
  <si>
    <t>000000000009015083</t>
  </si>
  <si>
    <t>H7200x620x25</t>
  </si>
  <si>
    <t>H7200x620x25PYROSTOP BLANKET 100/1600</t>
  </si>
  <si>
    <t>000000000009018540</t>
  </si>
  <si>
    <t>H5500x610x6</t>
  </si>
  <si>
    <t>PYROSTOP BLANKET 128/1100</t>
  </si>
  <si>
    <t>H5500x610x6PYROSTOP BLANKET 128/1100</t>
  </si>
  <si>
    <t>000000000009012847</t>
  </si>
  <si>
    <t>H14640x610x13</t>
  </si>
  <si>
    <t>H14640x610x13PYROSTOP BLANKET 128/1100</t>
  </si>
  <si>
    <t>000000000009012849</t>
  </si>
  <si>
    <t>H9760x610x19</t>
  </si>
  <si>
    <t>H9760x610x19PYROSTOP BLANKET 128/1100</t>
  </si>
  <si>
    <t>000000000009012850</t>
  </si>
  <si>
    <t>H7320x610x25</t>
  </si>
  <si>
    <t>H7320x610x25PYROSTOP BLANKET 128/1100</t>
  </si>
  <si>
    <t>000000000009012851</t>
  </si>
  <si>
    <t>H4880x610x38</t>
  </si>
  <si>
    <t>H4880x610x38PYROSTOP BLANKET 128/1100</t>
  </si>
  <si>
    <t>000000000009012852</t>
  </si>
  <si>
    <t>H3660x610x50</t>
  </si>
  <si>
    <t>H3660x610x50PYROSTOP BLANKET 128/1100</t>
  </si>
  <si>
    <t>000000000009012853</t>
  </si>
  <si>
    <t>H5500x610x6PYROSTOP BLANKET 128/1260</t>
  </si>
  <si>
    <t>H14640x610x13PYROSTOP BLANKET 128/1260</t>
  </si>
  <si>
    <t>H9760x610x19PYROSTOP BLANKET 128/1260</t>
  </si>
  <si>
    <t>000000000009012818</t>
  </si>
  <si>
    <t>H7320x610x25PYROSTOP BLANKET 128/1260</t>
  </si>
  <si>
    <t>H4880x610x38PYROSTOP BLANKET 128/1260</t>
  </si>
  <si>
    <t>000000000009012820</t>
  </si>
  <si>
    <t>H3660x610x50PYROSTOP BLANKET 128/1260</t>
  </si>
  <si>
    <t>000000000009012821</t>
  </si>
  <si>
    <t>H28000x610x6</t>
  </si>
  <si>
    <t>H28000x610x6PYROSTOP BLANKET 128/1260 GS</t>
  </si>
  <si>
    <t>000000000009100876</t>
  </si>
  <si>
    <t>H14640x610x13PYROSTOP BLANKET 128/1260 GS</t>
  </si>
  <si>
    <t>000000000009069839</t>
  </si>
  <si>
    <t>H9760x610x19PYROSTOP BLANKET 128/1260 GS</t>
  </si>
  <si>
    <t>000000000009074419</t>
  </si>
  <si>
    <t>H7320x610x25PYROSTOP BLANKET 128/1260 GS</t>
  </si>
  <si>
    <t>000000000009070071</t>
  </si>
  <si>
    <t>H3660x610x50PYROSTOP BLANKET 128/1260 GS</t>
  </si>
  <si>
    <t>000000000009081525</t>
  </si>
  <si>
    <t>H21960x610x6</t>
  </si>
  <si>
    <t>H21960x610x6PYROSTOP BLANKET 128/1430</t>
  </si>
  <si>
    <t>000000000009046228</t>
  </si>
  <si>
    <t>H14640x610x13PYROSTOP BLANKET 128/1430</t>
  </si>
  <si>
    <t>000000000009012827</t>
  </si>
  <si>
    <t>H9760x610x19PYROSTOP BLANKET 128/1430</t>
  </si>
  <si>
    <t>000000000009012828</t>
  </si>
  <si>
    <t>H7320x610x25PYROSTOP BLANKET 128/1430</t>
  </si>
  <si>
    <t>000000000009012829</t>
  </si>
  <si>
    <t>H4880x610x38PYROSTOP BLANKET 128/1430</t>
  </si>
  <si>
    <t>000000000009012830</t>
  </si>
  <si>
    <t>H3660x610x50PYROSTOP BLANKET 128/1430</t>
  </si>
  <si>
    <t>000000000009012831</t>
  </si>
  <si>
    <t>H14640x610x13PYROSTOP BLANKET 128/1430 GS</t>
  </si>
  <si>
    <t>000000000009059233</t>
  </si>
  <si>
    <t>H9760x610x19PYROSTOP BLANKET 128/1430 GS</t>
  </si>
  <si>
    <t>000000000009069991</t>
  </si>
  <si>
    <t>H7320x610x25PYROSTOP BLANKET 128/1430 GS</t>
  </si>
  <si>
    <t>000000000009064167</t>
  </si>
  <si>
    <t>H3660x610x50PYROSTOP BLANKET 128/1430 GS</t>
  </si>
  <si>
    <t>000000000009077095</t>
  </si>
  <si>
    <t>H14640x610x13PYROSTOP BLANKET 160/1100</t>
  </si>
  <si>
    <t>000000000009012854</t>
  </si>
  <si>
    <t>H7320x610x25PYROSTOP BLANKET 160/1100</t>
  </si>
  <si>
    <t>000000000009012855</t>
  </si>
  <si>
    <t>H4880x610x38PYROSTOP BLANKET 160/1100</t>
  </si>
  <si>
    <t>000000000009012856</t>
  </si>
  <si>
    <t>H14640x610x13PYROSTOP BLANKET 160/1260</t>
  </si>
  <si>
    <t>000000000009012857</t>
  </si>
  <si>
    <t>H7320x610x25PYROSTOP BLANKET 160/1260</t>
  </si>
  <si>
    <t>000000000009012858</t>
  </si>
  <si>
    <t>H4880x610x38PYROSTOP BLANKET 160/1260</t>
  </si>
  <si>
    <t>000000000009012859</t>
  </si>
  <si>
    <t>H7320x610x25PYROSTOP BLANKET 160/1260 GS</t>
  </si>
  <si>
    <t>000000000009070857</t>
  </si>
  <si>
    <t>H21960x610x6PYROSTOP BLANKET 160/1430</t>
  </si>
  <si>
    <t>000000000009041880</t>
  </si>
  <si>
    <t>H14640x610x13PYROSTOP BLANKET 160/1430</t>
  </si>
  <si>
    <t>000000000009012832</t>
  </si>
  <si>
    <t>H7320x610x25PYROSTOP BLANKET 160/1430</t>
  </si>
  <si>
    <t>000000000009012833</t>
  </si>
  <si>
    <t>H4880x610x38PYROSTOP BLANKET 160/1430</t>
  </si>
  <si>
    <t>000000000009069659</t>
  </si>
  <si>
    <t>H1000x500x25</t>
  </si>
  <si>
    <t>H1000x500x25PYROSTOP BLANKET 160/1430 GS</t>
  </si>
  <si>
    <t>000000000009059234</t>
  </si>
  <si>
    <t>H14640x610x13PYROSTOP BLANKET 48/1260</t>
  </si>
  <si>
    <t>000000000009012776</t>
  </si>
  <si>
    <t>H7320x610x25PYROSTOP BLANKET 48/1260</t>
  </si>
  <si>
    <t>000000000009012777</t>
  </si>
  <si>
    <t>H14640x610x13PYROSTOP BLANKET 64/1100</t>
  </si>
  <si>
    <t>000000000009012838</t>
  </si>
  <si>
    <t>H7320x610x25PYROSTOP BLANKET 64/1100</t>
  </si>
  <si>
    <t>000000000009012839</t>
  </si>
  <si>
    <t>H14640x610x13PYROSTOP BLANKET 64/1260</t>
  </si>
  <si>
    <t>000000000009012771</t>
  </si>
  <si>
    <t>H9760x610x19PYROSTOP BLANKET 64/1260</t>
  </si>
  <si>
    <t>000000000009012772</t>
  </si>
  <si>
    <t>H7320x610x25PYROSTOP BLANKET 64/1260</t>
  </si>
  <si>
    <t>000000000009012773</t>
  </si>
  <si>
    <t>H4880x610x38PYROSTOP BLANKET 64/1260</t>
  </si>
  <si>
    <t>000000000009012774</t>
  </si>
  <si>
    <t>H3660x610x50PYROSTOP BLANKET 64/1260</t>
  </si>
  <si>
    <t>000000000009012775</t>
  </si>
  <si>
    <t>H7320x610x25PYROSTOP BLANKET 64/1430</t>
  </si>
  <si>
    <t>000000000009012834</t>
  </si>
  <si>
    <t>H4880x610x38PYROSTOP BLANKET 64/1430</t>
  </si>
  <si>
    <t>000000000009012835</t>
  </si>
  <si>
    <t>H3660x610x50PYROSTOP BLANKET 64/1430</t>
  </si>
  <si>
    <t>000000000009012836</t>
  </si>
  <si>
    <t>PYROSTOP BLANKET 80/1500</t>
  </si>
  <si>
    <t>H7200x620x13PYROSTOP BLANKET 80/1500</t>
  </si>
  <si>
    <t>000000000009012873</t>
  </si>
  <si>
    <t>H7200x620x25PYROSTOP BLANKET 80/1500</t>
  </si>
  <si>
    <t>000000000009012874</t>
  </si>
  <si>
    <t>H7200x620x13PYROSTOP BLANKET 80/1600</t>
  </si>
  <si>
    <t>H7200x620x25PYROSTOP BLANKET 80/1600</t>
  </si>
  <si>
    <t>H5500x610x6PYROSTOP BLANKET 96/1100</t>
  </si>
  <si>
    <t>000000000009012840</t>
  </si>
  <si>
    <t>H14640x610x13PYROSTOP BLANKET 96/1100</t>
  </si>
  <si>
    <t>000000000009012842</t>
  </si>
  <si>
    <t>H9760x610x19PYROSTOP BLANKET 96/1100</t>
  </si>
  <si>
    <t>000000000009012843</t>
  </si>
  <si>
    <t>H7320x610x25PYROSTOP BLANKET 96/1100</t>
  </si>
  <si>
    <t>000000000009012844</t>
  </si>
  <si>
    <t>H4880x610x38PYROSTOP BLANKET 96/1100</t>
  </si>
  <si>
    <t>000000000009012845</t>
  </si>
  <si>
    <t>H3660x610x50PYROSTOP BLANKET 96/1100</t>
  </si>
  <si>
    <t>000000000009012846</t>
  </si>
  <si>
    <t>H14640x610x13PYROSTOP BLANKET 96/1260</t>
  </si>
  <si>
    <t>000000000009012810</t>
  </si>
  <si>
    <t>H9760x610x19PYROSTOP BLANKET 96/1260</t>
  </si>
  <si>
    <t>000000000009012811</t>
  </si>
  <si>
    <t>H7320x610x25PYROSTOP BLANKET 96/1260</t>
  </si>
  <si>
    <t>000000000009012812</t>
  </si>
  <si>
    <t>H4880x610x38PYROSTOP BLANKET 96/1260</t>
  </si>
  <si>
    <t>000000000009012813</t>
  </si>
  <si>
    <t>H3660x610x50PYROSTOP BLANKET 96/1260</t>
  </si>
  <si>
    <t>000000000009012814</t>
  </si>
  <si>
    <t>H14640x610x13PYROSTOP BLANKET 96/1260 GS</t>
  </si>
  <si>
    <t>000000000009070001</t>
  </si>
  <si>
    <t>H9760x610x19PYROSTOP BLANKET 96/1260 GS</t>
  </si>
  <si>
    <t>000000000009082160</t>
  </si>
  <si>
    <t>H7320x610x25PYROSTOP BLANKET 96/1260 GS</t>
  </si>
  <si>
    <t>000000000009065176</t>
  </si>
  <si>
    <t>H4880x610x38PYROSTOP BLANKET 96/1260 GS</t>
  </si>
  <si>
    <t>000000000009073095</t>
  </si>
  <si>
    <t>H3660x610x50PYROSTOP BLANKET 96/1260 GS</t>
  </si>
  <si>
    <t>000000000009070856</t>
  </si>
  <si>
    <t>H14640x610x13PYROSTOP BLANKET 96/1430</t>
  </si>
  <si>
    <t>000000000009012822</t>
  </si>
  <si>
    <t>H9760x610x19PYROSTOP BLANKET 96/1430</t>
  </si>
  <si>
    <t>000000000009048709</t>
  </si>
  <si>
    <t>H7320x610x25PYROSTOP BLANKET 96/1430</t>
  </si>
  <si>
    <t>000000000009012824</t>
  </si>
  <si>
    <t>H4880x610x38PYROSTOP BLANKET 96/1430</t>
  </si>
  <si>
    <t>000000000009012825</t>
  </si>
  <si>
    <t>H3660x610x50PYROSTOP BLANKET 96/1430</t>
  </si>
  <si>
    <t>000000000009012826</t>
  </si>
  <si>
    <t>H7200x620x13PYROSTOP BLANKET S80/1500</t>
  </si>
  <si>
    <t>000000000009080267</t>
  </si>
  <si>
    <t>H7200x620x25PYROSTOP BLANKET S80/1500</t>
  </si>
  <si>
    <t>000000000009080266</t>
  </si>
  <si>
    <t>H5500x610x6PYROSTOP BLANKET SW 128/1300</t>
  </si>
  <si>
    <t>000000000009052419</t>
  </si>
  <si>
    <t>H14640x610x13PYROSTOP BLANKET SW 128/1300</t>
  </si>
  <si>
    <t>000000000009052450</t>
  </si>
  <si>
    <t>H9760x610x19PYROSTOP BLANKET SW 128/1300</t>
  </si>
  <si>
    <t>000000000009053384</t>
  </si>
  <si>
    <t>H7320x610x25PYROSTOP BLANKET SW 128/1300</t>
  </si>
  <si>
    <t>000000000009043814</t>
  </si>
  <si>
    <t>H4880x610x38PYROSTOP BLANKET SW 128/1300</t>
  </si>
  <si>
    <t>000000000009079563</t>
  </si>
  <si>
    <t>H3660x610x50PYROSTOP BLANKET SW 128/1300</t>
  </si>
  <si>
    <t>000000000009053385</t>
  </si>
  <si>
    <t>H12500x610x13</t>
  </si>
  <si>
    <t>H12500x610x13PYROSTOP BLANKET SW 128/1400</t>
  </si>
  <si>
    <t>000000000009099203</t>
  </si>
  <si>
    <t>H7320x610x25PYROSTOP BLANKET SW 128/1400</t>
  </si>
  <si>
    <t>000000000009105390</t>
  </si>
  <si>
    <t>H5000x610x38</t>
  </si>
  <si>
    <t>H5000x610x38PYROSTOP BLANKET SW 128/1400</t>
  </si>
  <si>
    <t>000000000009104162</t>
  </si>
  <si>
    <t>H3660x610x50PYROSTOP BLANKET SW 128/1400</t>
  </si>
  <si>
    <t>000000000009102943</t>
  </si>
  <si>
    <t>H5500x610x6PYROSTOP BLANKET SW 96/1300</t>
  </si>
  <si>
    <t>000000000009049589</t>
  </si>
  <si>
    <t>H14640x610x13PYROSTOP BLANKET SW 96/1300</t>
  </si>
  <si>
    <t>000000000009053290</t>
  </si>
  <si>
    <t>H9760x610x19PYROSTOP BLANKET SW 96/1300</t>
  </si>
  <si>
    <t>000000000009068721</t>
  </si>
  <si>
    <t>H7320x610x25PYROSTOP BLANKET SW 96/1300</t>
  </si>
  <si>
    <t>000000000009041800</t>
  </si>
  <si>
    <t>H4880x610x38PYROSTOP BLANKET SW 96/1300</t>
  </si>
  <si>
    <t>000000000009070018</t>
  </si>
  <si>
    <t>H3660x610x50PYROSTOP BLANKET SW 96/1300</t>
  </si>
  <si>
    <t>000000000009053934</t>
  </si>
  <si>
    <t>(H1250x1000x6)x16pcs</t>
  </si>
  <si>
    <t>(H1250x1000x6)x16pcsPYROSTOP BOARD 1260</t>
  </si>
  <si>
    <t>000000000009068168</t>
  </si>
  <si>
    <t>(H1250x1000x15)x7pcs</t>
  </si>
  <si>
    <t>(H1250x1000x15)x7pcsPYROSTOP BOARD 1260</t>
  </si>
  <si>
    <t>000000000009068170</t>
  </si>
  <si>
    <t>(H1250x1000x20)x5pcs</t>
  </si>
  <si>
    <t>(H1250x1000x20)x5pcsPYROSTOP BOARD 1260</t>
  </si>
  <si>
    <t>000000000009068173</t>
  </si>
  <si>
    <t>(H1250x1000x25)x4pcs</t>
  </si>
  <si>
    <t>(H1250x1000x25)x4pcsPYROSTOP BOARD 1260</t>
  </si>
  <si>
    <t>000000000009050789</t>
  </si>
  <si>
    <t>(H1250x1000x40)x3pcs</t>
  </si>
  <si>
    <t>(H1250x1000x40)x3pcsPYROSTOP BOARD 1260</t>
  </si>
  <si>
    <t>000000000009068174</t>
  </si>
  <si>
    <t>(H1250x1000x50)x2pcs</t>
  </si>
  <si>
    <t>(H1250x1000x50)x2pcsPYROSTOP BOARD 1260</t>
  </si>
  <si>
    <t>000000000009068175</t>
  </si>
  <si>
    <t>H1200x1000x6</t>
  </si>
  <si>
    <t>H1200x1000x6PYROSTOP BOARD 1260 GS</t>
  </si>
  <si>
    <t>000000000009059154</t>
  </si>
  <si>
    <t>H1200x1000x10</t>
  </si>
  <si>
    <t>H1200x1000x10PYROSTOP BOARD 1260 GS</t>
  </si>
  <si>
    <t>000000000009059155</t>
  </si>
  <si>
    <t>H1200x1000x13</t>
  </si>
  <si>
    <t>H1200x1000x13PYROSTOP BOARD 1260 GS</t>
  </si>
  <si>
    <t>000000000009059156</t>
  </si>
  <si>
    <t>H1200x1000x15</t>
  </si>
  <si>
    <t>H1200x1000x15PYROSTOP BOARD 1260 GS</t>
  </si>
  <si>
    <t>000000000009059186</t>
  </si>
  <si>
    <t>H1200x1000x20</t>
  </si>
  <si>
    <t>H1200x1000x20PYROSTOP BOARD 1260 GS</t>
  </si>
  <si>
    <t>000000000009060226</t>
  </si>
  <si>
    <t>H1200x1000x25</t>
  </si>
  <si>
    <t>H1200x1000x25PYROSTOP BOARD 1260 GS</t>
  </si>
  <si>
    <t>000000000009055981</t>
  </si>
  <si>
    <t>H1200x1000x30</t>
  </si>
  <si>
    <t>H1200x1000x30PYROSTOP BOARD 1260 GS</t>
  </si>
  <si>
    <t>000000000009082161</t>
  </si>
  <si>
    <t>H1200x1000x40</t>
  </si>
  <si>
    <t>H1200x1000x40PYROSTOP BOARD 1260 GS</t>
  </si>
  <si>
    <t>000000000009082162</t>
  </si>
  <si>
    <t>H1200x1000x50</t>
  </si>
  <si>
    <t>H1200x1000x50PYROSTOP BOARD 1260 GS</t>
  </si>
  <si>
    <t>000000000009055982</t>
  </si>
  <si>
    <t>(H1250x1000x6)x16pcsPYROSTOP BOARD 1400</t>
  </si>
  <si>
    <t>000000000009068159</t>
  </si>
  <si>
    <t>(H1250x1000x10)x10pcs</t>
  </si>
  <si>
    <t>(H1250x1000x10)x10pcsPYROSTOP BOARD 1400</t>
  </si>
  <si>
    <t>000000000009068180</t>
  </si>
  <si>
    <t>(H1250x1000x13)x8pcs</t>
  </si>
  <si>
    <t>(H1250x1000x13)x8pcsPYROSTOP BOARD 1400</t>
  </si>
  <si>
    <t>000000000009068216</t>
  </si>
  <si>
    <t>(H1250x1000x15)x7pcsPYROSTOP BOARD 1400</t>
  </si>
  <si>
    <t>000000000009068181</t>
  </si>
  <si>
    <t>(H1250x1000x20)x5pcsPYROSTOP BOARD 1400</t>
  </si>
  <si>
    <t>000000000009068182</t>
  </si>
  <si>
    <t>(H1250x1000x25)x4pcsPYROSTOP BOARD 1400</t>
  </si>
  <si>
    <t>000000000009068183</t>
  </si>
  <si>
    <t>(H1250x1000x30)x3pcs</t>
  </si>
  <si>
    <t>(H1250x1000x30)x3pcsPYROSTOP BOARD 1400</t>
  </si>
  <si>
    <t>000000000009068218</t>
  </si>
  <si>
    <t>(H1250x1000x40)x2pcs</t>
  </si>
  <si>
    <t>(H1250x1000x40)x2pcsPYROSTOP BOARD 1400</t>
  </si>
  <si>
    <t>000000000009068184</t>
  </si>
  <si>
    <t>(H1250x1000x50)x2pcsPYROSTOP BOARD 1400</t>
  </si>
  <si>
    <t>000000000009068185</t>
  </si>
  <si>
    <t>H1200x1000x6PYROSTOP BOARD 1400 GS</t>
  </si>
  <si>
    <t>000000000009079431</t>
  </si>
  <si>
    <t>H1200x1000x10PYROSTOP BOARD 1400 GS</t>
  </si>
  <si>
    <t>000000000009065173</t>
  </si>
  <si>
    <t>H1200x1000x13PYROSTOP BOARD 1400 GS</t>
  </si>
  <si>
    <t>000000000009071544</t>
  </si>
  <si>
    <t>H1200x1000x15PYROSTOP BOARD 1400 GS</t>
  </si>
  <si>
    <t>000000000009059214</t>
  </si>
  <si>
    <t>H1200x1000x20PYROSTOP BOARD 1400 GS</t>
  </si>
  <si>
    <t>000000000009059207</t>
  </si>
  <si>
    <t>H1200x1000x25PYROSTOP BOARD 1400B</t>
  </si>
  <si>
    <t>000000000009013267</t>
  </si>
  <si>
    <t>H1000x1000x50</t>
  </si>
  <si>
    <t>H1000x1000x50PYROSTOP BOARD 1400B</t>
  </si>
  <si>
    <t>000000000009067344</t>
  </si>
  <si>
    <t>H1000x500x6</t>
  </si>
  <si>
    <t>H1000x500x6PYROSTOP BOARD 1500</t>
  </si>
  <si>
    <t>000000000009012790</t>
  </si>
  <si>
    <t>H1000x500x10</t>
  </si>
  <si>
    <t>H1000x500x10PYROSTOP BOARD 1500</t>
  </si>
  <si>
    <t>000000000009012791</t>
  </si>
  <si>
    <t>H1000x500x13</t>
  </si>
  <si>
    <t>H1000x500x13PYROSTOP BOARD 1500</t>
  </si>
  <si>
    <t>000000000009012792</t>
  </si>
  <si>
    <t>H1000x500x25PYROSTOP BOARD 1500</t>
  </si>
  <si>
    <t>000000000009012793</t>
  </si>
  <si>
    <t>H1000x500x40</t>
  </si>
  <si>
    <t>H1000x500x40PYROSTOP BOARD 1500</t>
  </si>
  <si>
    <t>000000000009012794</t>
  </si>
  <si>
    <t>H1000x500x50</t>
  </si>
  <si>
    <t>H1000x500x50PYROSTOP BOARD 1500</t>
  </si>
  <si>
    <t>000000000009012795</t>
  </si>
  <si>
    <t>H1000x500x5</t>
  </si>
  <si>
    <t>H1000x500x5PYROSTOP BOARD 1600</t>
  </si>
  <si>
    <t>000000000009066932</t>
  </si>
  <si>
    <t>H1000x500x10PYROSTOP BOARD 1600</t>
  </si>
  <si>
    <t>000000000009012797</t>
  </si>
  <si>
    <t>H1000x500x13PYROSTOP BOARD 1600</t>
  </si>
  <si>
    <t>000000000009012798</t>
  </si>
  <si>
    <t>H1000x500x20</t>
  </si>
  <si>
    <t>H1000x500x20PYROSTOP BOARD 1600</t>
  </si>
  <si>
    <t>000000000009012799</t>
  </si>
  <si>
    <t>H1000x500x25PYROSTOP BOARD 1600</t>
  </si>
  <si>
    <t>000000000009012800</t>
  </si>
  <si>
    <t>H1000x500x40PYROSTOP BOARD 1600</t>
  </si>
  <si>
    <t>000000000009012801</t>
  </si>
  <si>
    <t>H1000x500x50PYROSTOP BOARD 1600</t>
  </si>
  <si>
    <t>000000000009012802</t>
  </si>
  <si>
    <t>H1200x1000x25PYROSTOP BOARD 700</t>
  </si>
  <si>
    <t>000000000009012803</t>
  </si>
  <si>
    <t>H1200x1000x40PYROSTOP BOARD 700</t>
  </si>
  <si>
    <t>000000000009012804</t>
  </si>
  <si>
    <t>H1200x1000x50PYROSTOP BOARD 700</t>
  </si>
  <si>
    <t>000000000009012805</t>
  </si>
  <si>
    <t>H1200x1000x20PYROSTOP BOARD 850</t>
  </si>
  <si>
    <t>000000000009012806</t>
  </si>
  <si>
    <t>H1200x1000x25PYROSTOP BOARD 850</t>
  </si>
  <si>
    <t>000000000009012807</t>
  </si>
  <si>
    <t>H1200x1000x40PYROSTOP BOARD 850</t>
  </si>
  <si>
    <t>000000000009012808</t>
  </si>
  <si>
    <t>H1200x1000x50PYROSTOP BOARD 850</t>
  </si>
  <si>
    <t>000000000009012809</t>
  </si>
  <si>
    <t>H1000x600x25</t>
  </si>
  <si>
    <t>H1000x600x25PYROSTOP BOARD EXTRA</t>
  </si>
  <si>
    <t>000000000009013163</t>
  </si>
  <si>
    <t>H1000x600x30</t>
  </si>
  <si>
    <t>H1000x600x30PYROSTOP BOARD EXTRA</t>
  </si>
  <si>
    <t>000000000009013164</t>
  </si>
  <si>
    <t>H1000x600x40</t>
  </si>
  <si>
    <t>H1000x600x40PYROSTOP BOARD EXTRA</t>
  </si>
  <si>
    <t>000000000009013165</t>
  </si>
  <si>
    <t>H1000x600x50</t>
  </si>
  <si>
    <t>H1000x600x50PYROSTOP BOARD EXTRA</t>
  </si>
  <si>
    <t>000000000009013166</t>
  </si>
  <si>
    <t>H1000x600x60</t>
  </si>
  <si>
    <t>H1000x600x60PYROSTOP BOARD EXTRA</t>
  </si>
  <si>
    <t>000000000009013167</t>
  </si>
  <si>
    <t>H1000x600x70</t>
  </si>
  <si>
    <t>H1000x600x70PYROSTOP BOARD EXTRA</t>
  </si>
  <si>
    <t>000000000009013168</t>
  </si>
  <si>
    <t>H1000x600x75</t>
  </si>
  <si>
    <t>H1000x600x75PYROSTOP BOARD EXTRA</t>
  </si>
  <si>
    <t>000000000009051628</t>
  </si>
  <si>
    <t>H1000x600x80</t>
  </si>
  <si>
    <t>H1000x600x80PYROSTOP BOARD EXTRA</t>
  </si>
  <si>
    <t>000000000009013169</t>
  </si>
  <si>
    <t>H1000x600x90</t>
  </si>
  <si>
    <t>H1000x600x90PYROSTOP BOARD EXTRA</t>
  </si>
  <si>
    <t>000000000009013170</t>
  </si>
  <si>
    <t>H1000x600x100</t>
  </si>
  <si>
    <t>H1000x600x100PYROSTOP BOARD EXTRA</t>
  </si>
  <si>
    <t>000000000009013171</t>
  </si>
  <si>
    <t>PYROSTOP BOARD PV 900</t>
  </si>
  <si>
    <t>H900x600x20PYROSTOP BOARD PV 900</t>
  </si>
  <si>
    <t>H900x600x25PYROSTOP BOARD PV 900</t>
  </si>
  <si>
    <t>H900x600x30PYROSTOP BOARD PV 900</t>
  </si>
  <si>
    <t>H900x600x40PYROSTOP BOARD PV 900</t>
  </si>
  <si>
    <t>H900x600x50PYROSTOP BOARD PV 900</t>
  </si>
  <si>
    <t>H900x600x60PYROSTOP BOARD PV 900</t>
  </si>
  <si>
    <t>H900x600x70PYROSTOP BOARD PV 900</t>
  </si>
  <si>
    <t>H900x600x75PYROSTOP BOARD PV 900</t>
  </si>
  <si>
    <t>H900x600x80PYROSTOP BOARD PV 900</t>
  </si>
  <si>
    <t>H900x600x90PYROSTOP BOARD PV 900</t>
  </si>
  <si>
    <t>H900x600x100PYROSTOP BOARD PV 900</t>
  </si>
  <si>
    <t>H1000x600x25PYROSTOP BOARD SPEZIAL</t>
  </si>
  <si>
    <t>000000000009013172</t>
  </si>
  <si>
    <t>H1000x600x30PYROSTOP BOARD SPEZIAL</t>
  </si>
  <si>
    <t>000000000009013173</t>
  </si>
  <si>
    <t>H1000x600x40PYROSTOP BOARD SPEZIAL</t>
  </si>
  <si>
    <t>000000000009013174</t>
  </si>
  <si>
    <t>H1000x600x50PYROSTOP BOARD SPEZIAL</t>
  </si>
  <si>
    <t>000000000009013175</t>
  </si>
  <si>
    <t>H1000x600x60PYROSTOP BOARD SPEZIAL</t>
  </si>
  <si>
    <t>000000000009013176</t>
  </si>
  <si>
    <t>H1000x600x70PYROSTOP BOARD SPEZIAL</t>
  </si>
  <si>
    <t>000000000009013177</t>
  </si>
  <si>
    <t>H1000x600x80PYROSTOP BOARD SPEZIAL</t>
  </si>
  <si>
    <t>000000000009013178</t>
  </si>
  <si>
    <t>H1000x600x90PYROSTOP BOARD SPEZIAL</t>
  </si>
  <si>
    <t>000000000009013179</t>
  </si>
  <si>
    <t>H1000x600x100PYROSTOP BOARD SPEZIAL</t>
  </si>
  <si>
    <t>000000000009013180</t>
  </si>
  <si>
    <t>H1000x600x30PYROSTOP BOARD SPEZIAL H</t>
  </si>
  <si>
    <t>000000000009015782</t>
  </si>
  <si>
    <t>H1250x1000x6</t>
  </si>
  <si>
    <t>H1250x1000x6PYROSTOP BOARD SW 1260</t>
  </si>
  <si>
    <t>000000000009098543</t>
  </si>
  <si>
    <t>H1250x1000x10</t>
  </si>
  <si>
    <t>H1250x1000x10PYROSTOP BOARD SW 1260</t>
  </si>
  <si>
    <t>000000000009098542</t>
  </si>
  <si>
    <t>H1250x1000x12</t>
  </si>
  <si>
    <t>H1250x1000x12PYROSTOP BOARD SW 1260</t>
  </si>
  <si>
    <t>000000000009098188</t>
  </si>
  <si>
    <t>H1250x1000x15</t>
  </si>
  <si>
    <t>H1250x1000x15PYROSTOP BOARD SW 1260</t>
  </si>
  <si>
    <t>000000000009099496</t>
  </si>
  <si>
    <t>H1250x1000x20</t>
  </si>
  <si>
    <t>H1250x1000x20PYROSTOP BOARD SW 1260</t>
  </si>
  <si>
    <t>000000000009099497</t>
  </si>
  <si>
    <t>H1250x1000x25</t>
  </si>
  <si>
    <t>H1250x1000x25PYROSTOP BOARD SW 1260</t>
  </si>
  <si>
    <t>000000000009063443</t>
  </si>
  <si>
    <t>H1000x500x30</t>
  </si>
  <si>
    <t>H1000x500x30PYROSTOP BOARD SW 1260</t>
  </si>
  <si>
    <t>000000000009107423</t>
  </si>
  <si>
    <t>H1000x500x40PYROSTOP BOARD SW 1260</t>
  </si>
  <si>
    <t>000000000009107422</t>
  </si>
  <si>
    <t>H1000x500x50PYROSTOP BOARD SW 1260</t>
  </si>
  <si>
    <t>000000000009107421</t>
  </si>
  <si>
    <t>H1200x1000x10PYROSTOP BOARD SW 1300</t>
  </si>
  <si>
    <t>000000000009037731</t>
  </si>
  <si>
    <t>H1200x1000x25PYROSTOP BOARD SW 1300</t>
  </si>
  <si>
    <t>000000000009037733</t>
  </si>
  <si>
    <t>H1200x1000x30PYROSTOP BOARD SW 1300</t>
  </si>
  <si>
    <t>000000000009062875</t>
  </si>
  <si>
    <t>H1200x1000x40PYROSTOP BOARD SW 1300</t>
  </si>
  <si>
    <t>000000000009037734</t>
  </si>
  <si>
    <t>H1200x1000x50PYROSTOP BOARD SW 1300</t>
  </si>
  <si>
    <t>000000000009037735</t>
  </si>
  <si>
    <t>(H1250x1000x2)x50pcs</t>
  </si>
  <si>
    <t>(H1250x1000x2)x50pcsPYROSTOP CARTO 110</t>
  </si>
  <si>
    <t>000000000009105107</t>
  </si>
  <si>
    <t>(H1250x1000x3)x32pcs</t>
  </si>
  <si>
    <t>(H1250x1000x3)x32pcsPYROSTOP CARTO 110</t>
  </si>
  <si>
    <t>000000000009105108</t>
  </si>
  <si>
    <t>(H1250x1000x4)x25pcs</t>
  </si>
  <si>
    <t>(H1250x1000x4)x25pcsPYROSTOP CARTO 110</t>
  </si>
  <si>
    <t>000000000009105109</t>
  </si>
  <si>
    <t>(H1250x1000x5)x20pcs</t>
  </si>
  <si>
    <t>(H1250x1000x5)x20pcsPYROSTOP CARTO 110</t>
  </si>
  <si>
    <t>000000000009105110</t>
  </si>
  <si>
    <t>(H1250x1000x6)x16pcsPYROSTOP CARTO 110</t>
  </si>
  <si>
    <t>000000000009105111</t>
  </si>
  <si>
    <t>(H1250x1000x8)x13pcs</t>
  </si>
  <si>
    <t>(H1250x1000x8)x13pcsPYROSTOP CARTO 110</t>
  </si>
  <si>
    <t>000000000009105112</t>
  </si>
  <si>
    <t>(H1250x1000x10)x10pcsPYROSTOP CARTO 110</t>
  </si>
  <si>
    <t>000000000009105113</t>
  </si>
  <si>
    <t>(H1250x1000x2)x50pcsPYROSTOP CARTO 110 SW</t>
  </si>
  <si>
    <t>000000000009105121</t>
  </si>
  <si>
    <t>(H1250x1000x3)x32pcsPYROSTOP CARTO 110 SW</t>
  </si>
  <si>
    <t>000000000009105122</t>
  </si>
  <si>
    <t>(H1250x1000x4)x25pcsPYROSTOP CARTO 110 SW</t>
  </si>
  <si>
    <t>000000000009105123</t>
  </si>
  <si>
    <t>(H1250x1000x5)x20pcsPYROSTOP CARTO 110 SW</t>
  </si>
  <si>
    <t>000000000009105124</t>
  </si>
  <si>
    <t>(H1250x1000x6)x16pcsPYROSTOP CARTO 110 SW</t>
  </si>
  <si>
    <t>000000000009105125</t>
  </si>
  <si>
    <t>(H1250x1000x8)x13pcsPYROSTOP CARTO 110 SW</t>
  </si>
  <si>
    <t>000000000009105126</t>
  </si>
  <si>
    <t>(H1250x1000x10)x10pcsPYROSTOP CARTO 110 SW</t>
  </si>
  <si>
    <t>000000000009105127</t>
  </si>
  <si>
    <t>(H1250x1000x3)x32pcsPYROSTOP CARTO 125</t>
  </si>
  <si>
    <t>000000000009068224</t>
  </si>
  <si>
    <t>(H1250x1000x5)x20pcsPYROSTOP CARTO 125</t>
  </si>
  <si>
    <t>000000000009068201</t>
  </si>
  <si>
    <t>(H1250x1000x7)x14pcs</t>
  </si>
  <si>
    <t>(H1250x1000x7)x14pcsPYROSTOP CARTO 125</t>
  </si>
  <si>
    <t>000000000009068225</t>
  </si>
  <si>
    <t>(H1250x1000x12)x8pcs</t>
  </si>
  <si>
    <t>(H1250x1000x12)x8pcsPYROSTOP CARTO 125</t>
  </si>
  <si>
    <t>000000000009068226</t>
  </si>
  <si>
    <t>(H1250x1000x2)x50pcsPYROSTOP CARTO 75</t>
  </si>
  <si>
    <t>000000000009104628</t>
  </si>
  <si>
    <t>(H1250x1000x3)x32pcsPYROSTOP CARTO 75</t>
  </si>
  <si>
    <t>000000000009104939</t>
  </si>
  <si>
    <t>(H1250x1000x4)x25pcsPYROSTOP CARTO 75</t>
  </si>
  <si>
    <t>000000000009105102</t>
  </si>
  <si>
    <t>(H1250x1000x5)x20pcsPYROSTOP CARTO 75</t>
  </si>
  <si>
    <t>000000000009105103</t>
  </si>
  <si>
    <t>(H1250x1000x6)x16pcsPYROSTOP CARTO 75</t>
  </si>
  <si>
    <t>000000000009105104</t>
  </si>
  <si>
    <t>(H1250x1000x8)x13pcsPYROSTOP CARTO 75</t>
  </si>
  <si>
    <t>000000000009105105</t>
  </si>
  <si>
    <t>(H1250x1000x10)x10pcsPYROSTOP CARTO 75</t>
  </si>
  <si>
    <t>000000000009105106</t>
  </si>
  <si>
    <t>(H1250x1000x2)x50pcsPYROSTOP CARTO 75 SW</t>
  </si>
  <si>
    <t>000000000009105114</t>
  </si>
  <si>
    <t>(H1250x1000x3)x32pcsPYROSTOP CARTO 75 SW</t>
  </si>
  <si>
    <t>000000000009105115</t>
  </si>
  <si>
    <t>(H1250x1000x4)x25pcsPYROSTOP CARTO 75 SW</t>
  </si>
  <si>
    <t>000000000009105116</t>
  </si>
  <si>
    <t>(H1250x1000x5)x20pcsPYROSTOP CARTO 75 SW</t>
  </si>
  <si>
    <t>000000000009105117</t>
  </si>
  <si>
    <t>(H1250x1000x6)x16pcsPYROSTOP CARTO 75 SW</t>
  </si>
  <si>
    <t>000000000009105118</t>
  </si>
  <si>
    <t>(H1250x1000x8)x13pcsPYROSTOP CARTO 75 SW</t>
  </si>
  <si>
    <t>000000000009105119</t>
  </si>
  <si>
    <t>(H1250x1000x10)x10pcsPYROSTOP CARTO 75 SW</t>
  </si>
  <si>
    <t>000000000009105120</t>
  </si>
  <si>
    <t>(H1220x1070x3)x40pcs</t>
  </si>
  <si>
    <t>(H1220x1070x3)x40pcsPYROSTOP FELT 128/1320</t>
  </si>
  <si>
    <t>000000000009060733</t>
  </si>
  <si>
    <t>(H1220x1070x6)x22pcs</t>
  </si>
  <si>
    <t>(H1220x1070x6)x22pcsPYROSTOP FELT 160/1320</t>
  </si>
  <si>
    <t>000000000009060735</t>
  </si>
  <si>
    <t>(H1220x1070x10)x12pcs</t>
  </si>
  <si>
    <t>(H1220x1070x10)x12pcsPYROSTOP FELT 160/1320</t>
  </si>
  <si>
    <t>000000000009060737</t>
  </si>
  <si>
    <t>(H1220x1070x13)x10pcs</t>
  </si>
  <si>
    <t>(H1220x1070x13)x10pcsPYROSTOP FELT 160/1320</t>
  </si>
  <si>
    <t>000000000009060738</t>
  </si>
  <si>
    <t>(H1220x1070x19)x7pcs</t>
  </si>
  <si>
    <t>(H1220x1070x19)x7pcsPYROSTOP FELT 160/1320</t>
  </si>
  <si>
    <t>000000000009060740</t>
  </si>
  <si>
    <t>(H1220x1070x25)x5pcs</t>
  </si>
  <si>
    <t>(H1220x1070x25)x5pcsPYROSTOP FELT 160/1320</t>
  </si>
  <si>
    <t>000000000009060743</t>
  </si>
  <si>
    <t>(H1220x1070x3)x40pcsPYROSTOP FELT 192/1320</t>
  </si>
  <si>
    <t>000000000009060745</t>
  </si>
  <si>
    <t>(H1220x1070x6)x22pcsPYROSTOP FELT 192/1320</t>
  </si>
  <si>
    <t>000000000009060748</t>
  </si>
  <si>
    <t>(H1220x1070x10)x12pcsPYROSTOP FELT 192/1320</t>
  </si>
  <si>
    <t>000000000009060749</t>
  </si>
  <si>
    <t>(H1220x1070x13)x10pcsPYROSTOP FELT 192/1320</t>
  </si>
  <si>
    <t>000000000009060750</t>
  </si>
  <si>
    <t>(H1220x1070x19)x7pcsPYROSTOP FELT 192/1320</t>
  </si>
  <si>
    <t>000000000009060751</t>
  </si>
  <si>
    <t>(H1220x1070x25)x5pcsPYROSTOP FELT 192/1320</t>
  </si>
  <si>
    <t>000000000009060744</t>
  </si>
  <si>
    <t>(H1220x1070x6)x22pcsPYROSTOP FELT 288/1320</t>
  </si>
  <si>
    <t>000000000009063461</t>
  </si>
  <si>
    <t>(H1220x1070x13)x10pcsPYROSTOP FELT 288/1320</t>
  </si>
  <si>
    <t>000000000009063459</t>
  </si>
  <si>
    <t>H1220x1070x3</t>
  </si>
  <si>
    <t>H1220x1070x3PYROSTOP FELT 384/1320</t>
  </si>
  <si>
    <t>000000000009060931</t>
  </si>
  <si>
    <t>H1220x1070x10</t>
  </si>
  <si>
    <t>H1220x1070x10PYROSTOP FELT 384/1320</t>
  </si>
  <si>
    <t>000000000009060933</t>
  </si>
  <si>
    <t>H1220x1070x13</t>
  </si>
  <si>
    <t>PYROSTOP FELT 48/1430</t>
  </si>
  <si>
    <t>H1220x1070x13PYROSTOP FELT 48/1430</t>
  </si>
  <si>
    <t>000000000009012921</t>
  </si>
  <si>
    <t>H1220x1070x25</t>
  </si>
  <si>
    <t>H1220x1070x25PYROSTOP FELT 48/1430</t>
  </si>
  <si>
    <t>000000000009012922</t>
  </si>
  <si>
    <t>PYROSTOP FELT 64/1430</t>
  </si>
  <si>
    <t>H1220x1070x10PYROSTOP FELT 64/1430</t>
  </si>
  <si>
    <t>000000000009060934</t>
  </si>
  <si>
    <t>H1220x1070x19</t>
  </si>
  <si>
    <t>H1220x1070x19PYROSTOP FELT 64/1430</t>
  </si>
  <si>
    <t>000000000009060909</t>
  </si>
  <si>
    <t>(H1220x1070x6)x22pcsPYROSTOP FELT 96/1320</t>
  </si>
  <si>
    <t>000000000009060752</t>
  </si>
  <si>
    <t>(H1220x1070x10)x12pcsPYROSTOP FELT 96/1320</t>
  </si>
  <si>
    <t>000000000009060940</t>
  </si>
  <si>
    <t>(H1220x1070x13)x10pcsPYROSTOP FELT 96/1320</t>
  </si>
  <si>
    <t>000000000009060722</t>
  </si>
  <si>
    <t>(H1220x1070x19)x7pcsPYROSTOP FELT 96/1320</t>
  </si>
  <si>
    <t>000000000009060723</t>
  </si>
  <si>
    <t>(H1220x1070x25)x5pcsPYROSTOP FELT 96/1320</t>
  </si>
  <si>
    <t>000000000009060724</t>
  </si>
  <si>
    <t>(H1220x1070x38)x3pcs</t>
  </si>
  <si>
    <t>(H1220x1070x38)x3pcsPYROSTOP FELT 96/1320</t>
  </si>
  <si>
    <t>000000000009060942</t>
  </si>
  <si>
    <t>PYROSTOP FELT SW 128/1250</t>
  </si>
  <si>
    <t>H1220x1070x10PYROSTOP FELT SW 128/1250</t>
  </si>
  <si>
    <t>000000000009066752</t>
  </si>
  <si>
    <t>H1220x1070x13PYROSTOP FELT SW 128/1250</t>
  </si>
  <si>
    <t>000000000009066753</t>
  </si>
  <si>
    <t>H1220x1070x19PYROSTOP FELT SW 128/1250</t>
  </si>
  <si>
    <t>000000000009066761</t>
  </si>
  <si>
    <t>H1220x1070x25PYROSTOP FELT SW 128/1250</t>
  </si>
  <si>
    <t>000000000009066754</t>
  </si>
  <si>
    <t>(H1220x1070x6)x22pcsPYROSTOP FELT SW 128/1300</t>
  </si>
  <si>
    <t>000000000009066755</t>
  </si>
  <si>
    <t>(H1220x1070x13)x10pcsPYROSTOP FELT SW 128/1300</t>
  </si>
  <si>
    <t>(H1220x1070x19)x7pcsPYROSTOP FELT SW 128/1300</t>
  </si>
  <si>
    <t>(H1220x1070x25)x5pcsPYROSTOP FELT SW 128/1300</t>
  </si>
  <si>
    <t>PYROSTOP FELT SW 160/1300</t>
  </si>
  <si>
    <t>(H1220x1070x6)x22pcsPYROSTOP FELT SW 160/1300</t>
  </si>
  <si>
    <t>000000000009073888</t>
  </si>
  <si>
    <t>(H1220x1070x10)x12pcsPYROSTOP FELT SW 160/1300</t>
  </si>
  <si>
    <t>000000000009076763</t>
  </si>
  <si>
    <t>(H1220x1070x13)x10pcsPYROSTOP FELT SW 160/1300</t>
  </si>
  <si>
    <t>000000000009066759</t>
  </si>
  <si>
    <t>(H1220x1070x19)x7pcsPYROSTOP FELT SW 160/1300</t>
  </si>
  <si>
    <t>000000000009071252</t>
  </si>
  <si>
    <t>(H1220x1070x25)x5pcsPYROSTOP FELT SW 160/1300</t>
  </si>
  <si>
    <t>000000000009073887</t>
  </si>
  <si>
    <t>H1220x1070x6</t>
  </si>
  <si>
    <t>H1220x1070x6PYROSTOP FELT SW 384/1300</t>
  </si>
  <si>
    <t>000000000009105133</t>
  </si>
  <si>
    <t>(H1220x1070x6)x22pcsPYROSTOP FELT SW 96/1300</t>
  </si>
  <si>
    <t>000000000009073843</t>
  </si>
  <si>
    <t>(H1220x1070x13)x10pcsPYROSTOP FELT SW 96/1300</t>
  </si>
  <si>
    <t>000000000009073842</t>
  </si>
  <si>
    <t>(H1220x1070x19)x7pcsPYROSTOP FELT SW 96/1300</t>
  </si>
  <si>
    <t>000000000009071966</t>
  </si>
  <si>
    <t>(H1220x1070x25)x5pcsPYROSTOP FELT SW 96/1300</t>
  </si>
  <si>
    <t>000000000009073844</t>
  </si>
  <si>
    <t>H14800x610x35</t>
  </si>
  <si>
    <t>H14800x610x35PYROSTOP LD MATTE35/1600</t>
  </si>
  <si>
    <t>000000000009013134</t>
  </si>
  <si>
    <t>H40000x500x0,5</t>
  </si>
  <si>
    <t>H40000x500x0,5PYROSTOP PAPIER 1260</t>
  </si>
  <si>
    <t>000000000009012891</t>
  </si>
  <si>
    <t>H20000x500x1</t>
  </si>
  <si>
    <t>H20000x500x1PYROSTOP PAPIER 1260</t>
  </si>
  <si>
    <t>000000000009012892</t>
  </si>
  <si>
    <t>H20000x500x2</t>
  </si>
  <si>
    <t>H20000x500x2PYROSTOP PAPIER 1260</t>
  </si>
  <si>
    <t>000000000009012893</t>
  </si>
  <si>
    <t>H10000x500x3</t>
  </si>
  <si>
    <t>H10000x500x3PYROSTOP PAPIER 1260</t>
  </si>
  <si>
    <t>000000000009012894</t>
  </si>
  <si>
    <t>H10000x500x4</t>
  </si>
  <si>
    <t>H10000x500x4PYROSTOP PAPIER 1260</t>
  </si>
  <si>
    <t>000000000009034657</t>
  </si>
  <si>
    <t>H10000x500x5</t>
  </si>
  <si>
    <t>H10000x500x5PYROSTOP PAPIER 1260</t>
  </si>
  <si>
    <t>000000000009018979</t>
  </si>
  <si>
    <t>H10000x500x6</t>
  </si>
  <si>
    <t>H10000x500x6PYROSTOP PAPIER 1260</t>
  </si>
  <si>
    <t>000000000009015594</t>
  </si>
  <si>
    <t>H60000x610x1</t>
  </si>
  <si>
    <t>H60000x610x1PYROSTOP PAPIER 1260 GS</t>
  </si>
  <si>
    <t>000000000009068349</t>
  </si>
  <si>
    <t>H20000x500x2PYROSTOP PAPIER 1260 GS</t>
  </si>
  <si>
    <t>000000000009097071</t>
  </si>
  <si>
    <t>H20000x610x3</t>
  </si>
  <si>
    <t>H20000x610x3PYROSTOP PAPIER 1260 GS</t>
  </si>
  <si>
    <t>000000000009068348</t>
  </si>
  <si>
    <t>H10000x610x6</t>
  </si>
  <si>
    <t>H10000x610x6PYROSTOP PAPIER 1260 GS</t>
  </si>
  <si>
    <t>000000000009028612</t>
  </si>
  <si>
    <t>H40000x500x0,5PYROSTOP PAPIER 1400</t>
  </si>
  <si>
    <t>000000000009013135</t>
  </si>
  <si>
    <t>H20000x500x1PYROSTOP PAPIER 1400</t>
  </si>
  <si>
    <t>000000000009013136</t>
  </si>
  <si>
    <t>H20000x500x2PYROSTOP PAPIER 1400</t>
  </si>
  <si>
    <t>000000000009013137</t>
  </si>
  <si>
    <t>H10000x500x3PYROSTOP PAPIER 1400</t>
  </si>
  <si>
    <t>000000000009013138</t>
  </si>
  <si>
    <t>H10000x500x5PYROSTOP PAPIER 1400</t>
  </si>
  <si>
    <t>000000000009082384</t>
  </si>
  <si>
    <t>H10000x500x6PYROSTOP PAPIER 1400</t>
  </si>
  <si>
    <t>000000000009082385</t>
  </si>
  <si>
    <t>H30000x1000x2</t>
  </si>
  <si>
    <t>H30000x1000x2PYROSTOP PAPIER 1400 GS</t>
  </si>
  <si>
    <t>000000000009069303</t>
  </si>
  <si>
    <t>H30000x1000x3</t>
  </si>
  <si>
    <t>H30000x1000x3PYROSTOP PAPIER 1400 GS</t>
  </si>
  <si>
    <t>000000000009069309</t>
  </si>
  <si>
    <t>H20000x500x1PYROSTOP PAPIER 1600</t>
  </si>
  <si>
    <t>000000000009013140</t>
  </si>
  <si>
    <t>H10000x500x2</t>
  </si>
  <si>
    <t>H10000x500x2PYROSTOP PAPIER 1600</t>
  </si>
  <si>
    <t>000000000009037590</t>
  </si>
  <si>
    <t>H10000x500x3PYROSTOP PAPIER 1600</t>
  </si>
  <si>
    <t>000000000009013142</t>
  </si>
  <si>
    <t>H40000x500x1</t>
  </si>
  <si>
    <t>H40000x500x1PYROSTOP PAPIER SW 1300</t>
  </si>
  <si>
    <t>000000000009068094</t>
  </si>
  <si>
    <t>H20000x500x2PYROSTOP PAPIER SW 1300</t>
  </si>
  <si>
    <t>000000000009053658</t>
  </si>
  <si>
    <t>H15000x500x3</t>
  </si>
  <si>
    <t>H15000x500x3PYROSTOP PAPIER SW 1300</t>
  </si>
  <si>
    <t>000000000009054089</t>
  </si>
  <si>
    <t>H10000x500x4PYROSTOP PAPIER SW 1300</t>
  </si>
  <si>
    <t>000000000009074330</t>
  </si>
  <si>
    <t>H10000x500x5PYROSTOP PAPIER SW 1300</t>
  </si>
  <si>
    <t>000000000009067519</t>
  </si>
  <si>
    <t>H10000x500x6PYROSTOP PAPIER SW 1300</t>
  </si>
  <si>
    <t>000000000009076672</t>
  </si>
  <si>
    <t>ROPE100xD6</t>
  </si>
  <si>
    <t>ROPE100xD6PYROSTOP ROPE 1012</t>
  </si>
  <si>
    <t>000000000009013005</t>
  </si>
  <si>
    <t>ROPE100xD8</t>
  </si>
  <si>
    <t>ROPE100xD8PYROSTOP ROPE 1012</t>
  </si>
  <si>
    <t>000000000009013006</t>
  </si>
  <si>
    <t>ROPE40xD10</t>
  </si>
  <si>
    <t>ROPE40xD10PYROSTOP ROPE 1012</t>
  </si>
  <si>
    <t>000000000009013007</t>
  </si>
  <si>
    <t>ROPE25xD12</t>
  </si>
  <si>
    <t>ROPE25xD12PYROSTOP ROPE 1012</t>
  </si>
  <si>
    <t>000000000009013008</t>
  </si>
  <si>
    <t>ROPE20xD15</t>
  </si>
  <si>
    <t>ROPE20xD15PYROSTOP ROPE 1012</t>
  </si>
  <si>
    <t>000000000009013009</t>
  </si>
  <si>
    <t>ROPE20xD18</t>
  </si>
  <si>
    <t>ROPE20xD18PYROSTOP ROPE 1012</t>
  </si>
  <si>
    <t>000000000009013010</t>
  </si>
  <si>
    <t>ROPE20xD20</t>
  </si>
  <si>
    <t>ROPE20xD20PYROSTOP ROPE 1012</t>
  </si>
  <si>
    <t>000000000009013011</t>
  </si>
  <si>
    <t>ROPE10xD25</t>
  </si>
  <si>
    <t>ROPE10xD25PYROSTOP ROPE 1012</t>
  </si>
  <si>
    <t>000000000009013012</t>
  </si>
  <si>
    <t>ROPE10xD30</t>
  </si>
  <si>
    <t>ROPE10xD30PYROSTOP ROPE 1012</t>
  </si>
  <si>
    <t>000000000009013013</t>
  </si>
  <si>
    <t>ROPE10xD35</t>
  </si>
  <si>
    <t>ROPE10xD35PYROSTOP ROPE 1012</t>
  </si>
  <si>
    <t>000000000009013014</t>
  </si>
  <si>
    <t>ROPE5xD40</t>
  </si>
  <si>
    <t>ROPE5xD40PYROSTOP ROPE 1012</t>
  </si>
  <si>
    <t>000000000009013015</t>
  </si>
  <si>
    <t>ROPE5xD50</t>
  </si>
  <si>
    <t>ROPE5xD50PYROSTOP ROPE 1012</t>
  </si>
  <si>
    <t>000000000009013016</t>
  </si>
  <si>
    <t>ROPE5xD60</t>
  </si>
  <si>
    <t>ROPE5xD60PYROSTOP ROPE 1012</t>
  </si>
  <si>
    <t>000000000009013017</t>
  </si>
  <si>
    <t>ROPE100xSQ6</t>
  </si>
  <si>
    <t>PYROSTOP ROPE 1012 SQ</t>
  </si>
  <si>
    <t>ROPE100xSQ6PYROSTOP ROPE 1012 SQ</t>
  </si>
  <si>
    <t>000000000009013018</t>
  </si>
  <si>
    <t>ROPE100xSQ8</t>
  </si>
  <si>
    <t>ROPE100xSQ8PYROSTOP ROPE 1012 SQ</t>
  </si>
  <si>
    <t>000000000009013019</t>
  </si>
  <si>
    <t>ROPE40xSQ10</t>
  </si>
  <si>
    <t>ROPE40xSQ10PYROSTOP ROPE 1012 SQ</t>
  </si>
  <si>
    <t>000000000009013020</t>
  </si>
  <si>
    <t>ROPE25xSQ12</t>
  </si>
  <si>
    <t>ROPE25xSQ12PYROSTOP ROPE 1012 SQ</t>
  </si>
  <si>
    <t>000000000009013021</t>
  </si>
  <si>
    <t>ROPE20xSQ15</t>
  </si>
  <si>
    <t>ROPE20xSQ15PYROSTOP ROPE 1012 SQ</t>
  </si>
  <si>
    <t>000000000009013022</t>
  </si>
  <si>
    <t>ROPE20xSQ18</t>
  </si>
  <si>
    <t>ROPE20xSQ18PYROSTOP ROPE 1012 SQ</t>
  </si>
  <si>
    <t>000000000009013023</t>
  </si>
  <si>
    <t>ROPE20xSQ20</t>
  </si>
  <si>
    <t>ROPE20xSQ20PYROSTOP ROPE 1012 SQ</t>
  </si>
  <si>
    <t>000000000009013024</t>
  </si>
  <si>
    <t>ROPE10xSQ25</t>
  </si>
  <si>
    <t>ROPE10xSQ25PYROSTOP ROPE 1012 SQ</t>
  </si>
  <si>
    <t>000000000009013025</t>
  </si>
  <si>
    <t>ROPE10xSQ30</t>
  </si>
  <si>
    <t>ROPE10xSQ30PYROSTOP ROPE 1012 SQ</t>
  </si>
  <si>
    <t>000000000009013026</t>
  </si>
  <si>
    <t>ROPE10xSQ35</t>
  </si>
  <si>
    <t>ROPE10xSQ35PYROSTOP ROPE 1012 SQ</t>
  </si>
  <si>
    <t>000000000009013027</t>
  </si>
  <si>
    <t>ROPE5xSQ40</t>
  </si>
  <si>
    <t>ROPE5xSQ40PYROSTOP ROPE 1012 SQ</t>
  </si>
  <si>
    <t>000000000009013028</t>
  </si>
  <si>
    <t>ROPE5xSQ50</t>
  </si>
  <si>
    <t>ROPE5xSQ50PYROSTOP ROPE 1012 SQ</t>
  </si>
  <si>
    <t>000000000009013029</t>
  </si>
  <si>
    <t>ROPE5xSQ60</t>
  </si>
  <si>
    <t>ROPE5xSQ60PYROSTOP ROPE 1012 SQ</t>
  </si>
  <si>
    <t>000000000009013030</t>
  </si>
  <si>
    <t>ROPE25xD15</t>
  </si>
  <si>
    <t>ROPE25xD15PYROSTOP ROPE 2010</t>
  </si>
  <si>
    <t>000000000009013031</t>
  </si>
  <si>
    <t>ROPE25xD20</t>
  </si>
  <si>
    <t>ROPE25xD20PYROSTOP ROPE 2010</t>
  </si>
  <si>
    <t>000000000009013032</t>
  </si>
  <si>
    <t>ROPE25xD25</t>
  </si>
  <si>
    <t>ROPE25xD25PYROSTOP ROPE 2010</t>
  </si>
  <si>
    <t>000000000009013033</t>
  </si>
  <si>
    <t>ROPE25xD35</t>
  </si>
  <si>
    <t>ROPE25xD35PYROSTOP ROPE 2010</t>
  </si>
  <si>
    <t>000000000009013034</t>
  </si>
  <si>
    <t>ROPE25xD40</t>
  </si>
  <si>
    <t>ROPE25xD40PYROSTOP ROPE 2010</t>
  </si>
  <si>
    <t>000000000009013035</t>
  </si>
  <si>
    <t>ROPE25xD50</t>
  </si>
  <si>
    <t>ROPE25xD50PYROSTOP ROPE 2010</t>
  </si>
  <si>
    <t>000000000009013036</t>
  </si>
  <si>
    <t>ROPE25xD60</t>
  </si>
  <si>
    <t>ROPE25xD60PYROSTOP ROPE 2010</t>
  </si>
  <si>
    <t>000000000009013037</t>
  </si>
  <si>
    <t>ROPE100xD5</t>
  </si>
  <si>
    <t>ROPE100xD5PYROSTOP ROPE 2506</t>
  </si>
  <si>
    <t>000000000009013038</t>
  </si>
  <si>
    <t>ROPE100xD6PYROSTOP ROPE 2506</t>
  </si>
  <si>
    <t>000000000009013039</t>
  </si>
  <si>
    <t>ROPE100xD7</t>
  </si>
  <si>
    <t>ROPE100xD7PYROSTOP ROPE 2506</t>
  </si>
  <si>
    <t>000000000009013040</t>
  </si>
  <si>
    <t>ROPE100xD8PYROSTOP ROPE 2506</t>
  </si>
  <si>
    <t>000000000009013041</t>
  </si>
  <si>
    <t>ROPE100xD10</t>
  </si>
  <si>
    <t>ROPE100xD10PYROSTOP ROPE 2506</t>
  </si>
  <si>
    <t>000000000009013042</t>
  </si>
  <si>
    <t>ROPE100xD12</t>
  </si>
  <si>
    <t>ROPE100xD12PYROSTOP ROPE 2506</t>
  </si>
  <si>
    <t>000000000009013043</t>
  </si>
  <si>
    <t>ROPE100xD15</t>
  </si>
  <si>
    <t>ROPE100xD15PYROSTOP ROPE 2506</t>
  </si>
  <si>
    <t>000000000009013044</t>
  </si>
  <si>
    <t>ROPE25xD20PYROSTOP ROPE 2506</t>
  </si>
  <si>
    <t>000000000009013045</t>
  </si>
  <si>
    <t>ROPE25xD25PYROSTOP ROPE 2506</t>
  </si>
  <si>
    <t>000000000009030573</t>
  </si>
  <si>
    <t>ROPE25xD30</t>
  </si>
  <si>
    <t>ROPE25xD30PYROSTOP ROPE 2506</t>
  </si>
  <si>
    <t>000000000009013047</t>
  </si>
  <si>
    <t>ROPE25xD35PYROSTOP ROPE 2506</t>
  </si>
  <si>
    <t>000000000009013048</t>
  </si>
  <si>
    <t>ROPE25xD40PYROSTOP ROPE 2506</t>
  </si>
  <si>
    <t>000000000009013049</t>
  </si>
  <si>
    <t>ROPE25xD50PYROSTOP ROPE 2506</t>
  </si>
  <si>
    <t>000000000009013050</t>
  </si>
  <si>
    <t>ROPE25xD60PYROSTOP ROPE 2506</t>
  </si>
  <si>
    <t>000000000009013051</t>
  </si>
  <si>
    <t>ROPE250xD3</t>
  </si>
  <si>
    <t>ROPE250xD3PYROSTOP ROPE 4006</t>
  </si>
  <si>
    <t>000000000009013052</t>
  </si>
  <si>
    <t>ROPE125xD4</t>
  </si>
  <si>
    <t>ROPE125xD4PYROSTOP ROPE 4006</t>
  </si>
  <si>
    <t>000000000009013053</t>
  </si>
  <si>
    <t>ROPE125xD5</t>
  </si>
  <si>
    <t>ROPE125xD5PYROSTOP ROPE 4006</t>
  </si>
  <si>
    <t>000000000009013054</t>
  </si>
  <si>
    <t>ROPE100xD6PYROSTOP ROPE 4006</t>
  </si>
  <si>
    <t>000000000009013055</t>
  </si>
  <si>
    <t>ROPE50xD8</t>
  </si>
  <si>
    <t>ROPE50xD8PYROSTOP ROPE 4006</t>
  </si>
  <si>
    <t>000000000009013056</t>
  </si>
  <si>
    <t>ROPE50xD9</t>
  </si>
  <si>
    <t>ROPE50xD9PYROSTOP ROPE 4006</t>
  </si>
  <si>
    <t>000000000009013057</t>
  </si>
  <si>
    <t>ROPE50xD10</t>
  </si>
  <si>
    <t>ROPE50xD10PYROSTOP ROPE 4006</t>
  </si>
  <si>
    <t>000000000009013058</t>
  </si>
  <si>
    <t>ROPE50xD12</t>
  </si>
  <si>
    <t>ROPE50xD12PYROSTOP ROPE 4006</t>
  </si>
  <si>
    <t>000000000009013059</t>
  </si>
  <si>
    <t>ROPE50xD15</t>
  </si>
  <si>
    <t>ROPE50xD15PYROSTOP ROPE 4006</t>
  </si>
  <si>
    <t>000000000009013060</t>
  </si>
  <si>
    <t>ROPE50xD18</t>
  </si>
  <si>
    <t>ROPE50xD18PYROSTOP ROPE 4006</t>
  </si>
  <si>
    <t>000000000009013061</t>
  </si>
  <si>
    <t>ROPE50xD20</t>
  </si>
  <si>
    <t>ROPE50xD20PYROSTOP ROPE 4006</t>
  </si>
  <si>
    <t>000000000009013062</t>
  </si>
  <si>
    <t>ROPE25xD25PYROSTOP ROPE 4006</t>
  </si>
  <si>
    <t>000000000009013063</t>
  </si>
  <si>
    <t>ROPE25xD30PYROSTOP ROPE 4006</t>
  </si>
  <si>
    <t>000000000009013064</t>
  </si>
  <si>
    <t>ROPE25xD35PYROSTOP ROPE 4006</t>
  </si>
  <si>
    <t>000000000009013065</t>
  </si>
  <si>
    <t>ROPE10xD40</t>
  </si>
  <si>
    <t>ROPE10xD40PYROSTOP ROPE 4006</t>
  </si>
  <si>
    <t>000000000009013066</t>
  </si>
  <si>
    <t>ROPE10xD50</t>
  </si>
  <si>
    <t>ROPE10xD50PYROSTOP ROPE 4006</t>
  </si>
  <si>
    <t>000000000009013067</t>
  </si>
  <si>
    <t>ROPE250xD3PYROSTOP ROPE 4012</t>
  </si>
  <si>
    <t>000000000009013068</t>
  </si>
  <si>
    <t>ROPE125xD4PYROSTOP ROPE 4012</t>
  </si>
  <si>
    <t>000000000009013069</t>
  </si>
  <si>
    <t>ROPE125xD5PYROSTOP ROPE 4012</t>
  </si>
  <si>
    <t>000000000009013070</t>
  </si>
  <si>
    <t>ROPE100xD6PYROSTOP ROPE 4012</t>
  </si>
  <si>
    <t>000000000009013071</t>
  </si>
  <si>
    <t>ROPE50xD8PYROSTOP ROPE 4012</t>
  </si>
  <si>
    <t>000000000009013072</t>
  </si>
  <si>
    <t>ROPE50xD9PYROSTOP ROPE 4012</t>
  </si>
  <si>
    <t>000000000009013073</t>
  </si>
  <si>
    <t>ROPE50xD10PYROSTOP ROPE 4012</t>
  </si>
  <si>
    <t>000000000009013074</t>
  </si>
  <si>
    <t>ROPE50xD12PYROSTOP ROPE 4012</t>
  </si>
  <si>
    <t>000000000009013075</t>
  </si>
  <si>
    <t>ROPE50xD15PYROSTOP ROPE 4012</t>
  </si>
  <si>
    <t>000000000009013076</t>
  </si>
  <si>
    <t>ROPE50xD18PYROSTOP ROPE 4012</t>
  </si>
  <si>
    <t>000000000009013077</t>
  </si>
  <si>
    <t>ROPE50xD20PYROSTOP ROPE 4012</t>
  </si>
  <si>
    <t>000000000009013078</t>
  </si>
  <si>
    <t>ROPE25xD25PYROSTOP ROPE 4012</t>
  </si>
  <si>
    <t>000000000009013079</t>
  </si>
  <si>
    <t>ROPE25xD30PYROSTOP ROPE 4012</t>
  </si>
  <si>
    <t>000000000009013080</t>
  </si>
  <si>
    <t>ROPE25xD35PYROSTOP ROPE 4012</t>
  </si>
  <si>
    <t>000000000009013081</t>
  </si>
  <si>
    <t>ROPE10xD40PYROSTOP ROPE 4012</t>
  </si>
  <si>
    <t>000000000009013082</t>
  </si>
  <si>
    <t>ROPE10xD50PYROSTOP ROPE 4012</t>
  </si>
  <si>
    <t>000000000009013083</t>
  </si>
  <si>
    <t>PYROSTOP ROPE 5006</t>
  </si>
  <si>
    <t>ROPE100xD6PYROSTOP ROPE 5006</t>
  </si>
  <si>
    <t>000000000009017342</t>
  </si>
  <si>
    <t>PYROSTOP ROPE 5510</t>
  </si>
  <si>
    <t>ROPE50xD12PYROSTOP ROPE 5510</t>
  </si>
  <si>
    <t>000000000009017340</t>
  </si>
  <si>
    <t>ROPE50xD15PYROSTOP ROPE 5510</t>
  </si>
  <si>
    <t>000000000009017341</t>
  </si>
  <si>
    <t>ROPE100xD8PYROSTOP ROPE SW 1012</t>
  </si>
  <si>
    <t>000000000009065051</t>
  </si>
  <si>
    <t>ROPE300xD10</t>
  </si>
  <si>
    <t>ROPE300xD10PYROSTOP ROPE SW 1012</t>
  </si>
  <si>
    <t>000000000009066627</t>
  </si>
  <si>
    <t>ROPE100xD25</t>
  </si>
  <si>
    <t>ROPE100xD25PYROSTOP ROPE SW 1012</t>
  </si>
  <si>
    <t>000000000009066628</t>
  </si>
  <si>
    <t>ROPE30xD25</t>
  </si>
  <si>
    <t>ROPE30xD25PYROSTOP ROPE SW 1012</t>
  </si>
  <si>
    <t>000000000009111577</t>
  </si>
  <si>
    <t>ROPE5xD60PYROSTOP ROPE SW 1012</t>
  </si>
  <si>
    <t>000000000009099406</t>
  </si>
  <si>
    <t>ROPE30xD25PYROSTOP S-RUNDSCHNUR</t>
  </si>
  <si>
    <t>000000000009012989</t>
  </si>
  <si>
    <t>ROPE30xD35</t>
  </si>
  <si>
    <t>ROPE30xD35PYROSTOP S-RUNDSCHNUR</t>
  </si>
  <si>
    <t>000000000009013000</t>
  </si>
  <si>
    <t>ROPE30xD40</t>
  </si>
  <si>
    <t>ROPE30xD40PYROSTOP S-RUNDSCHNUR</t>
  </si>
  <si>
    <t>000000000009013001</t>
  </si>
  <si>
    <t>ROPE30xD50</t>
  </si>
  <si>
    <t>ROPE30xD50PYROSTOP S-RUNDSCHNUR</t>
  </si>
  <si>
    <t>000000000009013002</t>
  </si>
  <si>
    <t>(H1000x610x10)x10pcs</t>
  </si>
  <si>
    <t>(H1000x610x10)x10pcsPYROSTOP SUPERFELT 1300</t>
  </si>
  <si>
    <t>000000000009068213</t>
  </si>
  <si>
    <t>(H1000x610x25)x4pcs</t>
  </si>
  <si>
    <t>(H1000x610x25)x4pcsPYROSTOP SUPERFELT 1300</t>
  </si>
  <si>
    <t>000000000009068143</t>
  </si>
  <si>
    <t>(H1000x610x30)x3pcs</t>
  </si>
  <si>
    <t>(H1000x610x30)x3pcsPYROSTOP SUPERFELT 1300</t>
  </si>
  <si>
    <t>000000000009068144</t>
  </si>
  <si>
    <t>(H1000x610x40)x2pcs</t>
  </si>
  <si>
    <t>(H1000x610x40)x2pcsPYROSTOP SUPERFELT 1300</t>
  </si>
  <si>
    <t>000000000009068145</t>
  </si>
  <si>
    <t>(H1000x610x50)x2pcs</t>
  </si>
  <si>
    <t>(H1000x610x50)x2pcsPYROSTOP SUPERFELT 1300</t>
  </si>
  <si>
    <t>000000000009068146</t>
  </si>
  <si>
    <t>(H1000x610x10)x10pcsPYROSTOP SUPERFELT 1400</t>
  </si>
  <si>
    <t>000000000009068147</t>
  </si>
  <si>
    <t>(H1000x610x20)x5pcs</t>
  </si>
  <si>
    <t>(H1000x610x20)x5pcsPYROSTOP SUPERFELT 1400</t>
  </si>
  <si>
    <t>000000000009068148</t>
  </si>
  <si>
    <t>(H1000x610x25)x4pcsPYROSTOP SUPERFELT 1400</t>
  </si>
  <si>
    <t>000000000009068149</t>
  </si>
  <si>
    <t>(H1000x610x30)x3pcsPYROSTOP SUPERFELT 1400</t>
  </si>
  <si>
    <t>000000000009068160</t>
  </si>
  <si>
    <t>(H1000x610x40)x2pcsPYROSTOP SUPERFELT 1400</t>
  </si>
  <si>
    <t>000000000009068161</t>
  </si>
  <si>
    <t>(H1000x610x50)x2pcsPYROSTOP SUPERFELT 1400</t>
  </si>
  <si>
    <t>000000000009068162</t>
  </si>
  <si>
    <t>H1000x600x6</t>
  </si>
  <si>
    <t>H1000x600x6PYROSTOP SUPERFELT 1400 GS</t>
  </si>
  <si>
    <t>000000000009063857</t>
  </si>
  <si>
    <t>H1000x500x10PYROSTOP SUPERFELT 1400 GS</t>
  </si>
  <si>
    <t>000000000009074104</t>
  </si>
  <si>
    <t>H1000x500x13PYROSTOP SUPERFELT 1400 GS</t>
  </si>
  <si>
    <t>000000000009071529</t>
  </si>
  <si>
    <t>H1000x500x20PYROSTOP SUPERFELT 1400 GS</t>
  </si>
  <si>
    <t>000000000009074105</t>
  </si>
  <si>
    <t>H1000x500x25PYROSTOP SUPERFELT 1400 GS</t>
  </si>
  <si>
    <t>000000000009065174</t>
  </si>
  <si>
    <t>(H1000x610x6)x16pcs</t>
  </si>
  <si>
    <t>(H1000x610x6)x16pcsPYROSTOP SUPERFELT 1600</t>
  </si>
  <si>
    <t>000000000009068163</t>
  </si>
  <si>
    <t>(H1000x610x10)x10pcsPYROSTOP SUPERFELT 1600</t>
  </si>
  <si>
    <t>000000000009068164</t>
  </si>
  <si>
    <t>(H1000x610x13)x8pcs</t>
  </si>
  <si>
    <t>(H1000x610x13)x8pcsPYROSTOP SUPERFELT 1600</t>
  </si>
  <si>
    <t>000000000009068165</t>
  </si>
  <si>
    <t>(H1000x610x20)x5pcsPYROSTOP SUPERFELT 1600</t>
  </si>
  <si>
    <t>000000000009068215</t>
  </si>
  <si>
    <t>(H1000x610x25)x4pcsPYROSTOP SUPERFELT 1600</t>
  </si>
  <si>
    <t>000000000009068166</t>
  </si>
  <si>
    <t>(H1000x610x40)x2pcsPYROSTOP SUPERFELT 1600</t>
  </si>
  <si>
    <t>000000000009068214</t>
  </si>
  <si>
    <t>(H1000x610x50)x2pcsPYROSTOP SUPERFELT 1600</t>
  </si>
  <si>
    <t>000000000009068167</t>
  </si>
  <si>
    <t>H1000x500x10PYROSTOP SUPERFELT 1600 GS</t>
  </si>
  <si>
    <t>000000000009067320</t>
  </si>
  <si>
    <t>H1000x500x13PYROSTOP SUPERFELT 1600 GS</t>
  </si>
  <si>
    <t>000000000009081529</t>
  </si>
  <si>
    <t>H1000x500x25PYROSTOP SUPERFELT 1600 GS</t>
  </si>
  <si>
    <t>000000000009081528</t>
  </si>
  <si>
    <t>H1000x610x6</t>
  </si>
  <si>
    <t>H1000x610x6PYROSTOP SUPERFELT SW 1260</t>
  </si>
  <si>
    <t>000000000009074717</t>
  </si>
  <si>
    <t>H1000x610x12</t>
  </si>
  <si>
    <t>H1000x610x12PYROSTOP SUPERFELT SW 1260</t>
  </si>
  <si>
    <t>000000000009074785</t>
  </si>
  <si>
    <t>H1000x610x18</t>
  </si>
  <si>
    <t>H1000x610x18PYROSTOP SUPERFELT SW 1260</t>
  </si>
  <si>
    <t>000000000009103094</t>
  </si>
  <si>
    <t>H1000x610x25</t>
  </si>
  <si>
    <t>H1000x610x25PYROSTOP SUPERFELT SW 1260</t>
  </si>
  <si>
    <t>000000000009074719</t>
  </si>
  <si>
    <t>H1000x500x25PYROSTOP WET 1260</t>
  </si>
  <si>
    <t>000000000009023854</t>
  </si>
  <si>
    <t>H18200x550x2</t>
  </si>
  <si>
    <t>SAFFIL PAPER</t>
  </si>
  <si>
    <t>H18200x550x2SAFFIL PAPER</t>
  </si>
  <si>
    <t>000000000009061831</t>
  </si>
  <si>
    <t>H18200x550x3</t>
  </si>
  <si>
    <t>H18200x550x3SAFFIL PAPER</t>
  </si>
  <si>
    <t>000000000009061832</t>
  </si>
  <si>
    <t>H1000x500x2</t>
  </si>
  <si>
    <t>STYROPOR</t>
  </si>
  <si>
    <t>H1000x500x2STYROPOR</t>
  </si>
  <si>
    <t>000000000009013261</t>
  </si>
  <si>
    <t>H1000x500x5STYROPOR</t>
  </si>
  <si>
    <t>000000000009021343</t>
  </si>
  <si>
    <t>H1000x500x10STYROPOR</t>
  </si>
  <si>
    <t>000000000009014401</t>
  </si>
  <si>
    <t>H1000x500x15STYROPOR</t>
  </si>
  <si>
    <t>000000000009014303</t>
  </si>
  <si>
    <t>H1000x500x20STYROPOR</t>
  </si>
  <si>
    <t>000000000009025410</t>
  </si>
  <si>
    <t>H1000x610x50</t>
  </si>
  <si>
    <t>SUPER ISOL</t>
  </si>
  <si>
    <t>H1000x610x50SUPER ISOL</t>
  </si>
  <si>
    <t>000000000009021386</t>
  </si>
  <si>
    <t>H1000x610x75</t>
  </si>
  <si>
    <t>H1000x610x75SUPER ISOL</t>
  </si>
  <si>
    <t>000000000009021387</t>
  </si>
  <si>
    <t>H1000x500x20SUPETHERM 1800</t>
  </si>
  <si>
    <t>000000000009016048</t>
  </si>
  <si>
    <t>H1000x500x25SUPETHERM 1800</t>
  </si>
  <si>
    <t>000000000009014353</t>
  </si>
  <si>
    <t>H1000x500x30SUPETHERM 1800</t>
  </si>
  <si>
    <t>000000000009014366</t>
  </si>
  <si>
    <t>H1000x500x40SUPETHERM 1800</t>
  </si>
  <si>
    <t>000000000009014367</t>
  </si>
  <si>
    <t>H1000x500x50SUPETHERM 1800</t>
  </si>
  <si>
    <t>000000000009014368</t>
  </si>
  <si>
    <t>H1000x500x60</t>
  </si>
  <si>
    <t>H1000x500x60SUPETHERM 1800</t>
  </si>
  <si>
    <t>000000000009014369</t>
  </si>
  <si>
    <t>H1000x500x65</t>
  </si>
  <si>
    <t>H1000x500x65SUPETHERM 1800</t>
  </si>
  <si>
    <t>000000000009014354</t>
  </si>
  <si>
    <t>H1000x500x70</t>
  </si>
  <si>
    <t>H1000x500x70SUPETHERM 1800</t>
  </si>
  <si>
    <t>000000000009044442</t>
  </si>
  <si>
    <t>H1000x500x75</t>
  </si>
  <si>
    <t>H1000x500x75SUPETHERM 1800</t>
  </si>
  <si>
    <t>000000000009014370</t>
  </si>
  <si>
    <t>H1000x500x80</t>
  </si>
  <si>
    <t>H1000x500x80SUPETHERM 1800</t>
  </si>
  <si>
    <t>000000000009014371</t>
  </si>
  <si>
    <t>H1000x500x100</t>
  </si>
  <si>
    <t>H1000x500x100SUPETHERM 1800</t>
  </si>
  <si>
    <t>000000000009014372</t>
  </si>
  <si>
    <t>H500x500x25</t>
  </si>
  <si>
    <t>H500x500x25SUPETHERM 1800 GS</t>
  </si>
  <si>
    <t>000000000009069100</t>
  </si>
  <si>
    <t>H500x500x50</t>
  </si>
  <si>
    <t>H500x500x50SUPETHERM 1800 GS</t>
  </si>
  <si>
    <t>000000000009070251</t>
  </si>
  <si>
    <t>H1000x500x60SUPETHERM 1800 GS</t>
  </si>
  <si>
    <t>000000000009081776</t>
  </si>
  <si>
    <t>H500x500x65</t>
  </si>
  <si>
    <t>H500x500x65SUPETHERM 1800 GS</t>
  </si>
  <si>
    <t>000000000009074990</t>
  </si>
  <si>
    <t>H1000x500x75SUPETHERM 1800 GS</t>
  </si>
  <si>
    <t>000000000009076891</t>
  </si>
  <si>
    <t>H1000x610x20</t>
  </si>
  <si>
    <t>SUPETHERM 1800 SK</t>
  </si>
  <si>
    <t>H1000x610x20SUPETHERM 1800 SK</t>
  </si>
  <si>
    <t>000000000009031231</t>
  </si>
  <si>
    <t>H1000x610x25SUPETHERM 1800 SK</t>
  </si>
  <si>
    <t>000000000009028084</t>
  </si>
  <si>
    <t>H1000x610x30</t>
  </si>
  <si>
    <t>H1000x610x30SUPETHERM 1800 SK</t>
  </si>
  <si>
    <t>000000000009028142</t>
  </si>
  <si>
    <t>H1000x610x40</t>
  </si>
  <si>
    <t>H1000x610x40SUPETHERM 1800 SK</t>
  </si>
  <si>
    <t>000000000009027734</t>
  </si>
  <si>
    <t>H1000x610x50SUPETHERM 1800 SK</t>
  </si>
  <si>
    <t>000000000009014185</t>
  </si>
  <si>
    <t>H1000x610x60</t>
  </si>
  <si>
    <t>H1000x610x60SUPETHERM 1800 SK</t>
  </si>
  <si>
    <t>000000000009028143</t>
  </si>
  <si>
    <t>H1000x610x65</t>
  </si>
  <si>
    <t>H1000x610x65SUPETHERM 1800 SK</t>
  </si>
  <si>
    <t>000000000009027947</t>
  </si>
  <si>
    <t>H1000x610x70</t>
  </si>
  <si>
    <t>H1000x610x70SUPETHERM 1800 SK</t>
  </si>
  <si>
    <t>000000000009031232</t>
  </si>
  <si>
    <t>H1000x610x75SUPETHERM 1800 SK</t>
  </si>
  <si>
    <t>000000000009027735</t>
  </si>
  <si>
    <t>H1000x610x80</t>
  </si>
  <si>
    <t>H1000x610x80SUPETHERM 1800 SK</t>
  </si>
  <si>
    <t>000000000009028498</t>
  </si>
  <si>
    <t>H1000x610x100</t>
  </si>
  <si>
    <t>H1000x610x100SUPETHERM 1800 SK</t>
  </si>
  <si>
    <t>000000000009031233</t>
  </si>
  <si>
    <t>H1000x500x25SUPETHERM 2000</t>
  </si>
  <si>
    <t>000000000009014359</t>
  </si>
  <si>
    <t>H1000x500x30SUPETHERM 2000</t>
  </si>
  <si>
    <t>000000000009014360</t>
  </si>
  <si>
    <t>H1000x500x40SUPETHERM 2000</t>
  </si>
  <si>
    <t>000000000009014356</t>
  </si>
  <si>
    <t>H1000x500x50SUPETHERM 2000</t>
  </si>
  <si>
    <t>000000000009014357</t>
  </si>
  <si>
    <t>H1000x500x60SUPETHERM 2000</t>
  </si>
  <si>
    <t>000000000009014361</t>
  </si>
  <si>
    <t>H1000x500x65SUPETHERM 2000</t>
  </si>
  <si>
    <t>000000000009014362</t>
  </si>
  <si>
    <t>H1000x500x70SUPETHERM 2000</t>
  </si>
  <si>
    <t>000000000009014363</t>
  </si>
  <si>
    <t>H1000x500x75SUPETHERM 2000</t>
  </si>
  <si>
    <t>000000000009014358</t>
  </si>
  <si>
    <t>H1000x500x80SUPETHERM 2000</t>
  </si>
  <si>
    <t>000000000009014364</t>
  </si>
  <si>
    <t>H1000x500x90</t>
  </si>
  <si>
    <t>H1000x500x90SUPETHERM 2000</t>
  </si>
  <si>
    <t>000000000009027008</t>
  </si>
  <si>
    <t>H1000x500x100SUPETHERM 2000</t>
  </si>
  <si>
    <t>000000000009014365</t>
  </si>
  <si>
    <t>SUPETHERM 2000 SK</t>
  </si>
  <si>
    <t>H1000x610x25SUPETHERM 2000 SK</t>
  </si>
  <si>
    <t>000000000009027948</t>
  </si>
  <si>
    <t>H1000x610x30SUPETHERM 2000 SK</t>
  </si>
  <si>
    <t>000000000009031234</t>
  </si>
  <si>
    <t>H1000x610x40SUPETHERM 2000 SK</t>
  </si>
  <si>
    <t>000000000009027736</t>
  </si>
  <si>
    <t>H1000x610x50SUPETHERM 2000 SK</t>
  </si>
  <si>
    <t>000000000009027949</t>
  </si>
  <si>
    <t>H1000x610x60SUPETHERM 2000 SK</t>
  </si>
  <si>
    <t>000000000009027737</t>
  </si>
  <si>
    <t>H1000x610x65SUPETHERM 2000 SK</t>
  </si>
  <si>
    <t>000000000009031235</t>
  </si>
  <si>
    <t>H1000x610x70SUPETHERM 2000 SK</t>
  </si>
  <si>
    <t>000000000009031236</t>
  </si>
  <si>
    <t>H1000x610x75SUPETHERM 2000 SK</t>
  </si>
  <si>
    <t>H1000x610x80SUPETHERM 2000 SK</t>
  </si>
  <si>
    <t>000000000009031237</t>
  </si>
  <si>
    <t>H1000x610x90</t>
  </si>
  <si>
    <t>H1000x610x90SUPETHERM 2000 SK</t>
  </si>
  <si>
    <t>000000000009031238</t>
  </si>
  <si>
    <t>H1000x610x100SUPETHERM 2000 SK</t>
  </si>
  <si>
    <t>000000000009031239</t>
  </si>
  <si>
    <t>H1220x1220x12</t>
  </si>
  <si>
    <t>SUPETHERM D 1650</t>
  </si>
  <si>
    <t>H1220x1220x12SUPETHERM D 1650</t>
  </si>
  <si>
    <t>000000000009051059</t>
  </si>
  <si>
    <t>H1220x1220x19SUPETHERM D 1650</t>
  </si>
  <si>
    <t>000000000009041070</t>
  </si>
  <si>
    <t>H1220x1220x25SUPETHERM D 1650</t>
  </si>
  <si>
    <t>000000000009038910</t>
  </si>
  <si>
    <t>H1220x1220x38</t>
  </si>
  <si>
    <t>H1220x1220x38SUPETHERM D 1650</t>
  </si>
  <si>
    <t>000000000009064903</t>
  </si>
  <si>
    <t>H1220x1220x50</t>
  </si>
  <si>
    <t>H1220x1220x50SUPETHERM D 1650</t>
  </si>
  <si>
    <t>000000000009064904</t>
  </si>
  <si>
    <t>SUPETHERM D 1830</t>
  </si>
  <si>
    <t>H1250x1000x12SUPETHERM D 1830</t>
  </si>
  <si>
    <t>000000000009041071</t>
  </si>
  <si>
    <t>H1250x1000x19</t>
  </si>
  <si>
    <t>H1250x1000x19SUPETHERM D 1830</t>
  </si>
  <si>
    <t>000000000009039718</t>
  </si>
  <si>
    <t>H1250x1000x25SUPETHERM D 1830</t>
  </si>
  <si>
    <t>000000000009040732</t>
  </si>
  <si>
    <t>H1250x1000x30</t>
  </si>
  <si>
    <t>H1250x1000x30SUPETHERM D 1830</t>
  </si>
  <si>
    <t>000000000009052634</t>
  </si>
  <si>
    <t>H1000x610x10</t>
  </si>
  <si>
    <t>H1000x610x10SUPETHERM MIPO ALU</t>
  </si>
  <si>
    <t>000000000009053182</t>
  </si>
  <si>
    <t>H1000x610x15</t>
  </si>
  <si>
    <t>H1000x610x15SUPETHERM MIPO ALU</t>
  </si>
  <si>
    <t>000000000009031423</t>
  </si>
  <si>
    <t>H1000x610x20SUPETHERM MIPO ALU</t>
  </si>
  <si>
    <t>000000000009067429</t>
  </si>
  <si>
    <t>H1000x610x25SUPETHERM MIPO ALU</t>
  </si>
  <si>
    <t>000000000009036941</t>
  </si>
  <si>
    <t>H1000x610x40SUPETHERM MIPO ALU</t>
  </si>
  <si>
    <t>000000000009035497</t>
  </si>
  <si>
    <t>H1000x610x50SUPETHERM MIPO ALU</t>
  </si>
  <si>
    <t>000000000009057101</t>
  </si>
  <si>
    <t>H600x300x5</t>
  </si>
  <si>
    <t>H600x300x5SUPETHERM MIPO G</t>
  </si>
  <si>
    <t>000000000009014301</t>
  </si>
  <si>
    <t>H500x500x10SUPETHERM MIPO G</t>
  </si>
  <si>
    <t>H1000x500x15SUPETHERM MIPO G</t>
  </si>
  <si>
    <t>H1000x500x20SUPETHERM MIPO G</t>
  </si>
  <si>
    <t>000000000009014006</t>
  </si>
  <si>
    <t>H300x300x5</t>
  </si>
  <si>
    <t>H300x300x5SUPETHERM MIPO GH</t>
  </si>
  <si>
    <t>000000000009014025</t>
  </si>
  <si>
    <t>H300x300x7SUPETHERM MIPO GH</t>
  </si>
  <si>
    <t>000000000009013255</t>
  </si>
  <si>
    <t>H500x500x10SUPETHERM MIPO GH</t>
  </si>
  <si>
    <t>000000000009024103</t>
  </si>
  <si>
    <t>H500x179x15</t>
  </si>
  <si>
    <t>H500x179x15SUPETHERM MIPO GH</t>
  </si>
  <si>
    <t>000000000009038966</t>
  </si>
  <si>
    <t>H1000x500x20SUPETHERM MIPO GH</t>
  </si>
  <si>
    <t>000000000009030718</t>
  </si>
  <si>
    <t>H1000x500x25SUPETHERM MIPO GH</t>
  </si>
  <si>
    <t>000000000009047672</t>
  </si>
  <si>
    <t>H1000x610x10SUPETHERM MIPO PE</t>
  </si>
  <si>
    <t>000000000009068247</t>
  </si>
  <si>
    <t>H1000x610x20SUPETHERM MIPO PE</t>
  </si>
  <si>
    <t>000000000009075060</t>
  </si>
  <si>
    <t>H1000x610x25SUPETHERM MIPO PE</t>
  </si>
  <si>
    <t>000000000009068233</t>
  </si>
  <si>
    <t>SUPETHERM MIPO VERM</t>
  </si>
  <si>
    <t>H1000x610x15SUPETHERM MIPO VERM</t>
  </si>
  <si>
    <t>000000000009030370</t>
  </si>
  <si>
    <t>H1000x610x20SUPETHERM MIPO VERM</t>
  </si>
  <si>
    <t>000000000009018933</t>
  </si>
  <si>
    <t>H1250x1000x25SUPETHERM VERMICULIT</t>
  </si>
  <si>
    <t>000000000009067428</t>
  </si>
  <si>
    <t>H1250x1000x40</t>
  </si>
  <si>
    <t>H1250x1000x40SUPETHERM VERMICULIT</t>
  </si>
  <si>
    <t>000000000009100908</t>
  </si>
  <si>
    <t>H1000x500x50SUPETHERM VERMICULIT</t>
  </si>
  <si>
    <t>000000000009043979</t>
  </si>
  <si>
    <t>VERMICULIT-PLATTE</t>
  </si>
  <si>
    <t>H1000x610x25VERMICULIT-PLATTE</t>
  </si>
  <si>
    <t>000000000009026272</t>
  </si>
  <si>
    <t>H1000x610x40VERMICULIT-PLATTE</t>
  </si>
  <si>
    <t>000000000009014898</t>
  </si>
  <si>
    <t>H1000x610x50VERMICULIT-PLATTE</t>
  </si>
  <si>
    <t>000000000009014582</t>
  </si>
  <si>
    <t>H1000x610x60VERMICULIT-PLATTE</t>
  </si>
  <si>
    <t>000000000009014899</t>
  </si>
  <si>
    <t>CH1.8-80-304K</t>
  </si>
  <si>
    <t>CH1.8-80-304KAISI 304 (1.4301)</t>
  </si>
  <si>
    <t>000000000009102799</t>
  </si>
  <si>
    <t>CH1.6-80-304K</t>
  </si>
  <si>
    <t>CH1.6-80-304KAISI 304 (1.4301)</t>
  </si>
  <si>
    <t>000000000009080541</t>
  </si>
  <si>
    <t>CH1.6-75-304K</t>
  </si>
  <si>
    <t>CH1.6-75-304KAISI 304 (1.4301)</t>
  </si>
  <si>
    <t>000000000009052358</t>
  </si>
  <si>
    <t>CH1.6-60-304K</t>
  </si>
  <si>
    <t>CH1.6-60-304KAISI 304 (1.4301)</t>
  </si>
  <si>
    <t>000000000009081191</t>
  </si>
  <si>
    <t>CH1.6-50-304K</t>
  </si>
  <si>
    <t>CH1.6-50-304KAISI 304 (1.4301)</t>
  </si>
  <si>
    <t>000000000009050345</t>
  </si>
  <si>
    <t>CH1.6-40-304K</t>
  </si>
  <si>
    <t>CH1.6-40-304KAISI 304 (1.4301)</t>
  </si>
  <si>
    <t>000000000009014581</t>
  </si>
  <si>
    <t>CH1.6-35-304K</t>
  </si>
  <si>
    <t>CH1.6-35-304KAISI 304 (1.4301)</t>
  </si>
  <si>
    <t>000000000009099315</t>
  </si>
  <si>
    <t>CH1.6-30-304K</t>
  </si>
  <si>
    <t>CH1.6-30-304KAISI 304 (1.4301)</t>
  </si>
  <si>
    <t>000000000009107843</t>
  </si>
  <si>
    <t>CH1.6-40-309K</t>
  </si>
  <si>
    <t>CH1.6-40-309KAISI 309 (1.4828)</t>
  </si>
  <si>
    <t>000000000009015924</t>
  </si>
  <si>
    <t>CH1.8-100-310K</t>
  </si>
  <si>
    <t xml:space="preserve">CH1.8-100-310KAISI 310 (1.4841) </t>
  </si>
  <si>
    <t>000000000009032433</t>
  </si>
  <si>
    <t>CH1.8-85-310K</t>
  </si>
  <si>
    <t xml:space="preserve">CH1.8-85-310KAISI 310 (1.4841) </t>
  </si>
  <si>
    <t>000000000009073648</t>
  </si>
  <si>
    <t>CH1.8-80-310K</t>
  </si>
  <si>
    <t xml:space="preserve">CH1.8-80-310KAISI 310 (1.4841) </t>
  </si>
  <si>
    <t>000000000009064410</t>
  </si>
  <si>
    <t>CH1.8-70-310K</t>
  </si>
  <si>
    <t xml:space="preserve">CH1.8-70-310KAISI 310 (1.4841) </t>
  </si>
  <si>
    <t>000000000009060920</t>
  </si>
  <si>
    <t>CH1.8-65-310K</t>
  </si>
  <si>
    <t xml:space="preserve">CH1.8-65-310KAISI 310 (1.4841) </t>
  </si>
  <si>
    <t>000000000009066214</t>
  </si>
  <si>
    <t>CH1.8-60-310K</t>
  </si>
  <si>
    <t xml:space="preserve">CH1.8-60-310KAISI 310 (1.4841) </t>
  </si>
  <si>
    <t>000000000009047401</t>
  </si>
  <si>
    <t>CH1.8-55-310K</t>
  </si>
  <si>
    <t xml:space="preserve">CH1.8-55-310KAISI 310 (1.4841) </t>
  </si>
  <si>
    <t>000000000009065363</t>
  </si>
  <si>
    <t>CH1.8-50-310K</t>
  </si>
  <si>
    <t xml:space="preserve">CH1.8-50-310KAISI 310 (1.4841) </t>
  </si>
  <si>
    <t>000000000009055924</t>
  </si>
  <si>
    <t>CH1.8-40-310K</t>
  </si>
  <si>
    <t xml:space="preserve">CH1.8-40-310KAISI 310 (1.4841) </t>
  </si>
  <si>
    <t>000000000009046884</t>
  </si>
  <si>
    <t>CH1.8-30-310K</t>
  </si>
  <si>
    <t xml:space="preserve">CH1.8-30-310KAISI 310 (1.4841) </t>
  </si>
  <si>
    <t>000000000009104603</t>
  </si>
  <si>
    <t>CH1.6-200-310K</t>
  </si>
  <si>
    <t xml:space="preserve">CH1.6-200-310KAISI 310 (1.4841) </t>
  </si>
  <si>
    <t>000000000009073912</t>
  </si>
  <si>
    <t>CH1.6-180-310K</t>
  </si>
  <si>
    <t xml:space="preserve">CH1.6-180-310KAISI 310 (1.4841) </t>
  </si>
  <si>
    <t>000000000009043458</t>
  </si>
  <si>
    <t>CH1.6-120-310K</t>
  </si>
  <si>
    <t xml:space="preserve">CH1.6-120-310KAISI 310 (1.4841) </t>
  </si>
  <si>
    <t>000000000009016852</t>
  </si>
  <si>
    <t>CH1.6-100-310K</t>
  </si>
  <si>
    <t xml:space="preserve">CH1.6-100-310KAISI 310 (1.4841) </t>
  </si>
  <si>
    <t>000000000009056432</t>
  </si>
  <si>
    <t>CH1.6-90-310K</t>
  </si>
  <si>
    <t xml:space="preserve">CH1.6-90-310KAISI 310 (1.4841) </t>
  </si>
  <si>
    <t>000000000009050160</t>
  </si>
  <si>
    <t>CH1.6-80-310K</t>
  </si>
  <si>
    <t xml:space="preserve">CH1.6-80-310KAISI 310 (1.4841) </t>
  </si>
  <si>
    <t>000000000009051520</t>
  </si>
  <si>
    <t>CH1.6-75-310K</t>
  </si>
  <si>
    <t xml:space="preserve">CH1.6-75-310KAISI 310 (1.4841) </t>
  </si>
  <si>
    <t>000000000009040700</t>
  </si>
  <si>
    <t>CH1.6-70-310K</t>
  </si>
  <si>
    <t xml:space="preserve">CH1.6-70-310KAISI 310 (1.4841) </t>
  </si>
  <si>
    <t>000000000009048059</t>
  </si>
  <si>
    <t>CH1.6-65-310K</t>
  </si>
  <si>
    <t xml:space="preserve">CH1.6-65-310KAISI 310 (1.4841) </t>
  </si>
  <si>
    <t>000000000009056462</t>
  </si>
  <si>
    <t>CH1.6-60-310K</t>
  </si>
  <si>
    <t xml:space="preserve">CH1.6-60-310KAISI 310 (1.4841) </t>
  </si>
  <si>
    <t>000000000009016445</t>
  </si>
  <si>
    <t>CH1.6-55-310K</t>
  </si>
  <si>
    <t xml:space="preserve">CH1.6-55-310KAISI 310 (1.4841) </t>
  </si>
  <si>
    <t>000000000009075774</t>
  </si>
  <si>
    <t>CH1.6-50-310K</t>
  </si>
  <si>
    <t xml:space="preserve">CH1.6-50-310KAISI 310 (1.4841) </t>
  </si>
  <si>
    <t>000000000009015955</t>
  </si>
  <si>
    <t>CH1.6-40-310K</t>
  </si>
  <si>
    <t xml:space="preserve">CH1.6-40-310KAISI 310 (1.4841) </t>
  </si>
  <si>
    <t>000000000009016182</t>
  </si>
  <si>
    <t>CH1.6-35-310K</t>
  </si>
  <si>
    <t xml:space="preserve">CH1.6-35-310KAISI 310 (1.4841) </t>
  </si>
  <si>
    <t>000000000009068781</t>
  </si>
  <si>
    <t>CH1.6-30-310K</t>
  </si>
  <si>
    <t xml:space="preserve">CH1.6-30-310KAISI 310 (1.4841) </t>
  </si>
  <si>
    <t>000000000009016454</t>
  </si>
  <si>
    <t>CH1.12-200-310K</t>
  </si>
  <si>
    <t xml:space="preserve">CH1.12-200-310KAISI 310 (1.4841) </t>
  </si>
  <si>
    <t>000000000009111937</t>
  </si>
  <si>
    <t>CH1.10-50-310K</t>
  </si>
  <si>
    <t xml:space="preserve">CH1.10-50-310KAISI 310 (1.4841) </t>
  </si>
  <si>
    <t>000000000009097417</t>
  </si>
  <si>
    <t>CH1.8-160-314K</t>
  </si>
  <si>
    <t xml:space="preserve">CH1.8-160-314KAISI 314 (1.4841) </t>
  </si>
  <si>
    <t>000000000009024368</t>
  </si>
  <si>
    <t>CH1.8-60-314K</t>
  </si>
  <si>
    <t xml:space="preserve">CH1.8-60-314KAISI 314 (1.4841) </t>
  </si>
  <si>
    <t>000000000009079509</t>
  </si>
  <si>
    <t>CH1.8-50-314K</t>
  </si>
  <si>
    <t xml:space="preserve">CH1.8-50-314KAISI 314 (1.4841) </t>
  </si>
  <si>
    <t>000000000009027215</t>
  </si>
  <si>
    <t>CH1.6-75-314K</t>
  </si>
  <si>
    <t xml:space="preserve">CH1.6-75-314KAISI 314 (1.4841) </t>
  </si>
  <si>
    <t>000000000009036561</t>
  </si>
  <si>
    <t>CH1.6-60-314K</t>
  </si>
  <si>
    <t xml:space="preserve">CH1.6-60-314KAISI 314 (1.4841) </t>
  </si>
  <si>
    <t>000000000009028123</t>
  </si>
  <si>
    <t>CH1.6-55-314K</t>
  </si>
  <si>
    <t xml:space="preserve">CH1.6-55-314KAISI 314 (1.4841) </t>
  </si>
  <si>
    <t>000000000009039458</t>
  </si>
  <si>
    <t>CH1.6-50-314K</t>
  </si>
  <si>
    <t xml:space="preserve">CH1.6-50-314KAISI 314 (1.4841) </t>
  </si>
  <si>
    <t>000000000009002512</t>
  </si>
  <si>
    <t>CH1.6-40-314K</t>
  </si>
  <si>
    <t xml:space="preserve">CH1.6-40-314KAISI 314 (1.4841) </t>
  </si>
  <si>
    <t>000000000009003580</t>
  </si>
  <si>
    <t>CH2.10-70-310K</t>
  </si>
  <si>
    <t xml:space="preserve">CH2.10-70-310KAISI 310 (1.4841) </t>
  </si>
  <si>
    <t>000000000009098141</t>
  </si>
  <si>
    <t>CH2.10-75-309K</t>
  </si>
  <si>
    <t>CH2.10-75-309KAISI 309 (1.4828)</t>
  </si>
  <si>
    <t>000000000009052981</t>
  </si>
  <si>
    <t>CH2.10-75-310K</t>
  </si>
  <si>
    <t xml:space="preserve">CH2.10-75-310KAISI 310 (1.4841) </t>
  </si>
  <si>
    <t>000000000009080126</t>
  </si>
  <si>
    <t>CH2.10-80-310K</t>
  </si>
  <si>
    <t xml:space="preserve">CH2.10-80-310KAISI 310 (1.4841) </t>
  </si>
  <si>
    <t>000000000009064112</t>
  </si>
  <si>
    <t>CH2.10-100-310K</t>
  </si>
  <si>
    <t xml:space="preserve">CH2.10-100-310KAISI 310 (1.4841) </t>
  </si>
  <si>
    <t>000000000009054124</t>
  </si>
  <si>
    <t>CH2.10-120-310K</t>
  </si>
  <si>
    <t xml:space="preserve">CH2.10-120-310KAISI 310 (1.4841) </t>
  </si>
  <si>
    <t>000000000009068877</t>
  </si>
  <si>
    <t>CH2.10-130-310K</t>
  </si>
  <si>
    <t xml:space="preserve">CH2.10-130-310KAISI 310 (1.4841) </t>
  </si>
  <si>
    <t>000000000009047388</t>
  </si>
  <si>
    <t>CH2.10-140-310K</t>
  </si>
  <si>
    <t xml:space="preserve">CH2.10-140-310KAISI 310 (1.4841) </t>
  </si>
  <si>
    <t>000000000009099427</t>
  </si>
  <si>
    <t>CH2.10-150-310K</t>
  </si>
  <si>
    <t xml:space="preserve">CH2.10-150-310KAISI 310 (1.4841) </t>
  </si>
  <si>
    <t>000000000009019551</t>
  </si>
  <si>
    <t>CH2.10-160-309K</t>
  </si>
  <si>
    <t>CH2.10-160-309KAISI 309 (1.4828)</t>
  </si>
  <si>
    <t>000000000009078955</t>
  </si>
  <si>
    <t>CH2.10-160-310K</t>
  </si>
  <si>
    <t xml:space="preserve">CH2.10-160-310KAISI 310 (1.4841) </t>
  </si>
  <si>
    <t>000000000009058754</t>
  </si>
  <si>
    <t>CH2.10-160-314K</t>
  </si>
  <si>
    <t xml:space="preserve">CH2.10-160-314KAISI 314 (1.4841) </t>
  </si>
  <si>
    <t>000000000009040187</t>
  </si>
  <si>
    <t>CH2.10-170-310K</t>
  </si>
  <si>
    <t xml:space="preserve">CH2.10-170-310KAISI 310 (1.4841) </t>
  </si>
  <si>
    <t>000000000009046940</t>
  </si>
  <si>
    <t>CH2.10-175-304K</t>
  </si>
  <si>
    <t>CH2.10-175-304KAISI 304 (1.4301)</t>
  </si>
  <si>
    <t>000000000009097254</t>
  </si>
  <si>
    <t>CH2.10-180-309K</t>
  </si>
  <si>
    <t>CH2.10-180-309KAISI 309 (1.4828)</t>
  </si>
  <si>
    <t>000000000009033065</t>
  </si>
  <si>
    <t>CH2.10-180-310K</t>
  </si>
  <si>
    <t xml:space="preserve">CH2.10-180-310KAISI 310 (1.4841) </t>
  </si>
  <si>
    <t>000000000009042150</t>
  </si>
  <si>
    <t>CH2.10-190-310K</t>
  </si>
  <si>
    <t xml:space="preserve">CH2.10-190-310KAISI 310 (1.4841) </t>
  </si>
  <si>
    <t>000000000009047120</t>
  </si>
  <si>
    <t>CH2.10-200-304K</t>
  </si>
  <si>
    <t>CH2.10-200-304KAISI 304 (1.4301)</t>
  </si>
  <si>
    <t>000000000009107513</t>
  </si>
  <si>
    <t>CH2.10-200-309K</t>
  </si>
  <si>
    <t>CH2.10-200-309KAISI 309 (1.4828)</t>
  </si>
  <si>
    <t>000000000009038957</t>
  </si>
  <si>
    <t>CH2.10-200-310K</t>
  </si>
  <si>
    <t xml:space="preserve">CH2.10-200-310KAISI 310 (1.4841) </t>
  </si>
  <si>
    <t>000000000009045704</t>
  </si>
  <si>
    <t>CH2.10-200-314K</t>
  </si>
  <si>
    <t xml:space="preserve">CH2.10-200-314KAISI 314 (1.4841) </t>
  </si>
  <si>
    <t>000000000009035340</t>
  </si>
  <si>
    <t>CH2.10-210-310K</t>
  </si>
  <si>
    <t xml:space="preserve">CH2.10-210-310KAISI 310 (1.4841) </t>
  </si>
  <si>
    <t>000000000009047121</t>
  </si>
  <si>
    <t>CH2.10-220-304K</t>
  </si>
  <si>
    <t>CH2.10-220-304KAISI 304 (1.4301)</t>
  </si>
  <si>
    <t>000000000009042534</t>
  </si>
  <si>
    <t>CH2.10-220-309K</t>
  </si>
  <si>
    <t>CH2.10-220-309KAISI 309 (1.4828)</t>
  </si>
  <si>
    <t>000000000009042543</t>
  </si>
  <si>
    <t>CH2.10-220-310K</t>
  </si>
  <si>
    <t xml:space="preserve">CH2.10-220-310KAISI 310 (1.4841) </t>
  </si>
  <si>
    <t>000000000009047050</t>
  </si>
  <si>
    <t>CH2.10-230-309K</t>
  </si>
  <si>
    <t>CH2.10-230-309KAISI 309 (1.4828)</t>
  </si>
  <si>
    <t>000000000009099184</t>
  </si>
  <si>
    <t>CH2.10-230-310K</t>
  </si>
  <si>
    <t xml:space="preserve">CH2.10-230-310KAISI 310 (1.4841) </t>
  </si>
  <si>
    <t>000000000009051733</t>
  </si>
  <si>
    <t>CH2.10-230-314K</t>
  </si>
  <si>
    <t xml:space="preserve">CH2.10-230-314KAISI 314 (1.4841) </t>
  </si>
  <si>
    <t>000000000009040377</t>
  </si>
  <si>
    <t>CH2.10-240-310K</t>
  </si>
  <si>
    <t xml:space="preserve">CH2.10-240-310KAISI 310 (1.4841) </t>
  </si>
  <si>
    <t>000000000009045839</t>
  </si>
  <si>
    <t>CH2.10-250-309K</t>
  </si>
  <si>
    <t>CH2.10-250-309KAISI 309 (1.4828)</t>
  </si>
  <si>
    <t>000000000009055426</t>
  </si>
  <si>
    <t>CH2.10-250-310K</t>
  </si>
  <si>
    <t xml:space="preserve">CH2.10-250-310KAISI 310 (1.4841) </t>
  </si>
  <si>
    <t>000000000009045810</t>
  </si>
  <si>
    <t>CH2.10-260-314K</t>
  </si>
  <si>
    <t xml:space="preserve">CH2.10-260-314KAISI 314 (1.4841) </t>
  </si>
  <si>
    <t>000000000009028125</t>
  </si>
  <si>
    <t>CH2.10-270-309K</t>
  </si>
  <si>
    <t>CH2.10-270-309KAISI 309 (1.4828)</t>
  </si>
  <si>
    <t>000000000009055427</t>
  </si>
  <si>
    <t>CH2.10-270-310K</t>
  </si>
  <si>
    <t xml:space="preserve">CH2.10-270-310KAISI 310 (1.4841) </t>
  </si>
  <si>
    <t>000000000009028066</t>
  </si>
  <si>
    <t>CH2.10-280-310K</t>
  </si>
  <si>
    <t xml:space="preserve">CH2.10-280-310KAISI 310 (1.4841) </t>
  </si>
  <si>
    <t>000000000009050425</t>
  </si>
  <si>
    <t>CH2.10-290-310K</t>
  </si>
  <si>
    <t xml:space="preserve">CH2.10-290-310KAISI 310 (1.4841) </t>
  </si>
  <si>
    <t>000000000009046850</t>
  </si>
  <si>
    <t>CH2.10-290-314K</t>
  </si>
  <si>
    <t xml:space="preserve">CH2.10-290-314KAISI 314 (1.4841) </t>
  </si>
  <si>
    <t>000000000009027481</t>
  </si>
  <si>
    <t>CH2.10-300-304K</t>
  </si>
  <si>
    <t>CH2.10-300-304KAISI 304 (1.4301)</t>
  </si>
  <si>
    <t>000000000009097255</t>
  </si>
  <si>
    <t>CH2.10-300-310K</t>
  </si>
  <si>
    <t xml:space="preserve">CH2.10-300-310KAISI 310 (1.4841) </t>
  </si>
  <si>
    <t>000000000009016446</t>
  </si>
  <si>
    <t>CH2.10-300-314K</t>
  </si>
  <si>
    <t xml:space="preserve">CH2.10-300-314KAISI 314 (1.4841) </t>
  </si>
  <si>
    <t>000000000009034980</t>
  </si>
  <si>
    <t>CH2.10-350-310K</t>
  </si>
  <si>
    <t xml:space="preserve">CH2.10-350-310KAISI 310 (1.4841) </t>
  </si>
  <si>
    <t>000000000009106398</t>
  </si>
  <si>
    <t>CH2.12-090-310K</t>
  </si>
  <si>
    <t xml:space="preserve">CH2.12-090-310KAISI 310 (1.4841) </t>
  </si>
  <si>
    <t>000000000009113830</t>
  </si>
  <si>
    <t>CH2.12-120-310K</t>
  </si>
  <si>
    <t xml:space="preserve">CH2.12-120-310KAISI 310 (1.4841) </t>
  </si>
  <si>
    <t>000000000009071540</t>
  </si>
  <si>
    <t>CH2.12-150-310K</t>
  </si>
  <si>
    <t xml:space="preserve">CH2.12-150-310KAISI 310 (1.4841) </t>
  </si>
  <si>
    <t>000000000009113832</t>
  </si>
  <si>
    <t>CH2.12-160-304K</t>
  </si>
  <si>
    <t>CH2.12-160-304KAISI 304 (1.4301)</t>
  </si>
  <si>
    <t>000000000009100745</t>
  </si>
  <si>
    <t>CH2.12-160-310K</t>
  </si>
  <si>
    <t xml:space="preserve">CH2.12-160-310KAISI 310 (1.4841) </t>
  </si>
  <si>
    <t>000000000009071541</t>
  </si>
  <si>
    <t>CH2.12-180-310K</t>
  </si>
  <si>
    <t xml:space="preserve">CH2.12-180-310KAISI 310 (1.4841) </t>
  </si>
  <si>
    <t>000000000009071543</t>
  </si>
  <si>
    <t>CH2.12-190-310K</t>
  </si>
  <si>
    <t xml:space="preserve">CH2.12-190-310KAISI 310 (1.4841) </t>
  </si>
  <si>
    <t>000000000009108929</t>
  </si>
  <si>
    <t>CH2.12-200-310K</t>
  </si>
  <si>
    <t xml:space="preserve">CH2.12-200-310KAISI 310 (1.4841) </t>
  </si>
  <si>
    <t>000000000009071542</t>
  </si>
  <si>
    <t>CH2.12-220-304K</t>
  </si>
  <si>
    <t>CH2.12-220-304KAISI 304 (1.4301)</t>
  </si>
  <si>
    <t>000000000009081930</t>
  </si>
  <si>
    <t>CH2.12-220-310K</t>
  </si>
  <si>
    <t xml:space="preserve">CH2.12-220-310KAISI 310 (1.4841) </t>
  </si>
  <si>
    <t>000000000009081823</t>
  </si>
  <si>
    <t>CH2.12-250-310K</t>
  </si>
  <si>
    <t xml:space="preserve">CH2.12-250-310KAISI 310 (1.4841) </t>
  </si>
  <si>
    <t>000000000009084511</t>
  </si>
  <si>
    <t>CH2.12-280-310K</t>
  </si>
  <si>
    <t xml:space="preserve">CH2.12-280-310KAISI 310 (1.4841) </t>
  </si>
  <si>
    <t>000000000009101713</t>
  </si>
  <si>
    <t>CH2.12-350-310K</t>
  </si>
  <si>
    <t xml:space="preserve">CH2.12-350-310KAISI 310 (1.4841) </t>
  </si>
  <si>
    <t>000000000009101712</t>
  </si>
  <si>
    <t>CH2.6-35-304K</t>
  </si>
  <si>
    <t>CH2.6-35-304KAISI 304 (1.4301)</t>
  </si>
  <si>
    <t>000000000009097251</t>
  </si>
  <si>
    <t>CH2.6-35-310K</t>
  </si>
  <si>
    <t xml:space="preserve">CH2.6-35-310KAISI 310 (1.4841) </t>
  </si>
  <si>
    <t>000000000009077392</t>
  </si>
  <si>
    <t>CH2.6-40-309K</t>
  </si>
  <si>
    <t>CH2.6-40-309KAISI 309 (1.4828)</t>
  </si>
  <si>
    <t>000000000009110587</t>
  </si>
  <si>
    <t>CH2.6-40-310K</t>
  </si>
  <si>
    <t xml:space="preserve">CH2.6-40-310KAISI 310 (1.4841) </t>
  </si>
  <si>
    <t>000000000009103170</t>
  </si>
  <si>
    <t>CH2.6-45-310K</t>
  </si>
  <si>
    <t xml:space="preserve">CH2.6-45-310KAISI 310 (1.4841) </t>
  </si>
  <si>
    <t>000000000009013880</t>
  </si>
  <si>
    <t>CH2.6-50-309K</t>
  </si>
  <si>
    <t>CH2.6-50-309KAISI 309 (1.4828)</t>
  </si>
  <si>
    <t>000000000009021380</t>
  </si>
  <si>
    <t>CH2.6-50-310K</t>
  </si>
  <si>
    <t xml:space="preserve">CH2.6-50-310KAISI 310 (1.4841) </t>
  </si>
  <si>
    <t>000000000009017843</t>
  </si>
  <si>
    <t>CH2.6-50-314K</t>
  </si>
  <si>
    <t xml:space="preserve">CH2.6-50-314KAISI 314 (1.4841) </t>
  </si>
  <si>
    <t>000000000009003647</t>
  </si>
  <si>
    <t>CH2.6-55-304K</t>
  </si>
  <si>
    <t>CH2.6-55-304KAISI 304 (1.4301)</t>
  </si>
  <si>
    <t>000000000009101236</t>
  </si>
  <si>
    <t>CH2.6-55-309K</t>
  </si>
  <si>
    <t>CH2.6-55-309KAISI 309 (1.4828)</t>
  </si>
  <si>
    <t>000000000009079251</t>
  </si>
  <si>
    <t>CH2.6-55-310K</t>
  </si>
  <si>
    <t xml:space="preserve">CH2.6-55-310KAISI 310 (1.4841) </t>
  </si>
  <si>
    <t>000000000009016382</t>
  </si>
  <si>
    <t>CH2.6-55-314K</t>
  </si>
  <si>
    <t xml:space="preserve">CH2.6-55-314KAISI 314 (1.4841) </t>
  </si>
  <si>
    <t>000000000009110989</t>
  </si>
  <si>
    <t>CH2.6-60-304K</t>
  </si>
  <si>
    <t>CH2.6-60-304KAISI 304 (1.4301)</t>
  </si>
  <si>
    <t>000000000009107026</t>
  </si>
  <si>
    <t>CH2.6-60-309K</t>
  </si>
  <si>
    <t>CH2.6-60-309KAISI 309 (1.4828)</t>
  </si>
  <si>
    <t>000000000009102867</t>
  </si>
  <si>
    <t>CH2.6-60-310K</t>
  </si>
  <si>
    <t xml:space="preserve">CH2.6-60-310KAISI 310 (1.4841) </t>
  </si>
  <si>
    <t>000000000009042724</t>
  </si>
  <si>
    <t>CH2.6-60-314K</t>
  </si>
  <si>
    <t xml:space="preserve">CH2.6-60-314KAISI 314 (1.4841) </t>
  </si>
  <si>
    <t>000000000009039984</t>
  </si>
  <si>
    <t>CH2.6-65-304K</t>
  </si>
  <si>
    <t>CH2.6-65-304KAISI 304 (1.4301)</t>
  </si>
  <si>
    <t>000000000009036851</t>
  </si>
  <si>
    <t>CH2.6-65-310K</t>
  </si>
  <si>
    <t xml:space="preserve">CH2.6-65-310KAISI 310 (1.4841) </t>
  </si>
  <si>
    <t>000000000009032448</t>
  </si>
  <si>
    <t>CH2.6-70-304K</t>
  </si>
  <si>
    <t>CH2.6-70-304KAISI 304 (1.4301)</t>
  </si>
  <si>
    <t>000000000009065631</t>
  </si>
  <si>
    <t>CH2.6-70-309K</t>
  </si>
  <si>
    <t>CH2.6-70-309KAISI 309 (1.4828)</t>
  </si>
  <si>
    <t>000000000009027761</t>
  </si>
  <si>
    <t>CH2.6-70-310K</t>
  </si>
  <si>
    <t xml:space="preserve">CH2.6-70-310KAISI 310 (1.4841) </t>
  </si>
  <si>
    <t>000000000009010636</t>
  </si>
  <si>
    <t>CH2.6-70-314K</t>
  </si>
  <si>
    <t xml:space="preserve">CH2.6-70-314KAISI 314 (1.4841) </t>
  </si>
  <si>
    <t>000000000009003649</t>
  </si>
  <si>
    <t>CH2.6-75-304K</t>
  </si>
  <si>
    <t>CH2.6-75-304KAISI 304 (1.4301)</t>
  </si>
  <si>
    <t>000000000009078753</t>
  </si>
  <si>
    <t>CH2.6-75-309K</t>
  </si>
  <si>
    <t>CH2.6-75-309KAISI 309 (1.4828)</t>
  </si>
  <si>
    <t>000000000009027105</t>
  </si>
  <si>
    <t>CH2.6-75-310K</t>
  </si>
  <si>
    <t xml:space="preserve">CH2.6-75-310KAISI 310 (1.4841) </t>
  </si>
  <si>
    <t>000000000009016455</t>
  </si>
  <si>
    <t>CH2.6-75-314K</t>
  </si>
  <si>
    <t xml:space="preserve">CH2.6-75-314KAISI 314 (1.4841) </t>
  </si>
  <si>
    <t>000000000009002513</t>
  </si>
  <si>
    <t>CH2.6-80-304K</t>
  </si>
  <si>
    <t>CH2.6-80-304KAISI 304 (1.4301)</t>
  </si>
  <si>
    <t>000000000009016514</t>
  </si>
  <si>
    <t>CH2.6-80-309K</t>
  </si>
  <si>
    <t>CH2.6-80-309KAISI 309 (1.4828)</t>
  </si>
  <si>
    <t>000000000009011384</t>
  </si>
  <si>
    <t>CH2.6-80-310K</t>
  </si>
  <si>
    <t xml:space="preserve">CH2.6-80-310KAISI 310 (1.4841) </t>
  </si>
  <si>
    <t>000000000009010134</t>
  </si>
  <si>
    <t>CH2.6-80-314K</t>
  </si>
  <si>
    <t xml:space="preserve">CH2.6-80-314KAISI 314 (1.4841) </t>
  </si>
  <si>
    <t>000000000009017281</t>
  </si>
  <si>
    <t>CH2.6-85-304K</t>
  </si>
  <si>
    <t>CH2.6-85-304KAISI 304 (1.4301)</t>
  </si>
  <si>
    <t>000000000009101283</t>
  </si>
  <si>
    <t>CH2.6-85-310K</t>
  </si>
  <si>
    <t xml:space="preserve">CH2.6-85-310KAISI 310 (1.4841) </t>
  </si>
  <si>
    <t>000000000009038150</t>
  </si>
  <si>
    <t>CH2.6-90-304K</t>
  </si>
  <si>
    <t>CH2.6-90-304KAISI 304 (1.4301)</t>
  </si>
  <si>
    <t>000000000009055814</t>
  </si>
  <si>
    <t>CH2.6-90-309K</t>
  </si>
  <si>
    <t>CH2.6-90-309KAISI 309 (1.4828)</t>
  </si>
  <si>
    <t>000000000009017853</t>
  </si>
  <si>
    <t>CH2.6-90-310K</t>
  </si>
  <si>
    <t xml:space="preserve">CH2.6-90-310KAISI 310 (1.4841) </t>
  </si>
  <si>
    <t>000000000009015954</t>
  </si>
  <si>
    <t>CH2.6-90-314K</t>
  </si>
  <si>
    <t xml:space="preserve">CH2.6-90-314KAISI 314 (1.4841) </t>
  </si>
  <si>
    <t>000000000009023160</t>
  </si>
  <si>
    <t>CH2.6-100-304K</t>
  </si>
  <si>
    <t>CH2.6-100-304KAISI 304 (1.4301)</t>
  </si>
  <si>
    <t>000000000009060392</t>
  </si>
  <si>
    <t>CH2.6-100-309K</t>
  </si>
  <si>
    <t>CH2.6-100-309KAISI 309 (1.4828)</t>
  </si>
  <si>
    <t>000000000009036163</t>
  </si>
  <si>
    <t>CH2.6-100-310K</t>
  </si>
  <si>
    <t xml:space="preserve">CH2.6-100-310KAISI 310 (1.4841) </t>
  </si>
  <si>
    <t>000000000009010774</t>
  </si>
  <si>
    <t>CH2.6-100-314K</t>
  </si>
  <si>
    <t xml:space="preserve">CH2.6-100-314KAISI 314 (1.4841) </t>
  </si>
  <si>
    <t>000000000009002514</t>
  </si>
  <si>
    <t>CH2.6-110-304K</t>
  </si>
  <si>
    <t>CH2.6-110-304KAISI 304 (1.4301)</t>
  </si>
  <si>
    <t>000000000009069683</t>
  </si>
  <si>
    <t>CH2.6-110-310K</t>
  </si>
  <si>
    <t xml:space="preserve">CH2.6-110-310KAISI 310 (1.4841) </t>
  </si>
  <si>
    <t>000000000009038152</t>
  </si>
  <si>
    <t>CH2.6-110-314K</t>
  </si>
  <si>
    <t xml:space="preserve">CH2.6-110-314KAISI 314 (1.4841) </t>
  </si>
  <si>
    <t>000000000009026120</t>
  </si>
  <si>
    <t>CH2.6-120-304K</t>
  </si>
  <si>
    <t>CH2.6-120-304KAISI 304 (1.4301)</t>
  </si>
  <si>
    <t>000000000009057475</t>
  </si>
  <si>
    <t>CH2.6-120-309K</t>
  </si>
  <si>
    <t>CH2.6-120-309KAISI 309 (1.4828)</t>
  </si>
  <si>
    <t>000000000009011386</t>
  </si>
  <si>
    <t>CH2.6-120-310K</t>
  </si>
  <si>
    <t xml:space="preserve">CH2.6-120-310KAISI 310 (1.4841) </t>
  </si>
  <si>
    <t>000000000009010164</t>
  </si>
  <si>
    <t>CH2.6-120-314K</t>
  </si>
  <si>
    <t xml:space="preserve">CH2.6-120-314KAISI 314 (1.4841) </t>
  </si>
  <si>
    <t>000000000009012632</t>
  </si>
  <si>
    <t>CH2.6-125-304K</t>
  </si>
  <si>
    <t>CH2.6-125-304KAISI 304 (1.4301)</t>
  </si>
  <si>
    <t>000000000009097054</t>
  </si>
  <si>
    <t>CH2.6-125-310K</t>
  </si>
  <si>
    <t xml:space="preserve">CH2.6-125-310KAISI 310 (1.4841) </t>
  </si>
  <si>
    <t>000000000009078732</t>
  </si>
  <si>
    <t>CH2.6-130-304K</t>
  </si>
  <si>
    <t>CH2.6-130-304KAISI 304 (1.4301)</t>
  </si>
  <si>
    <t>000000000009065652</t>
  </si>
  <si>
    <t>CH2.6-130-310K</t>
  </si>
  <si>
    <t xml:space="preserve">CH2.6-130-310KAISI 310 (1.4841) </t>
  </si>
  <si>
    <t>000000000009010988</t>
  </si>
  <si>
    <t>CH2.6-130-314K</t>
  </si>
  <si>
    <t xml:space="preserve">CH2.6-130-314KAISI 314 (1.4841) </t>
  </si>
  <si>
    <t>000000000009003891</t>
  </si>
  <si>
    <t>CH2.6-140-304K</t>
  </si>
  <si>
    <t>CH2.6-140-304KAISI 304 (1.4301)</t>
  </si>
  <si>
    <t>000000000009065651</t>
  </si>
  <si>
    <t>CH2.6-140-310K</t>
  </si>
  <si>
    <t xml:space="preserve">CH2.6-140-310KAISI 310 (1.4841) </t>
  </si>
  <si>
    <t>000000000009038153</t>
  </si>
  <si>
    <t>CH2.6-140-314K</t>
  </si>
  <si>
    <t xml:space="preserve">CH2.6-140-314KAISI 314 (1.4841) </t>
  </si>
  <si>
    <t>000000000009017280</t>
  </si>
  <si>
    <t>CH2.6-150-304K</t>
  </si>
  <si>
    <t>CH2.6-150-304KAISI 304 (1.4301)</t>
  </si>
  <si>
    <t>000000000009072327</t>
  </si>
  <si>
    <t>CH2.6-150-309K</t>
  </si>
  <si>
    <t>CH2.6-150-309KAISI 309 (1.4828)</t>
  </si>
  <si>
    <t>000000000009071258</t>
  </si>
  <si>
    <t>CH2.6-150-310K</t>
  </si>
  <si>
    <t xml:space="preserve">CH2.6-150-310KAISI 310 (1.4841) </t>
  </si>
  <si>
    <t>000000000009016784</t>
  </si>
  <si>
    <t>CH2.6-155-310K</t>
  </si>
  <si>
    <t xml:space="preserve">CH2.6-155-310KAISI 310 (1.4841) </t>
  </si>
  <si>
    <t>000000000009081694</t>
  </si>
  <si>
    <t>CH2.6-160-310K</t>
  </si>
  <si>
    <t xml:space="preserve">CH2.6-160-310KAISI 310 (1.4841) </t>
  </si>
  <si>
    <t>000000000009038154</t>
  </si>
  <si>
    <t>CH2.6-170-309K</t>
  </si>
  <si>
    <t>CH2.6-170-309KAISI 309 (1.4828)</t>
  </si>
  <si>
    <t>000000000009104152</t>
  </si>
  <si>
    <t>CH2.6-175-304K</t>
  </si>
  <si>
    <t>CH2.6-175-304KAISI 304 (1.4301)</t>
  </si>
  <si>
    <t>000000000009097056</t>
  </si>
  <si>
    <t>CH2.6-175-310K</t>
  </si>
  <si>
    <t xml:space="preserve">CH2.6-175-310KAISI 310 (1.4841) </t>
  </si>
  <si>
    <t>000000000009078737</t>
  </si>
  <si>
    <t>CH2.6-180-304K</t>
  </si>
  <si>
    <t>CH2.6-180-304KAISI 304 (1.4301)</t>
  </si>
  <si>
    <t>000000000009065650</t>
  </si>
  <si>
    <t>CH2.6-190-314K</t>
  </si>
  <si>
    <t xml:space="preserve">CH2.6-190-314KAISI 314 (1.4841) </t>
  </si>
  <si>
    <t>000000000009026785</t>
  </si>
  <si>
    <t>CH2.6-200-310K</t>
  </si>
  <si>
    <t xml:space="preserve">CH2.6-200-310KAISI 310 (1.4841) </t>
  </si>
  <si>
    <t>000000000009038155</t>
  </si>
  <si>
    <t>CH2.6-200-314K</t>
  </si>
  <si>
    <t xml:space="preserve">CH2.6-200-314KAISI 314 (1.4841) </t>
  </si>
  <si>
    <t>000000000009027316</t>
  </si>
  <si>
    <t>CH2.6-250-310K</t>
  </si>
  <si>
    <t xml:space="preserve">CH2.6-250-310KAISI 310 (1.4841) </t>
  </si>
  <si>
    <t>000000000009078744</t>
  </si>
  <si>
    <t>CH2.6-270-310K</t>
  </si>
  <si>
    <t xml:space="preserve">CH2.6-270-310KAISI 310 (1.4841) </t>
  </si>
  <si>
    <t>000000000009082010</t>
  </si>
  <si>
    <t>CH2.6-275-310K</t>
  </si>
  <si>
    <t xml:space="preserve">CH2.6-275-310KAISI 310 (1.4841) </t>
  </si>
  <si>
    <t>000000000009114276</t>
  </si>
  <si>
    <t>CH2.6-290-310K</t>
  </si>
  <si>
    <t xml:space="preserve">CH2.6-290-310KAISI 310 (1.4841) </t>
  </si>
  <si>
    <t>000000000009061998</t>
  </si>
  <si>
    <t>CH2.8-50-310K</t>
  </si>
  <si>
    <t xml:space="preserve">CH2.8-50-310KAISI 310 (1.4841) </t>
  </si>
  <si>
    <t>000000000009072642</t>
  </si>
  <si>
    <t>CH2.8-55-310K</t>
  </si>
  <si>
    <t xml:space="preserve">CH2.8-55-310KAISI 310 (1.4841) </t>
  </si>
  <si>
    <t>000000000009045582</t>
  </si>
  <si>
    <t>CH2.8-60-310K</t>
  </si>
  <si>
    <t xml:space="preserve">CH2.8-60-310KAISI 310 (1.4841) </t>
  </si>
  <si>
    <t>000000000009012654</t>
  </si>
  <si>
    <t>CH2.8-65-310K</t>
  </si>
  <si>
    <t xml:space="preserve">CH2.8-65-310KAISI 310 (1.4841) </t>
  </si>
  <si>
    <t>000000000009081950</t>
  </si>
  <si>
    <t>CH2.8-70-310K</t>
  </si>
  <si>
    <t xml:space="preserve">CH2.8-70-310KAISI 310 (1.4841) </t>
  </si>
  <si>
    <t>000000000009008940</t>
  </si>
  <si>
    <t>CH2.8-75-304K</t>
  </si>
  <si>
    <t>CH2.8-75-304KAISI 304 (1.4301)</t>
  </si>
  <si>
    <t>000000000009097256</t>
  </si>
  <si>
    <t>CH2.8-75-309K</t>
  </si>
  <si>
    <t>CH2.8-75-309KAISI 309 (1.4828)</t>
  </si>
  <si>
    <t>000000000009027344</t>
  </si>
  <si>
    <t>CH2.8-75-310K</t>
  </si>
  <si>
    <t xml:space="preserve">CH2.8-75-310KAISI 310 (1.4841) </t>
  </si>
  <si>
    <t>000000000009051313</t>
  </si>
  <si>
    <t>CH2.8-80-304K</t>
  </si>
  <si>
    <t>CH2.8-80-304KAISI 304 (1.4301)</t>
  </si>
  <si>
    <t>000000000009097717</t>
  </si>
  <si>
    <t>CH2.8-80-310K</t>
  </si>
  <si>
    <t xml:space="preserve">CH2.8-80-310KAISI 310 (1.4841) </t>
  </si>
  <si>
    <t>000000000009049893</t>
  </si>
  <si>
    <t>CH2.8-85-314K</t>
  </si>
  <si>
    <t xml:space="preserve">CH2.8-85-314KAISI 314 (1.4841) </t>
  </si>
  <si>
    <t>000000000009038536</t>
  </si>
  <si>
    <t>CH2.8-90-304K</t>
  </si>
  <si>
    <t>CH2.8-90-304KAISI 304 (1.4301)</t>
  </si>
  <si>
    <t>000000000009055818</t>
  </si>
  <si>
    <t>CH2.8-90-309K</t>
  </si>
  <si>
    <t>CH2.8-90-309KAISI 309 (1.4828)</t>
  </si>
  <si>
    <t>000000000009040788</t>
  </si>
  <si>
    <t>CH2.8-90-310K</t>
  </si>
  <si>
    <t xml:space="preserve">CH2.8-90-310KAISI 310 (1.4841) </t>
  </si>
  <si>
    <t>000000000009025082</t>
  </si>
  <si>
    <t>CH2.8-90-314K</t>
  </si>
  <si>
    <t xml:space="preserve">CH2.8-90-314KAISI 314 (1.4841) </t>
  </si>
  <si>
    <t>000000000009040989</t>
  </si>
  <si>
    <t>CH2.8-100-309K</t>
  </si>
  <si>
    <t>CH2.8-100-309KAISI 309 (1.4828)</t>
  </si>
  <si>
    <t>000000000009027102</t>
  </si>
  <si>
    <t>CH2.8-100-310K</t>
  </si>
  <si>
    <t xml:space="preserve">CH2.8-100-310KAISI 310 (1.4841) </t>
  </si>
  <si>
    <t>000000000009032140</t>
  </si>
  <si>
    <t>CH2.8-100-314K</t>
  </si>
  <si>
    <t xml:space="preserve">CH2.8-100-314KAISI 314 (1.4841) </t>
  </si>
  <si>
    <t>000000000009027100</t>
  </si>
  <si>
    <t>CH2.8-105-310K</t>
  </si>
  <si>
    <t xml:space="preserve">CH2.8-105-310KAISI 310 (1.4841) </t>
  </si>
  <si>
    <t>000000000009108572</t>
  </si>
  <si>
    <t>CH2.8-110-304K</t>
  </si>
  <si>
    <t>CH2.8-110-304KAISI 304 (1.4301)</t>
  </si>
  <si>
    <t>000000000009050117</t>
  </si>
  <si>
    <t>CH2.8-110-310K</t>
  </si>
  <si>
    <t xml:space="preserve">CH2.8-110-310KAISI 310 (1.4841) </t>
  </si>
  <si>
    <t>000000000009034747</t>
  </si>
  <si>
    <t>CH2.8-110-314K</t>
  </si>
  <si>
    <t xml:space="preserve">CH2.8-110-314KAISI 314 (1.4841) </t>
  </si>
  <si>
    <t>000000000009035065</t>
  </si>
  <si>
    <t>CH2.8-115-309K</t>
  </si>
  <si>
    <t>CH2.8-115-309KAISI 309 (1.4828)</t>
  </si>
  <si>
    <t>000000000009108846</t>
  </si>
  <si>
    <t>CH2.8-115-310K</t>
  </si>
  <si>
    <t xml:space="preserve">CH2.8-115-310KAISI 310 (1.4841) </t>
  </si>
  <si>
    <t>000000000009107896</t>
  </si>
  <si>
    <t>CH2.8-120-304K</t>
  </si>
  <si>
    <t>CH2.8-120-304KAISI 304 (1.4301)</t>
  </si>
  <si>
    <t>000000000009074828</t>
  </si>
  <si>
    <t>CH2.8-120-309K</t>
  </si>
  <si>
    <t>CH2.8-120-309KAISI 309 (1.4828)</t>
  </si>
  <si>
    <t>000000000009074803</t>
  </si>
  <si>
    <t>CH2.8-120-310K</t>
  </si>
  <si>
    <t xml:space="preserve">CH2.8-120-310KAISI 310 (1.4841) </t>
  </si>
  <si>
    <t>000000000009005157</t>
  </si>
  <si>
    <t>CH2.8-130-304K</t>
  </si>
  <si>
    <t>CH2.8-130-304KAISI 304 (1.4301)</t>
  </si>
  <si>
    <t>000000000009097257</t>
  </si>
  <si>
    <t>CH2.8-130-309K</t>
  </si>
  <si>
    <t>CH2.8-130-309KAISI 309 (1.4828)</t>
  </si>
  <si>
    <t>000000000009040789</t>
  </si>
  <si>
    <t>CH2.8-130-310K</t>
  </si>
  <si>
    <t xml:space="preserve">CH2.8-130-310KAISI 310 (1.4841) </t>
  </si>
  <si>
    <t>000000000009107833</t>
  </si>
  <si>
    <t>CH2.8-130-314K</t>
  </si>
  <si>
    <t xml:space="preserve">CH2.8-130-314KAISI 314 (1.4841) </t>
  </si>
  <si>
    <t>000000000009030522</t>
  </si>
  <si>
    <t>CH2.8-135-310K</t>
  </si>
  <si>
    <t xml:space="preserve">CH2.8-135-310KAISI 310 (1.4841) </t>
  </si>
  <si>
    <t>000000000009080949</t>
  </si>
  <si>
    <t>CH2.8-140-309K</t>
  </si>
  <si>
    <t>CH2.8-140-309KAISI 309 (1.4828)</t>
  </si>
  <si>
    <t>000000000009039177</t>
  </si>
  <si>
    <t>CH2.8-140-310K</t>
  </si>
  <si>
    <t xml:space="preserve">CH2.8-140-310KAISI 310 (1.4841) </t>
  </si>
  <si>
    <t>000000000009055186</t>
  </si>
  <si>
    <t>CH2.8-150-304K</t>
  </si>
  <si>
    <t>CH2.8-150-304KAISI 304 (1.4301)</t>
  </si>
  <si>
    <t>000000000009050286</t>
  </si>
  <si>
    <t>CH2.8-150-309K</t>
  </si>
  <si>
    <t>CH2.8-150-309KAISI 309 (1.4828)</t>
  </si>
  <si>
    <t>000000000009010790</t>
  </si>
  <si>
    <t>CH2.8-150-310K</t>
  </si>
  <si>
    <t xml:space="preserve">CH2.8-150-310KAISI 310 (1.4841) </t>
  </si>
  <si>
    <t>000000000009034843</t>
  </si>
  <si>
    <t>CH2.8-150-314K</t>
  </si>
  <si>
    <t xml:space="preserve">CH2.8-150-314KAISI 314 (1.4841) </t>
  </si>
  <si>
    <t>000000000009017951</t>
  </si>
  <si>
    <t>CH2.8-160-304K</t>
  </si>
  <si>
    <t>CH2.8-160-304KAISI 304 (1.4301)</t>
  </si>
  <si>
    <t>000000000009107511</t>
  </si>
  <si>
    <t>CH2.8-160-309K</t>
  </si>
  <si>
    <t>CH2.8-160-309KAISI 309 (1.4828)</t>
  </si>
  <si>
    <t>000000000009023705</t>
  </si>
  <si>
    <t>CH2.8-160-310K</t>
  </si>
  <si>
    <t xml:space="preserve">CH2.8-160-310KAISI 310 (1.4841) </t>
  </si>
  <si>
    <t>000000000009011248</t>
  </si>
  <si>
    <t>CH2.8-160-314K</t>
  </si>
  <si>
    <t xml:space="preserve">CH2.8-160-314KAISI 314 (1.4841) </t>
  </si>
  <si>
    <t>000000000009024448</t>
  </si>
  <si>
    <t>CH2.8-165-310K</t>
  </si>
  <si>
    <t xml:space="preserve">CH2.8-165-310KAISI 310 (1.4841) </t>
  </si>
  <si>
    <t>000000000009080981</t>
  </si>
  <si>
    <t>CH2.8-170-309K</t>
  </si>
  <si>
    <t>CH2.8-170-309KAISI 309 (1.4828)</t>
  </si>
  <si>
    <t>000000000009048161</t>
  </si>
  <si>
    <t>CH2.8-170-310K</t>
  </si>
  <si>
    <t xml:space="preserve">CH2.8-170-310KAISI 310 (1.4841) </t>
  </si>
  <si>
    <t>000000000009012514</t>
  </si>
  <si>
    <t>CH2.8-170-314K</t>
  </si>
  <si>
    <t xml:space="preserve">CH2.8-170-314KAISI 314 (1.4841) </t>
  </si>
  <si>
    <t>000000000009023190</t>
  </si>
  <si>
    <t>CH2.8-180-304K</t>
  </si>
  <si>
    <t>CH2.8-180-304KAISI 304 (1.4301)</t>
  </si>
  <si>
    <t>000000000009050285</t>
  </si>
  <si>
    <t>CH2.8-180-310K</t>
  </si>
  <si>
    <t xml:space="preserve">CH2.8-180-310KAISI 310 (1.4841) </t>
  </si>
  <si>
    <t>000000000009011008</t>
  </si>
  <si>
    <t>CH2.8-180-314K</t>
  </si>
  <si>
    <t xml:space="preserve">CH2.8-180-314KAISI 314 (1.4841) </t>
  </si>
  <si>
    <t>000000000009018684</t>
  </si>
  <si>
    <t>CH2.8-185-310K</t>
  </si>
  <si>
    <t xml:space="preserve">CH2.8-185-310KAISI 310 (1.4841) </t>
  </si>
  <si>
    <t>000000000009097673</t>
  </si>
  <si>
    <t>CH2.8-190-309K</t>
  </si>
  <si>
    <t>CH2.8-190-309KAISI 309 (1.4828)</t>
  </si>
  <si>
    <t>000000000009011385</t>
  </si>
  <si>
    <t>CH2.8-190-310K</t>
  </si>
  <si>
    <t xml:space="preserve">CH2.8-190-310KAISI 310 (1.4841) </t>
  </si>
  <si>
    <t>000000000009017475</t>
  </si>
  <si>
    <t>CH2.8-190-314K</t>
  </si>
  <si>
    <t xml:space="preserve">CH2.8-190-314KAISI 314 (1.4841) </t>
  </si>
  <si>
    <t>000000000009017193</t>
  </si>
  <si>
    <t>CH2.8-195-310K</t>
  </si>
  <si>
    <t xml:space="preserve">CH2.8-195-310KAISI 310 (1.4841) </t>
  </si>
  <si>
    <t>000000000009080980</t>
  </si>
  <si>
    <t>CH2.8-200-309K</t>
  </si>
  <si>
    <t>CH2.8-200-309KAISI 309 (1.4828)</t>
  </si>
  <si>
    <t>000000000009025990</t>
  </si>
  <si>
    <t>CH2.8-200-310K</t>
  </si>
  <si>
    <t xml:space="preserve">CH2.8-200-310KAISI 310 (1.4841) </t>
  </si>
  <si>
    <t>000000000009007541</t>
  </si>
  <si>
    <t>CH2.8-200-314K</t>
  </si>
  <si>
    <t xml:space="preserve">CH2.8-200-314KAISI 314 (1.4841) </t>
  </si>
  <si>
    <t>000000000009023161</t>
  </si>
  <si>
    <t>CH2.8-210-310K</t>
  </si>
  <si>
    <t xml:space="preserve">CH2.8-210-310KAISI 310 (1.4841) </t>
  </si>
  <si>
    <t>000000000009051489</t>
  </si>
  <si>
    <t>CH2.8-210-314K</t>
  </si>
  <si>
    <t xml:space="preserve">CH2.8-210-314KAISI 314 (1.4841) </t>
  </si>
  <si>
    <t>000000000009083364</t>
  </si>
  <si>
    <t>CH2.8-220-304K</t>
  </si>
  <si>
    <t>CH2.8-220-304KAISI 304 (1.4301)</t>
  </si>
  <si>
    <t>000000000009059039</t>
  </si>
  <si>
    <t>CH2.8-220-309K</t>
  </si>
  <si>
    <t>CH2.8-220-309KAISI 309 (1.4828)</t>
  </si>
  <si>
    <t>000000000009018319</t>
  </si>
  <si>
    <t>CH2.8-220-310K</t>
  </si>
  <si>
    <t xml:space="preserve">CH2.8-220-310KAISI 310 (1.4841) </t>
  </si>
  <si>
    <t>000000000009015208</t>
  </si>
  <si>
    <t>CH2.8-220-314K</t>
  </si>
  <si>
    <t xml:space="preserve">CH2.8-220-314KAISI 314 (1.4841) </t>
  </si>
  <si>
    <t>000000000009035493</t>
  </si>
  <si>
    <t>CH2.8-230-310K</t>
  </si>
  <si>
    <t xml:space="preserve">CH2.8-230-310KAISI 310 (1.4841) </t>
  </si>
  <si>
    <t>000000000009010989</t>
  </si>
  <si>
    <t>CH2.8-230-314K</t>
  </si>
  <si>
    <t xml:space="preserve">CH2.8-230-314KAISI 314 (1.4841) </t>
  </si>
  <si>
    <t>000000000009017856</t>
  </si>
  <si>
    <t>CH2.8-240-310K</t>
  </si>
  <si>
    <t xml:space="preserve">CH2.8-240-310KAISI 310 (1.4841) </t>
  </si>
  <si>
    <t>000000000009079656</t>
  </si>
  <si>
    <t>CH2.8-250-309K</t>
  </si>
  <si>
    <t>CH2.8-250-309KAISI 309 (1.4828)</t>
  </si>
  <si>
    <t>000000000009042393</t>
  </si>
  <si>
    <t>CH2.8-250-310K</t>
  </si>
  <si>
    <t xml:space="preserve">CH2.8-250-310KAISI 310 (1.4841) </t>
  </si>
  <si>
    <t>000000000009007533</t>
  </si>
  <si>
    <t>CH2.8-250-314K</t>
  </si>
  <si>
    <t xml:space="preserve">CH2.8-250-314KAISI 314 (1.4841) </t>
  </si>
  <si>
    <t>000000000009028075</t>
  </si>
  <si>
    <t>CH2.8-300-310K</t>
  </si>
  <si>
    <t xml:space="preserve">CH2.8-300-310KAISI 310 (1.4841) </t>
  </si>
  <si>
    <t>000000000009079657</t>
  </si>
  <si>
    <t>CH2.8-300-314K</t>
  </si>
  <si>
    <t xml:space="preserve">CH2.8-300-314KAISI 314 (1.4841) </t>
  </si>
  <si>
    <t>000000000009027441</t>
  </si>
  <si>
    <t>HTH-10-220-314K</t>
  </si>
  <si>
    <t xml:space="preserve">HTH-10-220-314KAISI 314 (1.4841) </t>
  </si>
  <si>
    <t>000000000009039376</t>
  </si>
  <si>
    <t>HTH.10-80-310K</t>
  </si>
  <si>
    <t xml:space="preserve">HTH.10-80-310KAISI 310 (1.4841) </t>
  </si>
  <si>
    <t>000000000009102782</t>
  </si>
  <si>
    <t>HTH.10-90-310K</t>
  </si>
  <si>
    <t xml:space="preserve">HTH.10-90-310KAISI 310 (1.4841) </t>
  </si>
  <si>
    <t>000000000009097696</t>
  </si>
  <si>
    <t>HTH.10-100-310K</t>
  </si>
  <si>
    <t xml:space="preserve">HTH.10-100-310KAISI 310 (1.4841) </t>
  </si>
  <si>
    <t>000000000009097399</t>
  </si>
  <si>
    <t>HTH.10-110-310K</t>
  </si>
  <si>
    <t xml:space="preserve">HTH.10-110-310KAISI 310 (1.4841) </t>
  </si>
  <si>
    <t>000000000009073984</t>
  </si>
  <si>
    <t>HTH.10-120-310K</t>
  </si>
  <si>
    <t xml:space="preserve">HTH.10-120-310KAISI 310 (1.4841) </t>
  </si>
  <si>
    <t>000000000009067909</t>
  </si>
  <si>
    <t>HTH.10-125-310K</t>
  </si>
  <si>
    <t xml:space="preserve">HTH.10-125-310KAISI 310 (1.4841) </t>
  </si>
  <si>
    <t>000000000009084643</t>
  </si>
  <si>
    <t>HTH.10-130-304K</t>
  </si>
  <si>
    <t>HTH.10-130-304KAISI 304 (1.4301)</t>
  </si>
  <si>
    <t>000000000009054748</t>
  </si>
  <si>
    <t>HTH.10-130-309K</t>
  </si>
  <si>
    <t>HTH.10-130-309KAISI 309 (1.4828)</t>
  </si>
  <si>
    <t>000000000009074321</t>
  </si>
  <si>
    <t>HTH.10-130-310K</t>
  </si>
  <si>
    <t xml:space="preserve">HTH.10-130-310KAISI 310 (1.4841) </t>
  </si>
  <si>
    <t>000000000009067908</t>
  </si>
  <si>
    <t>HTH.10-140-310K</t>
  </si>
  <si>
    <t xml:space="preserve">HTH.10-140-310KAISI 310 (1.4841) </t>
  </si>
  <si>
    <t>000000000009055926</t>
  </si>
  <si>
    <t>HTH.10-140-314K</t>
  </si>
  <si>
    <t xml:space="preserve">HTH.10-140-314KAISI 314 (1.4841) </t>
  </si>
  <si>
    <t>000000000009078042</t>
  </si>
  <si>
    <t>HTH.10-150-310K</t>
  </si>
  <si>
    <t xml:space="preserve">HTH.10-150-310KAISI 310 (1.4841) </t>
  </si>
  <si>
    <t>000000000009046134</t>
  </si>
  <si>
    <t>HTH.10-150-314K</t>
  </si>
  <si>
    <t xml:space="preserve">HTH.10-150-314KAISI 314 (1.4841) </t>
  </si>
  <si>
    <t>000000000009034812</t>
  </si>
  <si>
    <t>HTH.10-160-304K</t>
  </si>
  <si>
    <t>HTH.10-160-304KAISI 304 (1.4301)</t>
  </si>
  <si>
    <t>000000000009054120</t>
  </si>
  <si>
    <t>HTH.10-160-310K</t>
  </si>
  <si>
    <t xml:space="preserve">HTH.10-160-310KAISI 310 (1.4841) </t>
  </si>
  <si>
    <t>000000000009053399</t>
  </si>
  <si>
    <t>HTH.10-165-310K</t>
  </si>
  <si>
    <t xml:space="preserve">HTH.10-165-310KAISI 310 (1.4841) </t>
  </si>
  <si>
    <t>000000000009100517</t>
  </si>
  <si>
    <t>HTH.10-170-304K</t>
  </si>
  <si>
    <t>HTH.10-170-304KAISI 304 (1.4301)</t>
  </si>
  <si>
    <t>000000000009066739</t>
  </si>
  <si>
    <t>HTH.10-170-310K</t>
  </si>
  <si>
    <t xml:space="preserve">HTH.10-170-310KAISI 310 (1.4841) </t>
  </si>
  <si>
    <t>000000000009053157</t>
  </si>
  <si>
    <t>HTH.10-180-304K</t>
  </si>
  <si>
    <t>HTH.10-180-304KAISI 304 (1.4301)</t>
  </si>
  <si>
    <t>000000000009056158</t>
  </si>
  <si>
    <t>HTH.10-180-309K</t>
  </si>
  <si>
    <t>HTH.10-180-309KAISI 309 (1.4828)</t>
  </si>
  <si>
    <t>000000000009055819</t>
  </si>
  <si>
    <t>HTH.10-180-310K</t>
  </si>
  <si>
    <t xml:space="preserve">HTH.10-180-310KAISI 310 (1.4841) </t>
  </si>
  <si>
    <t>000000000009053431</t>
  </si>
  <si>
    <t>HTH.10-180-314K</t>
  </si>
  <si>
    <t xml:space="preserve">HTH.10-180-314KAISI 314 (1.4841) </t>
  </si>
  <si>
    <t>000000000009039930</t>
  </si>
  <si>
    <t>HTH.10-185-310K</t>
  </si>
  <si>
    <t xml:space="preserve">HTH.10-185-310KAISI 310 (1.4841) </t>
  </si>
  <si>
    <t>000000000009100524</t>
  </si>
  <si>
    <t>HTH.10-190-310K</t>
  </si>
  <si>
    <t xml:space="preserve">HTH.10-190-310KAISI 310 (1.4841) </t>
  </si>
  <si>
    <t>000000000009051035</t>
  </si>
  <si>
    <t>HTH.10-200-309K</t>
  </si>
  <si>
    <t>HTH.10-200-309KAISI 309 (1.4828)</t>
  </si>
  <si>
    <t>000000000009106932</t>
  </si>
  <si>
    <t>HTH.10-200-310K</t>
  </si>
  <si>
    <t xml:space="preserve">HTH.10-200-310KAISI 310 (1.4841) </t>
  </si>
  <si>
    <t>000000000009051036</t>
  </si>
  <si>
    <t>HTH.10-210-304K</t>
  </si>
  <si>
    <t>HTH.10-210-304KAISI 304 (1.4301)</t>
  </si>
  <si>
    <t>000000000009056170</t>
  </si>
  <si>
    <t>HTH.10-210-309K</t>
  </si>
  <si>
    <t>HTH.10-210-309KAISI 309 (1.4828)</t>
  </si>
  <si>
    <t>000000000009038958</t>
  </si>
  <si>
    <t>HTH.10-210-310K</t>
  </si>
  <si>
    <t xml:space="preserve">HTH.10-210-310KAISI 310 (1.4841) </t>
  </si>
  <si>
    <t>000000000009015435</t>
  </si>
  <si>
    <t>HTH.10-215-310K</t>
  </si>
  <si>
    <t xml:space="preserve">HTH.10-215-310KAISI 310 (1.4841) </t>
  </si>
  <si>
    <t>000000000009084729</t>
  </si>
  <si>
    <t>HTH.10-220-309K</t>
  </si>
  <si>
    <t>HTH.10-220-309KAISI 309 (1.4828)</t>
  </si>
  <si>
    <t>000000000009048805</t>
  </si>
  <si>
    <t>HTH.10-220-310K</t>
  </si>
  <si>
    <t xml:space="preserve">HTH.10-220-310KAISI 310 (1.4841) </t>
  </si>
  <si>
    <t>000000000009049757</t>
  </si>
  <si>
    <t>HTH.10-225-310K</t>
  </si>
  <si>
    <t xml:space="preserve">HTH.10-225-310KAISI 310 (1.4841) </t>
  </si>
  <si>
    <t>000000000009102369</t>
  </si>
  <si>
    <t>HTH.10-230-304K</t>
  </si>
  <si>
    <t>HTH.10-230-304KAISI 304 (1.4301)</t>
  </si>
  <si>
    <t>000000000009107512</t>
  </si>
  <si>
    <t>HTH.10-230-309K</t>
  </si>
  <si>
    <t>HTH.10-230-309KAISI 309 (1.4828)</t>
  </si>
  <si>
    <t>000000000009048806</t>
  </si>
  <si>
    <t>HTH.10-230-310K</t>
  </si>
  <si>
    <t xml:space="preserve">HTH.10-230-310KAISI 310 (1.4841) </t>
  </si>
  <si>
    <t>000000000009050110</t>
  </si>
  <si>
    <t>HTH.10-230-314K</t>
  </si>
  <si>
    <t xml:space="preserve">HTH.10-230-314KAISI 314 (1.4841) </t>
  </si>
  <si>
    <t>000000000009039367</t>
  </si>
  <si>
    <t>HTH.10-240-304K</t>
  </si>
  <si>
    <t>HTH.10-240-304KAISI 304 (1.4301)</t>
  </si>
  <si>
    <t>000000000009042530</t>
  </si>
  <si>
    <t>HTH.10-240-309K</t>
  </si>
  <si>
    <t>HTH.10-240-309KAISI 309 (1.4828)</t>
  </si>
  <si>
    <t>000000000009034709</t>
  </si>
  <si>
    <t>HTH.10-240-310K</t>
  </si>
  <si>
    <t xml:space="preserve">HTH.10-240-310KAISI 310 (1.4841) </t>
  </si>
  <si>
    <t>000000000009045703</t>
  </si>
  <si>
    <t>HTH.10-240-314K</t>
  </si>
  <si>
    <t xml:space="preserve">HTH.10-240-314KAISI 314 (1.4841) </t>
  </si>
  <si>
    <t>000000000009034725</t>
  </si>
  <si>
    <t>HTH.10-250-304K</t>
  </si>
  <si>
    <t>HTH.10-250-304KAISI 304 (1.4301)</t>
  </si>
  <si>
    <t>000000000009055816</t>
  </si>
  <si>
    <t>HTH.10-250-309K</t>
  </si>
  <si>
    <t>HTH.10-250-309KAISI 309 (1.4828)</t>
  </si>
  <si>
    <t>000000000009055817</t>
  </si>
  <si>
    <t>HTH.10-250-310K</t>
  </si>
  <si>
    <t xml:space="preserve">HTH.10-250-310KAISI 310 (1.4841) </t>
  </si>
  <si>
    <t>000000000009049028</t>
  </si>
  <si>
    <t>HTH.10-250-314K</t>
  </si>
  <si>
    <t xml:space="preserve">HTH.10-250-314KAISI 314 (1.4841) </t>
  </si>
  <si>
    <t>000000000009041665</t>
  </si>
  <si>
    <t>HTH.10-260-310K</t>
  </si>
  <si>
    <t xml:space="preserve">HTH.10-260-310KAISI 310 (1.4841) </t>
  </si>
  <si>
    <t>000000000009082101</t>
  </si>
  <si>
    <t>HTH.10-270-310K</t>
  </si>
  <si>
    <t xml:space="preserve">HTH.10-270-310KAISI 310 (1.4841) </t>
  </si>
  <si>
    <t>000000000009055925</t>
  </si>
  <si>
    <t>HTH.10-275-310K</t>
  </si>
  <si>
    <t xml:space="preserve">HTH.10-275-310KAISI 310 (1.4841) </t>
  </si>
  <si>
    <t>000000000009072513</t>
  </si>
  <si>
    <t>HTH.10-280-310K</t>
  </si>
  <si>
    <t xml:space="preserve">HTH.10-280-310KAISI 310 (1.4841) </t>
  </si>
  <si>
    <t>000000000009060983</t>
  </si>
  <si>
    <t>HTH.10-285-310K</t>
  </si>
  <si>
    <t xml:space="preserve">HTH.10-285-310KAISI 310 (1.4841) </t>
  </si>
  <si>
    <t>000000000009076114</t>
  </si>
  <si>
    <t>HTH.10-290-310K</t>
  </si>
  <si>
    <t xml:space="preserve">HTH.10-290-310KAISI 310 (1.4841) </t>
  </si>
  <si>
    <t>000000000009046135</t>
  </si>
  <si>
    <t>HTH.10-290-314K</t>
  </si>
  <si>
    <t xml:space="preserve">HTH.10-290-314KAISI 314 (1.4841) </t>
  </si>
  <si>
    <t>000000000009040206</t>
  </si>
  <si>
    <t>HTH.10-300-304K</t>
  </si>
  <si>
    <t>HTH.10-300-304KAISI 304 (1.4301)</t>
  </si>
  <si>
    <t>000000000009079889</t>
  </si>
  <si>
    <t>HTH.10-300-310K</t>
  </si>
  <si>
    <t xml:space="preserve">HTH.10-300-310KAISI 310 (1.4841) </t>
  </si>
  <si>
    <t>000000000009014150</t>
  </si>
  <si>
    <t>HTH.10-310-304K</t>
  </si>
  <si>
    <t>HTH.10-310-304KAISI 304 (1.4301)</t>
  </si>
  <si>
    <t>000000000009107851</t>
  </si>
  <si>
    <t>HTH.10-310-310K</t>
  </si>
  <si>
    <t xml:space="preserve">HTH.10-310-310KAISI 310 (1.4841) </t>
  </si>
  <si>
    <t>000000000009010991</t>
  </si>
  <si>
    <t>HTH.10-310-314K</t>
  </si>
  <si>
    <t xml:space="preserve">HTH.10-310-314KAISI 314 (1.4841) </t>
  </si>
  <si>
    <t>000000000009021417</t>
  </si>
  <si>
    <t>HTH.10-320-304K</t>
  </si>
  <si>
    <t>HTH.10-320-304KAISI 304 (1.4301)</t>
  </si>
  <si>
    <t>000000000009079573</t>
  </si>
  <si>
    <t>HTH.10-320-309K</t>
  </si>
  <si>
    <t>HTH.10-320-309KAISI 309 (1.4828)</t>
  </si>
  <si>
    <t>000000000009079612</t>
  </si>
  <si>
    <t>HTH.10-320-310K</t>
  </si>
  <si>
    <t xml:space="preserve">HTH.10-320-310KAISI 310 (1.4841) </t>
  </si>
  <si>
    <t>000000000009051037</t>
  </si>
  <si>
    <t>HTH.10-330-310K</t>
  </si>
  <si>
    <t xml:space="preserve">HTH.10-330-310KAISI 310 (1.4841) </t>
  </si>
  <si>
    <t>000000000009016426</t>
  </si>
  <si>
    <t>HTH.10-330-314K</t>
  </si>
  <si>
    <t xml:space="preserve">HTH.10-330-314KAISI 314 (1.4841) </t>
  </si>
  <si>
    <t>000000000009028015</t>
  </si>
  <si>
    <t>HTH.10-340-310K</t>
  </si>
  <si>
    <t xml:space="preserve">HTH.10-340-310KAISI 310 (1.4841) </t>
  </si>
  <si>
    <t>000000000009047155</t>
  </si>
  <si>
    <t>HTH.10-350-304K</t>
  </si>
  <si>
    <t>HTH.10-350-304KAISI 304 (1.4301)</t>
  </si>
  <si>
    <t>000000000009037531</t>
  </si>
  <si>
    <t>HTH.10-350-309K</t>
  </si>
  <si>
    <t>HTH.10-350-309KAISI 309 (1.4828)</t>
  </si>
  <si>
    <t>000000000009106933</t>
  </si>
  <si>
    <t>HTH.10-350-310K</t>
  </si>
  <si>
    <t xml:space="preserve">HTH.10-350-310KAISI 310 (1.4841) </t>
  </si>
  <si>
    <t>000000000009051406</t>
  </si>
  <si>
    <t>HTH.10-350-314K</t>
  </si>
  <si>
    <t xml:space="preserve">HTH.10-350-314KAISI 314 (1.4841) </t>
  </si>
  <si>
    <t>000000000009038763</t>
  </si>
  <si>
    <t>HTH.10-360-310K</t>
  </si>
  <si>
    <t xml:space="preserve">HTH.10-360-310KAISI 310 (1.4841) </t>
  </si>
  <si>
    <t>000000000009046137</t>
  </si>
  <si>
    <t>HTH.10-360-314K</t>
  </si>
  <si>
    <t xml:space="preserve">HTH.10-360-314KAISI 314 (1.4841) </t>
  </si>
  <si>
    <t>000000000009027847</t>
  </si>
  <si>
    <t>HTH.10-370-310K</t>
  </si>
  <si>
    <t xml:space="preserve">HTH.10-370-310KAISI 310 (1.4841) </t>
  </si>
  <si>
    <t>000000000009015480</t>
  </si>
  <si>
    <t>HTH.10-370-314K</t>
  </si>
  <si>
    <t xml:space="preserve">HTH.10-370-314KAISI 314 (1.4841) </t>
  </si>
  <si>
    <t>000000000009027482</t>
  </si>
  <si>
    <t>HTH.10-380-310K</t>
  </si>
  <si>
    <t xml:space="preserve">HTH.10-380-310KAISI 310 (1.4841) </t>
  </si>
  <si>
    <t>000000000009010992</t>
  </si>
  <si>
    <t>HTH.10-390-310K</t>
  </si>
  <si>
    <t xml:space="preserve">HTH.10-390-310KAISI 310 (1.4841) </t>
  </si>
  <si>
    <t>000000000009047154</t>
  </si>
  <si>
    <t>HTH.10-390-314K</t>
  </si>
  <si>
    <t xml:space="preserve">HTH.10-390-314KAISI 314 (1.4841) </t>
  </si>
  <si>
    <t>000000000009026825</t>
  </si>
  <si>
    <t>HTH.10-400-304K</t>
  </si>
  <si>
    <t>HTH.10-400-304KAISI 304 (1.4301)</t>
  </si>
  <si>
    <t>000000000009107895</t>
  </si>
  <si>
    <t>HTH.10-400-310K</t>
  </si>
  <si>
    <t xml:space="preserve">HTH.10-400-310KAISI 310 (1.4841) </t>
  </si>
  <si>
    <t>000000000009015469</t>
  </si>
  <si>
    <t>HTH.10-400-314K</t>
  </si>
  <si>
    <t xml:space="preserve">HTH.10-400-314KAISI 314 (1.4841) </t>
  </si>
  <si>
    <t>000000000009018987</t>
  </si>
  <si>
    <t>HTH.10-410-310K</t>
  </si>
  <si>
    <t xml:space="preserve">HTH.10-410-310KAISI 310 (1.4841) </t>
  </si>
  <si>
    <t>000000000009010778</t>
  </si>
  <si>
    <t>HTH.10-420-310K</t>
  </si>
  <si>
    <t xml:space="preserve">HTH.10-420-310KAISI 310 (1.4841) </t>
  </si>
  <si>
    <t>000000000009063658</t>
  </si>
  <si>
    <t>HTH.10-420-314K</t>
  </si>
  <si>
    <t xml:space="preserve">HTH.10-420-314KAISI 314 (1.4841) </t>
  </si>
  <si>
    <t>000000000009028789</t>
  </si>
  <si>
    <t>HTH.10-425-310K</t>
  </si>
  <si>
    <t xml:space="preserve">HTH.10-425-310KAISI 310 (1.4841) </t>
  </si>
  <si>
    <t>000000000009104418</t>
  </si>
  <si>
    <t>HTH.10-430-309K</t>
  </si>
  <si>
    <t>HTH.10-430-309KAISI 309 (1.4828)</t>
  </si>
  <si>
    <t>000000000009106934</t>
  </si>
  <si>
    <t>HTH.10-430-310K</t>
  </si>
  <si>
    <t xml:space="preserve">HTH.10-430-310KAISI 310 (1.4841) </t>
  </si>
  <si>
    <t>000000000009058524</t>
  </si>
  <si>
    <t>HTH.10-440-310K</t>
  </si>
  <si>
    <t xml:space="preserve">HTH.10-440-310KAISI 310 (1.4841) </t>
  </si>
  <si>
    <t>000000000009015436</t>
  </si>
  <si>
    <t>HTH.10-440-314K</t>
  </si>
  <si>
    <t xml:space="preserve">HTH.10-440-314KAISI 314 (1.4841) </t>
  </si>
  <si>
    <t>000000000009027881</t>
  </si>
  <si>
    <t>HTH.10-450-310K</t>
  </si>
  <si>
    <t xml:space="preserve">HTH.10-450-310KAISI 310 (1.4841) </t>
  </si>
  <si>
    <t>000000000009061013</t>
  </si>
  <si>
    <t>HTH.10-460-310K</t>
  </si>
  <si>
    <t xml:space="preserve">HTH.10-460-310KAISI 310 (1.4841) </t>
  </si>
  <si>
    <t>000000000009015690</t>
  </si>
  <si>
    <t>HTH.10-470-310K</t>
  </si>
  <si>
    <t xml:space="preserve">HTH.10-470-310KAISI 310 (1.4841) </t>
  </si>
  <si>
    <t>000000000009066186</t>
  </si>
  <si>
    <t>HTH.10-480-310K</t>
  </si>
  <si>
    <t xml:space="preserve">HTH.10-480-310KAISI 310 (1.4841) </t>
  </si>
  <si>
    <t>000000000009010506</t>
  </si>
  <si>
    <t>HTH.10-500-304K</t>
  </si>
  <si>
    <t>HTH.10-500-304KAISI 304 (1.4301)</t>
  </si>
  <si>
    <t>000000000009027839</t>
  </si>
  <si>
    <t>HTH.10-500-310K</t>
  </si>
  <si>
    <t xml:space="preserve">HTH.10-500-310KAISI 310 (1.4841) </t>
  </si>
  <si>
    <t>000000000009016427</t>
  </si>
  <si>
    <t>HTH.10-500-314K</t>
  </si>
  <si>
    <t xml:space="preserve">HTH.10-500-314KAISI 314 (1.4841) </t>
  </si>
  <si>
    <t>000000000009028663</t>
  </si>
  <si>
    <t>HTH.10-510-310K</t>
  </si>
  <si>
    <t xml:space="preserve">HTH.10-510-310KAISI 310 (1.4841) </t>
  </si>
  <si>
    <t>000000000009063552</t>
  </si>
  <si>
    <t>HTH.10-520-310K</t>
  </si>
  <si>
    <t xml:space="preserve">HTH.10-520-310KAISI 310 (1.4841) </t>
  </si>
  <si>
    <t>000000000009081507</t>
  </si>
  <si>
    <t>HTH.10-550-310K</t>
  </si>
  <si>
    <t xml:space="preserve">HTH.10-550-310KAISI 310 (1.4841) </t>
  </si>
  <si>
    <t>000000000009072521</t>
  </si>
  <si>
    <t>HTH.10-555-310K</t>
  </si>
  <si>
    <t xml:space="preserve">HTH.10-555-310KAISI 310 (1.4841) </t>
  </si>
  <si>
    <t>000000000009104245</t>
  </si>
  <si>
    <t>HTH.10-575-310K</t>
  </si>
  <si>
    <t xml:space="preserve">HTH.10-575-310KAISI 310 (1.4841) </t>
  </si>
  <si>
    <t>000000000009073813</t>
  </si>
  <si>
    <t>HTH.10-575-314K</t>
  </si>
  <si>
    <t xml:space="preserve">HTH.10-575-314KAISI 314 (1.4841) </t>
  </si>
  <si>
    <t>000000000009107312</t>
  </si>
  <si>
    <t>HTH.10-580-310K</t>
  </si>
  <si>
    <t xml:space="preserve">HTH.10-580-310KAISI 310 (1.4841) </t>
  </si>
  <si>
    <t>000000000009098914</t>
  </si>
  <si>
    <t>HTH.10-620-310K</t>
  </si>
  <si>
    <t xml:space="preserve">HTH.10-620-310KAISI 310 (1.4841) </t>
  </si>
  <si>
    <t>000000000009076822</t>
  </si>
  <si>
    <t>HTH.10-630-310K</t>
  </si>
  <si>
    <t xml:space="preserve">HTH.10-630-310KAISI 310 (1.4841) </t>
  </si>
  <si>
    <t>000000000009098934</t>
  </si>
  <si>
    <t>HTH.10-650-310K</t>
  </si>
  <si>
    <t xml:space="preserve">HTH.10-650-310KAISI 310 (1.4841) </t>
  </si>
  <si>
    <t>000000000009076534</t>
  </si>
  <si>
    <t>HTH.10-670-310K</t>
  </si>
  <si>
    <t xml:space="preserve">HTH.10-670-310KAISI 310 (1.4841) </t>
  </si>
  <si>
    <t>000000000009100525</t>
  </si>
  <si>
    <t>HTH.10-70-310K</t>
  </si>
  <si>
    <t xml:space="preserve">HTH.10-70-310KAISI 310 (1.4841) </t>
  </si>
  <si>
    <t>000000000009073983</t>
  </si>
  <si>
    <t>HTH.10-700-310K</t>
  </si>
  <si>
    <t xml:space="preserve">HTH.10-700-310KAISI 310 (1.4841) </t>
  </si>
  <si>
    <t>000000000009103176</t>
  </si>
  <si>
    <t>HTH.10-750-310K</t>
  </si>
  <si>
    <t xml:space="preserve">HTH.10-750-310KAISI 310 (1.4841) </t>
  </si>
  <si>
    <t>000000000009051860</t>
  </si>
  <si>
    <t>HTH.10-800-310K</t>
  </si>
  <si>
    <t xml:space="preserve">HTH.10-800-310KAISI 310 (1.4841) </t>
  </si>
  <si>
    <t>000000000009085216</t>
  </si>
  <si>
    <t>HTH.12-210-304K</t>
  </si>
  <si>
    <t>HTH.12-210-304KAISI 304 (1.4301)</t>
  </si>
  <si>
    <t>000000000009081933</t>
  </si>
  <si>
    <t>HTH.12-240-304K</t>
  </si>
  <si>
    <t>HTH.12-240-304KAISI 304 (1.4301)</t>
  </si>
  <si>
    <t>000000000009081932</t>
  </si>
  <si>
    <t>HTH.12-240-310K</t>
  </si>
  <si>
    <t xml:space="preserve">HTH.12-240-310KAISI 310 (1.4841) </t>
  </si>
  <si>
    <t>000000000009081821</t>
  </si>
  <si>
    <t>HTH.12-245-310K</t>
  </si>
  <si>
    <t xml:space="preserve">HTH.12-245-310KAISI 310 (1.4841) </t>
  </si>
  <si>
    <t>000000000009084724</t>
  </si>
  <si>
    <t>HTH.12-300-310K</t>
  </si>
  <si>
    <t xml:space="preserve">HTH.12-300-310KAISI 310 (1.4841) </t>
  </si>
  <si>
    <t>000000000009097416</t>
  </si>
  <si>
    <t>HTH.12-350-310K</t>
  </si>
  <si>
    <t xml:space="preserve">HTH.12-350-310KAISI 310 (1.4841) </t>
  </si>
  <si>
    <t>000000000009081985</t>
  </si>
  <si>
    <t>HTH.12-450-310K</t>
  </si>
  <si>
    <t xml:space="preserve">HTH.12-450-310KAISI 310 (1.4841) </t>
  </si>
  <si>
    <t>000000000009080344</t>
  </si>
  <si>
    <t>HTH.6-35-310K</t>
  </si>
  <si>
    <t xml:space="preserve">HTH.6-35-310KAISI 310 (1.4841) </t>
  </si>
  <si>
    <t>000000000009097398</t>
  </si>
  <si>
    <t>HTH.6-50-310K</t>
  </si>
  <si>
    <t xml:space="preserve">HTH.6-50-310KAISI 310 (1.4841) </t>
  </si>
  <si>
    <t>000000000009069864</t>
  </si>
  <si>
    <t>HTH.6-60-310K</t>
  </si>
  <si>
    <t xml:space="preserve">HTH.6-60-310KAISI 310 (1.4841) </t>
  </si>
  <si>
    <t>000000000009069853</t>
  </si>
  <si>
    <t>HTH.6-65-310K</t>
  </si>
  <si>
    <t xml:space="preserve">HTH.6-65-310KAISI 310 (1.4841) </t>
  </si>
  <si>
    <t>000000000009106978</t>
  </si>
  <si>
    <t>HTH.6-70-310K</t>
  </si>
  <si>
    <t xml:space="preserve">HTH.6-70-310KAISI 310 (1.4841) </t>
  </si>
  <si>
    <t>000000000009075104</t>
  </si>
  <si>
    <t>HTH.6-75-304K</t>
  </si>
  <si>
    <t>HTH.6-75-304KAISI 304 (1.4301)</t>
  </si>
  <si>
    <t>000000000009046683</t>
  </si>
  <si>
    <t>HTH.6-75-309K</t>
  </si>
  <si>
    <t>HTH.6-75-309KAISI 309 (1.4828)</t>
  </si>
  <si>
    <t>000000000009016328</t>
  </si>
  <si>
    <t>HTH.6-75-310K</t>
  </si>
  <si>
    <t xml:space="preserve">HTH.6-75-310KAISI 310 (1.4841) </t>
  </si>
  <si>
    <t>000000000009019481</t>
  </si>
  <si>
    <t>HTH.6-75-314K</t>
  </si>
  <si>
    <t xml:space="preserve">HTH.6-75-314KAISI 314 (1.4841) </t>
  </si>
  <si>
    <t>000000000009028127</t>
  </si>
  <si>
    <t>HTH.6-80-304K</t>
  </si>
  <si>
    <t>HTH.6-80-304KAISI 304 (1.4301)</t>
  </si>
  <si>
    <t>000000000009077896</t>
  </si>
  <si>
    <t>HTH.6-80-309K</t>
  </si>
  <si>
    <t>HTH.6-80-309KAISI 309 (1.4828)</t>
  </si>
  <si>
    <t>000000000009023702</t>
  </si>
  <si>
    <t>HTH.6-80-310K</t>
  </si>
  <si>
    <t xml:space="preserve">HTH.6-80-310KAISI 310 (1.4841) </t>
  </si>
  <si>
    <t>000000000009005165</t>
  </si>
  <si>
    <t>HTH.6-90-304K</t>
  </si>
  <si>
    <t>HTH.6-90-304KAISI 304 (1.4301)</t>
  </si>
  <si>
    <t>000000000009059338</t>
  </si>
  <si>
    <t>HTH.6-90-309K</t>
  </si>
  <si>
    <t>HTH.6-90-309KAISI 309 (1.4828)</t>
  </si>
  <si>
    <t>000000000009017841</t>
  </si>
  <si>
    <t>HTH.6-90-310K</t>
  </si>
  <si>
    <t xml:space="preserve">HTH.6-90-310KAISI 310 (1.4841) </t>
  </si>
  <si>
    <t>000000000009045840</t>
  </si>
  <si>
    <t>HTH.6-100-304K</t>
  </si>
  <si>
    <t>HTH.6-100-304KAISI 304 (1.4301)</t>
  </si>
  <si>
    <t>000000000009060156</t>
  </si>
  <si>
    <t>HTH.6-100-309K</t>
  </si>
  <si>
    <t>HTH.6-100-309KAISI 309 (1.4828)</t>
  </si>
  <si>
    <t>000000000009010637</t>
  </si>
  <si>
    <t>HTH.6-100-310K</t>
  </si>
  <si>
    <t xml:space="preserve">HTH.6-100-310KAISI 310 (1.4841) </t>
  </si>
  <si>
    <t>000000000009034126</t>
  </si>
  <si>
    <t>HTH.6-100-314K</t>
  </si>
  <si>
    <t xml:space="preserve">HTH.6-100-314KAISI 314 (1.4841) </t>
  </si>
  <si>
    <t>000000000009018986</t>
  </si>
  <si>
    <t>HTH.6-110-304K</t>
  </si>
  <si>
    <t>HTH.6-110-304KAISI 304 (1.4301)</t>
  </si>
  <si>
    <t>000000000009097258</t>
  </si>
  <si>
    <t>HTH.6-110-309K</t>
  </si>
  <si>
    <t>HTH.6-110-309KAISI 309 (1.4828)</t>
  </si>
  <si>
    <t>000000000009028073</t>
  </si>
  <si>
    <t>HTH.6-110-310K</t>
  </si>
  <si>
    <t xml:space="preserve">HTH.6-110-310KAISI 310 (1.4841) </t>
  </si>
  <si>
    <t>000000000009044479</t>
  </si>
  <si>
    <t>HTH.6-120-310K</t>
  </si>
  <si>
    <t xml:space="preserve">HTH.6-120-310KAISI 310 (1.4841) </t>
  </si>
  <si>
    <t>000000000009037181</t>
  </si>
  <si>
    <t>HTH.6-130-304K</t>
  </si>
  <si>
    <t>HTH.6-130-304KAISI 304 (1.4301)</t>
  </si>
  <si>
    <t>000000000009042529</t>
  </si>
  <si>
    <t>HTH.6-130-309K</t>
  </si>
  <si>
    <t>HTH.6-130-309KAISI 309 (1.4828)</t>
  </si>
  <si>
    <t>000000000009007415</t>
  </si>
  <si>
    <t>HTH.6-130-310K</t>
  </si>
  <si>
    <t xml:space="preserve">HTH.6-130-310KAISI 310 (1.4841) </t>
  </si>
  <si>
    <t>000000000009041378</t>
  </si>
  <si>
    <t>HTH.6-130-314K</t>
  </si>
  <si>
    <t xml:space="preserve">HTH.6-130-314KAISI 314 (1.4841) </t>
  </si>
  <si>
    <t>000000000009017852</t>
  </si>
  <si>
    <t>HTH.6-140-309K</t>
  </si>
  <si>
    <t>HTH.6-140-309KAISI 309 (1.4828)</t>
  </si>
  <si>
    <t>000000000009036147</t>
  </si>
  <si>
    <t>HTH.6-140-310K</t>
  </si>
  <si>
    <t xml:space="preserve">HTH.6-140-310KAISI 310 (1.4841) </t>
  </si>
  <si>
    <t>000000000009044025</t>
  </si>
  <si>
    <t>HTH.6-160-310K</t>
  </si>
  <si>
    <t xml:space="preserve">HTH.6-160-310KAISI 310 (1.4841) </t>
  </si>
  <si>
    <t>000000000009041379</t>
  </si>
  <si>
    <t>HTH.6-170-310K</t>
  </si>
  <si>
    <t xml:space="preserve">HTH.6-170-310KAISI 310 (1.4841) </t>
  </si>
  <si>
    <t>000000000009041450</t>
  </si>
  <si>
    <t>HTH.8-50-310K</t>
  </si>
  <si>
    <t xml:space="preserve">HTH.8-50-310KAISI 310 (1.4841) </t>
  </si>
  <si>
    <t>000000000009051740</t>
  </si>
  <si>
    <t>HTH.8-65-314K</t>
  </si>
  <si>
    <t xml:space="preserve">HTH.8-65-314KAISI 314 (1.4841) </t>
  </si>
  <si>
    <t>000000000009109791</t>
  </si>
  <si>
    <t>HTH.8-75-310K</t>
  </si>
  <si>
    <t xml:space="preserve">HTH.8-75-310KAISI 310 (1.4841) </t>
  </si>
  <si>
    <t>000000000009110626</t>
  </si>
  <si>
    <t>HTH.8-80-304K</t>
  </si>
  <si>
    <t>HTH.8-80-304KAISI 304 (1.4301)</t>
  </si>
  <si>
    <t>000000000009081931</t>
  </si>
  <si>
    <t>HTH.8-80-310K</t>
  </si>
  <si>
    <t xml:space="preserve">HTH.8-80-310KAISI 310 (1.4841) </t>
  </si>
  <si>
    <t>000000000009081693</t>
  </si>
  <si>
    <t>HTH.8-90-310K</t>
  </si>
  <si>
    <t xml:space="preserve">HTH.8-90-310KAISI 310 (1.4841) </t>
  </si>
  <si>
    <t>000000000009053432</t>
  </si>
  <si>
    <t>HTH.8-100-304K</t>
  </si>
  <si>
    <t>HTH.8-100-304KAISI 304 (1.4301)</t>
  </si>
  <si>
    <t>000000000009066071</t>
  </si>
  <si>
    <t>HTH.8-100-309K</t>
  </si>
  <si>
    <t>HTH.8-100-309KAISI 309 (1.4828)</t>
  </si>
  <si>
    <t>000000000009098286</t>
  </si>
  <si>
    <t>HTH.8-100-310K</t>
  </si>
  <si>
    <t xml:space="preserve">HTH.8-100-310KAISI 310 (1.4841) </t>
  </si>
  <si>
    <t>000000000009037593</t>
  </si>
  <si>
    <t>HTH.8-100-314K</t>
  </si>
  <si>
    <t xml:space="preserve">HTH.8-100-314KAISI 314 (1.4841) </t>
  </si>
  <si>
    <t>000000000009039948</t>
  </si>
  <si>
    <t>HTH.8-110-304K</t>
  </si>
  <si>
    <t>HTH.8-110-304KAISI 304 (1.4301)</t>
  </si>
  <si>
    <t>000000000009065128</t>
  </si>
  <si>
    <t>HTH.8-110-309K</t>
  </si>
  <si>
    <t>HTH.8-110-309KAISI 309 (1.4828)</t>
  </si>
  <si>
    <t>000000000009015964</t>
  </si>
  <si>
    <t>HTH.8-110-310K</t>
  </si>
  <si>
    <t xml:space="preserve">HTH.8-110-310KAISI 310 (1.4841) </t>
  </si>
  <si>
    <t>000000000009037803</t>
  </si>
  <si>
    <t>HTH.8-120-304K</t>
  </si>
  <si>
    <t>HTH.8-120-304KAISI 304 (1.4301)</t>
  </si>
  <si>
    <t>000000000009051753</t>
  </si>
  <si>
    <t>HTH.8-120-309K</t>
  </si>
  <si>
    <t>HTH.8-120-309KAISI 309 (1.4828)</t>
  </si>
  <si>
    <t>000000000009081394</t>
  </si>
  <si>
    <t xml:space="preserve">HTH.8-120-310KAISI 310 (1.4841) </t>
  </si>
  <si>
    <t>HTH.8-120-314K</t>
  </si>
  <si>
    <t xml:space="preserve">HTH.8-120-314KAISI 314 (1.4841) </t>
  </si>
  <si>
    <t>000000000009026805</t>
  </si>
  <si>
    <t>HTH.8-130-304K</t>
  </si>
  <si>
    <t>HTH.8-130-304KAISI 304 (1.4301)</t>
  </si>
  <si>
    <t>000000000009054121</t>
  </si>
  <si>
    <t>HTH.8-130-309K</t>
  </si>
  <si>
    <t>HTH.8-130-309KAISI 309 (1.4828)</t>
  </si>
  <si>
    <t>000000000009016370</t>
  </si>
  <si>
    <t>HTH.8-130-310K</t>
  </si>
  <si>
    <t xml:space="preserve">HTH.8-130-310KAISI 310 (1.4841) </t>
  </si>
  <si>
    <t>000000000009039719</t>
  </si>
  <si>
    <t>HTH.8-130-314K</t>
  </si>
  <si>
    <t xml:space="preserve">HTH.8-130-314KAISI 314 (1.4841) </t>
  </si>
  <si>
    <t>000000000009034316</t>
  </si>
  <si>
    <t>HTH.8-140-304K</t>
  </si>
  <si>
    <t>HTH.8-140-304KAISI 304 (1.4301)</t>
  </si>
  <si>
    <t>000000000009058523</t>
  </si>
  <si>
    <t>HTH.8-140-309K</t>
  </si>
  <si>
    <t>HTH.8-140-309KAISI 309 (1.4828)</t>
  </si>
  <si>
    <t>000000000009027081</t>
  </si>
  <si>
    <t>HTH.8-140-310K</t>
  </si>
  <si>
    <t xml:space="preserve">HTH.8-140-310KAISI 310 (1.4841) </t>
  </si>
  <si>
    <t>000000000009032476</t>
  </si>
  <si>
    <t>HTH.8-140-314K</t>
  </si>
  <si>
    <t xml:space="preserve">HTH.8-140-314KAISI 314 (1.4841) </t>
  </si>
  <si>
    <t>000000000009026802</t>
  </si>
  <si>
    <t>HTH.8-145-304K</t>
  </si>
  <si>
    <t>HTH.8-145-304KAISI 304 (1.4301)</t>
  </si>
  <si>
    <t>000000000009037533</t>
  </si>
  <si>
    <t>HTH.8-150-304K</t>
  </si>
  <si>
    <t>HTH.8-150-304KAISI 304 (1.4301)</t>
  </si>
  <si>
    <t>000000000009036861</t>
  </si>
  <si>
    <t>HTH.8-150-310K</t>
  </si>
  <si>
    <t xml:space="preserve">HTH.8-150-310KAISI 310 (1.4841) </t>
  </si>
  <si>
    <t>000000000009005160</t>
  </si>
  <si>
    <t>HTH.8-150-314K</t>
  </si>
  <si>
    <t xml:space="preserve">HTH.8-150-314KAISI 314 (1.4841) </t>
  </si>
  <si>
    <t>000000000009016964</t>
  </si>
  <si>
    <t>HTH.8-160-304K</t>
  </si>
  <si>
    <t>HTH.8-160-304KAISI 304 (1.4301)</t>
  </si>
  <si>
    <t>000000000009051752</t>
  </si>
  <si>
    <t>HTH.8-160-309K</t>
  </si>
  <si>
    <t>HTH.8-160-309KAISI 309 (1.4828)</t>
  </si>
  <si>
    <t>000000000009039184</t>
  </si>
  <si>
    <t xml:space="preserve">HTH.8-160-310KAISI 310 (1.4841) </t>
  </si>
  <si>
    <t>HTH.8-160-314K</t>
  </si>
  <si>
    <t xml:space="preserve">HTH.8-160-314KAISI 314 (1.4841) </t>
  </si>
  <si>
    <t>000000000009028128</t>
  </si>
  <si>
    <t>HTH.8-165-304K</t>
  </si>
  <si>
    <t>HTH.8-165-304KAISI 304 (1.4301)</t>
  </si>
  <si>
    <t>000000000009097274</t>
  </si>
  <si>
    <t>HTH.8-165-310K</t>
  </si>
  <si>
    <t xml:space="preserve">HTH.8-165-310KAISI 310 (1.4841) </t>
  </si>
  <si>
    <t>000000000009110803</t>
  </si>
  <si>
    <t>HTH.8-170-304K</t>
  </si>
  <si>
    <t>HTH.8-170-304KAISI 304 (1.4301)</t>
  </si>
  <si>
    <t>000000000009042531</t>
  </si>
  <si>
    <t>HTH.8-170-310K</t>
  </si>
  <si>
    <t xml:space="preserve">HTH.8-170-310KAISI 310 (1.4841) </t>
  </si>
  <si>
    <t>000000000009013433</t>
  </si>
  <si>
    <t>HTH.8-170-314K</t>
  </si>
  <si>
    <t xml:space="preserve">HTH.8-170-314KAISI 314 (1.4841) </t>
  </si>
  <si>
    <t>000000000009026681</t>
  </si>
  <si>
    <t>HTH.8-180-304K</t>
  </si>
  <si>
    <t>HTH.8-180-304KAISI 304 (1.4301)</t>
  </si>
  <si>
    <t>000000000009027840</t>
  </si>
  <si>
    <t>HTH.8-180-309K</t>
  </si>
  <si>
    <t>HTH.8-180-309KAISI 309 (1.4828)</t>
  </si>
  <si>
    <t>000000000009016329</t>
  </si>
  <si>
    <t>HTH.8-180-310K</t>
  </si>
  <si>
    <t xml:space="preserve">HTH.8-180-310KAISI 310 (1.4841) </t>
  </si>
  <si>
    <t>000000000009017008</t>
  </si>
  <si>
    <t>HTH.8-180-314K</t>
  </si>
  <si>
    <t xml:space="preserve">HTH.8-180-314KAISI 314 (1.4841) </t>
  </si>
  <si>
    <t>000000000009016965</t>
  </si>
  <si>
    <t>HTH.8-190-309K</t>
  </si>
  <si>
    <t>HTH.8-190-309KAISI 309 (1.4828)</t>
  </si>
  <si>
    <t>000000000009023704</t>
  </si>
  <si>
    <t xml:space="preserve">HTH.8-190-310KAISI 310 (1.4841) </t>
  </si>
  <si>
    <t>HTH.8-190-314K</t>
  </si>
  <si>
    <t xml:space="preserve">HTH.8-190-314KAISI 314 (1.4841) </t>
  </si>
  <si>
    <t>000000000009018671</t>
  </si>
  <si>
    <t>HTH.8-200-304K</t>
  </si>
  <si>
    <t>HTH.8-200-304KAISI 304 (1.4301)</t>
  </si>
  <si>
    <t>000000000009051751</t>
  </si>
  <si>
    <t>HTH.8-200-309K</t>
  </si>
  <si>
    <t>HTH.8-200-309KAISI 309 (1.4828)</t>
  </si>
  <si>
    <t>000000000009027760</t>
  </si>
  <si>
    <t>HTH.8-200-310K</t>
  </si>
  <si>
    <t xml:space="preserve">HTH.8-200-310KAISI 310 (1.4841) </t>
  </si>
  <si>
    <t>000000000009010990</t>
  </si>
  <si>
    <t>HTH.8-200-314K</t>
  </si>
  <si>
    <t xml:space="preserve">HTH.8-200-314KAISI 314 (1.4841) </t>
  </si>
  <si>
    <t>000000000009021418</t>
  </si>
  <si>
    <t>HTH.8-210-304K</t>
  </si>
  <si>
    <t>HTH.8-210-304KAISI 304 (1.4301)</t>
  </si>
  <si>
    <t>000000000009042533</t>
  </si>
  <si>
    <t>HTH.8-210-309K</t>
  </si>
  <si>
    <t>HTH.8-210-309KAISI 309 (1.4828)</t>
  </si>
  <si>
    <t>000000000009007412</t>
  </si>
  <si>
    <t>HTH.8-210-310K</t>
  </si>
  <si>
    <t xml:space="preserve">HTH.8-210-310KAISI 310 (1.4841) </t>
  </si>
  <si>
    <t>000000000009041700</t>
  </si>
  <si>
    <t>HTH.8-210-314K</t>
  </si>
  <si>
    <t xml:space="preserve">HTH.8-210-314KAISI 314 (1.4841) </t>
  </si>
  <si>
    <t>000000000009017842</t>
  </si>
  <si>
    <t>HTH.8-220-304K</t>
  </si>
  <si>
    <t>HTH.8-220-304KAISI 304 (1.4301)</t>
  </si>
  <si>
    <t>000000000009060155</t>
  </si>
  <si>
    <t xml:space="preserve">HTH.8-220-310KAISI 310 (1.4841) </t>
  </si>
  <si>
    <t>HTH.8-220-314K</t>
  </si>
  <si>
    <t xml:space="preserve">HTH.8-220-314KAISI 314 (1.4841) </t>
  </si>
  <si>
    <t>000000000009023062</t>
  </si>
  <si>
    <t>HTH.8-230-304K</t>
  </si>
  <si>
    <t>HTH.8-230-304KAISI 304 (1.4301)</t>
  </si>
  <si>
    <t>000000000009097718</t>
  </si>
  <si>
    <t>HTH.8-230-309K</t>
  </si>
  <si>
    <t>HTH.8-230-309KAISI 309 (1.4828)</t>
  </si>
  <si>
    <t>000000000009010791</t>
  </si>
  <si>
    <t xml:space="preserve">HTH.8-230-310KAISI 310 (1.4841) </t>
  </si>
  <si>
    <t>HTH.8-240-304K</t>
  </si>
  <si>
    <t>HTH.8-240-304KAISI 304 (1.4301)</t>
  </si>
  <si>
    <t>000000000009046686</t>
  </si>
  <si>
    <t>HTH.8-240-309K</t>
  </si>
  <si>
    <t>HTH.8-240-309KAISI 309 (1.4828)</t>
  </si>
  <si>
    <t>000000000009007413</t>
  </si>
  <si>
    <t>HTH.8-240-310K</t>
  </si>
  <si>
    <t xml:space="preserve">HTH.8-240-310KAISI 310 (1.4841) </t>
  </si>
  <si>
    <t>000000000009005180</t>
  </si>
  <si>
    <t>HTH.8-240-314K</t>
  </si>
  <si>
    <t xml:space="preserve">HTH.8-240-314KAISI 314 (1.4841) </t>
  </si>
  <si>
    <t>000000000009016963</t>
  </si>
  <si>
    <t>HTH.8-250-304K</t>
  </si>
  <si>
    <t>HTH.8-250-304KAISI 304 (1.4301)</t>
  </si>
  <si>
    <t>000000000009036860</t>
  </si>
  <si>
    <t>HTH.8-250-309K</t>
  </si>
  <si>
    <t>HTH.8-250-309KAISI 309 (1.4828)</t>
  </si>
  <si>
    <t>000000000009027103</t>
  </si>
  <si>
    <t>HTH.8-250-310K</t>
  </si>
  <si>
    <t xml:space="preserve">HTH.8-250-310KAISI 310 (1.4841) </t>
  </si>
  <si>
    <t>000000000009015753</t>
  </si>
  <si>
    <t>HTH.8-250-314K</t>
  </si>
  <si>
    <t xml:space="preserve">HTH.8-250-314KAISI 314 (1.4841) </t>
  </si>
  <si>
    <t>000000000009016817</t>
  </si>
  <si>
    <t>HTH.8-260-310K</t>
  </si>
  <si>
    <t xml:space="preserve">HTH.8-260-310KAISI 310 (1.4841) </t>
  </si>
  <si>
    <t>000000000009065129</t>
  </si>
  <si>
    <t>HTH.8-260-314K</t>
  </si>
  <si>
    <t xml:space="preserve">HTH.8-260-314KAISI 314 (1.4841) </t>
  </si>
  <si>
    <t>000000000009026959</t>
  </si>
  <si>
    <t>HTH.8-270-304K</t>
  </si>
  <si>
    <t>HTH.8-270-304KAISI 304 (1.4301)</t>
  </si>
  <si>
    <t>000000000009068355</t>
  </si>
  <si>
    <t>HTH.8-270-309K</t>
  </si>
  <si>
    <t>HTH.8-270-309KAISI 309 (1.4828)</t>
  </si>
  <si>
    <t>000000000009106931</t>
  </si>
  <si>
    <t>HTH.8-270-310K</t>
  </si>
  <si>
    <t xml:space="preserve">HTH.8-270-310KAISI 310 (1.4841) </t>
  </si>
  <si>
    <t>000000000009051681</t>
  </si>
  <si>
    <t>HTH.8-270-314K</t>
  </si>
  <si>
    <t xml:space="preserve">HTH.8-270-314KAISI 314 (1.4841) </t>
  </si>
  <si>
    <t>000000000009035002</t>
  </si>
  <si>
    <t>HTH.8-280-304K</t>
  </si>
  <si>
    <t>HTH.8-280-304KAISI 304 (1.4301)</t>
  </si>
  <si>
    <t>000000000009097514</t>
  </si>
  <si>
    <t>HTH.8-280-309K</t>
  </si>
  <si>
    <t>HTH.8-280-309KAISI 309 (1.4828)</t>
  </si>
  <si>
    <t>000000000009106947</t>
  </si>
  <si>
    <t>HTH.8-280-310K</t>
  </si>
  <si>
    <t xml:space="preserve">HTH.8-280-310KAISI 310 (1.4841) </t>
  </si>
  <si>
    <t>000000000009016011</t>
  </si>
  <si>
    <t>HTH.8-280-314K</t>
  </si>
  <si>
    <t xml:space="preserve">HTH.8-280-314KAISI 314 (1.4841) </t>
  </si>
  <si>
    <t>000000000009017192</t>
  </si>
  <si>
    <t>HTH.8-290-309K</t>
  </si>
  <si>
    <t>HTH.8-290-309KAISI 309 (1.4828)</t>
  </si>
  <si>
    <t>000000000009022343</t>
  </si>
  <si>
    <t>HTH.8-290-310K</t>
  </si>
  <si>
    <t xml:space="preserve">HTH.8-290-310KAISI 310 (1.4841) </t>
  </si>
  <si>
    <t>000000000009016000</t>
  </si>
  <si>
    <t>HTH.8-290-314K</t>
  </si>
  <si>
    <t xml:space="preserve">HTH.8-290-314KAISI 314 (1.4841) </t>
  </si>
  <si>
    <t>000000000009017857</t>
  </si>
  <si>
    <t>HTH.8-300-309K</t>
  </si>
  <si>
    <t>HTH.8-300-309KAISI 309 (1.4828)</t>
  </si>
  <si>
    <t>000000000009023751</t>
  </si>
  <si>
    <t>HTH.8-300-310K</t>
  </si>
  <si>
    <t xml:space="preserve">HTH.8-300-310KAISI 310 (1.4841) </t>
  </si>
  <si>
    <t>000000000009010777</t>
  </si>
  <si>
    <t>HTH.8-320-310K</t>
  </si>
  <si>
    <t xml:space="preserve">HTH.8-320-310KAISI 310 (1.4841) </t>
  </si>
  <si>
    <t>000000000009051089</t>
  </si>
  <si>
    <t>HTH.8-330-310K</t>
  </si>
  <si>
    <t xml:space="preserve">HTH.8-330-310KAISI 310 (1.4841) </t>
  </si>
  <si>
    <t>000000000009015694</t>
  </si>
  <si>
    <t>HTH.8-340-310K</t>
  </si>
  <si>
    <t xml:space="preserve">HTH.8-340-310KAISI 310 (1.4841) </t>
  </si>
  <si>
    <t>000000000009050153</t>
  </si>
  <si>
    <t>HTH.8-350-310K</t>
  </si>
  <si>
    <t xml:space="preserve">HTH.8-350-310KAISI 310 (1.4841) </t>
  </si>
  <si>
    <t>000000000009016046</t>
  </si>
  <si>
    <t>HTH.8-360-310K</t>
  </si>
  <si>
    <t xml:space="preserve">HTH.8-360-310KAISI 310 (1.4841) </t>
  </si>
  <si>
    <t>000000000009051750</t>
  </si>
  <si>
    <t>HTH.8-380-314K</t>
  </si>
  <si>
    <t xml:space="preserve">HTH.8-380-314KAISI 314 (1.4841) </t>
  </si>
  <si>
    <t>000000000009027130</t>
  </si>
  <si>
    <t>HTH.8-390-310K</t>
  </si>
  <si>
    <t xml:space="preserve">HTH.8-390-310KAISI 310 (1.4841) </t>
  </si>
  <si>
    <t>000000000009054416</t>
  </si>
  <si>
    <t>HTH.8-400-310K</t>
  </si>
  <si>
    <t xml:space="preserve">HTH.8-400-310KAISI 310 (1.4841) </t>
  </si>
  <si>
    <t>000000000009051175</t>
  </si>
  <si>
    <t>HTH.8-420-304K</t>
  </si>
  <si>
    <t>HTH.8-420-304KAISI 304 (1.4301)</t>
  </si>
  <si>
    <t>000000000009097259</t>
  </si>
  <si>
    <t>HTH.8-450-310K</t>
  </si>
  <si>
    <t xml:space="preserve">HTH.8-450-310KAISI 310 (1.4841) </t>
  </si>
  <si>
    <t>000000000009011387</t>
  </si>
  <si>
    <t>TWM.10-75-310K</t>
  </si>
  <si>
    <t xml:space="preserve">TWM.10-75-310KAISI 310 (1.4841) </t>
  </si>
  <si>
    <t>000000000009097332</t>
  </si>
  <si>
    <t>TWM.10-90-310K</t>
  </si>
  <si>
    <t xml:space="preserve">TWM.10-90-310KAISI 310 (1.4841) </t>
  </si>
  <si>
    <t>000000000009097331</t>
  </si>
  <si>
    <t>TWM.10-100-310K</t>
  </si>
  <si>
    <t xml:space="preserve">TWM.10-100-310KAISI 310 (1.4841) </t>
  </si>
  <si>
    <t>000000000009098334</t>
  </si>
  <si>
    <t>TWM.10-110-310K</t>
  </si>
  <si>
    <t xml:space="preserve">TWM.10-110-310KAISI 310 (1.4841) </t>
  </si>
  <si>
    <t>000000000009097334</t>
  </si>
  <si>
    <t>TWM.10-115-310K</t>
  </si>
  <si>
    <t xml:space="preserve">TWM.10-115-310KAISI 310 (1.4841) </t>
  </si>
  <si>
    <t>000000000009097344</t>
  </si>
  <si>
    <t>TWM.10-125-304K</t>
  </si>
  <si>
    <t>TWM.10-125-304KAISI 304 (1.4301)</t>
  </si>
  <si>
    <t>000000000009080277</t>
  </si>
  <si>
    <t>TWM.10-125-310K</t>
  </si>
  <si>
    <t xml:space="preserve">TWM.10-125-310KAISI 310 (1.4841) </t>
  </si>
  <si>
    <t>000000000009101656</t>
  </si>
  <si>
    <t>TWM.10-130-304K</t>
  </si>
  <si>
    <t>TWM.10-130-304KAISI 304 (1.4301)</t>
  </si>
  <si>
    <t>000000000009097262</t>
  </si>
  <si>
    <t>TWM.10-130-310K</t>
  </si>
  <si>
    <t xml:space="preserve">TWM.10-130-310KAISI 310 (1.4841) </t>
  </si>
  <si>
    <t>000000000009097338</t>
  </si>
  <si>
    <t>TWM.10-140-310K</t>
  </si>
  <si>
    <t xml:space="preserve">TWM.10-140-310KAISI 310 (1.4841) </t>
  </si>
  <si>
    <t>000000000009097337</t>
  </si>
  <si>
    <t>TWM.10-150-310K</t>
  </si>
  <si>
    <t xml:space="preserve">TWM.10-150-310KAISI 310 (1.4841) </t>
  </si>
  <si>
    <t>000000000009072514</t>
  </si>
  <si>
    <t>TWM.10-155-304K</t>
  </si>
  <si>
    <t>TWM.10-155-304KAISI 304 (1.4301)</t>
  </si>
  <si>
    <t>000000000009080274</t>
  </si>
  <si>
    <t>TWM.10-155-310K</t>
  </si>
  <si>
    <t xml:space="preserve">TWM.10-155-310KAISI 310 (1.4841) </t>
  </si>
  <si>
    <t>000000000009097346</t>
  </si>
  <si>
    <t>TWM.10-165-304K</t>
  </si>
  <si>
    <t>TWM.10-165-304KAISI 304 (1.4301)</t>
  </si>
  <si>
    <t>000000000009080227</t>
  </si>
  <si>
    <t>TWM.10-165-310K</t>
  </si>
  <si>
    <t xml:space="preserve">TWM.10-165-310KAISI 310 (1.4841) </t>
  </si>
  <si>
    <t>000000000009097336</t>
  </si>
  <si>
    <t>TWM.10-170-304K</t>
  </si>
  <si>
    <t>TWM.10-170-304KAISI 304 (1.4301)</t>
  </si>
  <si>
    <t>000000000009097247</t>
  </si>
  <si>
    <t>TWM.10-170-310K</t>
  </si>
  <si>
    <t xml:space="preserve">TWM.10-170-310KAISI 310 (1.4841) </t>
  </si>
  <si>
    <t>000000000009100744</t>
  </si>
  <si>
    <t>TWM.10-175-310K</t>
  </si>
  <si>
    <t xml:space="preserve">TWM.10-175-310KAISI 310 (1.4841) </t>
  </si>
  <si>
    <t>000000000009067577</t>
  </si>
  <si>
    <t>TWM.10-180-310K</t>
  </si>
  <si>
    <t xml:space="preserve">TWM.10-180-310KAISI 310 (1.4841) </t>
  </si>
  <si>
    <t>000000000009097402</t>
  </si>
  <si>
    <t>TWM.10-190-304K</t>
  </si>
  <si>
    <t>TWM.10-190-304KAISI 304 (1.4301)</t>
  </si>
  <si>
    <t>000000000009097273</t>
  </si>
  <si>
    <t>TWM.10-190-310K</t>
  </si>
  <si>
    <t xml:space="preserve">TWM.10-190-310KAISI 310 (1.4841) </t>
  </si>
  <si>
    <t>000000000009063292</t>
  </si>
  <si>
    <t>TWM.10-200-304K</t>
  </si>
  <si>
    <t>TWM.10-200-304KAISI 304 (1.4301)</t>
  </si>
  <si>
    <t>000000000009080229</t>
  </si>
  <si>
    <t>TWM.10-200-309K</t>
  </si>
  <si>
    <t>TWM.10-200-309KAISI 309 (1.4828)</t>
  </si>
  <si>
    <t>000000000009079070</t>
  </si>
  <si>
    <t>TWM.10-200-310K</t>
  </si>
  <si>
    <t xml:space="preserve">TWM.10-200-310KAISI 310 (1.4841) </t>
  </si>
  <si>
    <t>000000000009060911</t>
  </si>
  <si>
    <t>TWM.10-205-310K</t>
  </si>
  <si>
    <t xml:space="preserve">TWM.10-205-310KAISI 310 (1.4841) </t>
  </si>
  <si>
    <t>000000000009113900</t>
  </si>
  <si>
    <t>TWM.10-210-310K</t>
  </si>
  <si>
    <t xml:space="preserve">TWM.10-210-310KAISI 310 (1.4841) </t>
  </si>
  <si>
    <t>000000000009076941</t>
  </si>
  <si>
    <t>TWM.10-220-304K</t>
  </si>
  <si>
    <t>TWM.10-220-304KAISI 304 (1.4301)</t>
  </si>
  <si>
    <t>000000000009080231</t>
  </si>
  <si>
    <t>TWM.10-220-309K</t>
  </si>
  <si>
    <t>TWM.10-220-309KAISI 309 (1.4828)</t>
  </si>
  <si>
    <t>000000000009078947</t>
  </si>
  <si>
    <t>TWM.10-220-310K</t>
  </si>
  <si>
    <t xml:space="preserve">TWM.10-220-310KAISI 310 (1.4841) </t>
  </si>
  <si>
    <t>000000000009054830</t>
  </si>
  <si>
    <t>TWM.10-220-314K</t>
  </si>
  <si>
    <t xml:space="preserve">TWM.10-220-314KAISI 314 (1.4841) </t>
  </si>
  <si>
    <t>000000000009034256</t>
  </si>
  <si>
    <t>TWM.10-225-310K</t>
  </si>
  <si>
    <t xml:space="preserve">TWM.10-225-310KAISI 310 (1.4841) </t>
  </si>
  <si>
    <t>000000000009107892</t>
  </si>
  <si>
    <t>TWM.10-230-304K</t>
  </si>
  <si>
    <t>TWM.10-230-304KAISI 304 (1.4301)</t>
  </si>
  <si>
    <t>000000000009097263</t>
  </si>
  <si>
    <t>TWM.10-230-309K</t>
  </si>
  <si>
    <t>TWM.10-230-309KAISI 309 (1.4828)</t>
  </si>
  <si>
    <t>000000000009106970</t>
  </si>
  <si>
    <t>TWM.10-230-310K</t>
  </si>
  <si>
    <t xml:space="preserve">TWM.10-230-310KAISI 310 (1.4841) </t>
  </si>
  <si>
    <t>000000000009060422</t>
  </si>
  <si>
    <t>TWM.10-240-314K</t>
  </si>
  <si>
    <t xml:space="preserve">TWM.10-240-314KAISI 314 (1.4841) </t>
  </si>
  <si>
    <t>000000000009107883</t>
  </si>
  <si>
    <t>TWM.10-250-310K</t>
  </si>
  <si>
    <t xml:space="preserve">TWM.10-250-310KAISI 310 (1.4841) </t>
  </si>
  <si>
    <t>000000000009063065</t>
  </si>
  <si>
    <t>TWM.10-260-310K</t>
  </si>
  <si>
    <t xml:space="preserve">TWM.10-260-310KAISI 310 (1.4841) </t>
  </si>
  <si>
    <t>000000000009059930</t>
  </si>
  <si>
    <t>TWM.10-270-304K</t>
  </si>
  <si>
    <t>TWM.10-270-304KAISI 304 (1.4301)</t>
  </si>
  <si>
    <t>000000000009097246</t>
  </si>
  <si>
    <t>TWM.10-270-310K</t>
  </si>
  <si>
    <t xml:space="preserve">TWM.10-270-310KAISI 310 (1.4841) </t>
  </si>
  <si>
    <t>000000000009048145</t>
  </si>
  <si>
    <t>TWM.10-280-304K</t>
  </si>
  <si>
    <t>TWM.10-280-304KAISI 304 (1.4301)</t>
  </si>
  <si>
    <t>000000000009097264</t>
  </si>
  <si>
    <t>TWM.10-280-310K</t>
  </si>
  <si>
    <t xml:space="preserve">TWM.10-280-310KAISI 310 (1.4841) </t>
  </si>
  <si>
    <t>000000000009060006</t>
  </si>
  <si>
    <t>TWM.10-300-304K</t>
  </si>
  <si>
    <t>TWM.10-300-304KAISI 304 (1.4301)</t>
  </si>
  <si>
    <t>000000000009080228</t>
  </si>
  <si>
    <t>TWM.10-300-309K</t>
  </si>
  <si>
    <t>TWM.10-300-309KAISI 309 (1.4828)</t>
  </si>
  <si>
    <t>000000000009078161</t>
  </si>
  <si>
    <t>TWM.10-300-310K</t>
  </si>
  <si>
    <t xml:space="preserve">TWM.10-300-310KAISI 310 (1.4841) </t>
  </si>
  <si>
    <t>000000000009056405</t>
  </si>
  <si>
    <t>TWM.10-310-310K</t>
  </si>
  <si>
    <t xml:space="preserve">TWM.10-310-310KAISI 310 (1.4841) </t>
  </si>
  <si>
    <t>000000000009104123</t>
  </si>
  <si>
    <t>TWM.10-320-304K</t>
  </si>
  <si>
    <t>TWM.10-320-304KAISI 304 (1.4301)</t>
  </si>
  <si>
    <t>000000000009097276</t>
  </si>
  <si>
    <t>TWM.10-320-310K</t>
  </si>
  <si>
    <t xml:space="preserve">TWM.10-320-310KAISI 310 (1.4841) </t>
  </si>
  <si>
    <t>000000000009048142</t>
  </si>
  <si>
    <t>TWM.10-320-314K</t>
  </si>
  <si>
    <t xml:space="preserve">TWM.10-320-314KAISI 314 (1.4841) </t>
  </si>
  <si>
    <t>000000000009035602</t>
  </si>
  <si>
    <t>TWM.10-330-310K</t>
  </si>
  <si>
    <t xml:space="preserve">TWM.10-330-310KAISI 310 (1.4841) </t>
  </si>
  <si>
    <t>000000000009071443</t>
  </si>
  <si>
    <t>TWM.10-340-310K</t>
  </si>
  <si>
    <t xml:space="preserve">TWM.10-340-310KAISI 310 (1.4841) </t>
  </si>
  <si>
    <t>000000000009046942</t>
  </si>
  <si>
    <t>TWM.10-350-304K</t>
  </si>
  <si>
    <t>TWM.10-350-304KAISI 304 (1.4301)</t>
  </si>
  <si>
    <t>000000000009097296</t>
  </si>
  <si>
    <t>TWM.10-350-310K</t>
  </si>
  <si>
    <t xml:space="preserve">TWM.10-350-310KAISI 310 (1.4841) </t>
  </si>
  <si>
    <t>000000000009049109</t>
  </si>
  <si>
    <t>TWM.10-350-314K</t>
  </si>
  <si>
    <t xml:space="preserve">TWM.10-350-314KAISI 314 (1.4841) </t>
  </si>
  <si>
    <t>000000000009034258</t>
  </si>
  <si>
    <t>TWM.10-365-310K</t>
  </si>
  <si>
    <t xml:space="preserve">TWM.10-365-310KAISI 310 (1.4841) </t>
  </si>
  <si>
    <t>000000000009080040</t>
  </si>
  <si>
    <t>TWM.10-375-310K</t>
  </si>
  <si>
    <t xml:space="preserve">TWM.10-375-310KAISI 310 (1.4841) </t>
  </si>
  <si>
    <t>000000000009098280</t>
  </si>
  <si>
    <t>TWM.10-380-310K</t>
  </si>
  <si>
    <t xml:space="preserve">TWM.10-380-310KAISI 310 (1.4841) </t>
  </si>
  <si>
    <t>000000000009048143</t>
  </si>
  <si>
    <t>TWM.10-380-314K</t>
  </si>
  <si>
    <t xml:space="preserve">TWM.10-380-314KAISI 314 (1.4841) </t>
  </si>
  <si>
    <t>000000000009039931</t>
  </si>
  <si>
    <t>TWM.10-400-310K</t>
  </si>
  <si>
    <t xml:space="preserve">TWM.10-400-310KAISI 310 (1.4841) </t>
  </si>
  <si>
    <t>000000000009061996</t>
  </si>
  <si>
    <t>TWM.10-420-310K</t>
  </si>
  <si>
    <t xml:space="preserve">TWM.10-420-310KAISI 310 (1.4841) </t>
  </si>
  <si>
    <t>000000000009051498</t>
  </si>
  <si>
    <t>TWM.10-430-310K</t>
  </si>
  <si>
    <t xml:space="preserve">TWM.10-430-310KAISI 310 (1.4841) </t>
  </si>
  <si>
    <t>000000000009097401</t>
  </si>
  <si>
    <t>TWM.10-460-310K</t>
  </si>
  <si>
    <t xml:space="preserve">TWM.10-460-310KAISI 310 (1.4841) </t>
  </si>
  <si>
    <t>000000000009049029</t>
  </si>
  <si>
    <t>TWM.10-460-314K</t>
  </si>
  <si>
    <t xml:space="preserve">TWM.10-460-314KAISI 314 (1.4841) </t>
  </si>
  <si>
    <t>000000000009034706</t>
  </si>
  <si>
    <t>TWM.10-470-310K</t>
  </si>
  <si>
    <t xml:space="preserve">TWM.10-470-310KAISI 310 (1.4841) </t>
  </si>
  <si>
    <t>000000000009066691</t>
  </si>
  <si>
    <t>TWM.10-480-310K</t>
  </si>
  <si>
    <t xml:space="preserve">TWM.10-480-310KAISI 310 (1.4841) </t>
  </si>
  <si>
    <t>000000000009051499</t>
  </si>
  <si>
    <t>TWM.10-520-310K</t>
  </si>
  <si>
    <t xml:space="preserve">TWM.10-520-310KAISI 310 (1.4841) </t>
  </si>
  <si>
    <t>000000000009075998</t>
  </si>
  <si>
    <t>TWM.10-80-310K</t>
  </si>
  <si>
    <t xml:space="preserve">TWM.10-80-310KAISI 310 (1.4841) </t>
  </si>
  <si>
    <t>000000000009104339</t>
  </si>
  <si>
    <t>TWM.12-100-310K</t>
  </si>
  <si>
    <t xml:space="preserve">TWM.12-100-310KAISI 310 (1.4841) </t>
  </si>
  <si>
    <t>000000000009104240</t>
  </si>
  <si>
    <t>TWM.12-160-310K</t>
  </si>
  <si>
    <t xml:space="preserve">TWM.12-160-310KAISI 310 (1.4841) </t>
  </si>
  <si>
    <t>000000000009104246</t>
  </si>
  <si>
    <t>TWM.12-170-310K</t>
  </si>
  <si>
    <t xml:space="preserve">TWM.12-170-310KAISI 310 (1.4841) </t>
  </si>
  <si>
    <t>000000000009104241</t>
  </si>
  <si>
    <t>TWM.12-180-310K</t>
  </si>
  <si>
    <t xml:space="preserve">TWM.12-180-310KAISI 310 (1.4841) </t>
  </si>
  <si>
    <t>000000000009098284</t>
  </si>
  <si>
    <t>TWM.12-190-310K</t>
  </si>
  <si>
    <t xml:space="preserve">TWM.12-190-310KAISI 310 (1.4841) </t>
  </si>
  <si>
    <t>000000000009081822</t>
  </si>
  <si>
    <t>TWM.12-200-310K</t>
  </si>
  <si>
    <t xml:space="preserve">TWM.12-200-310KAISI 310 (1.4841) </t>
  </si>
  <si>
    <t>000000000009098281</t>
  </si>
  <si>
    <t>TWM.12-210-310K</t>
  </si>
  <si>
    <t xml:space="preserve">TWM.12-210-310KAISI 310 (1.4841) </t>
  </si>
  <si>
    <t>000000000009098282</t>
  </si>
  <si>
    <t>TWM.12-220-304K</t>
  </si>
  <si>
    <t>TWM.12-220-304KAISI 304 (1.4301)</t>
  </si>
  <si>
    <t>000000000009100758</t>
  </si>
  <si>
    <t>TWM.12-220-310K</t>
  </si>
  <si>
    <t xml:space="preserve">TWM.12-220-310KAISI 310 (1.4841) </t>
  </si>
  <si>
    <t>000000000009097345</t>
  </si>
  <si>
    <t>TWM.12-230-310K</t>
  </si>
  <si>
    <t xml:space="preserve">TWM.12-230-310KAISI 310 (1.4841) </t>
  </si>
  <si>
    <t>000000000009081925</t>
  </si>
  <si>
    <t>TWM.12-250-310K</t>
  </si>
  <si>
    <t xml:space="preserve">TWM.12-250-310KAISI 310 (1.4841) </t>
  </si>
  <si>
    <t>000000000009098283</t>
  </si>
  <si>
    <t>TWM.12-270-310K</t>
  </si>
  <si>
    <t xml:space="preserve">TWM.12-270-310KAISI 310 (1.4841) </t>
  </si>
  <si>
    <t>000000000009104244</t>
  </si>
  <si>
    <t>TWM.12-290-310K</t>
  </si>
  <si>
    <t xml:space="preserve">TWM.12-290-310KAISI 310 (1.4841) </t>
  </si>
  <si>
    <t>000000000009098911</t>
  </si>
  <si>
    <t>TWM.12-320-310K</t>
  </si>
  <si>
    <t xml:space="preserve">TWM.12-320-310KAISI 310 (1.4841) </t>
  </si>
  <si>
    <t>000000000009081948</t>
  </si>
  <si>
    <t>TWM.12-350-310K</t>
  </si>
  <si>
    <t xml:space="preserve">TWM.12-350-310KAISI 310 (1.4841) </t>
  </si>
  <si>
    <t>000000000009081949</t>
  </si>
  <si>
    <t>TWM.12-360-310K</t>
  </si>
  <si>
    <t xml:space="preserve">TWM.12-360-310KAISI 310 (1.4841) </t>
  </si>
  <si>
    <t>000000000009098910</t>
  </si>
  <si>
    <t>TWM.12-380-310K</t>
  </si>
  <si>
    <t xml:space="preserve">TWM.12-380-310KAISI 310 (1.4841) </t>
  </si>
  <si>
    <t>000000000009072789</t>
  </si>
  <si>
    <t>TWM.12-450-310K</t>
  </si>
  <si>
    <t xml:space="preserve">TWM.12-450-310KAISI 310 (1.4841) </t>
  </si>
  <si>
    <t>000000000009081970</t>
  </si>
  <si>
    <t>TWM.4-40-304K</t>
  </si>
  <si>
    <t>TWM.4-40-304KAISI 304 (1.4301)</t>
  </si>
  <si>
    <t>000000000009065880</t>
  </si>
  <si>
    <t>TWM.6-60-304K</t>
  </si>
  <si>
    <t>TWM.6-60-304KAISI 304 (1.4301)</t>
  </si>
  <si>
    <t>000000000009097252</t>
  </si>
  <si>
    <t>TWM.6-60-309K</t>
  </si>
  <si>
    <t>TWM.6-60-309KAISI 309 (1.4828)</t>
  </si>
  <si>
    <t>000000000009106915</t>
  </si>
  <si>
    <t>TWM.6-60-310K</t>
  </si>
  <si>
    <t xml:space="preserve">TWM.6-60-310KAISI 310 (1.4841) </t>
  </si>
  <si>
    <t>000000000009097333</t>
  </si>
  <si>
    <t>TWM.8-60-310K</t>
  </si>
  <si>
    <t xml:space="preserve">TWM.8-60-310KAISI 310 (1.4841) </t>
  </si>
  <si>
    <t>000000000009097400</t>
  </si>
  <si>
    <t>TWM.8-65-310K</t>
  </si>
  <si>
    <t xml:space="preserve">TWM.8-65-310KAISI 310 (1.4841) </t>
  </si>
  <si>
    <t>000000000009047083</t>
  </si>
  <si>
    <t>TWM.8-70-310K</t>
  </si>
  <si>
    <t xml:space="preserve">TWM.8-70-310KAISI 310 (1.4841) </t>
  </si>
  <si>
    <t>000000000009110542</t>
  </si>
  <si>
    <t>TWM.8-75-304K</t>
  </si>
  <si>
    <t>TWM.8-75-304KAISI 304 (1.4301)</t>
  </si>
  <si>
    <t>000000000009097253</t>
  </si>
  <si>
    <t>TWM.8-75-310K</t>
  </si>
  <si>
    <t xml:space="preserve">TWM.8-75-310KAISI 310 (1.4841) </t>
  </si>
  <si>
    <t>000000000009074799</t>
  </si>
  <si>
    <t>TWM.8-90-304K</t>
  </si>
  <si>
    <t>TWM.8-90-304KAISI 304 (1.4301)</t>
  </si>
  <si>
    <t>000000000009097265</t>
  </si>
  <si>
    <t>TWM.8-90-310K</t>
  </si>
  <si>
    <t xml:space="preserve">TWM.8-90-310KAISI 310 (1.4841) </t>
  </si>
  <si>
    <t>000000000009097335</t>
  </si>
  <si>
    <t>TWM.8-95-310K</t>
  </si>
  <si>
    <t xml:space="preserve">TWM.8-95-310KAISI 310 (1.4841) </t>
  </si>
  <si>
    <t>000000000009074797</t>
  </si>
  <si>
    <t>TWM.8-100-304K</t>
  </si>
  <si>
    <t>TWM.8-100-304KAISI 304 (1.4301)</t>
  </si>
  <si>
    <t>000000000009106916</t>
  </si>
  <si>
    <t>TWM.8-100-309K</t>
  </si>
  <si>
    <t>TWM.8-100-309KAISI 309 (1.4828)</t>
  </si>
  <si>
    <t>000000000009106914</t>
  </si>
  <si>
    <t>TWM.8-100-310K</t>
  </si>
  <si>
    <t xml:space="preserve">TWM.8-100-310KAISI 310 (1.4841) </t>
  </si>
  <si>
    <t>000000000009047084</t>
  </si>
  <si>
    <t>TWM.8-110-304K</t>
  </si>
  <si>
    <t>TWM.8-110-304KAISI 304 (1.4301)</t>
  </si>
  <si>
    <t>000000000009097266</t>
  </si>
  <si>
    <t>TWM.8-110-310K</t>
  </si>
  <si>
    <t xml:space="preserve">TWM.8-110-310KAISI 310 (1.4841) </t>
  </si>
  <si>
    <t>000000000009100948</t>
  </si>
  <si>
    <t>TWM.8-115-304K</t>
  </si>
  <si>
    <t>TWM.8-115-304KAISI 304 (1.4301)</t>
  </si>
  <si>
    <t>000000000009097267</t>
  </si>
  <si>
    <t>TWM.8-115-310K</t>
  </si>
  <si>
    <t xml:space="preserve">TWM.8-115-310KAISI 310 (1.4841) </t>
  </si>
  <si>
    <t>000000000009072424</t>
  </si>
  <si>
    <t>TWM.8-120-309K</t>
  </si>
  <si>
    <t>TWM.8-120-309KAISI 309 (1.4828)</t>
  </si>
  <si>
    <t>000000000009074666</t>
  </si>
  <si>
    <t>TWM.8-120-310K</t>
  </si>
  <si>
    <t xml:space="preserve">TWM.8-120-310KAISI 310 (1.4841) </t>
  </si>
  <si>
    <t>000000000009072423</t>
  </si>
  <si>
    <t>TWM.8-125-304K</t>
  </si>
  <si>
    <t>TWM.8-125-304KAISI 304 (1.4301)</t>
  </si>
  <si>
    <t>000000000009080276</t>
  </si>
  <si>
    <t>TWM.8-125-310K</t>
  </si>
  <si>
    <t xml:space="preserve">TWM.8-125-310KAISI 310 (1.4841) </t>
  </si>
  <si>
    <t>000000000009072422</t>
  </si>
  <si>
    <t>TWM.8-130-310K</t>
  </si>
  <si>
    <t xml:space="preserve">TWM.8-130-310KAISI 310 (1.4841) </t>
  </si>
  <si>
    <t>000000000009081924</t>
  </si>
  <si>
    <t>TWM.8-135-310K</t>
  </si>
  <si>
    <t xml:space="preserve">TWM.8-135-310KAISI 310 (1.4841) </t>
  </si>
  <si>
    <t>000000000009072421</t>
  </si>
  <si>
    <t>TWM.8-140-304K</t>
  </si>
  <si>
    <t>TWM.8-140-304KAISI 304 (1.4301)</t>
  </si>
  <si>
    <t>000000000009097250</t>
  </si>
  <si>
    <t>TWM.8-140-309K</t>
  </si>
  <si>
    <t>TWM.8-140-309KAISI 309 (1.4828)</t>
  </si>
  <si>
    <t>000000000009074665</t>
  </si>
  <si>
    <t>TWM.8-150-309K</t>
  </si>
  <si>
    <t>TWM.8-150-309KAISI 309 (1.4828)</t>
  </si>
  <si>
    <t>000000000009056481</t>
  </si>
  <si>
    <t>TWM.8-150-310K</t>
  </si>
  <si>
    <t xml:space="preserve">TWM.8-150-310KAISI 310 (1.4841) </t>
  </si>
  <si>
    <t>000000000009072420</t>
  </si>
  <si>
    <t>TWM.8-150-314K</t>
  </si>
  <si>
    <t xml:space="preserve">TWM.8-150-314KAISI 314 (1.4841) </t>
  </si>
  <si>
    <t>000000000009037218</t>
  </si>
  <si>
    <t>TWM.8-160-310K</t>
  </si>
  <si>
    <t xml:space="preserve">TWM.8-160-310KAISI 310 (1.4841) </t>
  </si>
  <si>
    <t>000000000009055820</t>
  </si>
  <si>
    <t>TWM.8-160-314K</t>
  </si>
  <si>
    <t xml:space="preserve">TWM.8-160-314KAISI 314 (1.4841) </t>
  </si>
  <si>
    <t>000000000009034253</t>
  </si>
  <si>
    <t>TWM.8-165-304K</t>
  </si>
  <si>
    <t>TWM.8-165-304KAISI 304 (1.4301)</t>
  </si>
  <si>
    <t>000000000009080226</t>
  </si>
  <si>
    <t>TWM.8-165-310K</t>
  </si>
  <si>
    <t xml:space="preserve">TWM.8-165-310KAISI 310 (1.4841) </t>
  </si>
  <si>
    <t>000000000009103757</t>
  </si>
  <si>
    <t>TWM.8-170-304K</t>
  </si>
  <si>
    <t>TWM.8-170-304KAISI 304 (1.4301)</t>
  </si>
  <si>
    <t>000000000009097275</t>
  </si>
  <si>
    <t>TWM.8-170-310K</t>
  </si>
  <si>
    <t xml:space="preserve">TWM.8-170-310KAISI 310 (1.4841) </t>
  </si>
  <si>
    <t>000000000009045590</t>
  </si>
  <si>
    <t>TWM.8-175-310K</t>
  </si>
  <si>
    <t xml:space="preserve">TWM.8-175-310KAISI 310 (1.4841) </t>
  </si>
  <si>
    <t>000000000009075562</t>
  </si>
  <si>
    <t>TWM.8-180-310K</t>
  </si>
  <si>
    <t xml:space="preserve">TWM.8-180-310KAISI 310 (1.4841) </t>
  </si>
  <si>
    <t>000000000009100838</t>
  </si>
  <si>
    <t>TWM.8-190-310K</t>
  </si>
  <si>
    <t xml:space="preserve">TWM.8-190-310KAISI 310 (1.4841) </t>
  </si>
  <si>
    <t>000000000009060075</t>
  </si>
  <si>
    <t>TWM.8-200-304K</t>
  </si>
  <si>
    <t>TWM.8-200-304KAISI 304 (1.4301)</t>
  </si>
  <si>
    <t>000000000009097249</t>
  </si>
  <si>
    <t>TWM.8-200-309K</t>
  </si>
  <si>
    <t>TWM.8-200-309KAISI 309 (1.4828)</t>
  </si>
  <si>
    <t>000000000009078160</t>
  </si>
  <si>
    <t>TWM.8-200-310K</t>
  </si>
  <si>
    <t xml:space="preserve">TWM.8-200-310KAISI 310 (1.4841) </t>
  </si>
  <si>
    <t>000000000009044023</t>
  </si>
  <si>
    <t>TWM.8-200-314K</t>
  </si>
  <si>
    <t xml:space="preserve">TWM.8-200-314KAISI 314 (1.4841) </t>
  </si>
  <si>
    <t>000000000009037217</t>
  </si>
  <si>
    <t>TWM.8-210-310K</t>
  </si>
  <si>
    <t xml:space="preserve">TWM.8-210-310KAISI 310 (1.4841) </t>
  </si>
  <si>
    <t>000000000009100759</t>
  </si>
  <si>
    <t>TWM.8-220-304K</t>
  </si>
  <si>
    <t>TWM.8-220-304KAISI 304 (1.4301)</t>
  </si>
  <si>
    <t>000000000009080230</t>
  </si>
  <si>
    <t xml:space="preserve">TWM.8-220-310KAISI 310 (1.4841) </t>
  </si>
  <si>
    <t>TWM.8-220-314K</t>
  </si>
  <si>
    <t xml:space="preserve">TWM.8-220-314KAISI 314 (1.4841) </t>
  </si>
  <si>
    <t>000000000009034254</t>
  </si>
  <si>
    <t>TWM.8-230-310K</t>
  </si>
  <si>
    <t xml:space="preserve">TWM.8-230-310KAISI 310 (1.4841) </t>
  </si>
  <si>
    <t>000000000009049108</t>
  </si>
  <si>
    <t>TWM.8-230-314K</t>
  </si>
  <si>
    <t xml:space="preserve">TWM.8-230-314KAISI 314 (1.4841) </t>
  </si>
  <si>
    <t>000000000009034255</t>
  </si>
  <si>
    <t>TWM.8-250-310K</t>
  </si>
  <si>
    <t xml:space="preserve">TWM.8-250-310KAISI 310 (1.4841) </t>
  </si>
  <si>
    <t>000000000009072431</t>
  </si>
  <si>
    <t>TWM.8-255-310K</t>
  </si>
  <si>
    <t xml:space="preserve">TWM.8-255-310KAISI 310 (1.4841) </t>
  </si>
  <si>
    <t>000000000009042229</t>
  </si>
  <si>
    <t>TWM.8-270-304K</t>
  </si>
  <si>
    <t>TWM.8-270-304KAISI 304 (1.4301)</t>
  </si>
  <si>
    <t>000000000009097248</t>
  </si>
  <si>
    <t>TWM.8-280-309K</t>
  </si>
  <si>
    <t>TWM.8-280-309KAISI 309 (1.4828)</t>
  </si>
  <si>
    <t>000000000009106930</t>
  </si>
  <si>
    <t>TWM.8-280-310K</t>
  </si>
  <si>
    <t xml:space="preserve">TWM.8-280-310KAISI 310 (1.4841) </t>
  </si>
  <si>
    <t>000000000009055821</t>
  </si>
  <si>
    <t>TWM.8-300-310K</t>
  </si>
  <si>
    <t xml:space="preserve">TWM.8-300-310KAISI 310 (1.4841) </t>
  </si>
  <si>
    <t>000000000009075106</t>
  </si>
  <si>
    <t>TWM.8-350-310K</t>
  </si>
  <si>
    <t xml:space="preserve">TWM.8-350-310KAISI 310 (1.4841) </t>
  </si>
  <si>
    <t>000000000009074081</t>
  </si>
  <si>
    <t>TWM.8-400-310K</t>
  </si>
  <si>
    <t xml:space="preserve">TWM.8-400-310KAISI 310 (1.4841) </t>
  </si>
  <si>
    <t>000000000009056962</t>
  </si>
  <si>
    <t>TWM.8-50-310K</t>
  </si>
  <si>
    <t xml:space="preserve">TWM.8-50-310KAISI 310 (1.4841) </t>
  </si>
  <si>
    <t>000000000009056817</t>
  </si>
  <si>
    <t>TWM.8-85-310K</t>
  </si>
  <si>
    <t xml:space="preserve">TWM.8-85-310KAISI 310 (1.4841) </t>
  </si>
  <si>
    <t>000000000009100839</t>
  </si>
  <si>
    <t>HTP.10-200-310K</t>
  </si>
  <si>
    <t xml:space="preserve">HTP.10-200-310KAISI 310 (1.4841) </t>
  </si>
  <si>
    <t>000000000009084698</t>
  </si>
  <si>
    <t>HTP.10-350-310K</t>
  </si>
  <si>
    <t xml:space="preserve">HTP.10-350-310KAISI 310 (1.4841) </t>
  </si>
  <si>
    <t>000000000009021320</t>
  </si>
  <si>
    <t>HTP.10-400-310K</t>
  </si>
  <si>
    <t xml:space="preserve">HTP.10-400-310KAISI 310 (1.4841) </t>
  </si>
  <si>
    <t>000000000009075702</t>
  </si>
  <si>
    <t>HTP.10-420-310K</t>
  </si>
  <si>
    <t xml:space="preserve">HTP.10-420-310KAISI 310 (1.4841) </t>
  </si>
  <si>
    <t>000000000009084697</t>
  </si>
  <si>
    <t>HTP.10-620-310K</t>
  </si>
  <si>
    <t xml:space="preserve">HTP.10-620-310KAISI 310 (1.4841) </t>
  </si>
  <si>
    <t>000000000009103184</t>
  </si>
  <si>
    <t>HTP.6-65-310K</t>
  </si>
  <si>
    <t xml:space="preserve">HTP.6-65-310KAISI 310 (1.4841) </t>
  </si>
  <si>
    <t>000000000009072768</t>
  </si>
  <si>
    <t>HTP.6-75-310K</t>
  </si>
  <si>
    <t xml:space="preserve">HTP.6-75-310KAISI 310 (1.4841) </t>
  </si>
  <si>
    <t>000000000009014094</t>
  </si>
  <si>
    <t>HTP.6-80-310K</t>
  </si>
  <si>
    <t xml:space="preserve">HTP.6-80-310KAISI 310 (1.4841) </t>
  </si>
  <si>
    <t>000000000009050930</t>
  </si>
  <si>
    <t>HTP.6-90-310K</t>
  </si>
  <si>
    <t xml:space="preserve">HTP.6-90-310KAISI 310 (1.4841) </t>
  </si>
  <si>
    <t>000000000009043998</t>
  </si>
  <si>
    <t>HTP.6-130-310K</t>
  </si>
  <si>
    <t xml:space="preserve">HTP.6-130-310KAISI 310 (1.4841) </t>
  </si>
  <si>
    <t>000000000009072769</t>
  </si>
  <si>
    <t>HTP.6-215-310K</t>
  </si>
  <si>
    <t xml:space="preserve">HTP.6-215-310KAISI 310 (1.4841) </t>
  </si>
  <si>
    <t>000000000009098647</t>
  </si>
  <si>
    <t>HTP.8-100-310K</t>
  </si>
  <si>
    <t xml:space="preserve">HTP.8-100-310KAISI 310 (1.4841) </t>
  </si>
  <si>
    <t>000000000009015745</t>
  </si>
  <si>
    <t>HTP.8-110-310K</t>
  </si>
  <si>
    <t xml:space="preserve">HTP.8-110-310KAISI 310 (1.4841) </t>
  </si>
  <si>
    <t>000000000009019007</t>
  </si>
  <si>
    <t>HTP.8-120-310K</t>
  </si>
  <si>
    <t xml:space="preserve">HTP.8-120-310KAISI 310 (1.4841) </t>
  </si>
  <si>
    <t>000000000009013618</t>
  </si>
  <si>
    <t>HTP.8-130-310K</t>
  </si>
  <si>
    <t xml:space="preserve">HTP.8-130-310KAISI 310 (1.4841) </t>
  </si>
  <si>
    <t>000000000009010978</t>
  </si>
  <si>
    <t>HTP.8-140-310K</t>
  </si>
  <si>
    <t xml:space="preserve">HTP.8-140-310KAISI 310 (1.4841) </t>
  </si>
  <si>
    <t>000000000009004372</t>
  </si>
  <si>
    <t>HTP.8-150-310K</t>
  </si>
  <si>
    <t xml:space="preserve">HTP.8-150-310KAISI 310 (1.4841) </t>
  </si>
  <si>
    <t>000000000009012669</t>
  </si>
  <si>
    <t>HTP.8-160-310K</t>
  </si>
  <si>
    <t xml:space="preserve">HTP.8-160-310KAISI 310 (1.4841) </t>
  </si>
  <si>
    <t>000000000009005156</t>
  </si>
  <si>
    <t>HTP.8-170-310K</t>
  </si>
  <si>
    <t xml:space="preserve">HTP.8-170-310KAISI 310 (1.4841) </t>
  </si>
  <si>
    <t>000000000009011516</t>
  </si>
  <si>
    <t>HTP.8-170-314K</t>
  </si>
  <si>
    <t xml:space="preserve">HTP.8-170-314KAISI 314 (1.4841) </t>
  </si>
  <si>
    <t>000000000009021341</t>
  </si>
  <si>
    <t>HTP.8-180-310K</t>
  </si>
  <si>
    <t xml:space="preserve">HTP.8-180-310KAISI 310 (1.4841) </t>
  </si>
  <si>
    <t>000000000009007408</t>
  </si>
  <si>
    <t>HTP.8-190-310K</t>
  </si>
  <si>
    <t xml:space="preserve">HTP.8-190-310KAISI 310 (1.4841) </t>
  </si>
  <si>
    <t>000000000009015830</t>
  </si>
  <si>
    <t>HTP.8-200-310K</t>
  </si>
  <si>
    <t xml:space="preserve">HTP.8-200-310KAISI 310 (1.4841) </t>
  </si>
  <si>
    <t>000000000009010486</t>
  </si>
  <si>
    <t>HTP.8-210-310K</t>
  </si>
  <si>
    <t xml:space="preserve">HTP.8-210-310KAISI 310 (1.4841) </t>
  </si>
  <si>
    <t>000000000009015831</t>
  </si>
  <si>
    <t>HTP.8-210-314K</t>
  </si>
  <si>
    <t xml:space="preserve">HTP.8-210-314KAISI 314 (1.4841) </t>
  </si>
  <si>
    <t>000000000009021306</t>
  </si>
  <si>
    <t>HTP.8-220-310K</t>
  </si>
  <si>
    <t xml:space="preserve">HTP.8-220-310KAISI 310 (1.4841) </t>
  </si>
  <si>
    <t>000000000009011521</t>
  </si>
  <si>
    <t>HTP.8-220-314K</t>
  </si>
  <si>
    <t xml:space="preserve">HTP.8-220-314KAISI 314 (1.4841) </t>
  </si>
  <si>
    <t>000000000009021342</t>
  </si>
  <si>
    <t>HTP.8-230-310K</t>
  </si>
  <si>
    <t xml:space="preserve">HTP.8-230-310KAISI 310 (1.4841) </t>
  </si>
  <si>
    <t>000000000009011526</t>
  </si>
  <si>
    <t>HTP.8-230-314K</t>
  </si>
  <si>
    <t xml:space="preserve">HTP.8-230-314KAISI 314 (1.4841) </t>
  </si>
  <si>
    <t>000000000009014666</t>
  </si>
  <si>
    <t>HTP.8-240-310K</t>
  </si>
  <si>
    <t xml:space="preserve">HTP.8-240-310KAISI 310 (1.4841) </t>
  </si>
  <si>
    <t>000000000009015821</t>
  </si>
  <si>
    <t>HTP.8-240-314K</t>
  </si>
  <si>
    <t xml:space="preserve">HTP.8-240-314KAISI 314 (1.4841) </t>
  </si>
  <si>
    <t>000000000009021305</t>
  </si>
  <si>
    <t>HTP.8-250-310K</t>
  </si>
  <si>
    <t xml:space="preserve">HTP.8-250-310KAISI 310 (1.4841) </t>
  </si>
  <si>
    <t>000000000009015835</t>
  </si>
  <si>
    <t>HTP.8-250-314K</t>
  </si>
  <si>
    <t xml:space="preserve">HTP.8-250-314KAISI 314 (1.4841) </t>
  </si>
  <si>
    <t>000000000009021304</t>
  </si>
  <si>
    <t>HTP.8-260-310K</t>
  </si>
  <si>
    <t xml:space="preserve">HTP.8-260-310KAISI 310 (1.4841) </t>
  </si>
  <si>
    <t>000000000009015827</t>
  </si>
  <si>
    <t>HTP.8-280-310K</t>
  </si>
  <si>
    <t xml:space="preserve">HTP.8-280-310KAISI 310 (1.4841) </t>
  </si>
  <si>
    <t>000000000009008972</t>
  </si>
  <si>
    <t>HTP.8-290-310K</t>
  </si>
  <si>
    <t xml:space="preserve">HTP.8-290-310KAISI 310 (1.4841) </t>
  </si>
  <si>
    <t>000000000009015820</t>
  </si>
  <si>
    <t>HTP.8-290-314K</t>
  </si>
  <si>
    <t xml:space="preserve">HTP.8-290-314KAISI 314 (1.4841) </t>
  </si>
  <si>
    <t>000000000009014669</t>
  </si>
  <si>
    <t>HTP.8-300-310K</t>
  </si>
  <si>
    <t xml:space="preserve">HTP.8-300-310KAISI 310 (1.4841) </t>
  </si>
  <si>
    <t>000000000009008973</t>
  </si>
  <si>
    <t>HTP.8-340-310K</t>
  </si>
  <si>
    <t xml:space="preserve">HTP.8-340-310KAISI 310 (1.4841) </t>
  </si>
  <si>
    <t>000000000009015825</t>
  </si>
  <si>
    <t>HTP.8-400-310K</t>
  </si>
  <si>
    <t xml:space="preserve">HTP.8-400-310KAISI 310 (1.4841) </t>
  </si>
  <si>
    <t>000000000009012520</t>
  </si>
  <si>
    <t>HTP.8-500-310K</t>
  </si>
  <si>
    <t xml:space="preserve">HTP.8-500-310KAISI 310 (1.4841) </t>
  </si>
  <si>
    <t>000000000009011515</t>
  </si>
  <si>
    <t>CV1.6-30-310K</t>
  </si>
  <si>
    <t xml:space="preserve">CV1.6-30-310KAISI 310 (1.4841) </t>
  </si>
  <si>
    <t>000000000009069789</t>
  </si>
  <si>
    <t>CV1.6-35-304K</t>
  </si>
  <si>
    <t>CV1.6-35-304KAISI 304 (1.4301)</t>
  </si>
  <si>
    <t>000000000009063575</t>
  </si>
  <si>
    <t>CV1.6-35-309K</t>
  </si>
  <si>
    <t>CV1.6-35-309KAISI 309 (1.4828)</t>
  </si>
  <si>
    <t>000000000009114252</t>
  </si>
  <si>
    <t>CV1.6-35-310K</t>
  </si>
  <si>
    <t xml:space="preserve">CV1.6-35-310KAISI 310 (1.4841) </t>
  </si>
  <si>
    <t>000000000009063576</t>
  </si>
  <si>
    <t>CV1.6-40-304K</t>
  </si>
  <si>
    <t>CV1.6-40-304KAISI 304 (1.4301)</t>
  </si>
  <si>
    <t>000000000009057548</t>
  </si>
  <si>
    <t>CV1.6-40-309K</t>
  </si>
  <si>
    <t>CV1.6-40-309KAISI 309 (1.4828)</t>
  </si>
  <si>
    <t>000000000009067565</t>
  </si>
  <si>
    <t>CV1.6-40-310K</t>
  </si>
  <si>
    <t xml:space="preserve">CV1.6-40-310KAISI 310 (1.4841) </t>
  </si>
  <si>
    <t>000000000009002881</t>
  </si>
  <si>
    <t>CV1.6-40-314K</t>
  </si>
  <si>
    <t xml:space="preserve">CV1.6-40-314KAISI 314 (1.4841) </t>
  </si>
  <si>
    <t>000000000009003057</t>
  </si>
  <si>
    <t>CV1.6-45-309K</t>
  </si>
  <si>
    <t>CV1.6-45-309KAISI 309 (1.4828)</t>
  </si>
  <si>
    <t>000000000009016529</t>
  </si>
  <si>
    <t>CV1.6-45-310K</t>
  </si>
  <si>
    <t xml:space="preserve">CV1.6-45-310KAISI 310 (1.4841) </t>
  </si>
  <si>
    <t>000000000009043536</t>
  </si>
  <si>
    <t>CV1.6-50-304K</t>
  </si>
  <si>
    <t>CV1.6-50-304KAISI 304 (1.4301)</t>
  </si>
  <si>
    <t>000000000009063372</t>
  </si>
  <si>
    <t>CV1.6-50-309K</t>
  </si>
  <si>
    <t>CV1.6-50-309KAISI 309 (1.4828)</t>
  </si>
  <si>
    <t>000000000009003682</t>
  </si>
  <si>
    <t>CV1.6-50-310K</t>
  </si>
  <si>
    <t xml:space="preserve">CV1.6-50-310KAISI 310 (1.4841) </t>
  </si>
  <si>
    <t>000000000009002882</t>
  </si>
  <si>
    <t>CV1.6-50-314K</t>
  </si>
  <si>
    <t xml:space="preserve">CV1.6-50-314KAISI 314 (1.4841) </t>
  </si>
  <si>
    <t>000000000009011398</t>
  </si>
  <si>
    <t>CV1.6-55-310K</t>
  </si>
  <si>
    <t xml:space="preserve">CV1.6-55-310KAISI 310 (1.4841) </t>
  </si>
  <si>
    <t>000000000009064825</t>
  </si>
  <si>
    <t>CV1.6-55-314K</t>
  </si>
  <si>
    <t xml:space="preserve">CV1.6-55-314KAISI 314 (1.4841) </t>
  </si>
  <si>
    <t>000000000009108115</t>
  </si>
  <si>
    <t>CV1.6-60-309K</t>
  </si>
  <si>
    <t>CV1.6-60-309KAISI 309 (1.4828)</t>
  </si>
  <si>
    <t>000000000009003496</t>
  </si>
  <si>
    <t>CV1.6-60-310K</t>
  </si>
  <si>
    <t xml:space="preserve">CV1.6-60-310KAISI 310 (1.4841) </t>
  </si>
  <si>
    <t>000000000009039794</t>
  </si>
  <si>
    <t>CV1.6-60-314K</t>
  </si>
  <si>
    <t xml:space="preserve">CV1.6-60-314KAISI 314 (1.4841) </t>
  </si>
  <si>
    <t>000000000009010570</t>
  </si>
  <si>
    <t>CV1.6-65-309K</t>
  </si>
  <si>
    <t>CV1.6-65-309KAISI 309 (1.4828)</t>
  </si>
  <si>
    <t>000000000009082980</t>
  </si>
  <si>
    <t>CV1.6-65-310K</t>
  </si>
  <si>
    <t xml:space="preserve">CV1.6-65-310KAISI 310 (1.4841) </t>
  </si>
  <si>
    <t>000000000009043537</t>
  </si>
  <si>
    <t>CV1.6-65-314K</t>
  </si>
  <si>
    <t xml:space="preserve">CV1.6-65-314KAISI 314 (1.4841) </t>
  </si>
  <si>
    <t>000000000009108116</t>
  </si>
  <si>
    <t>CV1.6-70-310K</t>
  </si>
  <si>
    <t xml:space="preserve">CV1.6-70-310KAISI 310 (1.4841) </t>
  </si>
  <si>
    <t>000000000009063577</t>
  </si>
  <si>
    <t>CV1.6-75-304K</t>
  </si>
  <si>
    <t>CV1.6-75-304KAISI 304 (1.4301)</t>
  </si>
  <si>
    <t>000000000009109436</t>
  </si>
  <si>
    <t>CV1.6-75-309K</t>
  </si>
  <si>
    <t>CV1.6-75-309KAISI 309 (1.4828)</t>
  </si>
  <si>
    <t>000000000009068846</t>
  </si>
  <si>
    <t>CV1.6-75-310K</t>
  </si>
  <si>
    <t xml:space="preserve">CV1.6-75-310KAISI 310 (1.4841) </t>
  </si>
  <si>
    <t>000000000009058720</t>
  </si>
  <si>
    <t>CV1.6-80-309K</t>
  </si>
  <si>
    <t>CV1.6-80-309KAISI 309 (1.4828)</t>
  </si>
  <si>
    <t>000000000009084536</t>
  </si>
  <si>
    <t>CV1.6-90-304K</t>
  </si>
  <si>
    <t>CV1.6-90-304KAISI 304 (1.4301)</t>
  </si>
  <si>
    <t>000000000009109434</t>
  </si>
  <si>
    <t>CV1.6-90-309K</t>
  </si>
  <si>
    <t>CV1.6-90-309KAISI 309 (1.4828)</t>
  </si>
  <si>
    <t>000000000009085256</t>
  </si>
  <si>
    <t>CV1.6-90-314K</t>
  </si>
  <si>
    <t xml:space="preserve">CV1.6-90-314KAISI 314 (1.4841) </t>
  </si>
  <si>
    <t>000000000009108117</t>
  </si>
  <si>
    <t>CV1.6-100-309K</t>
  </si>
  <si>
    <t>CV1.6-100-309KAISI 309 (1.4828)</t>
  </si>
  <si>
    <t>000000000009068830</t>
  </si>
  <si>
    <t>CV1.6-100-310K</t>
  </si>
  <si>
    <t xml:space="preserve">CV1.6-100-310KAISI 310 (1.4841) </t>
  </si>
  <si>
    <t>000000000009043538</t>
  </si>
  <si>
    <t>CV1.6-110-309K</t>
  </si>
  <si>
    <t>CV1.6-110-309KAISI 309 (1.4828)</t>
  </si>
  <si>
    <t>000000000009084535</t>
  </si>
  <si>
    <t>CV1.6-110-310K</t>
  </si>
  <si>
    <t xml:space="preserve">CV1.6-110-310KAISI 310 (1.4841) </t>
  </si>
  <si>
    <t>000000000009068440</t>
  </si>
  <si>
    <t>CV1.6-120-309K</t>
  </si>
  <si>
    <t>CV1.6-120-309KAISI 309 (1.4828)</t>
  </si>
  <si>
    <t>000000000009023654</t>
  </si>
  <si>
    <t>CV1.6-120-314K</t>
  </si>
  <si>
    <t xml:space="preserve">CV1.6-120-314KAISI 314 (1.4841) </t>
  </si>
  <si>
    <t>000000000009108114</t>
  </si>
  <si>
    <t>CV1.6-125-309K</t>
  </si>
  <si>
    <t>CV1.6-125-309KAISI 309 (1.4828)</t>
  </si>
  <si>
    <t>000000000009072299</t>
  </si>
  <si>
    <t>CV1.6-130-304K</t>
  </si>
  <si>
    <t>CV1.6-130-304KAISI 304 (1.4301)</t>
  </si>
  <si>
    <t>000000000009109435</t>
  </si>
  <si>
    <t>CV1.6-220-310K</t>
  </si>
  <si>
    <t xml:space="preserve">CV1.6-220-310KAISI 310 (1.4841) </t>
  </si>
  <si>
    <t>000000000009104719</t>
  </si>
  <si>
    <t>CV1.8-100-310K</t>
  </si>
  <si>
    <t xml:space="preserve">CV1.8-100-310KAISI 310 (1.4841) </t>
  </si>
  <si>
    <t>000000000009108949</t>
  </si>
  <si>
    <t>CV1.8-120-310K</t>
  </si>
  <si>
    <t xml:space="preserve">CV1.8-120-310KAISI 310 (1.4841) </t>
  </si>
  <si>
    <t>000000000009114004</t>
  </si>
  <si>
    <t>CV1.8-130-310K</t>
  </si>
  <si>
    <t xml:space="preserve">CV1.8-130-310KAISI 310 (1.4841) </t>
  </si>
  <si>
    <t>000000000009114005</t>
  </si>
  <si>
    <t>CV2.6-30-310K</t>
  </si>
  <si>
    <t xml:space="preserve">CV2.6-30-310KAISI 310 (1.4841) </t>
  </si>
  <si>
    <t>000000000009083366</t>
  </si>
  <si>
    <t>CV2.6-40-310K</t>
  </si>
  <si>
    <t xml:space="preserve">CV2.6-40-310KAISI 310 (1.4841) </t>
  </si>
  <si>
    <t>000000000009024024</t>
  </si>
  <si>
    <t>CV2.6-45-304K</t>
  </si>
  <si>
    <t>CV2.6-45-304KAISI 304 (1.4301)</t>
  </si>
  <si>
    <t>000000000009113852</t>
  </si>
  <si>
    <t>CV2.6-50-309K</t>
  </si>
  <si>
    <t>CV2.6-50-309KAISI 309 (1.4828)</t>
  </si>
  <si>
    <t>000000000009054198</t>
  </si>
  <si>
    <t>CV2.6-50-310K</t>
  </si>
  <si>
    <t xml:space="preserve">CV2.6-50-310KAISI 310 (1.4841) </t>
  </si>
  <si>
    <t>000000000009008675</t>
  </si>
  <si>
    <t>CV2.6-50-314K</t>
  </si>
  <si>
    <t xml:space="preserve">CV2.6-50-314KAISI 314 (1.4841) </t>
  </si>
  <si>
    <t>000000000009055723</t>
  </si>
  <si>
    <t>CV2.6-55-310K</t>
  </si>
  <si>
    <t xml:space="preserve">CV2.6-55-310KAISI 310 (1.4841) </t>
  </si>
  <si>
    <t>000000000009047267</t>
  </si>
  <si>
    <t>CV2.6-60-304K</t>
  </si>
  <si>
    <t>CV2.6-60-304KAISI 304 (1.4301)</t>
  </si>
  <si>
    <t>000000000009060279</t>
  </si>
  <si>
    <t>CV2.6-60-309K</t>
  </si>
  <si>
    <t>CV2.6-60-309KAISI 309 (1.4828)</t>
  </si>
  <si>
    <t>000000000009058214</t>
  </si>
  <si>
    <t>CV2.6-60-310K</t>
  </si>
  <si>
    <t xml:space="preserve">CV2.6-60-310KAISI 310 (1.4841) </t>
  </si>
  <si>
    <t>000000000009021415</t>
  </si>
  <si>
    <t>CV2.6-65-309K</t>
  </si>
  <si>
    <t>CV2.6-65-309KAISI 309 (1.4828)</t>
  </si>
  <si>
    <t>000000000009070011</t>
  </si>
  <si>
    <t>CV2.6-65-310K</t>
  </si>
  <si>
    <t xml:space="preserve">CV2.6-65-310KAISI 310 (1.4841) </t>
  </si>
  <si>
    <t>000000000009007419</t>
  </si>
  <si>
    <t>CV2.6-65-314K</t>
  </si>
  <si>
    <t xml:space="preserve">CV2.6-65-314KAISI 314 (1.4841) </t>
  </si>
  <si>
    <t>000000000009079638</t>
  </si>
  <si>
    <t>CV2.6-70-304K</t>
  </si>
  <si>
    <t>CV2.6-70-304KAISI 304 (1.4301)</t>
  </si>
  <si>
    <t>000000000009033770</t>
  </si>
  <si>
    <t>CV2.6-70-309K</t>
  </si>
  <si>
    <t>CV2.6-70-309KAISI 309 (1.4828)</t>
  </si>
  <si>
    <t>000000000009054196</t>
  </si>
  <si>
    <t>CV2.6-70-310K</t>
  </si>
  <si>
    <t xml:space="preserve">CV2.6-70-310KAISI 310 (1.4841) </t>
  </si>
  <si>
    <t>000000000009024022</t>
  </si>
  <si>
    <t>CV2.6-75-304K</t>
  </si>
  <si>
    <t>CV2.6-75-304KAISI 304 (1.4301)</t>
  </si>
  <si>
    <t>000000000009097055</t>
  </si>
  <si>
    <t>CV2.6-75-309K</t>
  </si>
  <si>
    <t>CV2.6-75-309KAISI 309 (1.4828)</t>
  </si>
  <si>
    <t>000000000009027477</t>
  </si>
  <si>
    <t>CV2.6-75-310K</t>
  </si>
  <si>
    <t xml:space="preserve">CV2.6-75-310KAISI 310 (1.4841) </t>
  </si>
  <si>
    <t>000000000009021414</t>
  </si>
  <si>
    <t>CV2.6-75-314K</t>
  </si>
  <si>
    <t xml:space="preserve">CV2.6-75-314KAISI 314 (1.4841) </t>
  </si>
  <si>
    <t>000000000009002587</t>
  </si>
  <si>
    <t>CV2.6-80-304K</t>
  </si>
  <si>
    <t>CV2.6-80-304KAISI 304 (1.4301)</t>
  </si>
  <si>
    <t>000000000009012034</t>
  </si>
  <si>
    <t>CV2.6-80-309K</t>
  </si>
  <si>
    <t>CV2.6-80-309KAISI 309 (1.4828)</t>
  </si>
  <si>
    <t>000000000009003748</t>
  </si>
  <si>
    <t>CV2.6-80-310K</t>
  </si>
  <si>
    <t xml:space="preserve">CV2.6-80-310KAISI 310 (1.4841) </t>
  </si>
  <si>
    <t>000000000009005152</t>
  </si>
  <si>
    <t>CV2.6-85-310K</t>
  </si>
  <si>
    <t xml:space="preserve">CV2.6-85-310KAISI 310 (1.4841) </t>
  </si>
  <si>
    <t>000000000009097261</t>
  </si>
  <si>
    <t>CV2.6-90-309K</t>
  </si>
  <si>
    <t>CV2.6-90-309KAISI 309 (1.4828)</t>
  </si>
  <si>
    <t>000000000009003497</t>
  </si>
  <si>
    <t>CV2.6-90-310K</t>
  </si>
  <si>
    <t xml:space="preserve">CV2.6-90-310KAISI 310 (1.4841) </t>
  </si>
  <si>
    <t>000000000009007420</t>
  </si>
  <si>
    <t>CV2.6-95-310K</t>
  </si>
  <si>
    <t xml:space="preserve">CV2.6-95-310KAISI 310 (1.4841) </t>
  </si>
  <si>
    <t>000000000009048688</t>
  </si>
  <si>
    <t>CV2.6-100-304K</t>
  </si>
  <si>
    <t>CV2.6-100-304KAISI 304 (1.4301)</t>
  </si>
  <si>
    <t>000000000009011180</t>
  </si>
  <si>
    <t>CV2.6-100-309K</t>
  </si>
  <si>
    <t>CV2.6-100-309KAISI 309 (1.4828)</t>
  </si>
  <si>
    <t>000000000009003213</t>
  </si>
  <si>
    <t>CV2.6-100-310K</t>
  </si>
  <si>
    <t xml:space="preserve">CV2.6-100-310KAISI 310 (1.4841) </t>
  </si>
  <si>
    <t>000000000009002963</t>
  </si>
  <si>
    <t>CV2.6-100-314K</t>
  </si>
  <si>
    <t xml:space="preserve">CV2.6-100-314KAISI 314 (1.4841) </t>
  </si>
  <si>
    <t>000000000009008642</t>
  </si>
  <si>
    <t>CV2.6-105-310K</t>
  </si>
  <si>
    <t xml:space="preserve">CV2.6-105-310KAISI 310 (1.4841) </t>
  </si>
  <si>
    <t>000000000009078729</t>
  </si>
  <si>
    <t>CV2.6-110-309K</t>
  </si>
  <si>
    <t>CV2.6-110-309KAISI 309 (1.4828)</t>
  </si>
  <si>
    <t>000000000009005085</t>
  </si>
  <si>
    <t>CV2.6-110-310K</t>
  </si>
  <si>
    <t xml:space="preserve">CV2.6-110-310KAISI 310 (1.4841) </t>
  </si>
  <si>
    <t>000000000009008955</t>
  </si>
  <si>
    <t>CV2.6-110-314K</t>
  </si>
  <si>
    <t xml:space="preserve">CV2.6-110-314KAISI 314 (1.4841) </t>
  </si>
  <si>
    <t>000000000009027842</t>
  </si>
  <si>
    <t>CV2.6-115-310K</t>
  </si>
  <si>
    <t xml:space="preserve">CV2.6-115-310KAISI 310 (1.4841) </t>
  </si>
  <si>
    <t>000000000009061666</t>
  </si>
  <si>
    <t>CV2.6-120-309K</t>
  </si>
  <si>
    <t>CV2.6-120-309KAISI 309 (1.4828)</t>
  </si>
  <si>
    <t>000000000009003750</t>
  </si>
  <si>
    <t>CV2.6-120-310K</t>
  </si>
  <si>
    <t xml:space="preserve">CV2.6-120-310KAISI 310 (1.4841) </t>
  </si>
  <si>
    <t>000000000009031178</t>
  </si>
  <si>
    <t>CV2.6-125-310K</t>
  </si>
  <si>
    <t xml:space="preserve">CV2.6-125-310KAISI 310 (1.4841) </t>
  </si>
  <si>
    <t>000000000009037772</t>
  </si>
  <si>
    <t>CV2.6-130-309K</t>
  </si>
  <si>
    <t>CV2.6-130-309KAISI 309 (1.4828)</t>
  </si>
  <si>
    <t>000000000009014005</t>
  </si>
  <si>
    <t>CV2.6-130-310K</t>
  </si>
  <si>
    <t xml:space="preserve">CV2.6-130-310KAISI 310 (1.4841) </t>
  </si>
  <si>
    <t>000000000009008956</t>
  </si>
  <si>
    <t>CV2.6-130-314K</t>
  </si>
  <si>
    <t xml:space="preserve">CV2.6-130-314KAISI 314 (1.4841) </t>
  </si>
  <si>
    <t>000000000009034708</t>
  </si>
  <si>
    <t>CV2.6-140-310K</t>
  </si>
  <si>
    <t xml:space="preserve">CV2.6-140-310KAISI 310 (1.4841) </t>
  </si>
  <si>
    <t>000000000009024400</t>
  </si>
  <si>
    <t>CV2.6-140-314K</t>
  </si>
  <si>
    <t xml:space="preserve">CV2.6-140-314KAISI 314 (1.4841) </t>
  </si>
  <si>
    <t>000000000009021331</t>
  </si>
  <si>
    <t>CV2.6-150-304K</t>
  </si>
  <si>
    <t>CV2.6-150-304KAISI 304 (1.4301)</t>
  </si>
  <si>
    <t>000000000009033771</t>
  </si>
  <si>
    <t>CV2.6-150-309K</t>
  </si>
  <si>
    <t>CV2.6-150-309KAISI 309 (1.4828)</t>
  </si>
  <si>
    <t>000000000009070012</t>
  </si>
  <si>
    <t>CV2.6-150-310K</t>
  </si>
  <si>
    <t xml:space="preserve">CV2.6-150-310KAISI 310 (1.4841) </t>
  </si>
  <si>
    <t>000000000009045913</t>
  </si>
  <si>
    <t>CV2.6-160-310K</t>
  </si>
  <si>
    <t xml:space="preserve">CV2.6-160-310KAISI 310 (1.4841) </t>
  </si>
  <si>
    <t>000000000009043305</t>
  </si>
  <si>
    <t>CV2.6-160-314K</t>
  </si>
  <si>
    <t xml:space="preserve">CV2.6-160-314KAISI 314 (1.4841) </t>
  </si>
  <si>
    <t>000000000009060497</t>
  </si>
  <si>
    <t>CV2.6-170-310K</t>
  </si>
  <si>
    <t xml:space="preserve">CV2.6-170-310KAISI 310 (1.4841) </t>
  </si>
  <si>
    <t>000000000009024355</t>
  </si>
  <si>
    <t>CV2.6-175-304K</t>
  </si>
  <si>
    <t>CV2.6-175-304KAISI 304 (1.4301)</t>
  </si>
  <si>
    <t>000000000009066511</t>
  </si>
  <si>
    <t>CV2.6-175-310K</t>
  </si>
  <si>
    <t xml:space="preserve">CV2.6-175-310KAISI 310 (1.4841) </t>
  </si>
  <si>
    <t>000000000009037773</t>
  </si>
  <si>
    <t>CV2.6-180-304K</t>
  </si>
  <si>
    <t>CV2.6-180-304KAISI 304 (1.4301)</t>
  </si>
  <si>
    <t>000000000009060280</t>
  </si>
  <si>
    <t>CV2.6-180-310K</t>
  </si>
  <si>
    <t xml:space="preserve">CV2.6-180-310KAISI 310 (1.4841) </t>
  </si>
  <si>
    <t>000000000009021300</t>
  </si>
  <si>
    <t>CV2.6-190-310K</t>
  </si>
  <si>
    <t xml:space="preserve">CV2.6-190-310KAISI 310 (1.4841) </t>
  </si>
  <si>
    <t>000000000009064490</t>
  </si>
  <si>
    <t>CV2.6-195-310K</t>
  </si>
  <si>
    <t xml:space="preserve">CV2.6-195-310KAISI 310 (1.4841) </t>
  </si>
  <si>
    <t>000000000009098889</t>
  </si>
  <si>
    <t>CV2.6-200-304K</t>
  </si>
  <si>
    <t>CV2.6-200-304KAISI 304 (1.4301)</t>
  </si>
  <si>
    <t>000000000009060281</t>
  </si>
  <si>
    <t>CV2.6-200-310K</t>
  </si>
  <si>
    <t xml:space="preserve">CV2.6-200-310KAISI 310 (1.4841) </t>
  </si>
  <si>
    <t>000000000009043304</t>
  </si>
  <si>
    <t>CV2.6-230-309K</t>
  </si>
  <si>
    <t>CV2.6-230-309KAISI 309 (1.4828)</t>
  </si>
  <si>
    <t>000000000009079416</t>
  </si>
  <si>
    <t>CV2.6-230-310K</t>
  </si>
  <si>
    <t xml:space="preserve">CV2.6-230-310KAISI 310 (1.4841) </t>
  </si>
  <si>
    <t>000000000009058026</t>
  </si>
  <si>
    <t>CV2.6-250-310K</t>
  </si>
  <si>
    <t xml:space="preserve">CV2.6-250-310KAISI 310 (1.4841) </t>
  </si>
  <si>
    <t>000000000009043307</t>
  </si>
  <si>
    <t>CV2.6-260-310K</t>
  </si>
  <si>
    <t xml:space="preserve">CV2.6-260-310KAISI 310 (1.4841) </t>
  </si>
  <si>
    <t>000000000009064491</t>
  </si>
  <si>
    <t>CV2.8-55-310K</t>
  </si>
  <si>
    <t xml:space="preserve">CV2.8-55-310KAISI 310 (1.4841) </t>
  </si>
  <si>
    <t>000000000009104395</t>
  </si>
  <si>
    <t>CV2.8-65-310K</t>
  </si>
  <si>
    <t xml:space="preserve">CV2.8-65-310KAISI 310 (1.4841) </t>
  </si>
  <si>
    <t>000000000009055639</t>
  </si>
  <si>
    <t>CV2.8-85-310K</t>
  </si>
  <si>
    <t xml:space="preserve">CV2.8-85-310KAISI 310 (1.4841) </t>
  </si>
  <si>
    <t>000000000009054801</t>
  </si>
  <si>
    <t>CV2.8-90-309K</t>
  </si>
  <si>
    <t>CV2.8-90-309KAISI 309 (1.4828)</t>
  </si>
  <si>
    <t>000000000009031865</t>
  </si>
  <si>
    <t>CV2.8-100-310K</t>
  </si>
  <si>
    <t xml:space="preserve">CV2.8-100-310KAISI 310 (1.4841) </t>
  </si>
  <si>
    <t>000000000009012002</t>
  </si>
  <si>
    <t>CV2.8-100-314K</t>
  </si>
  <si>
    <t xml:space="preserve">CV2.8-100-314KAISI 314 (1.4841) </t>
  </si>
  <si>
    <t>000000000009028823</t>
  </si>
  <si>
    <t>CV2.8-115-310K</t>
  </si>
  <si>
    <t xml:space="preserve">CV2.8-115-310KAISI 310 (1.4841) </t>
  </si>
  <si>
    <t>000000000009062153</t>
  </si>
  <si>
    <t>CV2.8-120-310K</t>
  </si>
  <si>
    <t xml:space="preserve">CV2.8-120-310KAISI 310 (1.4841) </t>
  </si>
  <si>
    <t>000000000009045664</t>
  </si>
  <si>
    <t>CV2.8-130-310K</t>
  </si>
  <si>
    <t xml:space="preserve">CV2.8-130-310KAISI 310 (1.4841) </t>
  </si>
  <si>
    <t>000000000009008948</t>
  </si>
  <si>
    <t>CV2.8-150-310K</t>
  </si>
  <si>
    <t xml:space="preserve">CV2.8-150-310KAISI 310 (1.4841) </t>
  </si>
  <si>
    <t>000000000009008673</t>
  </si>
  <si>
    <t>CV2.8-150-314K</t>
  </si>
  <si>
    <t xml:space="preserve">CV2.8-150-314KAISI 314 (1.4841) </t>
  </si>
  <si>
    <t>000000000009027835</t>
  </si>
  <si>
    <t>CV2.8-180-310K</t>
  </si>
  <si>
    <t xml:space="preserve">CV2.8-180-310KAISI 310 (1.4841) </t>
  </si>
  <si>
    <t>000000000009015191</t>
  </si>
  <si>
    <t>CV2.8-180-314K</t>
  </si>
  <si>
    <t xml:space="preserve">CV2.8-180-314KAISI 314 (1.4841) </t>
  </si>
  <si>
    <t>000000000009003743</t>
  </si>
  <si>
    <t>CV2.8-200-310K</t>
  </si>
  <si>
    <t xml:space="preserve">CV2.8-200-310KAISI 310 (1.4841) </t>
  </si>
  <si>
    <t>000000000009039834</t>
  </si>
  <si>
    <t>CV2.8-200-314K</t>
  </si>
  <si>
    <t xml:space="preserve">CV2.8-200-314KAISI 314 (1.4841) </t>
  </si>
  <si>
    <t>000000000009003745</t>
  </si>
  <si>
    <t>CV2.8-240-309K</t>
  </si>
  <si>
    <t>CV2.8-240-309KAISI 309 (1.4828)</t>
  </si>
  <si>
    <t>000000000009003759</t>
  </si>
  <si>
    <t>CV2.8-250-310K</t>
  </si>
  <si>
    <t xml:space="preserve">CV2.8-250-310KAISI 310 (1.4841) </t>
  </si>
  <si>
    <t>000000000009110627</t>
  </si>
  <si>
    <t>CV2.8-250-314K</t>
  </si>
  <si>
    <t xml:space="preserve">CV2.8-250-314KAISI 314 (1.4841) </t>
  </si>
  <si>
    <t>000000000009004369</t>
  </si>
  <si>
    <t>TWA-8-100-310K</t>
  </si>
  <si>
    <t xml:space="preserve">TWA-8-100-310KAISI 310 (1.4841) </t>
  </si>
  <si>
    <t>000000000009111454</t>
  </si>
  <si>
    <t>TWA.6-55-310K</t>
  </si>
  <si>
    <t xml:space="preserve">TWA.6-55-310KAISI 310 (1.4841) </t>
  </si>
  <si>
    <t>000000000009104224</t>
  </si>
  <si>
    <t>TWA.8-70-310K</t>
  </si>
  <si>
    <t xml:space="preserve">TWA.8-70-310KAISI 310 (1.4841) </t>
  </si>
  <si>
    <t>000000000009080865</t>
  </si>
  <si>
    <t>CTH.10-350-310K</t>
  </si>
  <si>
    <t xml:space="preserve">CTH.10-350-310KAISI 310 (1.4841) </t>
  </si>
  <si>
    <t>000000000009084928</t>
  </si>
  <si>
    <t>CTH.10-370-310K</t>
  </si>
  <si>
    <t xml:space="preserve">CTH.10-370-310KAISI 310 (1.4841) </t>
  </si>
  <si>
    <t>000000000009084929</t>
  </si>
  <si>
    <t>CTH.10-380-309K</t>
  </si>
  <si>
    <t>CTH.10-380-309KAISI 309 (1.4828)</t>
  </si>
  <si>
    <t>000000000009068306</t>
  </si>
  <si>
    <t>CTH.10-420-310K</t>
  </si>
  <si>
    <t xml:space="preserve">CTH.10-420-310KAISI 310 (1.4841) </t>
  </si>
  <si>
    <t>000000000009084927</t>
  </si>
  <si>
    <t>CTH.6-60-310K</t>
  </si>
  <si>
    <t xml:space="preserve">CTH.6-60-310KAISI 310 (1.4841) </t>
  </si>
  <si>
    <t>000000000009099106</t>
  </si>
  <si>
    <t>CTH.6-75-314K</t>
  </si>
  <si>
    <t xml:space="preserve">CTH.6-75-314KAISI 314 (1.4841) </t>
  </si>
  <si>
    <t>000000000009026806</t>
  </si>
  <si>
    <t>CTH.6-80-310K</t>
  </si>
  <si>
    <t xml:space="preserve">CTH.6-80-310KAISI 310 (1.4841) </t>
  </si>
  <si>
    <t>000000000009074362</t>
  </si>
  <si>
    <t>CTH.6-85-310K</t>
  </si>
  <si>
    <t xml:space="preserve">CTH.6-85-310KAISI 310 (1.4841) </t>
  </si>
  <si>
    <t>000000000009074790</t>
  </si>
  <si>
    <t>CTH.6-90-310K</t>
  </si>
  <si>
    <t xml:space="preserve">CTH.6-90-310KAISI 310 (1.4841) </t>
  </si>
  <si>
    <t>000000000009039708</t>
  </si>
  <si>
    <t>CTH.6-95-310K</t>
  </si>
  <si>
    <t xml:space="preserve">CTH.6-95-310KAISI 310 (1.4841) </t>
  </si>
  <si>
    <t>000000000009075081</t>
  </si>
  <si>
    <t>CTH.6-100-310K</t>
  </si>
  <si>
    <t xml:space="preserve">CTH.6-100-310KAISI 310 (1.4841) </t>
  </si>
  <si>
    <t>000000000009074377</t>
  </si>
  <si>
    <t>CTH.6-120-310K</t>
  </si>
  <si>
    <t xml:space="preserve">CTH.6-120-310KAISI 310 (1.4841) </t>
  </si>
  <si>
    <t>000000000009077734</t>
  </si>
  <si>
    <t>CTH.6-130-310K</t>
  </si>
  <si>
    <t xml:space="preserve">CTH.6-130-310KAISI 310 (1.4841) </t>
  </si>
  <si>
    <t>000000000009102246</t>
  </si>
  <si>
    <t>CTH.6-145-310K</t>
  </si>
  <si>
    <t xml:space="preserve">CTH.6-145-310KAISI 310 (1.4841) </t>
  </si>
  <si>
    <t>000000000009104518</t>
  </si>
  <si>
    <t>CTH.6-150-310K</t>
  </si>
  <si>
    <t xml:space="preserve">CTH.6-150-310KAISI 310 (1.4841) </t>
  </si>
  <si>
    <t>000000000009023908</t>
  </si>
  <si>
    <t>CTH.6-170-310K</t>
  </si>
  <si>
    <t xml:space="preserve">CTH.6-170-310KAISI 310 (1.4841) </t>
  </si>
  <si>
    <t>000000000009065609</t>
  </si>
  <si>
    <t>CTH.6-215-310K</t>
  </si>
  <si>
    <t xml:space="preserve">CTH.6-215-310KAISI 310 (1.4841) </t>
  </si>
  <si>
    <t>000000000009077391</t>
  </si>
  <si>
    <t>CTH.6-220-310K</t>
  </si>
  <si>
    <t xml:space="preserve">CTH.6-220-310KAISI 310 (1.4841) </t>
  </si>
  <si>
    <t>000000000009077390</t>
  </si>
  <si>
    <t>CTH.6-330-310K</t>
  </si>
  <si>
    <t xml:space="preserve">CTH.6-330-310KAISI 310 (1.4841) </t>
  </si>
  <si>
    <t>000000000009077348</t>
  </si>
  <si>
    <t>CTH.8-60-310K</t>
  </si>
  <si>
    <t xml:space="preserve">CTH.8-60-310KAISI 310 (1.4841) </t>
  </si>
  <si>
    <t>000000000009065373</t>
  </si>
  <si>
    <t>CTH.8-75-310K</t>
  </si>
  <si>
    <t xml:space="preserve">CTH.8-75-310KAISI 310 (1.4841) </t>
  </si>
  <si>
    <t>000000000009071874</t>
  </si>
  <si>
    <t>CTH.8-80-310K</t>
  </si>
  <si>
    <t xml:space="preserve">CTH.8-80-310KAISI 310 (1.4841) </t>
  </si>
  <si>
    <t>000000000009065374</t>
  </si>
  <si>
    <t>CTH.8-90-310K</t>
  </si>
  <si>
    <t xml:space="preserve">CTH.8-90-310KAISI 310 (1.4841) </t>
  </si>
  <si>
    <t>000000000009069837</t>
  </si>
  <si>
    <t>CTH.8-100-310K</t>
  </si>
  <si>
    <t xml:space="preserve">CTH.8-100-310KAISI 310 (1.4841) </t>
  </si>
  <si>
    <t>000000000009042598</t>
  </si>
  <si>
    <t>CTH.8-110-310K</t>
  </si>
  <si>
    <t xml:space="preserve">CTH.8-110-310KAISI 310 (1.4841) </t>
  </si>
  <si>
    <t>000000000009069862</t>
  </si>
  <si>
    <t>CTH.8-120-310K</t>
  </si>
  <si>
    <t xml:space="preserve">CTH.8-120-310KAISI 310 (1.4841) </t>
  </si>
  <si>
    <t>000000000009051222</t>
  </si>
  <si>
    <t>CTH.8-125-310K</t>
  </si>
  <si>
    <t xml:space="preserve">CTH.8-125-310KAISI 310 (1.4841) </t>
  </si>
  <si>
    <t>000000000009106304</t>
  </si>
  <si>
    <t>CTH.8-130-310K</t>
  </si>
  <si>
    <t xml:space="preserve">CTH.8-130-310KAISI 310 (1.4841) </t>
  </si>
  <si>
    <t>000000000009034746</t>
  </si>
  <si>
    <t>CTH.8-140-310K</t>
  </si>
  <si>
    <t xml:space="preserve">CTH.8-140-310KAISI 310 (1.4841) </t>
  </si>
  <si>
    <t>000000000009081454</t>
  </si>
  <si>
    <t>CTH.8-150-310K</t>
  </si>
  <si>
    <t xml:space="preserve">CTH.8-150-310KAISI 310 (1.4841) </t>
  </si>
  <si>
    <t>000000000009030439</t>
  </si>
  <si>
    <t>CTH.8-150-314K</t>
  </si>
  <si>
    <t xml:space="preserve">CTH.8-150-314KAISI 314 (1.4841) </t>
  </si>
  <si>
    <t>000000000009068433</t>
  </si>
  <si>
    <t>CTH.8-160-310K</t>
  </si>
  <si>
    <t xml:space="preserve">CTH.8-160-310KAISI 310 (1.4841) </t>
  </si>
  <si>
    <t>000000000009084760</t>
  </si>
  <si>
    <t>CTH.8-170-310K</t>
  </si>
  <si>
    <t xml:space="preserve">CTH.8-170-310KAISI 310 (1.4841) </t>
  </si>
  <si>
    <t>000000000009018219</t>
  </si>
  <si>
    <t>CTH.8-170-314K</t>
  </si>
  <si>
    <t xml:space="preserve">CTH.8-170-314KAISI 314 (1.4841) </t>
  </si>
  <si>
    <t>000000000009018230</t>
  </si>
  <si>
    <t>CTH.8-180-310K</t>
  </si>
  <si>
    <t xml:space="preserve">CTH.8-180-310KAISI 310 (1.4841) </t>
  </si>
  <si>
    <t>000000000009030752</t>
  </si>
  <si>
    <t>CTH.8-190-309K</t>
  </si>
  <si>
    <t>CTH.8-190-309KAISI 309 (1.4828)</t>
  </si>
  <si>
    <t>000000000009068555</t>
  </si>
  <si>
    <t>CTH.8-200-310K</t>
  </si>
  <si>
    <t xml:space="preserve">CTH.8-200-310KAISI 310 (1.4841) </t>
  </si>
  <si>
    <t>000000000009035177</t>
  </si>
  <si>
    <t>CTH.8-205-314K</t>
  </si>
  <si>
    <t xml:space="preserve">CTH.8-205-314KAISI 314 (1.4841) </t>
  </si>
  <si>
    <t>000000000009111043</t>
  </si>
  <si>
    <t>CTH.8-210-310K</t>
  </si>
  <si>
    <t xml:space="preserve">CTH.8-210-310KAISI 310 (1.4841) </t>
  </si>
  <si>
    <t>000000000009077442</t>
  </si>
  <si>
    <t>CTH.8-220-310K</t>
  </si>
  <si>
    <t xml:space="preserve">CTH.8-220-310KAISI 310 (1.4841) </t>
  </si>
  <si>
    <t>000000000009070569</t>
  </si>
  <si>
    <t>CTH.8-230-310K</t>
  </si>
  <si>
    <t xml:space="preserve">CTH.8-230-310KAISI 310 (1.4841) </t>
  </si>
  <si>
    <t>000000000009061081</t>
  </si>
  <si>
    <t>CTH.8-240-310K</t>
  </si>
  <si>
    <t xml:space="preserve">CTH.8-240-310KAISI 310 (1.4841) </t>
  </si>
  <si>
    <t>000000000009067439</t>
  </si>
  <si>
    <t>CTH.8-250-310K</t>
  </si>
  <si>
    <t xml:space="preserve">CTH.8-250-310KAISI 310 (1.4841) </t>
  </si>
  <si>
    <t>000000000009065610</t>
  </si>
  <si>
    <t>CTH.8-270-310K</t>
  </si>
  <si>
    <t xml:space="preserve">CTH.8-270-310KAISI 310 (1.4841) </t>
  </si>
  <si>
    <t>000000000009050877</t>
  </si>
  <si>
    <t>CTH.8-275-304K</t>
  </si>
  <si>
    <t>CTH.8-275-304KAISI 304 (1.4301)</t>
  </si>
  <si>
    <t>000000000009111437</t>
  </si>
  <si>
    <t>CTH.8-280-310K</t>
  </si>
  <si>
    <t xml:space="preserve">CTH.8-280-310KAISI 310 (1.4841) </t>
  </si>
  <si>
    <t>000000000009065940</t>
  </si>
  <si>
    <t>CTH.8-300-310K</t>
  </si>
  <si>
    <t xml:space="preserve">CTH.8-300-310KAISI 310 (1.4841) </t>
  </si>
  <si>
    <t>000000000009036191</t>
  </si>
  <si>
    <t>CTH.8-320-310K</t>
  </si>
  <si>
    <t xml:space="preserve">CTH.8-320-310KAISI 310 (1.4841) </t>
  </si>
  <si>
    <t>000000000009100721</t>
  </si>
  <si>
    <t>CTH.8-330-310K</t>
  </si>
  <si>
    <t xml:space="preserve">CTH.8-330-310KAISI 310 (1.4841) </t>
  </si>
  <si>
    <t>000000000009053216</t>
  </si>
  <si>
    <t>CTH.8-340-310K</t>
  </si>
  <si>
    <t xml:space="preserve">CTH.8-340-310KAISI 310 (1.4841) </t>
  </si>
  <si>
    <t>000000000009107366</t>
  </si>
  <si>
    <t>CTH.8-350-310K</t>
  </si>
  <si>
    <t xml:space="preserve">CTH.8-350-310KAISI 310 (1.4841) </t>
  </si>
  <si>
    <t>000000000009107365</t>
  </si>
  <si>
    <t>CTH.8-385-310K</t>
  </si>
  <si>
    <t xml:space="preserve">CTH.8-385-310KAISI 310 (1.4841) </t>
  </si>
  <si>
    <t>000000000009081940</t>
  </si>
  <si>
    <t>CTH.8-390-310K</t>
  </si>
  <si>
    <t xml:space="preserve">CTH.8-390-310KAISI 310 (1.4841) </t>
  </si>
  <si>
    <t>000000000009107364</t>
  </si>
  <si>
    <t>CTH.8-420-310K</t>
  </si>
  <si>
    <t xml:space="preserve">CTH.8-420-310KAISI 310 (1.4841) </t>
  </si>
  <si>
    <t>000000000009099335</t>
  </si>
  <si>
    <t>CTH.8-450-310K</t>
  </si>
  <si>
    <t xml:space="preserve">CTH.8-450-310KAISI 310 (1.4841) </t>
  </si>
  <si>
    <t>000000000009107363</t>
  </si>
  <si>
    <t>CTH.8-480-310K</t>
  </si>
  <si>
    <t xml:space="preserve">CTH.8-480-310KAISI 310 (1.4841) </t>
  </si>
  <si>
    <t>000000000009051046</t>
  </si>
  <si>
    <t>CTH.8-50-310K</t>
  </si>
  <si>
    <t xml:space="preserve">CTH.8-50-310KAISI 310 (1.4841) </t>
  </si>
  <si>
    <t>000000000009071873</t>
  </si>
  <si>
    <t>CTH.8-720-310K</t>
  </si>
  <si>
    <t xml:space="preserve">CTH.8-720-310KAISI 310 (1.4841) </t>
  </si>
  <si>
    <t>000000000009051047</t>
  </si>
  <si>
    <t>CTP.6-40-310K</t>
  </si>
  <si>
    <t xml:space="preserve">CTP.6-40-310KAISI 310 (1.4841) </t>
  </si>
  <si>
    <t>000000000009052631</t>
  </si>
  <si>
    <t>CTP.6-55-310K</t>
  </si>
  <si>
    <t xml:space="preserve">CTP.6-55-310KAISI 310 (1.4841) </t>
  </si>
  <si>
    <t>000000000009052640</t>
  </si>
  <si>
    <t>CTP.6-60-310K</t>
  </si>
  <si>
    <t xml:space="preserve">CTP.6-60-310KAISI 310 (1.4841) </t>
  </si>
  <si>
    <t>000000000009012331</t>
  </si>
  <si>
    <t>CTP.6-65-310K</t>
  </si>
  <si>
    <t xml:space="preserve">CTP.6-65-310KAISI 310 (1.4841) </t>
  </si>
  <si>
    <t>000000000009016610</t>
  </si>
  <si>
    <t>CTP.6-75-310K</t>
  </si>
  <si>
    <t xml:space="preserve">CTP.6-75-310KAISI 310 (1.4841) </t>
  </si>
  <si>
    <t>000000000009042599</t>
  </si>
  <si>
    <t>CTP.6-80-310K</t>
  </si>
  <si>
    <t xml:space="preserve">CTP.6-80-310KAISI 310 (1.4841) </t>
  </si>
  <si>
    <t>000000000009012346</t>
  </si>
  <si>
    <t>CTP.6-80-314K</t>
  </si>
  <si>
    <t xml:space="preserve">CTP.6-80-314KAISI 314 (1.4841) </t>
  </si>
  <si>
    <t>000000000009002962</t>
  </si>
  <si>
    <t>CTP.6-85-310K</t>
  </si>
  <si>
    <t xml:space="preserve">CTP.6-85-310KAISI 310 (1.4841) </t>
  </si>
  <si>
    <t>000000000009051263</t>
  </si>
  <si>
    <t>CTP.6-90-310K</t>
  </si>
  <si>
    <t xml:space="preserve">CTP.6-90-310KAISI 310 (1.4841) </t>
  </si>
  <si>
    <t>000000000009018394</t>
  </si>
  <si>
    <t>CTP.6-100-310K</t>
  </si>
  <si>
    <t xml:space="preserve">CTP.6-100-310KAISI 310 (1.4841) </t>
  </si>
  <si>
    <t>000000000009005280</t>
  </si>
  <si>
    <t>CTP.6-100-314K</t>
  </si>
  <si>
    <t xml:space="preserve">CTP.6-100-314KAISI 314 (1.4841) </t>
  </si>
  <si>
    <t>000000000009008643</t>
  </si>
  <si>
    <t>CTP.6-110-310K</t>
  </si>
  <si>
    <t xml:space="preserve">CTP.6-110-310KAISI 310 (1.4841) </t>
  </si>
  <si>
    <t>000000000009038954</t>
  </si>
  <si>
    <t>CTP.6-120-309K</t>
  </si>
  <si>
    <t>CTP.6-120-309KAISI 309 (1.4828)</t>
  </si>
  <si>
    <t>000000000009003730</t>
  </si>
  <si>
    <t>CTP.6-120-310K</t>
  </si>
  <si>
    <t xml:space="preserve">CTP.6-120-310KAISI 310 (1.4841) </t>
  </si>
  <si>
    <t>000000000009011522</t>
  </si>
  <si>
    <t>CTP.6-130-310K</t>
  </si>
  <si>
    <t xml:space="preserve">CTP.6-130-310KAISI 310 (1.4841) </t>
  </si>
  <si>
    <t>000000000009002984</t>
  </si>
  <si>
    <t>CTP.6-140-310K</t>
  </si>
  <si>
    <t xml:space="preserve">CTP.6-140-310KAISI 310 (1.4841) </t>
  </si>
  <si>
    <t>000000000009002959</t>
  </si>
  <si>
    <t>CTP.6-150-310K</t>
  </si>
  <si>
    <t xml:space="preserve">CTP.6-150-310KAISI 310 (1.4841) </t>
  </si>
  <si>
    <t>000000000009011585</t>
  </si>
  <si>
    <t>CTP.6-170-310K</t>
  </si>
  <si>
    <t xml:space="preserve">CTP.6-170-310KAISI 310 (1.4841) </t>
  </si>
  <si>
    <t>000000000009032258</t>
  </si>
  <si>
    <t>CTP.6-175-310K</t>
  </si>
  <si>
    <t xml:space="preserve">CTP.6-175-310KAISI 310 (1.4841) </t>
  </si>
  <si>
    <t>000000000009038346</t>
  </si>
  <si>
    <t>CTP.6-190-310K</t>
  </si>
  <si>
    <t xml:space="preserve">CTP.6-190-310KAISI 310 (1.4841) </t>
  </si>
  <si>
    <t>000000000009108923</t>
  </si>
  <si>
    <t>CTP.6-200-309K</t>
  </si>
  <si>
    <t>CTP.6-200-309KAISI 309 (1.4828)</t>
  </si>
  <si>
    <t>000000000009067999</t>
  </si>
  <si>
    <t>CTP.6-200-310K</t>
  </si>
  <si>
    <t xml:space="preserve">CTP.6-200-310KAISI 310 (1.4841) </t>
  </si>
  <si>
    <t>000000000009012260</t>
  </si>
  <si>
    <t>CTP.6-210-310K</t>
  </si>
  <si>
    <t xml:space="preserve">CTP.6-210-310KAISI 310 (1.4841) </t>
  </si>
  <si>
    <t>000000000009016780</t>
  </si>
  <si>
    <t>CTP.6-220-310K</t>
  </si>
  <si>
    <t xml:space="preserve">CTP.6-220-310KAISI 310 (1.4841) </t>
  </si>
  <si>
    <t>000000000009032260</t>
  </si>
  <si>
    <t>CTP.6-250-309K</t>
  </si>
  <si>
    <t>CTP.6-250-309KAISI 309 (1.4828)</t>
  </si>
  <si>
    <t>000000000009074044</t>
  </si>
  <si>
    <t>CTP.6-265-310K</t>
  </si>
  <si>
    <t xml:space="preserve">CTP.6-265-310KAISI 310 (1.4841) </t>
  </si>
  <si>
    <t>000000000009080096</t>
  </si>
  <si>
    <t>CTP.6-280-309K</t>
  </si>
  <si>
    <t>CTP.6-280-309KAISI 309 (1.4828)</t>
  </si>
  <si>
    <t>000000000009067566</t>
  </si>
  <si>
    <t>CTP.6-290-310K</t>
  </si>
  <si>
    <t xml:space="preserve">CTP.6-290-310KAISI 310 (1.4841) </t>
  </si>
  <si>
    <t>000000000009076702</t>
  </si>
  <si>
    <t>CTP.6-300-310K</t>
  </si>
  <si>
    <t xml:space="preserve">CTP.6-300-310KAISI 310 (1.4841) </t>
  </si>
  <si>
    <t>000000000009008531</t>
  </si>
  <si>
    <t>CTP.6-320-310K</t>
  </si>
  <si>
    <t xml:space="preserve">CTP.6-320-310KAISI 310 (1.4841) </t>
  </si>
  <si>
    <t>000000000009032261</t>
  </si>
  <si>
    <t>CTP.8-80-310K</t>
  </si>
  <si>
    <t xml:space="preserve">CTP.8-80-310KAISI 310 (1.4841) </t>
  </si>
  <si>
    <t>000000000009063994</t>
  </si>
  <si>
    <t>CTP.8-90-310K</t>
  </si>
  <si>
    <t xml:space="preserve">CTP.8-90-310KAISI 310 (1.4841) </t>
  </si>
  <si>
    <t>000000000009015746</t>
  </si>
  <si>
    <t>CTP.8-100-304K</t>
  </si>
  <si>
    <t>CTP.8-100-304KAISI 304 (1.4301)</t>
  </si>
  <si>
    <t>000000000009102586</t>
  </si>
  <si>
    <t>CTP.8-100-310K</t>
  </si>
  <si>
    <t xml:space="preserve">CTP.8-100-310KAISI 310 (1.4841) </t>
  </si>
  <si>
    <t>000000000009046682</t>
  </si>
  <si>
    <t>CTP.8-110-310K</t>
  </si>
  <si>
    <t xml:space="preserve">CTP.8-110-310KAISI 310 (1.4841) </t>
  </si>
  <si>
    <t>000000000009047655</t>
  </si>
  <si>
    <t>CTP.8-120-310K</t>
  </si>
  <si>
    <t xml:space="preserve">CTP.8-120-310KAISI 310 (1.4841) </t>
  </si>
  <si>
    <t>000000000009046681</t>
  </si>
  <si>
    <t>CTP.8-125-309K</t>
  </si>
  <si>
    <t>CTP.8-125-309KAISI 309 (1.4828)</t>
  </si>
  <si>
    <t>000000000009070000</t>
  </si>
  <si>
    <t>CTP.8-130-310K</t>
  </si>
  <si>
    <t xml:space="preserve">CTP.8-130-310KAISI 310 (1.4841) </t>
  </si>
  <si>
    <t>000000000009040215</t>
  </si>
  <si>
    <t>CTP.8-140-309K</t>
  </si>
  <si>
    <t>CTP.8-140-309KAISI 309 (1.4828)</t>
  </si>
  <si>
    <t>000000000009063660</t>
  </si>
  <si>
    <t>CTP.8-140-310K</t>
  </si>
  <si>
    <t xml:space="preserve">CTP.8-140-310KAISI 310 (1.4841) </t>
  </si>
  <si>
    <t>000000000009040214</t>
  </si>
  <si>
    <t>CTP.8-150-304K</t>
  </si>
  <si>
    <t>CTP.8-150-304KAISI 304 (1.4301)</t>
  </si>
  <si>
    <t>000000000009102587</t>
  </si>
  <si>
    <t>CTP.8-150-309K</t>
  </si>
  <si>
    <t>CTP.8-150-309KAISI 309 (1.4828)</t>
  </si>
  <si>
    <t>000000000009008645</t>
  </si>
  <si>
    <t>CTP.8-150-310K</t>
  </si>
  <si>
    <t xml:space="preserve">CTP.8-150-310KAISI 310 (1.4841) </t>
  </si>
  <si>
    <t>000000000009011009</t>
  </si>
  <si>
    <t>CTP.8-150-314K</t>
  </si>
  <si>
    <t xml:space="preserve">CTP.8-150-314KAISI 314 (1.4841) </t>
  </si>
  <si>
    <t>000000000009002960</t>
  </si>
  <si>
    <t>CTP.8-160-309K</t>
  </si>
  <si>
    <t>CTP.8-160-309KAISI 309 (1.4828)</t>
  </si>
  <si>
    <t>000000000009042484</t>
  </si>
  <si>
    <t>CTP.8-160-310K</t>
  </si>
  <si>
    <t xml:space="preserve">CTP.8-160-310KAISI 310 (1.4841) </t>
  </si>
  <si>
    <t>000000000009002887</t>
  </si>
  <si>
    <t>CTP.8-170-309K</t>
  </si>
  <si>
    <t>CTP.8-170-309KAISI 309 (1.4828)</t>
  </si>
  <si>
    <t>000000000009003733</t>
  </si>
  <si>
    <t>CTP.8-170-310K</t>
  </si>
  <si>
    <t xml:space="preserve">CTP.8-170-310KAISI 310 (1.4841) </t>
  </si>
  <si>
    <t>000000000009002918</t>
  </si>
  <si>
    <t>CTP.8-180-309K</t>
  </si>
  <si>
    <t>CTP.8-180-309KAISI 309 (1.4828)</t>
  </si>
  <si>
    <t>000000000009003734</t>
  </si>
  <si>
    <t>CTP.8-180-310K</t>
  </si>
  <si>
    <t xml:space="preserve">CTP.8-180-310KAISI 310 (1.4841) </t>
  </si>
  <si>
    <t>000000000009012754</t>
  </si>
  <si>
    <t>CTP.8-180-314K</t>
  </si>
  <si>
    <t xml:space="preserve">CTP.8-180-314KAISI 314 (1.4841) </t>
  </si>
  <si>
    <t>000000000009002888</t>
  </si>
  <si>
    <t>CTP.8-185-310K</t>
  </si>
  <si>
    <t xml:space="preserve">CTP.8-185-310KAISI 310 (1.4841) </t>
  </si>
  <si>
    <t>000000000009108924</t>
  </si>
  <si>
    <t>CTP.8-190-309K</t>
  </si>
  <si>
    <t>CTP.8-190-309KAISI 309 (1.4828)</t>
  </si>
  <si>
    <t>000000000009003735</t>
  </si>
  <si>
    <t>CTP.8-190-310K</t>
  </si>
  <si>
    <t xml:space="preserve">CTP.8-190-310KAISI 310 (1.4841) </t>
  </si>
  <si>
    <t>000000000009049587</t>
  </si>
  <si>
    <t>CTP.8-190-314K</t>
  </si>
  <si>
    <t xml:space="preserve">CTP.8-190-314KAISI 314 (1.4841) </t>
  </si>
  <si>
    <t>000000000009003724</t>
  </si>
  <si>
    <t>CTP.8-200-309K</t>
  </si>
  <si>
    <t>CTP.8-200-309KAISI 309 (1.4828)</t>
  </si>
  <si>
    <t>000000000009003486</t>
  </si>
  <si>
    <t>CTP.8-200-310K</t>
  </si>
  <si>
    <t xml:space="preserve">CTP.8-200-310KAISI 310 (1.4841) </t>
  </si>
  <si>
    <t>000000000009013474</t>
  </si>
  <si>
    <t>CTP.8-200-314K</t>
  </si>
  <si>
    <t xml:space="preserve">CTP.8-200-314KAISI 314 (1.4841) </t>
  </si>
  <si>
    <t>000000000009012705</t>
  </si>
  <si>
    <t>CTP.8-210-309K</t>
  </si>
  <si>
    <t>CTP.8-210-309KAISI 309 (1.4828)</t>
  </si>
  <si>
    <t>000000000009003285</t>
  </si>
  <si>
    <t>CTP.8-210-310K</t>
  </si>
  <si>
    <t xml:space="preserve">CTP.8-210-310KAISI 310 (1.4841) </t>
  </si>
  <si>
    <t>000000000009002966</t>
  </si>
  <si>
    <t>CTP.8-220-310K</t>
  </si>
  <si>
    <t xml:space="preserve">CTP.8-220-310KAISI 310 (1.4841) </t>
  </si>
  <si>
    <t>000000000009012755</t>
  </si>
  <si>
    <t>CTP.8-220-314K</t>
  </si>
  <si>
    <t xml:space="preserve">CTP.8-220-314KAISI 314 (1.4841) </t>
  </si>
  <si>
    <t>000000000009011377</t>
  </si>
  <si>
    <t>CTP.8-230-310K</t>
  </si>
  <si>
    <t xml:space="preserve">CTP.8-230-310KAISI 310 (1.4841) </t>
  </si>
  <si>
    <t>000000000009011495</t>
  </si>
  <si>
    <t>CTP.8-240-310K</t>
  </si>
  <si>
    <t xml:space="preserve">CTP.8-240-310KAISI 310 (1.4841) </t>
  </si>
  <si>
    <t>000000000009016523</t>
  </si>
  <si>
    <t>CTP.8-240-314K</t>
  </si>
  <si>
    <t xml:space="preserve">CTP.8-240-314KAISI 314 (1.4841) </t>
  </si>
  <si>
    <t>000000000009003725</t>
  </si>
  <si>
    <t>CTP.8-245-314K</t>
  </si>
  <si>
    <t xml:space="preserve">CTP.8-245-314KAISI 314 (1.4841) </t>
  </si>
  <si>
    <t>000000000009078939</t>
  </si>
  <si>
    <t>CTP.8-250-309K</t>
  </si>
  <si>
    <t>CTP.8-250-309KAISI 309 (1.4828)</t>
  </si>
  <si>
    <t>000000000009003495</t>
  </si>
  <si>
    <t>CTP.8-250-310K</t>
  </si>
  <si>
    <t xml:space="preserve">CTP.8-250-310KAISI 310 (1.4841) </t>
  </si>
  <si>
    <t>000000000009010244</t>
  </si>
  <si>
    <t>CTP.8-250-314K</t>
  </si>
  <si>
    <t xml:space="preserve">CTP.8-250-314KAISI 314 (1.4841) </t>
  </si>
  <si>
    <t>000000000009065353</t>
  </si>
  <si>
    <t>CTP.8-260-309K</t>
  </si>
  <si>
    <t>CTP.8-260-309KAISI 309 (1.4828)</t>
  </si>
  <si>
    <t>000000000009012668</t>
  </si>
  <si>
    <t>CTP.8-260-310K</t>
  </si>
  <si>
    <t xml:space="preserve">CTP.8-260-310KAISI 310 (1.4841) </t>
  </si>
  <si>
    <t>000000000009036198</t>
  </si>
  <si>
    <t>CTP.8-265-310K</t>
  </si>
  <si>
    <t xml:space="preserve">CTP.8-265-310KAISI 310 (1.4841) </t>
  </si>
  <si>
    <t>000000000009053321</t>
  </si>
  <si>
    <t>CTP.8-270-310K</t>
  </si>
  <si>
    <t xml:space="preserve">CTP.8-270-310KAISI 310 (1.4841) </t>
  </si>
  <si>
    <t>000000000009002910</t>
  </si>
  <si>
    <t>CTP.8-270-314K</t>
  </si>
  <si>
    <t xml:space="preserve">CTP.8-270-314KAISI 314 (1.4841) </t>
  </si>
  <si>
    <t>000000000009010577</t>
  </si>
  <si>
    <t>CTP.8-280-310K</t>
  </si>
  <si>
    <t xml:space="preserve">CTP.8-280-310KAISI 310 (1.4841) </t>
  </si>
  <si>
    <t>000000000009038555</t>
  </si>
  <si>
    <t>CTP.8-290-309K</t>
  </si>
  <si>
    <t>CTP.8-290-309KAISI 309 (1.4828)</t>
  </si>
  <si>
    <t>000000000009068841</t>
  </si>
  <si>
    <t>CTP.8-290-310K</t>
  </si>
  <si>
    <t xml:space="preserve">CTP.8-290-310KAISI 310 (1.4841) </t>
  </si>
  <si>
    <t>000000000009045914</t>
  </si>
  <si>
    <t>CTP.8-290-314K</t>
  </si>
  <si>
    <t xml:space="preserve">CTP.8-290-314KAISI 314 (1.4841) </t>
  </si>
  <si>
    <t>000000000009010576</t>
  </si>
  <si>
    <t>CTP.8-300-309K</t>
  </si>
  <si>
    <t>CTP.8-300-309KAISI 309 (1.4828)</t>
  </si>
  <si>
    <t>000000000009003210</t>
  </si>
  <si>
    <t>CTP.8-300-310K</t>
  </si>
  <si>
    <t xml:space="preserve">CTP.8-300-310KAISI 310 (1.4841) </t>
  </si>
  <si>
    <t>000000000009012050</t>
  </si>
  <si>
    <t>CTP.8-300-314K</t>
  </si>
  <si>
    <t xml:space="preserve">CTP.8-300-314KAISI 314 (1.4841) </t>
  </si>
  <si>
    <t>000000000009012706</t>
  </si>
  <si>
    <t>CTP.8-310-310K</t>
  </si>
  <si>
    <t xml:space="preserve">CTP.8-310-310KAISI 310 (1.4841) </t>
  </si>
  <si>
    <t>000000000009030201</t>
  </si>
  <si>
    <t>CTP.8-320-309K</t>
  </si>
  <si>
    <t>CTP.8-320-309KAISI 309 (1.4828)</t>
  </si>
  <si>
    <t>000000000009003089</t>
  </si>
  <si>
    <t>CTP.8-320-310K</t>
  </si>
  <si>
    <t xml:space="preserve">CTP.8-320-310KAISI 310 (1.4841) </t>
  </si>
  <si>
    <t>000000000009053404</t>
  </si>
  <si>
    <t>CTP.8-325-309K</t>
  </si>
  <si>
    <t>CTP.8-325-309KAISI 309 (1.4828)</t>
  </si>
  <si>
    <t>000000000009057734</t>
  </si>
  <si>
    <t>CTP.8-330-309K</t>
  </si>
  <si>
    <t>CTP.8-330-309KAISI 309 (1.4828)</t>
  </si>
  <si>
    <t>000000000009042591</t>
  </si>
  <si>
    <t>CTP.8-330-310K</t>
  </si>
  <si>
    <t xml:space="preserve">CTP.8-330-310KAISI 310 (1.4841) </t>
  </si>
  <si>
    <t>000000000009034150</t>
  </si>
  <si>
    <t>CTP.8-330-314K</t>
  </si>
  <si>
    <t xml:space="preserve">CTP.8-330-314KAISI 314 (1.4841) </t>
  </si>
  <si>
    <t>000000000009010578</t>
  </si>
  <si>
    <t>CTP.8-340-310K</t>
  </si>
  <si>
    <t xml:space="preserve">CTP.8-340-310KAISI 310 (1.4841) </t>
  </si>
  <si>
    <t>000000000009003199</t>
  </si>
  <si>
    <t>CTP.8-350-309K</t>
  </si>
  <si>
    <t>CTP.8-350-309KAISI 309 (1.4828)</t>
  </si>
  <si>
    <t>000000000009042513</t>
  </si>
  <si>
    <t>CTP.8-350-310K</t>
  </si>
  <si>
    <t xml:space="preserve">CTP.8-350-310KAISI 310 (1.4841) </t>
  </si>
  <si>
    <t>000000000009011388</t>
  </si>
  <si>
    <t>CTP.8-360-310K</t>
  </si>
  <si>
    <t xml:space="preserve">CTP.8-360-310KAISI 310 (1.4841) </t>
  </si>
  <si>
    <t>000000000009045915</t>
  </si>
  <si>
    <t>CTP.8-370-309K</t>
  </si>
  <si>
    <t>CTP.8-370-309KAISI 309 (1.4828)</t>
  </si>
  <si>
    <t>000000000009003741</t>
  </si>
  <si>
    <t>CTP.8-370-310K</t>
  </si>
  <si>
    <t xml:space="preserve">CTP.8-370-310KAISI 310 (1.4841) </t>
  </si>
  <si>
    <t>000000000009003321</t>
  </si>
  <si>
    <t>CTP.8-380-309K</t>
  </si>
  <si>
    <t>CTP.8-380-309KAISI 309 (1.4828)</t>
  </si>
  <si>
    <t>000000000009042515</t>
  </si>
  <si>
    <t>CTP.8-380-310K</t>
  </si>
  <si>
    <t xml:space="preserve">CTP.8-380-310KAISI 310 (1.4841) </t>
  </si>
  <si>
    <t>000000000009025252</t>
  </si>
  <si>
    <t>CTP.8-385-310K</t>
  </si>
  <si>
    <t xml:space="preserve">CTP.8-385-310KAISI 310 (1.4841) </t>
  </si>
  <si>
    <t>000000000009053322</t>
  </si>
  <si>
    <t>CTP.8-390-310K</t>
  </si>
  <si>
    <t xml:space="preserve">CTP.8-390-310KAISI 310 (1.4841) </t>
  </si>
  <si>
    <t>000000000009013422</t>
  </si>
  <si>
    <t>CTP.8-400-309K</t>
  </si>
  <si>
    <t>CTP.8-400-309KAISI 309 (1.4828)</t>
  </si>
  <si>
    <t>000000000009003287</t>
  </si>
  <si>
    <t>CTP.8-400-310K</t>
  </si>
  <si>
    <t xml:space="preserve">CTP.8-400-310KAISI 310 (1.4841) </t>
  </si>
  <si>
    <t>000000000009025253</t>
  </si>
  <si>
    <t>CTP.8-410-310K</t>
  </si>
  <si>
    <t xml:space="preserve">CTP.8-410-310KAISI 310 (1.4841) </t>
  </si>
  <si>
    <t>000000000009046734</t>
  </si>
  <si>
    <t>CTP.8-420-310K</t>
  </si>
  <si>
    <t xml:space="preserve">CTP.8-420-310KAISI 310 (1.4841) </t>
  </si>
  <si>
    <t>000000000009021301</t>
  </si>
  <si>
    <t>CTP.8-430-310K</t>
  </si>
  <si>
    <t xml:space="preserve">CTP.8-430-310KAISI 310 (1.4841) </t>
  </si>
  <si>
    <t>000000000009045916</t>
  </si>
  <si>
    <t>CTP.8-450-310K</t>
  </si>
  <si>
    <t xml:space="preserve">CTP.8-450-310KAISI 310 (1.4841) </t>
  </si>
  <si>
    <t>000000000009002931</t>
  </si>
  <si>
    <t>CTP.8-480-310K</t>
  </si>
  <si>
    <t xml:space="preserve">CTP.8-480-310KAISI 310 (1.4841) </t>
  </si>
  <si>
    <t>000000000009025254</t>
  </si>
  <si>
    <t>CTP.8-490-310K</t>
  </si>
  <si>
    <t xml:space="preserve">CTP.8-490-310KAISI 310 (1.4841) </t>
  </si>
  <si>
    <t>000000000009045918</t>
  </si>
  <si>
    <t>CTP.8-500-310K</t>
  </si>
  <si>
    <t xml:space="preserve">CTP.8-500-310KAISI 310 (1.4841) </t>
  </si>
  <si>
    <t>000000000009038106</t>
  </si>
  <si>
    <t>CTP.8-525-310K</t>
  </si>
  <si>
    <t xml:space="preserve">CTP.8-525-310KAISI 310 (1.4841) </t>
  </si>
  <si>
    <t>000000000009025255</t>
  </si>
  <si>
    <t>CTP.8-550-310K</t>
  </si>
  <si>
    <t xml:space="preserve">CTP.8-550-310KAISI 310 (1.4841) </t>
  </si>
  <si>
    <t>000000000009038107</t>
  </si>
  <si>
    <t>CTP.8-610-310K</t>
  </si>
  <si>
    <t xml:space="preserve">CTP.8-610-310KAISI 310 (1.4841) </t>
  </si>
  <si>
    <t>000000000009046736</t>
  </si>
  <si>
    <t>CTP.8-720-310K</t>
  </si>
  <si>
    <t xml:space="preserve">CTP.8-720-310KAISI 310 (1.4841) </t>
  </si>
  <si>
    <t>000000000009046737</t>
  </si>
  <si>
    <t>CBH.10-130-310K</t>
  </si>
  <si>
    <t xml:space="preserve">CBH.10-130-310KAISI 310 (1.4841) </t>
  </si>
  <si>
    <t>000000000009081395</t>
  </si>
  <si>
    <t>CBH.10-150-310K</t>
  </si>
  <si>
    <t xml:space="preserve">CBH.10-150-310KAISI 310 (1.4841) </t>
  </si>
  <si>
    <t>000000000009081396</t>
  </si>
  <si>
    <t>CBH.10-160-310K</t>
  </si>
  <si>
    <t xml:space="preserve">CBH.10-160-310KAISI 310 (1.4841) </t>
  </si>
  <si>
    <t>000000000009071872</t>
  </si>
  <si>
    <t>CBH.10-170-310K</t>
  </si>
  <si>
    <t xml:space="preserve">CBH.10-170-310KAISI 310 (1.4841) </t>
  </si>
  <si>
    <t>000000000009069609</t>
  </si>
  <si>
    <t>CBH.10-180-310K</t>
  </si>
  <si>
    <t xml:space="preserve">CBH.10-180-310KAISI 310 (1.4841) </t>
  </si>
  <si>
    <t>000000000009056676</t>
  </si>
  <si>
    <t>CBH.10-190-310K</t>
  </si>
  <si>
    <t xml:space="preserve">CBH.10-190-310KAISI 310 (1.4841) </t>
  </si>
  <si>
    <t>000000000009080780</t>
  </si>
  <si>
    <t>CBH.10-200-309K</t>
  </si>
  <si>
    <t>CBH.10-200-309KAISI 309 (1.4828)</t>
  </si>
  <si>
    <t>000000000009057135</t>
  </si>
  <si>
    <t>CBH.10-200-310K</t>
  </si>
  <si>
    <t xml:space="preserve">CBH.10-200-310KAISI 310 (1.4841) </t>
  </si>
  <si>
    <t>000000000009038259</t>
  </si>
  <si>
    <t>CBH.10-220-310K</t>
  </si>
  <si>
    <t xml:space="preserve">CBH.10-220-310KAISI 310 (1.4841) </t>
  </si>
  <si>
    <t>000000000009081961</t>
  </si>
  <si>
    <t>CBH.10-225-310K</t>
  </si>
  <si>
    <t xml:space="preserve">CBH.10-225-310KAISI 310 (1.4841) </t>
  </si>
  <si>
    <t>000000000009011894</t>
  </si>
  <si>
    <t>CBH.10-240-310K</t>
  </si>
  <si>
    <t xml:space="preserve">CBH.10-240-310KAISI 310 (1.4841) </t>
  </si>
  <si>
    <t>000000000009079521</t>
  </si>
  <si>
    <t>CBH.10-250-309K</t>
  </si>
  <si>
    <t>CBH.10-250-309KAISI 309 (1.4828)</t>
  </si>
  <si>
    <t>000000000009079918</t>
  </si>
  <si>
    <t>CBH.10-250-310K</t>
  </si>
  <si>
    <t xml:space="preserve">CBH.10-250-310KAISI 310 (1.4841) </t>
  </si>
  <si>
    <t>000000000009011320</t>
  </si>
  <si>
    <t>CBH.10-275-309K</t>
  </si>
  <si>
    <t>CBH.10-275-309KAISI 309 (1.4828)</t>
  </si>
  <si>
    <t>000000000009099058</t>
  </si>
  <si>
    <t>CBH.10-275-314K</t>
  </si>
  <si>
    <t xml:space="preserve">CBH.10-275-314KAISI 314 (1.4841) </t>
  </si>
  <si>
    <t>000000000009012133</t>
  </si>
  <si>
    <t>CBH.10-280-309K</t>
  </si>
  <si>
    <t>CBH.10-280-309KAISI 309 (1.4828)</t>
  </si>
  <si>
    <t>000000000009048160</t>
  </si>
  <si>
    <t>CBH.10-280-310K</t>
  </si>
  <si>
    <t xml:space="preserve">CBH.10-280-310KAISI 310 (1.4841) </t>
  </si>
  <si>
    <t>000000000009079522</t>
  </si>
  <si>
    <t>CBH.10-300-304K</t>
  </si>
  <si>
    <t>CBH.10-300-304KAISI 304 (1.4301)</t>
  </si>
  <si>
    <t>000000000009079608</t>
  </si>
  <si>
    <t>CBH.10-300-309K</t>
  </si>
  <si>
    <t>CBH.10-300-309KAISI 309 (1.4828)</t>
  </si>
  <si>
    <t>000000000009079913</t>
  </si>
  <si>
    <t>CBH.10-300-310K</t>
  </si>
  <si>
    <t xml:space="preserve">CBH.10-300-310KAISI 310 (1.4841) </t>
  </si>
  <si>
    <t>000000000009011577</t>
  </si>
  <si>
    <t>CBH.10-300-314K</t>
  </si>
  <si>
    <t xml:space="preserve">CBH.10-300-314KAISI 314 (1.4841) </t>
  </si>
  <si>
    <t>000000000009021385</t>
  </si>
  <si>
    <t>CBH.10-325-310K</t>
  </si>
  <si>
    <t xml:space="preserve">CBH.10-325-310KAISI 310 (1.4841) </t>
  </si>
  <si>
    <t>000000000009060460</t>
  </si>
  <si>
    <t>CBH.10-350-309K</t>
  </si>
  <si>
    <t>CBH.10-350-309KAISI 309 (1.4828)</t>
  </si>
  <si>
    <t>000000000009079914</t>
  </si>
  <si>
    <t>CBH.10-350-314K</t>
  </si>
  <si>
    <t xml:space="preserve">CBH.10-350-314KAISI 314 (1.4841) </t>
  </si>
  <si>
    <t>000000000009027841</t>
  </si>
  <si>
    <t>CBH.10-375-309K</t>
  </si>
  <si>
    <t>CBH.10-375-309KAISI 309 (1.4828)</t>
  </si>
  <si>
    <t>000000000009102865</t>
  </si>
  <si>
    <t>CBH.10-375-310K</t>
  </si>
  <si>
    <t xml:space="preserve">CBH.10-375-310KAISI 310 (1.4841) </t>
  </si>
  <si>
    <t>000000000009067510</t>
  </si>
  <si>
    <t>CBH.10-400-309K</t>
  </si>
  <si>
    <t>CBH.10-400-309KAISI 309 (1.4828)</t>
  </si>
  <si>
    <t>000000000009079915</t>
  </si>
  <si>
    <t>CBH.10-400-310K</t>
  </si>
  <si>
    <t xml:space="preserve">CBH.10-400-310KAISI 310 (1.4841) </t>
  </si>
  <si>
    <t>000000000009016012</t>
  </si>
  <si>
    <t>CBH.10-400-314K</t>
  </si>
  <si>
    <t xml:space="preserve">CBH.10-400-314KAISI 314 (1.4841) </t>
  </si>
  <si>
    <t>000000000009028126</t>
  </si>
  <si>
    <t>CBH.10-415-310K</t>
  </si>
  <si>
    <t xml:space="preserve">CBH.10-415-310KAISI 310 (1.4841) </t>
  </si>
  <si>
    <t>000000000009097059</t>
  </si>
  <si>
    <t>CBH.10-420-310K</t>
  </si>
  <si>
    <t xml:space="preserve">CBH.10-420-310KAISI 310 (1.4841) </t>
  </si>
  <si>
    <t>000000000009046819</t>
  </si>
  <si>
    <t>CBH.10-420-314K</t>
  </si>
  <si>
    <t xml:space="preserve">CBH.10-420-314KAISI 314 (1.4841) </t>
  </si>
  <si>
    <t>000000000009027483</t>
  </si>
  <si>
    <t>CBH.10-500-309K</t>
  </si>
  <si>
    <t>CBH.10-500-309KAISI 309 (1.4828)</t>
  </si>
  <si>
    <t>000000000009099070</t>
  </si>
  <si>
    <t>CBH.10-575-314K</t>
  </si>
  <si>
    <t xml:space="preserve">CBH.10-575-314KAISI 314 (1.4841) </t>
  </si>
  <si>
    <t>000000000009027319</t>
  </si>
  <si>
    <t>CBH.10-600-309K</t>
  </si>
  <si>
    <t>CBH.10-600-309KAISI 309 (1.4828)</t>
  </si>
  <si>
    <t>000000000009079917</t>
  </si>
  <si>
    <t>CBH.10-600-314K</t>
  </si>
  <si>
    <t xml:space="preserve">CBH.10-600-314KAISI 314 (1.4841) </t>
  </si>
  <si>
    <t>000000000009047324</t>
  </si>
  <si>
    <t>CBH.10-800-309K</t>
  </si>
  <si>
    <t>CBH.10-800-309KAISI 309 (1.4828)</t>
  </si>
  <si>
    <t>000000000009079919</t>
  </si>
  <si>
    <t>CBH.12-170-310K</t>
  </si>
  <si>
    <t xml:space="preserve">CBH.12-170-310KAISI 310 (1.4841) </t>
  </si>
  <si>
    <t>000000000009073732</t>
  </si>
  <si>
    <t>CBH.12-175-310K</t>
  </si>
  <si>
    <t xml:space="preserve">CBH.12-175-310KAISI 310 (1.4841) </t>
  </si>
  <si>
    <t>000000000009072288</t>
  </si>
  <si>
    <t>CBH.12-225-310K</t>
  </si>
  <si>
    <t xml:space="preserve">CBH.12-225-310KAISI 310 (1.4841) </t>
  </si>
  <si>
    <t>000000000009047389</t>
  </si>
  <si>
    <t>CBH.12-300-310K</t>
  </si>
  <si>
    <t xml:space="preserve">CBH.12-300-310KAISI 310 (1.4841) </t>
  </si>
  <si>
    <t>000000000009004520</t>
  </si>
  <si>
    <t>CBH.12-325-309K</t>
  </si>
  <si>
    <t>CBH.12-325-309KAISI 309 (1.4828)</t>
  </si>
  <si>
    <t>000000000009055425</t>
  </si>
  <si>
    <t>CBH.12-325-310K</t>
  </si>
  <si>
    <t xml:space="preserve">CBH.12-325-310KAISI 310 (1.4841) </t>
  </si>
  <si>
    <t>000000000009053911</t>
  </si>
  <si>
    <t>CBH.12-350-310K</t>
  </si>
  <si>
    <t xml:space="preserve">CBH.12-350-310KAISI 310 (1.4841) </t>
  </si>
  <si>
    <t>000000000009073823</t>
  </si>
  <si>
    <t>CBH.12-500-310K</t>
  </si>
  <si>
    <t xml:space="preserve">CBH.12-500-310KAISI 310 (1.4841) </t>
  </si>
  <si>
    <t>000000000009046133</t>
  </si>
  <si>
    <t>CBH.12-500-314K</t>
  </si>
  <si>
    <t xml:space="preserve">CBH.12-500-314KAISI 314 (1.4841) </t>
  </si>
  <si>
    <t>000000000009041616</t>
  </si>
  <si>
    <t>CBH.12-575-310K</t>
  </si>
  <si>
    <t xml:space="preserve">CBH.12-575-310KAISI 310 (1.4841) </t>
  </si>
  <si>
    <t>000000000009073820</t>
  </si>
  <si>
    <t>CBH.12-600-310K</t>
  </si>
  <si>
    <t xml:space="preserve">CBH.12-600-310KAISI 310 (1.4841) </t>
  </si>
  <si>
    <t>000000000009016405</t>
  </si>
  <si>
    <t>CBH.12-600-314K</t>
  </si>
  <si>
    <t xml:space="preserve">CBH.12-600-314KAISI 314 (1.4841) </t>
  </si>
  <si>
    <t>000000000009018685</t>
  </si>
  <si>
    <t>CBH.12-700-310K</t>
  </si>
  <si>
    <t xml:space="preserve">CBH.12-700-310KAISI 310 (1.4841) </t>
  </si>
  <si>
    <t>000000000009084821</t>
  </si>
  <si>
    <t>CBH.6-125-310K</t>
  </si>
  <si>
    <t xml:space="preserve">CBH.6-125-310KAISI 310 (1.4841) </t>
  </si>
  <si>
    <t>000000000009072323</t>
  </si>
  <si>
    <t>CBH.8-70-304K</t>
  </si>
  <si>
    <t>CBH.8-70-304KAISI 304 (1.4301)</t>
  </si>
  <si>
    <t>000000000009079352</t>
  </si>
  <si>
    <t>CBH.8-110-310K</t>
  </si>
  <si>
    <t xml:space="preserve">CBH.8-110-310KAISI 310 (1.4841) </t>
  </si>
  <si>
    <t>000000000009079520</t>
  </si>
  <si>
    <t>CBH.8-130-310K</t>
  </si>
  <si>
    <t xml:space="preserve">CBH.8-130-310KAISI 310 (1.4841) </t>
  </si>
  <si>
    <t>000000000009069089</t>
  </si>
  <si>
    <t>CBH.8-150-309K</t>
  </si>
  <si>
    <t>CBH.8-150-309KAISI 309 (1.4828)</t>
  </si>
  <si>
    <t>000000000009085166</t>
  </si>
  <si>
    <t>CBH.8-150-310K</t>
  </si>
  <si>
    <t xml:space="preserve">CBH.8-150-310KAISI 310 (1.4841) </t>
  </si>
  <si>
    <t>000000000009023164</t>
  </si>
  <si>
    <t>CBH.8-160-310K</t>
  </si>
  <si>
    <t xml:space="preserve">CBH.8-160-310KAISI 310 (1.4841) </t>
  </si>
  <si>
    <t>000000000009068209</t>
  </si>
  <si>
    <t>CBH.8-180-309K</t>
  </si>
  <si>
    <t>CBH.8-180-309KAISI 309 (1.4828)</t>
  </si>
  <si>
    <t>000000000009063505</t>
  </si>
  <si>
    <t>CBH.8-180-310K</t>
  </si>
  <si>
    <t xml:space="preserve">CBH.8-180-310KAISI 310 (1.4841) </t>
  </si>
  <si>
    <t>000000000009060818</t>
  </si>
  <si>
    <t>CBH.8-190-310K</t>
  </si>
  <si>
    <t xml:space="preserve">CBH.8-190-310KAISI 310 (1.4841) </t>
  </si>
  <si>
    <t>000000000009060817</t>
  </si>
  <si>
    <t>CBH.8-200-309K</t>
  </si>
  <si>
    <t>CBH.8-200-309KAISI 309 (1.4828)</t>
  </si>
  <si>
    <t>000000000009025972</t>
  </si>
  <si>
    <t>CBH.8-220-310K</t>
  </si>
  <si>
    <t xml:space="preserve">CBH.8-220-310KAISI 310 (1.4841) </t>
  </si>
  <si>
    <t>000000000009060815</t>
  </si>
  <si>
    <t>CBH.8-225-310K</t>
  </si>
  <si>
    <t xml:space="preserve">CBH.8-225-310KAISI 310 (1.4841) </t>
  </si>
  <si>
    <t>000000000009011893</t>
  </si>
  <si>
    <t>CBH.8-250-309K</t>
  </si>
  <si>
    <t>CBH.8-250-309KAISI 309 (1.4828)</t>
  </si>
  <si>
    <t>000000000009102866</t>
  </si>
  <si>
    <t>CBH.8-250-310K</t>
  </si>
  <si>
    <t xml:space="preserve">CBH.8-250-310KAISI 310 (1.4841) </t>
  </si>
  <si>
    <t>000000000009060813</t>
  </si>
  <si>
    <t>CBH.8-275-309K</t>
  </si>
  <si>
    <t>CBH.8-275-309KAISI 309 (1.4828)</t>
  </si>
  <si>
    <t>000000000009103962</t>
  </si>
  <si>
    <t>CBH.8-275-310K</t>
  </si>
  <si>
    <t xml:space="preserve">CBH.8-275-310KAISI 310 (1.4841) </t>
  </si>
  <si>
    <t>000000000009075643</t>
  </si>
  <si>
    <t>CBH.8-325-310K</t>
  </si>
  <si>
    <t xml:space="preserve">CBH.8-325-310KAISI 310 (1.4841) </t>
  </si>
  <si>
    <t>000000000009021889</t>
  </si>
  <si>
    <t>600x90x2</t>
  </si>
  <si>
    <t xml:space="preserve">600x90x2CARD BOARD </t>
  </si>
  <si>
    <t>000000000009070820</t>
  </si>
  <si>
    <t>850x1000-850x2</t>
  </si>
  <si>
    <t xml:space="preserve">850x1000-850x2CARD BOARD </t>
  </si>
  <si>
    <t>000000000009070821</t>
  </si>
  <si>
    <t>850x90x2</t>
  </si>
  <si>
    <t xml:space="preserve">850x90x2CARD BOARD </t>
  </si>
  <si>
    <t>000000000009070808</t>
  </si>
  <si>
    <t>CP 119661</t>
  </si>
  <si>
    <t xml:space="preserve">CP 119661CARD BOARD </t>
  </si>
  <si>
    <t>000000000009088310</t>
  </si>
  <si>
    <t>CP 119662</t>
  </si>
  <si>
    <t xml:space="preserve">CP 119662CARD BOARD </t>
  </si>
  <si>
    <t>000000000009088311</t>
  </si>
  <si>
    <t>CP 119663</t>
  </si>
  <si>
    <t xml:space="preserve">CP 119663CARD BOARD </t>
  </si>
  <si>
    <t>000000000009088312</t>
  </si>
  <si>
    <t>CP 126513</t>
  </si>
  <si>
    <t xml:space="preserve">CP 126513CARD BOARD </t>
  </si>
  <si>
    <t>000000000009089902</t>
  </si>
  <si>
    <t>CP 126514</t>
  </si>
  <si>
    <t xml:space="preserve">CP 126514CARD BOARD </t>
  </si>
  <si>
    <t>000000000009089903</t>
  </si>
  <si>
    <t>Reference5</t>
  </si>
  <si>
    <t>Density</t>
  </si>
  <si>
    <t>Unit Weight</t>
  </si>
  <si>
    <t>Aditivo</t>
  </si>
  <si>
    <t>H80000X500X0,5</t>
  </si>
  <si>
    <t>H40000X500X0,5</t>
  </si>
  <si>
    <t>H20000X500X1</t>
  </si>
  <si>
    <t>H40000X500X1</t>
  </si>
  <si>
    <t>H10000X500X2</t>
  </si>
  <si>
    <t>H20000X500X2</t>
  </si>
  <si>
    <t>H10000X500X3</t>
  </si>
  <si>
    <t>H15000X500X3</t>
  </si>
  <si>
    <t>H20000X500X3</t>
  </si>
  <si>
    <t>H10000X500X4</t>
  </si>
  <si>
    <t>H10000X500X5</t>
  </si>
  <si>
    <t>H10000X500X6</t>
  </si>
  <si>
    <t>H5500X610X6</t>
  </si>
  <si>
    <t>H14640X610X13</t>
  </si>
  <si>
    <t>H9760X610X19</t>
  </si>
  <si>
    <t>H7320X610X25</t>
  </si>
  <si>
    <t>H4880X610X38</t>
  </si>
  <si>
    <t>H3660X610X50</t>
  </si>
  <si>
    <t>H1000X600X10</t>
  </si>
  <si>
    <t>H1000X600X10PYROSTOP BOARD 1400 GS</t>
  </si>
  <si>
    <t>H1250x1000x10PYROSTOP BOARD 1260</t>
  </si>
  <si>
    <t>H500x240x10</t>
  </si>
  <si>
    <t>H500x240x10PYROSTOP BOARD 1260 GS</t>
  </si>
  <si>
    <t>H1250X1000X10</t>
  </si>
  <si>
    <t>H1250X1000X10PYROSTOP CARTO 125</t>
  </si>
  <si>
    <t>H1200X1000X10</t>
  </si>
  <si>
    <t>H1200X1000X10PYROSTOP BOARD 1260</t>
  </si>
  <si>
    <t>H1250x1000x10PYROSTOP BOARD 1260 GS</t>
  </si>
  <si>
    <t>H1250X1000X5</t>
  </si>
  <si>
    <t>H1250X1000X5PYROSTOP CARTO 125</t>
  </si>
  <si>
    <t>H1250x1000x20PYROSTOP BOARD 1260</t>
  </si>
  <si>
    <t>H1000X1000X5</t>
  </si>
  <si>
    <t>H1000X1000X5PYROSTOP CARTO 110</t>
  </si>
  <si>
    <t>H1000x610x6PYROSTOP SUPERFELT 1300</t>
  </si>
  <si>
    <t>H1000x610x20PYROSTOP SUPERFELT 1300</t>
  </si>
  <si>
    <t>H1000x610x25PYROSTOP SUPERFELT 1300</t>
  </si>
  <si>
    <t xml:space="preserve">PYROSTOP CARTO 125 </t>
  </si>
  <si>
    <t xml:space="preserve">H1250X1000X10PYROSTOP CARTO 125 </t>
  </si>
  <si>
    <t>20.000x500x2</t>
  </si>
  <si>
    <t>20.000x500x2PYROSTOP PAPIER 1260</t>
  </si>
  <si>
    <t>H1250x1000x10PYROSTOP CARTO 110 SW</t>
  </si>
  <si>
    <t>H1000X1000X5PYROSTOP CARTO 110 SW</t>
  </si>
  <si>
    <t>H 1250x1000x10</t>
  </si>
  <si>
    <t>H 1250x1000x10PYROSTOP CARTO 125</t>
  </si>
  <si>
    <t>H1000X600X10PYROSTOP BOARD 1260 GS</t>
  </si>
  <si>
    <t>H1000x1000x2</t>
  </si>
  <si>
    <t>H1000x610x13</t>
  </si>
  <si>
    <t>H1000x610x13PYROSTOP SUPERFELT 1400</t>
  </si>
  <si>
    <t>H1000x610x20PYROSTOP SUPERFELT 1400</t>
  </si>
  <si>
    <t>H1000x610x6PYROSTOP BOARD 1400</t>
  </si>
  <si>
    <t>H-1250x1000x10</t>
  </si>
  <si>
    <t>H-1250x1000x10PYROSTOP BOARD 1260</t>
  </si>
  <si>
    <t>H416x101x25</t>
  </si>
  <si>
    <t>H416x101x25PYROSTOP BOARD SP1308</t>
  </si>
  <si>
    <t>H1250x1000x25PYROSTOP BOARD 1260</t>
  </si>
  <si>
    <t xml:space="preserve">PYROSTOP BOARD SP1212S </t>
  </si>
  <si>
    <t xml:space="preserve">H416x101x25PYROSTOP BOARD SP1212S </t>
  </si>
  <si>
    <t>PL 1250x1000x10</t>
  </si>
  <si>
    <t>PL 1250x1000x10PYROSTOP BOARD 1260</t>
  </si>
  <si>
    <t>H1000x1000x10</t>
  </si>
  <si>
    <t>PL 1250x1000x10PYROSTOP CARTO 125</t>
  </si>
  <si>
    <t>H416x101x20</t>
  </si>
  <si>
    <t>H416x101x20PYROSTOP BOARD SP1308</t>
  </si>
  <si>
    <t>H1250x1000x20PYROSTOP BOARD 1260 GS</t>
  </si>
  <si>
    <t>H1250x1000x20PYROSTOP BOARD SP1308</t>
  </si>
  <si>
    <t>H1000x610x13PYROSTOP BOARD 1400 GS</t>
  </si>
  <si>
    <t>H-1250XX1000X7</t>
  </si>
  <si>
    <t>H-1250XX1000X7PYROSTOP CARTO 125</t>
  </si>
  <si>
    <t>H500x250x10</t>
  </si>
  <si>
    <t>H500x250x10PYROSTOP BOARD 1260 GS</t>
  </si>
  <si>
    <t>H1000x500x10PYROSTOP BOARD 1400</t>
  </si>
  <si>
    <t>H-1200x1000x10</t>
  </si>
  <si>
    <t>H-1200x1000x10PYROSTOP BOARD 1260</t>
  </si>
  <si>
    <t>H-1250x1000x10PYROSTOP CARTO 125</t>
  </si>
  <si>
    <t>14640x610x13PYROSTOP BLANKET 128/1430</t>
  </si>
  <si>
    <t>7320x610x25PYROSTOP BLANKET 128/1430</t>
  </si>
  <si>
    <t>5500x610x6*</t>
  </si>
  <si>
    <t>5500x610x6*PYROSTOP BLANKET 128/1430</t>
  </si>
  <si>
    <t>H1000x500x50PYROSTOP BOARD 1400</t>
  </si>
  <si>
    <t>GAS00523</t>
  </si>
  <si>
    <t>GAS00523PYROSTOP FORM 1260</t>
  </si>
  <si>
    <t>H1250x1000x10PYROSTOP CARTO 110</t>
  </si>
  <si>
    <t xml:space="preserve">PYROSTOP BOARD 1260 </t>
  </si>
  <si>
    <t xml:space="preserve">H1250X1000X10PYROSTOP BOARD 1260 </t>
  </si>
  <si>
    <t>PL-1200x1000x10</t>
  </si>
  <si>
    <t>PL-1200x1000x10PYROSTOP BOARD 1260 GS</t>
  </si>
  <si>
    <t>PL-1200x1000x20</t>
  </si>
  <si>
    <t>PL-1200x1000x20PYROSTOP BOARD 1260 GS</t>
  </si>
  <si>
    <t>PL-1250x1000x10</t>
  </si>
  <si>
    <t>PL-1250x1000x10PYROSTOP CARTO 125</t>
  </si>
  <si>
    <t>H1000x1000x2PYROSTOP CARTO 125</t>
  </si>
  <si>
    <t>H1220x1070x10PYROSTOP FELT 192/1320</t>
  </si>
  <si>
    <t>H-1250x1000x5</t>
  </si>
  <si>
    <t>H-1250x1000x5PYROSTOP CARTO 125</t>
  </si>
  <si>
    <t>GAS50087</t>
  </si>
  <si>
    <t>GAS50087PYROSTOP FORM 1260 GS</t>
  </si>
  <si>
    <t>H-9760x610x19</t>
  </si>
  <si>
    <t>H-9760x610x19PYROSTOP BLANKET 128/1260</t>
  </si>
  <si>
    <t>H 1250x1000x10PYROSTOP BOARD 1260</t>
  </si>
  <si>
    <t>H-1250x1000x15</t>
  </si>
  <si>
    <t>H-1250x1000x15PYROSTOP BOARD 1260</t>
  </si>
  <si>
    <t>PL 1250x1000x6</t>
  </si>
  <si>
    <t>PL 1250x1000x6PYROSTOP BOARD 1260</t>
  </si>
  <si>
    <t>H 1200x1000x10</t>
  </si>
  <si>
    <t>H 1200x1000x10PYROSTOP BOARD 1260 GS</t>
  </si>
  <si>
    <t>H 1250x1000x25</t>
  </si>
  <si>
    <t>H 1250x1000x25PYROSTOP BOARD 1260</t>
  </si>
  <si>
    <t>H 1250x1000x50</t>
  </si>
  <si>
    <t>H 1250x1000x50PYROSTOP BOARD 1260</t>
  </si>
  <si>
    <t>H1250x1000x30PYROSTOP BOARD 1260</t>
  </si>
  <si>
    <t>PL-1250x1000x50</t>
  </si>
  <si>
    <t>PL-1250x1000x50PYROSTOP BOARD 1260</t>
  </si>
  <si>
    <t>PL-1250x1000x10PYROSTOP BOARD 1260</t>
  </si>
  <si>
    <t>H1000X610X10</t>
  </si>
  <si>
    <t>H1000X610X10PYROSTOP SUPERFELT 1300</t>
  </si>
  <si>
    <t>H1000X610X40</t>
  </si>
  <si>
    <t>H1000X610X40PYROSTOP SUPERFELT 1300</t>
  </si>
  <si>
    <t>H 1250x1000x10PYROSTOP CARTO 110 SW</t>
  </si>
  <si>
    <t>1250x1000x50</t>
  </si>
  <si>
    <t>1250x1000x50PYROSTOP BOARD 1260</t>
  </si>
  <si>
    <t>H1250x1000x7</t>
  </si>
  <si>
    <t>H1250x1000x7PYROSTOP CARTO 125</t>
  </si>
  <si>
    <t>PYROSTOP BOARD 1260.</t>
  </si>
  <si>
    <t>H1250x1000x10PYROSTOP BOARD 1260.</t>
  </si>
  <si>
    <t>H1250x1000x15PYROSTOP BOARD 1260 GS</t>
  </si>
  <si>
    <t>1250x1000x10</t>
  </si>
  <si>
    <t>1250x1000x10PYROSTOP CARTO 125</t>
  </si>
  <si>
    <t>H1000X1000X5PYROSTOP CARTO 125</t>
  </si>
  <si>
    <t>H-1250X1000X7</t>
  </si>
  <si>
    <t>H-1250X1000X7PYROSTOP CARTO 125</t>
  </si>
  <si>
    <t>H1250x1000x6PYROSTOP BOARD 1260</t>
  </si>
  <si>
    <t>18X6X3</t>
  </si>
  <si>
    <t>18X6X3PYROSTOP BOARD 1260</t>
  </si>
  <si>
    <t>PYROSTOP CARTP 1250</t>
  </si>
  <si>
    <t>H1250x1000x10PYROSTOP CARTP 1250</t>
  </si>
  <si>
    <t>H1250x1000x5</t>
  </si>
  <si>
    <t>H1250x1000x5PYROSTOP CARTP 1250</t>
  </si>
  <si>
    <t>H1220X1070X10</t>
  </si>
  <si>
    <t>H1220X1070X10PYROSTOP FELT 128/1320</t>
  </si>
  <si>
    <t>H1000x1000x10PYROSTOP CARTO 110</t>
  </si>
  <si>
    <t>10.000x500x6</t>
  </si>
  <si>
    <t>10.000x500x6PYROSTOP PAPIER 1260</t>
  </si>
  <si>
    <t>H1000x600x10</t>
  </si>
  <si>
    <t>H1000x600x10PYROSTOP BOARD 1260</t>
  </si>
  <si>
    <t>H1220x1070x6PYROSTOP FELT 128/1320</t>
  </si>
  <si>
    <t>000000000009057541</t>
  </si>
  <si>
    <t>000000000009050785</t>
  </si>
  <si>
    <t>000000000009085218</t>
  </si>
  <si>
    <t>000000000009014302</t>
  </si>
  <si>
    <t>000000000009099615</t>
  </si>
  <si>
    <t>000000000009064169</t>
  </si>
  <si>
    <t>000000000009068200</t>
  </si>
  <si>
    <t>000000000009056550</t>
  </si>
  <si>
    <t>000000000009056546</t>
  </si>
  <si>
    <t>000000000009072526</t>
  </si>
  <si>
    <t>000000000009059188</t>
  </si>
  <si>
    <t>000000000009056552</t>
  </si>
  <si>
    <t>000000000009075115</t>
  </si>
  <si>
    <t>000000000009114643</t>
  </si>
  <si>
    <t>000000000009080636</t>
  </si>
  <si>
    <t>000000000009114642</t>
  </si>
  <si>
    <t>000000000009114032</t>
  </si>
  <si>
    <t>000000000009109509</t>
  </si>
  <si>
    <t>000000000009109412</t>
  </si>
  <si>
    <t>000000000009098947</t>
  </si>
  <si>
    <t>000000000009014223</t>
  </si>
  <si>
    <t>000000000009012875</t>
  </si>
  <si>
    <t>000000000009107420</t>
  </si>
  <si>
    <t>000000000009068399</t>
  </si>
  <si>
    <t>000000000009108793</t>
  </si>
  <si>
    <t>000000000009081563</t>
  </si>
  <si>
    <t>000000000009058978</t>
  </si>
  <si>
    <t>000000000009104499</t>
  </si>
  <si>
    <t>000000000009111503</t>
  </si>
  <si>
    <t>000000000009102919</t>
  </si>
  <si>
    <t>000000000009012930</t>
  </si>
  <si>
    <t>000000000009013129</t>
  </si>
  <si>
    <t>000000000009106525</t>
  </si>
  <si>
    <t>000000000009012929</t>
  </si>
  <si>
    <t>Send, 380</t>
  </si>
  <si>
    <t>Send, A</t>
  </si>
  <si>
    <t>Send, 12</t>
  </si>
  <si>
    <t>Send, 14</t>
  </si>
  <si>
    <t>Manual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</si>
</sst>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
    <numFmt numFmtId="165" formatCode="0.000"/>
    <numFmt numFmtId="166" formatCode="dd/mm/yy;@"/>
    <numFmt numFmtId="167" formatCode="&quot;FIADA&quot;\ 000"/>
    <numFmt numFmtId="168" formatCode="#,##0.000"/>
    <numFmt numFmtId="169" formatCode="0000\-00\-00"/>
    <numFmt numFmtId="170" formatCode="#,##0.0"/>
  </numFmts>
  <fonts count="83">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sz val="10"/>
      <name val="Arial"/>
      <family val="2"/>
    </font>
    <font>
      <sz val="10"/>
      <name val="MS Sans Serif"/>
      <family val="2"/>
    </font>
    <font>
      <b/>
      <sz val="8"/>
      <color indexed="81"/>
      <name val="Tahoma"/>
      <family val="2"/>
    </font>
    <font>
      <b/>
      <sz val="11"/>
      <name val="Arial"/>
      <family val="2"/>
    </font>
    <font>
      <sz val="11"/>
      <name val="Arial"/>
      <family val="2"/>
    </font>
    <font>
      <b/>
      <sz val="12"/>
      <name val="Arial"/>
      <family val="2"/>
    </font>
    <font>
      <sz val="12"/>
      <name val="Arial"/>
      <family val="2"/>
    </font>
    <font>
      <sz val="10"/>
      <name val="CALIBRIs Serif"/>
    </font>
    <font>
      <b/>
      <sz val="7"/>
      <name val="CALIBRIs Serif"/>
    </font>
    <font>
      <b/>
      <sz val="10"/>
      <name val="CALIBRIs Serif"/>
    </font>
    <font>
      <b/>
      <sz val="12"/>
      <color indexed="10"/>
      <name val="CALIBRIs Serif"/>
    </font>
    <font>
      <b/>
      <sz val="14"/>
      <name val="CALIBRIs Serif"/>
    </font>
    <font>
      <b/>
      <sz val="10"/>
      <name val="Calibri"/>
      <family val="2"/>
    </font>
    <font>
      <sz val="10"/>
      <name val="Calibri"/>
      <family val="2"/>
    </font>
    <font>
      <b/>
      <sz val="10"/>
      <color indexed="22"/>
      <name val="Calibri"/>
      <family val="2"/>
    </font>
    <font>
      <sz val="11"/>
      <color indexed="8"/>
      <name val="Calibri"/>
      <family val="2"/>
    </font>
    <font>
      <sz val="10"/>
      <name val="Calibri"/>
      <family val="2"/>
    </font>
    <font>
      <sz val="10"/>
      <color indexed="22"/>
      <name val="Calibri"/>
      <family val="2"/>
    </font>
    <font>
      <b/>
      <sz val="10"/>
      <name val="Calibri"/>
      <family val="2"/>
    </font>
    <font>
      <sz val="10"/>
      <color indexed="23"/>
      <name val="Calibri"/>
      <family val="2"/>
    </font>
    <font>
      <sz val="8"/>
      <color indexed="23"/>
      <name val="Calibri"/>
      <family val="2"/>
    </font>
    <font>
      <sz val="10"/>
      <color indexed="55"/>
      <name val="Calibri"/>
      <family val="2"/>
    </font>
    <font>
      <sz val="10"/>
      <color indexed="55"/>
      <name val="Arial"/>
      <family val="2"/>
    </font>
    <font>
      <b/>
      <sz val="10"/>
      <color indexed="55"/>
      <name val="Arial"/>
      <family val="2"/>
    </font>
    <font>
      <b/>
      <sz val="20"/>
      <color indexed="10"/>
      <name val="Calibri"/>
      <family val="2"/>
    </font>
    <font>
      <b/>
      <sz val="12"/>
      <name val="Arial"/>
      <family val="2"/>
    </font>
    <font>
      <sz val="30"/>
      <color indexed="55"/>
      <name val="Arial"/>
      <family val="2"/>
    </font>
    <font>
      <sz val="9"/>
      <color indexed="81"/>
      <name val="Tahoma"/>
      <family val="2"/>
    </font>
    <font>
      <sz val="13"/>
      <color indexed="55"/>
      <name val="Arial"/>
      <family val="2"/>
    </font>
    <font>
      <sz val="20"/>
      <color indexed="55"/>
      <name val="Arial"/>
      <family val="2"/>
    </font>
    <font>
      <sz val="22"/>
      <color indexed="55"/>
      <name val="Arial"/>
      <family val="2"/>
    </font>
    <font>
      <sz val="30"/>
      <name val="Arial"/>
      <family val="2"/>
    </font>
    <font>
      <b/>
      <sz val="16"/>
      <name val="CALIBRIs Serif"/>
    </font>
    <font>
      <sz val="12"/>
      <color indexed="8"/>
      <name val="Arial"/>
      <family val="2"/>
    </font>
    <font>
      <b/>
      <sz val="14"/>
      <color indexed="57"/>
      <name val="Arial"/>
      <family val="2"/>
    </font>
    <font>
      <b/>
      <sz val="14"/>
      <color indexed="10"/>
      <name val="Arial"/>
      <family val="2"/>
    </font>
    <font>
      <sz val="8"/>
      <name val="Arial"/>
      <family val="2"/>
    </font>
    <font>
      <sz val="20"/>
      <name val="Arial"/>
      <family val="2"/>
    </font>
    <font>
      <b/>
      <sz val="20"/>
      <color indexed="55"/>
      <name val="Arial"/>
      <family val="2"/>
    </font>
    <font>
      <sz val="11"/>
      <color theme="1"/>
      <name val="Calibri"/>
      <family val="2"/>
      <scheme val="minor"/>
    </font>
    <font>
      <sz val="11"/>
      <color rgb="FFFF0000"/>
      <name val="Calibri"/>
      <family val="2"/>
      <scheme val="minor"/>
    </font>
    <font>
      <b/>
      <sz val="11"/>
      <color theme="1"/>
      <name val="Calibri"/>
      <family val="2"/>
      <scheme val="minor"/>
    </font>
    <font>
      <b/>
      <sz val="20"/>
      <color theme="1"/>
      <name val="Calibri"/>
      <family val="2"/>
      <scheme val="minor"/>
    </font>
    <font>
      <b/>
      <sz val="16"/>
      <color rgb="FF000000"/>
      <name val="Arial"/>
      <family val="2"/>
    </font>
    <font>
      <b/>
      <sz val="14"/>
      <color rgb="FF000000"/>
      <name val="Arial"/>
      <family val="2"/>
    </font>
    <font>
      <sz val="10"/>
      <color rgb="FFFF0000"/>
      <name val="Calibri"/>
      <family val="2"/>
    </font>
    <font>
      <b/>
      <sz val="9"/>
      <name val="Calibri"/>
      <family val="2"/>
    </font>
    <font>
      <sz val="9"/>
      <name val="Calibri"/>
      <family val="2"/>
    </font>
    <font>
      <sz val="9"/>
      <name val="Arial"/>
      <family val="2"/>
    </font>
    <font>
      <sz val="9"/>
      <color rgb="FFFF0000"/>
      <name val="Arial"/>
      <family val="2"/>
    </font>
    <font>
      <b/>
      <sz val="9"/>
      <color indexed="81"/>
      <name val="Segoe UI"/>
      <family val="2"/>
    </font>
    <font>
      <sz val="10"/>
      <color rgb="FFFF000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mbria"/>
      <family val="2"/>
      <scheme val="major"/>
    </font>
    <font>
      <sz val="11"/>
      <color rgb="FF9C6500"/>
      <name val="Calibri"/>
      <family val="2"/>
      <scheme val="minor"/>
    </font>
    <font>
      <sz val="14"/>
      <color indexed="55"/>
      <name val="Arial"/>
      <family val="2"/>
    </font>
    <font>
      <sz val="16"/>
      <color indexed="55"/>
      <name val="Arial"/>
      <family val="2"/>
    </font>
    <font>
      <b/>
      <sz val="10"/>
      <color rgb="FFFF0000"/>
      <name val="Arial"/>
      <family val="2"/>
    </font>
    <font>
      <sz val="9"/>
      <color indexed="81"/>
      <name val="Segoe UI"/>
      <family val="2"/>
    </font>
    <font>
      <b/>
      <sz val="10"/>
      <color theme="0"/>
      <name val="Arial"/>
      <family val="2"/>
    </font>
    <font>
      <b/>
      <sz val="10"/>
      <color theme="3" tint="-0.249977111117893"/>
      <name val="Arial"/>
      <family val="2"/>
    </font>
    <font>
      <sz val="10"/>
      <color theme="3" tint="-0.249977111117893"/>
      <name val="Arial"/>
      <family val="2"/>
    </font>
    <font>
      <b/>
      <sz val="10"/>
      <color theme="0"/>
      <name val="Calibri"/>
      <family val="2"/>
    </font>
    <font>
      <sz val="10"/>
      <color theme="0"/>
      <name val="Calibri"/>
      <family val="2"/>
    </font>
    <font>
      <b/>
      <sz val="12"/>
      <name val="Calibri"/>
      <family val="2"/>
    </font>
    <font>
      <sz val="10"/>
      <color theme="0" tint="-0.14999847407452621"/>
      <name val="Calibri"/>
      <family val="2"/>
    </font>
  </fonts>
  <fills count="82">
    <fill>
      <patternFill patternType="none"/>
    </fill>
    <fill>
      <patternFill patternType="gray125"/>
    </fill>
    <fill>
      <patternFill patternType="solid">
        <fgColor indexed="65"/>
        <bgColor indexed="64"/>
      </patternFill>
    </fill>
    <fill>
      <patternFill patternType="solid">
        <fgColor indexed="44"/>
        <bgColor indexed="64"/>
      </patternFill>
    </fill>
    <fill>
      <patternFill patternType="solid">
        <fgColor indexed="50"/>
        <bgColor indexed="64"/>
      </patternFill>
    </fill>
    <fill>
      <patternFill patternType="solid">
        <fgColor indexed="31"/>
        <bgColor indexed="64"/>
      </patternFill>
    </fill>
    <fill>
      <patternFill patternType="solid">
        <fgColor indexed="13"/>
        <bgColor indexed="64"/>
      </patternFill>
    </fill>
    <fill>
      <patternFill patternType="solid">
        <fgColor indexed="55"/>
        <bgColor indexed="64"/>
      </patternFill>
    </fill>
    <fill>
      <patternFill patternType="solid">
        <fgColor indexed="27"/>
        <bgColor indexed="64"/>
      </patternFill>
    </fill>
    <fill>
      <patternFill patternType="solid">
        <fgColor indexed="30"/>
        <bgColor indexed="64"/>
      </patternFill>
    </fill>
    <fill>
      <patternFill patternType="solid">
        <fgColor indexed="9"/>
        <bgColor indexed="64"/>
      </patternFill>
    </fill>
    <fill>
      <patternFill patternType="solid">
        <fgColor indexed="4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rgb="FFFFFFCC"/>
      </patternFill>
    </fill>
    <fill>
      <patternFill patternType="solid">
        <fgColor theme="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C0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rgb="FF969696"/>
        <bgColor indexed="64"/>
      </patternFill>
    </fill>
    <fill>
      <patternFill patternType="solid">
        <fgColor theme="4" tint="0.59999389629810485"/>
        <bgColor indexed="64"/>
      </patternFill>
    </fill>
    <fill>
      <patternFill patternType="gray0625">
        <bgColor theme="4" tint="0.59999389629810485"/>
      </patternFill>
    </fill>
    <fill>
      <patternFill patternType="solid">
        <fgColor theme="8" tint="-0.249977111117893"/>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4"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3"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tint="-0.499984740745262"/>
        <bgColor indexed="64"/>
      </patternFill>
    </fill>
    <fill>
      <patternFill patternType="solid">
        <fgColor rgb="FFC5D9F1"/>
        <bgColor indexed="64"/>
      </patternFill>
    </fill>
    <fill>
      <patternFill patternType="solid">
        <fgColor rgb="FFDAEEF3"/>
        <bgColor indexed="64"/>
      </patternFill>
    </fill>
    <fill>
      <patternFill patternType="solid">
        <fgColor rgb="FFB8CCE4"/>
        <bgColor indexed="64"/>
      </patternFill>
    </fill>
    <fill>
      <patternFill patternType="solid">
        <fgColor rgb="FF92CDDC"/>
        <bgColor indexed="64"/>
      </patternFill>
    </fill>
    <fill>
      <patternFill patternType="solid">
        <fgColor rgb="FF8DB4E2"/>
        <bgColor indexed="64"/>
      </patternFill>
    </fill>
    <fill>
      <patternFill patternType="solid">
        <fgColor rgb="FF538DD5"/>
        <bgColor indexed="64"/>
      </patternFill>
    </fill>
    <fill>
      <patternFill patternType="solid">
        <fgColor theme="0"/>
        <bgColor theme="1"/>
      </patternFill>
    </fill>
    <fill>
      <patternFill patternType="solid">
        <fgColor theme="3" tint="-0.249977111117893"/>
        <bgColor indexed="64"/>
      </patternFill>
    </fill>
    <fill>
      <patternFill patternType="solid">
        <fgColor theme="1"/>
        <bgColor indexed="64"/>
      </patternFill>
    </fill>
    <fill>
      <patternFill patternType="solid">
        <fgColor theme="1" tint="0.14999847407452621"/>
        <bgColor indexed="64"/>
      </patternFill>
    </fill>
  </fills>
  <borders count="114">
    <border>
      <left/>
      <right/>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hair">
        <color indexed="64"/>
      </left>
      <right/>
      <top/>
      <bottom style="hair">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hair">
        <color indexed="64"/>
      </bottom>
      <diagonal/>
    </border>
    <border>
      <left style="medium">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hair">
        <color indexed="64"/>
      </right>
      <top/>
      <bottom/>
      <diagonal/>
    </border>
    <border>
      <left style="hair">
        <color indexed="64"/>
      </left>
      <right style="medium">
        <color indexed="64"/>
      </right>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hair">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hair">
        <color indexed="64"/>
      </top>
      <bottom style="medium">
        <color indexed="64"/>
      </bottom>
      <diagonal/>
    </border>
    <border>
      <left style="medium">
        <color indexed="64"/>
      </left>
      <right style="medium">
        <color indexed="64"/>
      </right>
      <top style="medium">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hair">
        <color indexed="64"/>
      </top>
      <bottom/>
      <diagonal/>
    </border>
    <border>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hair">
        <color indexed="64"/>
      </top>
      <bottom style="hair">
        <color indexed="64"/>
      </bottom>
      <diagonal/>
    </border>
    <border>
      <left style="thick">
        <color theme="3" tint="-0.24994659260841701"/>
      </left>
      <right style="thick">
        <color theme="3" tint="-0.24994659260841701"/>
      </right>
      <top style="thick">
        <color theme="3" tint="-0.24994659260841701"/>
      </top>
      <bottom style="thin">
        <color theme="3" tint="-0.24994659260841701"/>
      </bottom>
      <diagonal/>
    </border>
    <border>
      <left style="thick">
        <color theme="3" tint="-0.24994659260841701"/>
      </left>
      <right style="thick">
        <color theme="3" tint="-0.24994659260841701"/>
      </right>
      <top style="thin">
        <color theme="3" tint="-0.24994659260841701"/>
      </top>
      <bottom style="thick">
        <color theme="3" tint="-0.24994659260841701"/>
      </bottom>
      <diagonal/>
    </border>
    <border>
      <left style="thick">
        <color theme="3" tint="-0.24994659260841701"/>
      </left>
      <right style="thick">
        <color theme="3" tint="-0.24994659260841701"/>
      </right>
      <top style="thick">
        <color theme="3" tint="-0.24994659260841701"/>
      </top>
      <bottom style="thin">
        <color indexed="64"/>
      </bottom>
      <diagonal/>
    </border>
    <border>
      <left style="thick">
        <color theme="3" tint="-0.24994659260841701"/>
      </left>
      <right style="thick">
        <color theme="3" tint="-0.24994659260841701"/>
      </right>
      <top style="thin">
        <color indexed="64"/>
      </top>
      <bottom style="thick">
        <color theme="3" tint="-0.2499465926084170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s>
  <cellStyleXfs count="80">
    <xf numFmtId="0" fontId="0" fillId="0" borderId="0"/>
    <xf numFmtId="0" fontId="45" fillId="12" borderId="0" applyNumberFormat="0" applyBorder="0" applyAlignment="0" applyProtection="0"/>
    <xf numFmtId="0" fontId="45" fillId="12" borderId="0" applyNumberFormat="0" applyBorder="0" applyAlignment="0" applyProtection="0"/>
    <xf numFmtId="0" fontId="45" fillId="13" borderId="0" applyNumberFormat="0" applyBorder="0" applyAlignment="0" applyProtection="0"/>
    <xf numFmtId="0" fontId="45" fillId="13" borderId="0" applyNumberFormat="0" applyBorder="0" applyAlignment="0" applyProtection="0"/>
    <xf numFmtId="0" fontId="45" fillId="14" borderId="0" applyNumberFormat="0" applyBorder="0" applyAlignment="0" applyProtection="0"/>
    <xf numFmtId="0" fontId="45" fillId="14" borderId="0" applyNumberFormat="0" applyBorder="0" applyAlignment="0" applyProtection="0"/>
    <xf numFmtId="0" fontId="45" fillId="15" borderId="0" applyNumberFormat="0" applyBorder="0" applyAlignment="0" applyProtection="0"/>
    <xf numFmtId="0" fontId="45" fillId="15" borderId="0" applyNumberFormat="0" applyBorder="0" applyAlignment="0" applyProtection="0"/>
    <xf numFmtId="0" fontId="45" fillId="16" borderId="0" applyNumberFormat="0" applyBorder="0" applyAlignment="0" applyProtection="0"/>
    <xf numFmtId="0" fontId="45" fillId="16" borderId="0" applyNumberFormat="0" applyBorder="0" applyAlignment="0" applyProtection="0"/>
    <xf numFmtId="0" fontId="45" fillId="17" borderId="0" applyNumberFormat="0" applyBorder="0" applyAlignment="0" applyProtection="0"/>
    <xf numFmtId="0" fontId="45" fillId="17" borderId="0" applyNumberFormat="0" applyBorder="0" applyAlignment="0" applyProtection="0"/>
    <xf numFmtId="0" fontId="45" fillId="18" borderId="0" applyNumberFormat="0" applyBorder="0" applyAlignment="0" applyProtection="0"/>
    <xf numFmtId="0" fontId="45" fillId="18" borderId="0" applyNumberFormat="0" applyBorder="0" applyAlignment="0" applyProtection="0"/>
    <xf numFmtId="0" fontId="45" fillId="19" borderId="0" applyNumberFormat="0" applyBorder="0" applyAlignment="0" applyProtection="0"/>
    <xf numFmtId="0" fontId="45" fillId="19" borderId="0" applyNumberFormat="0" applyBorder="0" applyAlignment="0" applyProtection="0"/>
    <xf numFmtId="0" fontId="45" fillId="20" borderId="0" applyNumberFormat="0" applyBorder="0" applyAlignment="0" applyProtection="0"/>
    <xf numFmtId="0" fontId="45" fillId="20" borderId="0" applyNumberFormat="0" applyBorder="0" applyAlignment="0" applyProtection="0"/>
    <xf numFmtId="0" fontId="45" fillId="21" borderId="0" applyNumberFormat="0" applyBorder="0" applyAlignment="0" applyProtection="0"/>
    <xf numFmtId="0" fontId="45" fillId="21" borderId="0" applyNumberFormat="0" applyBorder="0" applyAlignment="0" applyProtection="0"/>
    <xf numFmtId="0" fontId="45" fillId="22" borderId="0" applyNumberFormat="0" applyBorder="0" applyAlignment="0" applyProtection="0"/>
    <xf numFmtId="0" fontId="45" fillId="22" borderId="0" applyNumberFormat="0" applyBorder="0" applyAlignment="0" applyProtection="0"/>
    <xf numFmtId="0" fontId="45" fillId="23" borderId="0" applyNumberFormat="0" applyBorder="0" applyAlignment="0" applyProtection="0"/>
    <xf numFmtId="0" fontId="45" fillId="23" borderId="0" applyNumberFormat="0" applyBorder="0" applyAlignment="0" applyProtection="0"/>
    <xf numFmtId="0" fontId="45" fillId="0" borderId="0"/>
    <xf numFmtId="0" fontId="6" fillId="0" borderId="0"/>
    <xf numFmtId="0" fontId="6" fillId="0" borderId="0"/>
    <xf numFmtId="0" fontId="6" fillId="0" borderId="0"/>
    <xf numFmtId="0" fontId="45" fillId="0" borderId="0"/>
    <xf numFmtId="0" fontId="45" fillId="0" borderId="0"/>
    <xf numFmtId="0" fontId="7" fillId="0" borderId="0"/>
    <xf numFmtId="0" fontId="21" fillId="24" borderId="61" applyNumberFormat="0" applyFont="0" applyAlignment="0" applyProtection="0"/>
    <xf numFmtId="0" fontId="21" fillId="24" borderId="61" applyNumberFormat="0" applyFont="0" applyAlignment="0" applyProtection="0"/>
    <xf numFmtId="9" fontId="3" fillId="0" borderId="0" applyFont="0" applyFill="0" applyBorder="0" applyAlignment="0" applyProtection="0"/>
    <xf numFmtId="9" fontId="6" fillId="0" borderId="0" applyFont="0" applyFill="0" applyBorder="0" applyAlignment="0" applyProtection="0"/>
    <xf numFmtId="0" fontId="58" fillId="0" borderId="67" applyNumberFormat="0" applyFill="0" applyAlignment="0" applyProtection="0"/>
    <xf numFmtId="0" fontId="59" fillId="0" borderId="68" applyNumberFormat="0" applyFill="0" applyAlignment="0" applyProtection="0"/>
    <xf numFmtId="0" fontId="60" fillId="0" borderId="69" applyNumberFormat="0" applyFill="0" applyAlignment="0" applyProtection="0"/>
    <xf numFmtId="0" fontId="60" fillId="0" borderId="0" applyNumberFormat="0" applyFill="0" applyBorder="0" applyAlignment="0" applyProtection="0"/>
    <xf numFmtId="0" fontId="61" fillId="40" borderId="0" applyNumberFormat="0" applyBorder="0" applyAlignment="0" applyProtection="0"/>
    <xf numFmtId="0" fontId="62" fillId="41" borderId="0" applyNumberFormat="0" applyBorder="0" applyAlignment="0" applyProtection="0"/>
    <xf numFmtId="0" fontId="63" fillId="43" borderId="70" applyNumberFormat="0" applyAlignment="0" applyProtection="0"/>
    <xf numFmtId="0" fontId="64" fillId="44" borderId="71" applyNumberFormat="0" applyAlignment="0" applyProtection="0"/>
    <xf numFmtId="0" fontId="65" fillId="44" borderId="70" applyNumberFormat="0" applyAlignment="0" applyProtection="0"/>
    <xf numFmtId="0" fontId="66" fillId="0" borderId="72" applyNumberFormat="0" applyFill="0" applyAlignment="0" applyProtection="0"/>
    <xf numFmtId="0" fontId="67" fillId="45" borderId="73" applyNumberFormat="0" applyAlignment="0" applyProtection="0"/>
    <xf numFmtId="0" fontId="46" fillId="0" borderId="0" applyNumberFormat="0" applyFill="0" applyBorder="0" applyAlignment="0" applyProtection="0"/>
    <xf numFmtId="0" fontId="68" fillId="0" borderId="0" applyNumberFormat="0" applyFill="0" applyBorder="0" applyAlignment="0" applyProtection="0"/>
    <xf numFmtId="0" fontId="47" fillId="0" borderId="74" applyNumberFormat="0" applyFill="0" applyAlignment="0" applyProtection="0"/>
    <xf numFmtId="0" fontId="69" fillId="46" borderId="0" applyNumberFormat="0" applyBorder="0" applyAlignment="0" applyProtection="0"/>
    <xf numFmtId="0" fontId="2" fillId="12" borderId="0" applyNumberFormat="0" applyBorder="0" applyAlignment="0" applyProtection="0"/>
    <xf numFmtId="0" fontId="2" fillId="18" borderId="0" applyNumberFormat="0" applyBorder="0" applyAlignment="0" applyProtection="0"/>
    <xf numFmtId="0" fontId="69" fillId="48" borderId="0" applyNumberFormat="0" applyBorder="0" applyAlignment="0" applyProtection="0"/>
    <xf numFmtId="0" fontId="2" fillId="13" borderId="0" applyNumberFormat="0" applyBorder="0" applyAlignment="0" applyProtection="0"/>
    <xf numFmtId="0" fontId="2" fillId="19" borderId="0" applyNumberFormat="0" applyBorder="0" applyAlignment="0" applyProtection="0"/>
    <xf numFmtId="0" fontId="69" fillId="50" borderId="0" applyNumberFormat="0" applyBorder="0" applyAlignment="0" applyProtection="0"/>
    <xf numFmtId="0" fontId="2" fillId="14" borderId="0" applyNumberFormat="0" applyBorder="0" applyAlignment="0" applyProtection="0"/>
    <xf numFmtId="0" fontId="2" fillId="20" borderId="0" applyNumberFormat="0" applyBorder="0" applyAlignment="0" applyProtection="0"/>
    <xf numFmtId="0" fontId="69" fillId="52" borderId="0" applyNumberFormat="0" applyBorder="0" applyAlignment="0" applyProtection="0"/>
    <xf numFmtId="0" fontId="2" fillId="15" borderId="0" applyNumberFormat="0" applyBorder="0" applyAlignment="0" applyProtection="0"/>
    <xf numFmtId="0" fontId="2" fillId="21" borderId="0" applyNumberFormat="0" applyBorder="0" applyAlignment="0" applyProtection="0"/>
    <xf numFmtId="0" fontId="69" fillId="54" borderId="0" applyNumberFormat="0" applyBorder="0" applyAlignment="0" applyProtection="0"/>
    <xf numFmtId="0" fontId="2" fillId="16" borderId="0" applyNumberFormat="0" applyBorder="0" applyAlignment="0" applyProtection="0"/>
    <xf numFmtId="0" fontId="2" fillId="22" borderId="0" applyNumberFormat="0" applyBorder="0" applyAlignment="0" applyProtection="0"/>
    <xf numFmtId="0" fontId="69" fillId="56" borderId="0" applyNumberFormat="0" applyBorder="0" applyAlignment="0" applyProtection="0"/>
    <xf numFmtId="0" fontId="2" fillId="17" borderId="0" applyNumberFormat="0" applyBorder="0" applyAlignment="0" applyProtection="0"/>
    <xf numFmtId="0" fontId="2" fillId="23" borderId="0" applyNumberFormat="0" applyBorder="0" applyAlignment="0" applyProtection="0"/>
    <xf numFmtId="0" fontId="2" fillId="0" borderId="0"/>
    <xf numFmtId="0" fontId="70" fillId="0" borderId="0" applyNumberFormat="0" applyFill="0" applyBorder="0" applyAlignment="0" applyProtection="0"/>
    <xf numFmtId="0" fontId="71" fillId="42" borderId="0" applyNumberFormat="0" applyBorder="0" applyAlignment="0" applyProtection="0"/>
    <xf numFmtId="0" fontId="2" fillId="24" borderId="61" applyNumberFormat="0" applyFont="0" applyAlignment="0" applyProtection="0"/>
    <xf numFmtId="0" fontId="69" fillId="47" borderId="0" applyNumberFormat="0" applyBorder="0" applyAlignment="0" applyProtection="0"/>
    <xf numFmtId="0" fontId="69" fillId="49" borderId="0" applyNumberFormat="0" applyBorder="0" applyAlignment="0" applyProtection="0"/>
    <xf numFmtId="0" fontId="69" fillId="51" borderId="0" applyNumberFormat="0" applyBorder="0" applyAlignment="0" applyProtection="0"/>
    <xf numFmtId="0" fontId="69" fillId="53" borderId="0" applyNumberFormat="0" applyBorder="0" applyAlignment="0" applyProtection="0"/>
    <xf numFmtId="0" fontId="69" fillId="55" borderId="0" applyNumberFormat="0" applyBorder="0" applyAlignment="0" applyProtection="0"/>
    <xf numFmtId="0" fontId="69" fillId="57" borderId="0" applyNumberFormat="0" applyBorder="0" applyAlignment="0" applyProtection="0"/>
    <xf numFmtId="0" fontId="3" fillId="0" borderId="0"/>
    <xf numFmtId="0" fontId="3" fillId="0" borderId="0"/>
  </cellStyleXfs>
  <cellXfs count="985">
    <xf numFmtId="0" fontId="0" fillId="0" borderId="0" xfId="0"/>
    <xf numFmtId="0" fontId="0" fillId="0" borderId="0" xfId="0" applyAlignment="1">
      <alignment horizontal="center"/>
    </xf>
    <xf numFmtId="0" fontId="5" fillId="0" borderId="0" xfId="0" applyFont="1" applyAlignment="1">
      <alignment horizontal="center"/>
    </xf>
    <xf numFmtId="0" fontId="6" fillId="0" borderId="0" xfId="0" applyFont="1" applyAlignment="1">
      <alignment horizontal="center"/>
    </xf>
    <xf numFmtId="0" fontId="0" fillId="0" borderId="1" xfId="0" applyBorder="1"/>
    <xf numFmtId="0" fontId="0" fillId="0" borderId="2" xfId="0" applyBorder="1"/>
    <xf numFmtId="0" fontId="5" fillId="0" borderId="3" xfId="0" applyFont="1" applyBorder="1" applyAlignment="1">
      <alignment vertical="center"/>
    </xf>
    <xf numFmtId="0" fontId="6" fillId="0" borderId="3" xfId="0" applyFont="1" applyBorder="1" applyAlignment="1">
      <alignment horizontal="center" vertical="center"/>
    </xf>
    <xf numFmtId="0" fontId="10" fillId="0" borderId="1" xfId="0" applyFont="1" applyBorder="1"/>
    <xf numFmtId="0" fontId="9" fillId="0" borderId="1" xfId="0" applyFont="1" applyBorder="1"/>
    <xf numFmtId="0" fontId="10" fillId="0" borderId="3" xfId="0" applyFont="1" applyBorder="1" applyAlignment="1">
      <alignment horizontal="center" vertical="center"/>
    </xf>
    <xf numFmtId="0" fontId="13" fillId="0" borderId="0" xfId="31" applyFont="1" applyAlignment="1">
      <alignment vertical="center"/>
    </xf>
    <xf numFmtId="0" fontId="14" fillId="0" borderId="0" xfId="31" applyFont="1" applyAlignment="1">
      <alignment horizontal="center" vertical="center"/>
    </xf>
    <xf numFmtId="0" fontId="6" fillId="3" borderId="0" xfId="0" applyFont="1" applyFill="1" applyAlignment="1">
      <alignment horizontal="center"/>
    </xf>
    <xf numFmtId="0" fontId="5" fillId="3" borderId="0" xfId="0" applyFont="1" applyFill="1" applyAlignment="1">
      <alignment horizontal="center"/>
    </xf>
    <xf numFmtId="0" fontId="5" fillId="5" borderId="0" xfId="0" applyFont="1" applyFill="1" applyAlignment="1">
      <alignment horizontal="center"/>
    </xf>
    <xf numFmtId="2" fontId="6" fillId="0" borderId="0" xfId="0" applyNumberFormat="1" applyFont="1" applyAlignment="1">
      <alignment horizontal="center"/>
    </xf>
    <xf numFmtId="165" fontId="6" fillId="0" borderId="0" xfId="0" applyNumberFormat="1" applyFont="1" applyAlignment="1">
      <alignment horizontal="center"/>
    </xf>
    <xf numFmtId="0" fontId="17" fillId="0" borderId="0" xfId="31" applyFont="1" applyAlignment="1">
      <alignment vertical="center"/>
    </xf>
    <xf numFmtId="0" fontId="6" fillId="9" borderId="0" xfId="0" applyFont="1" applyFill="1" applyAlignment="1">
      <alignment horizontal="center"/>
    </xf>
    <xf numFmtId="0" fontId="28" fillId="0" borderId="0" xfId="0" applyFont="1" applyAlignment="1">
      <alignment horizontal="center"/>
    </xf>
    <xf numFmtId="165" fontId="28" fillId="0" borderId="0" xfId="0" applyNumberFormat="1" applyFont="1" applyAlignment="1">
      <alignment horizontal="center"/>
    </xf>
    <xf numFmtId="0" fontId="29" fillId="0" borderId="0" xfId="0" applyFont="1" applyAlignment="1">
      <alignment horizontal="center"/>
    </xf>
    <xf numFmtId="165" fontId="29" fillId="0" borderId="0" xfId="0" applyNumberFormat="1" applyFont="1" applyAlignment="1">
      <alignment horizontal="center"/>
    </xf>
    <xf numFmtId="2" fontId="28" fillId="0" borderId="0" xfId="0" applyNumberFormat="1" applyFont="1" applyAlignment="1">
      <alignment horizontal="center"/>
    </xf>
    <xf numFmtId="0" fontId="28" fillId="10" borderId="0" xfId="0" applyFont="1" applyFill="1" applyAlignment="1">
      <alignment horizontal="center"/>
    </xf>
    <xf numFmtId="0" fontId="6" fillId="10" borderId="0" xfId="0" applyFont="1" applyFill="1" applyAlignment="1">
      <alignment horizontal="center"/>
    </xf>
    <xf numFmtId="165" fontId="28" fillId="10" borderId="0" xfId="0" applyNumberFormat="1" applyFont="1" applyFill="1" applyAlignment="1">
      <alignment horizontal="center"/>
    </xf>
    <xf numFmtId="0" fontId="29" fillId="10" borderId="0" xfId="0" applyFont="1" applyFill="1" applyAlignment="1">
      <alignment horizontal="center"/>
    </xf>
    <xf numFmtId="0" fontId="5" fillId="11" borderId="0" xfId="0" applyFont="1" applyFill="1" applyAlignment="1">
      <alignment horizontal="center"/>
    </xf>
    <xf numFmtId="0" fontId="39" fillId="0" borderId="0" xfId="0" applyFont="1" applyAlignment="1">
      <alignment horizontal="center" vertical="center" wrapText="1" readingOrder="1"/>
    </xf>
    <xf numFmtId="0" fontId="12" fillId="0" borderId="1" xfId="0" applyFont="1" applyBorder="1"/>
    <xf numFmtId="0" fontId="6" fillId="11" borderId="33" xfId="0" applyFont="1" applyFill="1" applyBorder="1" applyAlignment="1">
      <alignment horizontal="center"/>
    </xf>
    <xf numFmtId="0" fontId="5" fillId="11" borderId="1" xfId="0" applyFont="1" applyFill="1" applyBorder="1" applyAlignment="1">
      <alignment horizontal="center"/>
    </xf>
    <xf numFmtId="0" fontId="6" fillId="11" borderId="1" xfId="0" applyFont="1" applyFill="1" applyBorder="1" applyAlignment="1">
      <alignment horizontal="center"/>
    </xf>
    <xf numFmtId="0" fontId="6" fillId="11" borderId="2" xfId="0" applyFont="1" applyFill="1" applyBorder="1" applyAlignment="1">
      <alignment horizontal="center"/>
    </xf>
    <xf numFmtId="0" fontId="6" fillId="11" borderId="34" xfId="0" applyFont="1" applyFill="1" applyBorder="1" applyAlignment="1">
      <alignment horizontal="center"/>
    </xf>
    <xf numFmtId="0" fontId="6" fillId="11" borderId="0" xfId="0" applyFont="1" applyFill="1" applyAlignment="1">
      <alignment horizontal="center"/>
    </xf>
    <xf numFmtId="0" fontId="6" fillId="11" borderId="35" xfId="0" applyFont="1" applyFill="1" applyBorder="1" applyAlignment="1">
      <alignment horizontal="center"/>
    </xf>
    <xf numFmtId="0" fontId="6" fillId="11" borderId="36" xfId="0" applyFont="1" applyFill="1" applyBorder="1" applyAlignment="1">
      <alignment horizontal="center"/>
    </xf>
    <xf numFmtId="0" fontId="5" fillId="11" borderId="37" xfId="0" applyFont="1" applyFill="1" applyBorder="1" applyAlignment="1">
      <alignment horizontal="center"/>
    </xf>
    <xf numFmtId="0" fontId="6" fillId="11" borderId="37" xfId="0" applyFont="1" applyFill="1" applyBorder="1" applyAlignment="1">
      <alignment horizontal="center"/>
    </xf>
    <xf numFmtId="0" fontId="6" fillId="11" borderId="38" xfId="0" applyFont="1" applyFill="1" applyBorder="1" applyAlignment="1">
      <alignment horizontal="center"/>
    </xf>
    <xf numFmtId="0" fontId="14" fillId="0" borderId="39" xfId="31" applyFont="1" applyBorder="1" applyAlignment="1">
      <alignment horizontal="centerContinuous" vertical="center"/>
    </xf>
    <xf numFmtId="0" fontId="14" fillId="0" borderId="12" xfId="31" applyFont="1" applyBorder="1" applyAlignment="1">
      <alignment horizontal="centerContinuous" vertical="center"/>
    </xf>
    <xf numFmtId="0" fontId="14" fillId="0" borderId="39" xfId="31" applyFont="1" applyBorder="1" applyAlignment="1">
      <alignment horizontal="left" vertical="center"/>
    </xf>
    <xf numFmtId="0" fontId="14" fillId="0" borderId="12" xfId="31" applyFont="1" applyBorder="1" applyAlignment="1">
      <alignment horizontal="center" vertical="center"/>
    </xf>
    <xf numFmtId="0" fontId="14" fillId="0" borderId="40" xfId="31" applyFont="1" applyBorder="1" applyAlignment="1">
      <alignment horizontal="center" vertical="center"/>
    </xf>
    <xf numFmtId="0" fontId="14" fillId="0" borderId="30" xfId="31" applyFont="1" applyBorder="1" applyAlignment="1">
      <alignment horizontal="centerContinuous" vertical="center"/>
    </xf>
    <xf numFmtId="0" fontId="14" fillId="0" borderId="31" xfId="31" applyFont="1" applyBorder="1" applyAlignment="1">
      <alignment horizontal="centerContinuous" vertical="center"/>
    </xf>
    <xf numFmtId="0" fontId="14" fillId="0" borderId="32" xfId="31" applyFont="1" applyBorder="1" applyAlignment="1">
      <alignment horizontal="centerContinuous" vertical="center"/>
    </xf>
    <xf numFmtId="0" fontId="14" fillId="0" borderId="16" xfId="31" applyFont="1" applyBorder="1" applyAlignment="1">
      <alignment horizontal="centerContinuous" vertical="center" wrapText="1"/>
    </xf>
    <xf numFmtId="0" fontId="14" fillId="0" borderId="41" xfId="31" applyFont="1" applyBorder="1" applyAlignment="1">
      <alignment horizontal="center" vertical="center"/>
    </xf>
    <xf numFmtId="0" fontId="14" fillId="0" borderId="33" xfId="31" applyFont="1" applyBorder="1" applyAlignment="1">
      <alignment horizontal="centerContinuous" vertical="center"/>
    </xf>
    <xf numFmtId="0" fontId="14" fillId="0" borderId="1" xfId="31" applyFont="1" applyBorder="1" applyAlignment="1">
      <alignment horizontal="centerContinuous" vertical="center"/>
    </xf>
    <xf numFmtId="0" fontId="6" fillId="0" borderId="0" xfId="0" applyFont="1"/>
    <xf numFmtId="0" fontId="32" fillId="0" borderId="44" xfId="0" applyFont="1" applyBorder="1" applyAlignment="1">
      <alignment vertical="center" textRotation="90"/>
    </xf>
    <xf numFmtId="0" fontId="35" fillId="0" borderId="0" xfId="0" applyFont="1" applyAlignment="1">
      <alignment horizontal="center"/>
    </xf>
    <xf numFmtId="165" fontId="35"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43" fillId="26" borderId="17" xfId="0" applyFont="1" applyFill="1" applyBorder="1"/>
    <xf numFmtId="0" fontId="43" fillId="26" borderId="18" xfId="0" applyFont="1" applyFill="1" applyBorder="1"/>
    <xf numFmtId="0" fontId="43" fillId="26" borderId="19" xfId="0" applyFont="1" applyFill="1" applyBorder="1"/>
    <xf numFmtId="0" fontId="0" fillId="0" borderId="3" xfId="0" applyBorder="1"/>
    <xf numFmtId="0" fontId="0" fillId="0" borderId="3" xfId="0" applyBorder="1" applyAlignment="1">
      <alignment horizontal="center"/>
    </xf>
    <xf numFmtId="0" fontId="47" fillId="0" borderId="3" xfId="0" applyFont="1" applyBorder="1" applyAlignment="1">
      <alignment horizontal="center"/>
    </xf>
    <xf numFmtId="0" fontId="5" fillId="26" borderId="0" xfId="0" applyFont="1" applyFill="1" applyAlignment="1">
      <alignment horizontal="center"/>
    </xf>
    <xf numFmtId="0" fontId="28" fillId="26" borderId="0" xfId="0" applyFont="1" applyFill="1" applyAlignment="1">
      <alignment horizontal="center"/>
    </xf>
    <xf numFmtId="0" fontId="6" fillId="26" borderId="18" xfId="0" applyFont="1" applyFill="1" applyBorder="1"/>
    <xf numFmtId="0" fontId="6" fillId="26" borderId="22" xfId="0" applyFont="1" applyFill="1" applyBorder="1"/>
    <xf numFmtId="0" fontId="6" fillId="26" borderId="19" xfId="0" applyFont="1" applyFill="1" applyBorder="1"/>
    <xf numFmtId="0" fontId="28" fillId="0" borderId="42" xfId="0" applyFont="1" applyBorder="1" applyAlignment="1">
      <alignment horizontal="center"/>
    </xf>
    <xf numFmtId="0" fontId="6" fillId="0" borderId="41" xfId="0" applyFont="1" applyBorder="1" applyAlignment="1">
      <alignment horizontal="center"/>
    </xf>
    <xf numFmtId="0" fontId="5" fillId="0" borderId="46" xfId="0" applyFont="1" applyBorder="1" applyAlignment="1">
      <alignment horizontal="center"/>
    </xf>
    <xf numFmtId="0" fontId="28" fillId="0" borderId="46" xfId="0" applyFont="1" applyBorder="1" applyAlignment="1">
      <alignment horizontal="center"/>
    </xf>
    <xf numFmtId="0" fontId="28" fillId="0" borderId="47" xfId="0" applyFont="1" applyBorder="1" applyAlignment="1">
      <alignment horizontal="center"/>
    </xf>
    <xf numFmtId="0" fontId="6" fillId="0" borderId="21" xfId="0" applyFont="1" applyBorder="1" applyAlignment="1">
      <alignment horizontal="center"/>
    </xf>
    <xf numFmtId="0" fontId="5" fillId="0" borderId="22" xfId="0" applyFont="1" applyBorder="1" applyAlignment="1">
      <alignment horizontal="center"/>
    </xf>
    <xf numFmtId="0" fontId="28" fillId="0" borderId="22" xfId="0" applyFont="1" applyBorder="1" applyAlignment="1">
      <alignment horizontal="center"/>
    </xf>
    <xf numFmtId="0" fontId="28" fillId="0" borderId="23" xfId="0" applyFont="1" applyBorder="1" applyAlignment="1">
      <alignment horizontal="center"/>
    </xf>
    <xf numFmtId="0" fontId="32" fillId="26" borderId="42" xfId="0" applyFont="1" applyFill="1" applyBorder="1" applyAlignment="1">
      <alignment horizontal="center" vertical="center" textRotation="90"/>
    </xf>
    <xf numFmtId="49" fontId="6" fillId="0" borderId="16" xfId="0" applyNumberFormat="1" applyFont="1" applyBorder="1" applyAlignment="1">
      <alignment horizontal="center"/>
    </xf>
    <xf numFmtId="165" fontId="28" fillId="0" borderId="46" xfId="0" applyNumberFormat="1" applyFont="1" applyBorder="1" applyAlignment="1">
      <alignment horizontal="center"/>
    </xf>
    <xf numFmtId="49" fontId="6" fillId="0" borderId="47" xfId="0" applyNumberFormat="1" applyFont="1" applyBorder="1" applyAlignment="1">
      <alignment horizontal="center"/>
    </xf>
    <xf numFmtId="49" fontId="6" fillId="0" borderId="44" xfId="0" applyNumberFormat="1" applyFont="1" applyBorder="1" applyAlignment="1">
      <alignment horizontal="center"/>
    </xf>
    <xf numFmtId="49" fontId="6" fillId="0" borderId="42" xfId="0" applyNumberFormat="1" applyFont="1" applyBorder="1" applyAlignment="1">
      <alignment horizontal="center"/>
    </xf>
    <xf numFmtId="49" fontId="6" fillId="0" borderId="20" xfId="0" applyNumberFormat="1" applyFont="1" applyBorder="1" applyAlignment="1">
      <alignment horizontal="center"/>
    </xf>
    <xf numFmtId="49" fontId="6" fillId="0" borderId="23" xfId="0" applyNumberFormat="1" applyFont="1" applyBorder="1" applyAlignment="1">
      <alignment horizontal="center"/>
    </xf>
    <xf numFmtId="0" fontId="6" fillId="26" borderId="0" xfId="0" applyFont="1" applyFill="1" applyAlignment="1">
      <alignment horizontal="center"/>
    </xf>
    <xf numFmtId="0" fontId="6" fillId="26" borderId="23" xfId="0" applyFont="1" applyFill="1" applyBorder="1"/>
    <xf numFmtId="0" fontId="5" fillId="26" borderId="18" xfId="0" applyFont="1" applyFill="1" applyBorder="1" applyAlignment="1">
      <alignment horizontal="center"/>
    </xf>
    <xf numFmtId="0" fontId="28" fillId="26" borderId="18" xfId="0" applyFont="1" applyFill="1" applyBorder="1" applyAlignment="1">
      <alignment horizontal="center"/>
    </xf>
    <xf numFmtId="165" fontId="29" fillId="26" borderId="19" xfId="0" applyNumberFormat="1" applyFont="1" applyFill="1" applyBorder="1" applyAlignment="1">
      <alignment horizontal="center"/>
    </xf>
    <xf numFmtId="0" fontId="0" fillId="0" borderId="48" xfId="0" applyBorder="1"/>
    <xf numFmtId="0" fontId="0" fillId="0" borderId="48" xfId="0" applyBorder="1" applyAlignment="1">
      <alignment horizontal="center"/>
    </xf>
    <xf numFmtId="0" fontId="28" fillId="26" borderId="19" xfId="0" applyFont="1" applyFill="1" applyBorder="1" applyAlignment="1">
      <alignment horizontal="center"/>
    </xf>
    <xf numFmtId="165" fontId="5" fillId="3" borderId="0" xfId="0" applyNumberFormat="1" applyFont="1" applyFill="1" applyAlignment="1">
      <alignment horizontal="center"/>
    </xf>
    <xf numFmtId="165" fontId="43" fillId="26" borderId="18" xfId="0" applyNumberFormat="1" applyFont="1" applyFill="1" applyBorder="1"/>
    <xf numFmtId="165" fontId="6" fillId="26" borderId="18" xfId="0" applyNumberFormat="1" applyFont="1" applyFill="1" applyBorder="1"/>
    <xf numFmtId="165" fontId="28" fillId="0" borderId="22" xfId="0" applyNumberFormat="1" applyFont="1" applyBorder="1" applyAlignment="1">
      <alignment horizontal="center"/>
    </xf>
    <xf numFmtId="165" fontId="6" fillId="26" borderId="22" xfId="0" applyNumberFormat="1" applyFont="1" applyFill="1" applyBorder="1"/>
    <xf numFmtId="165" fontId="28" fillId="26" borderId="0" xfId="0" applyNumberFormat="1" applyFont="1" applyFill="1" applyAlignment="1">
      <alignment horizontal="center"/>
    </xf>
    <xf numFmtId="165" fontId="28" fillId="26" borderId="18" xfId="0" applyNumberFormat="1" applyFont="1" applyFill="1" applyBorder="1" applyAlignment="1">
      <alignment horizontal="center"/>
    </xf>
    <xf numFmtId="165" fontId="6" fillId="11" borderId="1" xfId="0" applyNumberFormat="1" applyFont="1" applyFill="1" applyBorder="1" applyAlignment="1">
      <alignment horizontal="center"/>
    </xf>
    <xf numFmtId="165" fontId="6" fillId="11" borderId="0" xfId="0" applyNumberFormat="1" applyFont="1" applyFill="1" applyAlignment="1">
      <alignment horizontal="center"/>
    </xf>
    <xf numFmtId="165" fontId="6" fillId="11" borderId="37" xfId="0" applyNumberFormat="1" applyFont="1" applyFill="1" applyBorder="1" applyAlignment="1">
      <alignment horizontal="center"/>
    </xf>
    <xf numFmtId="0" fontId="15" fillId="0" borderId="33" xfId="31" applyFont="1" applyBorder="1" applyAlignment="1">
      <alignment horizontal="left" vertical="center"/>
    </xf>
    <xf numFmtId="0" fontId="15" fillId="0" borderId="1" xfId="31" applyFont="1" applyBorder="1" applyAlignment="1">
      <alignment horizontal="left" vertical="center"/>
    </xf>
    <xf numFmtId="0" fontId="15" fillId="0" borderId="2" xfId="31" applyFont="1" applyBorder="1" applyAlignment="1">
      <alignment horizontal="left" vertical="center"/>
    </xf>
    <xf numFmtId="0" fontId="48" fillId="29" borderId="3" xfId="0" applyFont="1" applyFill="1" applyBorder="1"/>
    <xf numFmtId="0" fontId="48" fillId="29" borderId="3" xfId="0" applyFont="1" applyFill="1" applyBorder="1" applyAlignment="1">
      <alignment horizontal="center"/>
    </xf>
    <xf numFmtId="0" fontId="48" fillId="0" borderId="0" xfId="0" applyFont="1"/>
    <xf numFmtId="0" fontId="0" fillId="30" borderId="3" xfId="0" applyFill="1" applyBorder="1"/>
    <xf numFmtId="0" fontId="0" fillId="30" borderId="3" xfId="0" applyFill="1" applyBorder="1" applyAlignment="1">
      <alignment horizontal="center"/>
    </xf>
    <xf numFmtId="0" fontId="47" fillId="0" borderId="0" xfId="0" applyFont="1" applyAlignment="1">
      <alignment horizontal="center"/>
    </xf>
    <xf numFmtId="0" fontId="48" fillId="28" borderId="3" xfId="0" applyFont="1" applyFill="1" applyBorder="1"/>
    <xf numFmtId="0" fontId="48" fillId="28" borderId="3" xfId="0" applyFont="1" applyFill="1" applyBorder="1" applyAlignment="1">
      <alignment horizontal="center"/>
    </xf>
    <xf numFmtId="0" fontId="0" fillId="31" borderId="3" xfId="0" applyFill="1" applyBorder="1"/>
    <xf numFmtId="0" fontId="0" fillId="31" borderId="3" xfId="0" applyFill="1" applyBorder="1" applyAlignment="1">
      <alignment horizontal="center"/>
    </xf>
    <xf numFmtId="0" fontId="45" fillId="30" borderId="3" xfId="25" applyFill="1" applyBorder="1"/>
    <xf numFmtId="0" fontId="47" fillId="30" borderId="3" xfId="25" applyFont="1" applyFill="1" applyBorder="1" applyAlignment="1">
      <alignment horizontal="center"/>
    </xf>
    <xf numFmtId="0" fontId="6" fillId="28" borderId="3" xfId="0" applyFont="1" applyFill="1" applyBorder="1" applyAlignment="1">
      <alignment horizontal="center"/>
    </xf>
    <xf numFmtId="0" fontId="6" fillId="30" borderId="3" xfId="0" applyFont="1" applyFill="1" applyBorder="1"/>
    <xf numFmtId="0" fontId="6" fillId="30" borderId="3" xfId="0" applyFont="1" applyFill="1" applyBorder="1" applyAlignment="1">
      <alignment horizontal="center"/>
    </xf>
    <xf numFmtId="0" fontId="0" fillId="25" borderId="0" xfId="0" applyFill="1"/>
    <xf numFmtId="0" fontId="45" fillId="28" borderId="3" xfId="25" applyFill="1" applyBorder="1" applyAlignment="1">
      <alignment horizontal="center"/>
    </xf>
    <xf numFmtId="0" fontId="22" fillId="0" borderId="0" xfId="27" applyFont="1" applyAlignment="1">
      <alignment vertical="center"/>
    </xf>
    <xf numFmtId="0" fontId="22" fillId="0" borderId="0" xfId="27" applyFont="1" applyAlignment="1">
      <alignment horizontal="center" vertical="center"/>
    </xf>
    <xf numFmtId="165" fontId="25" fillId="0" borderId="5" xfId="27" applyNumberFormat="1" applyFont="1" applyBorder="1" applyAlignment="1">
      <alignment horizontal="center" vertical="center"/>
    </xf>
    <xf numFmtId="0" fontId="25" fillId="0" borderId="6" xfId="27" applyFont="1" applyBorder="1" applyAlignment="1">
      <alignment horizontal="center" vertical="center"/>
    </xf>
    <xf numFmtId="0" fontId="27" fillId="0" borderId="6" xfId="27" applyFont="1" applyBorder="1" applyAlignment="1">
      <alignment horizontal="center" vertical="center"/>
    </xf>
    <xf numFmtId="165" fontId="25" fillId="0" borderId="6" xfId="27" applyNumberFormat="1" applyFont="1" applyBorder="1" applyAlignment="1">
      <alignment horizontal="center" vertical="center"/>
    </xf>
    <xf numFmtId="164" fontId="26" fillId="0" borderId="6" xfId="27" applyNumberFormat="1" applyFont="1" applyBorder="1" applyAlignment="1">
      <alignment horizontal="center" vertical="center"/>
    </xf>
    <xf numFmtId="9" fontId="22" fillId="0" borderId="6" xfId="34" applyFont="1" applyFill="1" applyBorder="1" applyAlignment="1">
      <alignment horizontal="center" vertical="center"/>
    </xf>
    <xf numFmtId="0" fontId="22" fillId="0" borderId="6" xfId="27" applyFont="1" applyBorder="1" applyAlignment="1">
      <alignment horizontal="center" vertical="center"/>
    </xf>
    <xf numFmtId="1" fontId="24" fillId="0" borderId="5" xfId="27" applyNumberFormat="1" applyFont="1" applyBorder="1" applyAlignment="1">
      <alignment horizontal="center" vertical="center"/>
    </xf>
    <xf numFmtId="0" fontId="18" fillId="0" borderId="7" xfId="27" applyFont="1" applyBorder="1" applyAlignment="1">
      <alignment vertical="center"/>
    </xf>
    <xf numFmtId="0" fontId="22" fillId="0" borderId="5" xfId="27" applyFont="1" applyBorder="1" applyAlignment="1">
      <alignment horizontal="center" vertical="center"/>
    </xf>
    <xf numFmtId="164" fontId="22" fillId="0" borderId="6" xfId="27" applyNumberFormat="1" applyFont="1" applyBorder="1" applyAlignment="1">
      <alignment horizontal="center" vertical="center"/>
    </xf>
    <xf numFmtId="0" fontId="23" fillId="0" borderId="6" xfId="27" applyFont="1" applyBorder="1" applyAlignment="1">
      <alignment horizontal="center" vertical="center"/>
    </xf>
    <xf numFmtId="2" fontId="22" fillId="0" borderId="4" xfId="27" applyNumberFormat="1" applyFont="1" applyBorder="1" applyAlignment="1">
      <alignment horizontal="center" vertical="center"/>
    </xf>
    <xf numFmtId="0" fontId="24" fillId="0" borderId="5" xfId="27" applyFont="1" applyBorder="1" applyAlignment="1">
      <alignment horizontal="center" vertical="center"/>
    </xf>
    <xf numFmtId="0" fontId="24" fillId="0" borderId="7" xfId="27" applyFont="1" applyBorder="1" applyAlignment="1">
      <alignment vertical="center"/>
    </xf>
    <xf numFmtId="0" fontId="18" fillId="4" borderId="6" xfId="26" applyFont="1" applyFill="1" applyBorder="1" applyAlignment="1">
      <alignment horizontal="center" vertical="center"/>
    </xf>
    <xf numFmtId="0" fontId="18" fillId="0" borderId="6" xfId="26" applyFont="1" applyBorder="1" applyAlignment="1">
      <alignment horizontal="center" vertical="center"/>
    </xf>
    <xf numFmtId="2" fontId="18" fillId="0" borderId="6" xfId="26" applyNumberFormat="1" applyFont="1" applyBorder="1" applyAlignment="1">
      <alignment horizontal="center" vertical="center"/>
    </xf>
    <xf numFmtId="0" fontId="19" fillId="0" borderId="6" xfId="26" applyFont="1" applyBorder="1" applyAlignment="1">
      <alignment horizontal="center" vertical="center"/>
    </xf>
    <xf numFmtId="0" fontId="19" fillId="0" borderId="4" xfId="26" applyFont="1" applyBorder="1" applyAlignment="1">
      <alignment horizontal="center" vertical="center"/>
    </xf>
    <xf numFmtId="0" fontId="20" fillId="0" borderId="5" xfId="26" applyFont="1" applyBorder="1" applyAlignment="1">
      <alignment horizontal="center" vertical="center"/>
    </xf>
    <xf numFmtId="0" fontId="20" fillId="0" borderId="7" xfId="26" applyFont="1" applyBorder="1" applyAlignment="1">
      <alignment vertical="center"/>
    </xf>
    <xf numFmtId="0" fontId="19" fillId="0" borderId="0" xfId="26" applyFont="1" applyAlignment="1">
      <alignment vertical="center"/>
    </xf>
    <xf numFmtId="0" fontId="19" fillId="0" borderId="0" xfId="26" applyFont="1" applyAlignment="1">
      <alignment horizontal="center" vertical="center"/>
    </xf>
    <xf numFmtId="1" fontId="19" fillId="0" borderId="6" xfId="26" applyNumberFormat="1" applyFont="1" applyBorder="1" applyAlignment="1">
      <alignment horizontal="center" vertical="center"/>
    </xf>
    <xf numFmtId="167" fontId="19" fillId="8" borderId="4" xfId="26" applyNumberFormat="1" applyFont="1" applyFill="1" applyBorder="1" applyAlignment="1">
      <alignment vertical="center"/>
    </xf>
    <xf numFmtId="0" fontId="22" fillId="8" borderId="5" xfId="27" applyFont="1" applyFill="1" applyBorder="1" applyAlignment="1">
      <alignment horizontal="center" vertical="center"/>
    </xf>
    <xf numFmtId="0" fontId="22" fillId="8" borderId="6" xfId="27" applyFont="1" applyFill="1" applyBorder="1" applyAlignment="1">
      <alignment horizontal="center" vertical="center"/>
    </xf>
    <xf numFmtId="164" fontId="22" fillId="8" borderId="6" xfId="27" applyNumberFormat="1" applyFont="1" applyFill="1" applyBorder="1" applyAlignment="1">
      <alignment horizontal="center" vertical="center"/>
    </xf>
    <xf numFmtId="0" fontId="23" fillId="8" borderId="6" xfId="27" applyFont="1" applyFill="1" applyBorder="1" applyAlignment="1">
      <alignment horizontal="center" vertical="center"/>
    </xf>
    <xf numFmtId="0" fontId="19" fillId="8" borderId="6" xfId="26" applyFont="1" applyFill="1" applyBorder="1" applyAlignment="1">
      <alignment horizontal="center" vertical="center"/>
    </xf>
    <xf numFmtId="0" fontId="19" fillId="8" borderId="4" xfId="26" applyFont="1" applyFill="1" applyBorder="1" applyAlignment="1">
      <alignment horizontal="center" vertical="center"/>
    </xf>
    <xf numFmtId="0" fontId="18" fillId="8" borderId="5" xfId="26" applyFont="1" applyFill="1" applyBorder="1" applyAlignment="1">
      <alignment horizontal="right" vertical="center"/>
    </xf>
    <xf numFmtId="0" fontId="18" fillId="8" borderId="7" xfId="26" applyFont="1" applyFill="1" applyBorder="1" applyAlignment="1">
      <alignment vertical="center"/>
    </xf>
    <xf numFmtId="167" fontId="19" fillId="0" borderId="4" xfId="26" applyNumberFormat="1" applyFont="1" applyBorder="1" applyAlignment="1">
      <alignment vertical="center"/>
    </xf>
    <xf numFmtId="0" fontId="18" fillId="0" borderId="4" xfId="27" applyFont="1" applyBorder="1" applyAlignment="1">
      <alignment vertical="center"/>
    </xf>
    <xf numFmtId="0" fontId="22" fillId="0" borderId="51" xfId="27" applyFont="1" applyBorder="1" applyAlignment="1">
      <alignment horizontal="center" vertical="center"/>
    </xf>
    <xf numFmtId="0" fontId="22" fillId="0" borderId="12" xfId="27" applyFont="1" applyBorder="1" applyAlignment="1">
      <alignment horizontal="center" vertical="center"/>
    </xf>
    <xf numFmtId="164" fontId="22" fillId="0" borderId="12" xfId="27" applyNumberFormat="1" applyFont="1" applyBorder="1" applyAlignment="1">
      <alignment horizontal="center" vertical="center"/>
    </xf>
    <xf numFmtId="0" fontId="23" fillId="0" borderId="12" xfId="27" applyFont="1" applyBorder="1" applyAlignment="1">
      <alignment horizontal="center" vertical="center"/>
    </xf>
    <xf numFmtId="2" fontId="22" fillId="0" borderId="29" xfId="27" applyNumberFormat="1" applyFont="1" applyBorder="1" applyAlignment="1">
      <alignment horizontal="center" vertical="center"/>
    </xf>
    <xf numFmtId="0" fontId="24" fillId="0" borderId="51" xfId="27" applyFont="1" applyBorder="1" applyAlignment="1">
      <alignment horizontal="center" vertical="center"/>
    </xf>
    <xf numFmtId="0" fontId="24" fillId="0" borderId="40" xfId="27" applyFont="1" applyBorder="1" applyAlignment="1">
      <alignment vertical="center"/>
    </xf>
    <xf numFmtId="0" fontId="27" fillId="8" borderId="6" xfId="27" applyFont="1" applyFill="1" applyBorder="1" applyAlignment="1">
      <alignment horizontal="center" vertical="center"/>
    </xf>
    <xf numFmtId="164" fontId="26" fillId="8" borderId="6" xfId="27" applyNumberFormat="1" applyFont="1" applyFill="1" applyBorder="1" applyAlignment="1">
      <alignment horizontal="center" vertical="center"/>
    </xf>
    <xf numFmtId="2" fontId="22" fillId="8" borderId="6" xfId="27" applyNumberFormat="1" applyFont="1" applyFill="1" applyBorder="1" applyAlignment="1">
      <alignment horizontal="center" vertical="center"/>
    </xf>
    <xf numFmtId="1" fontId="22" fillId="8" borderId="4" xfId="27" applyNumberFormat="1" applyFont="1" applyFill="1" applyBorder="1" applyAlignment="1">
      <alignment horizontal="center" vertical="center"/>
    </xf>
    <xf numFmtId="0" fontId="24" fillId="8" borderId="5" xfId="27" applyFont="1" applyFill="1" applyBorder="1" applyAlignment="1">
      <alignment horizontal="center" vertical="center"/>
    </xf>
    <xf numFmtId="0" fontId="24" fillId="8" borderId="7" xfId="27" applyFont="1" applyFill="1" applyBorder="1" applyAlignment="1">
      <alignment vertical="center"/>
    </xf>
    <xf numFmtId="0" fontId="19" fillId="27" borderId="6" xfId="27" applyFont="1" applyFill="1" applyBorder="1" applyAlignment="1">
      <alignment horizontal="center" vertical="center"/>
    </xf>
    <xf numFmtId="0" fontId="19" fillId="27" borderId="9" xfId="27" applyFont="1" applyFill="1" applyBorder="1" applyAlignment="1">
      <alignment horizontal="center" vertical="center"/>
    </xf>
    <xf numFmtId="0" fontId="19" fillId="7" borderId="10" xfId="27" applyFont="1" applyFill="1" applyBorder="1" applyAlignment="1">
      <alignment horizontal="center" vertical="center"/>
    </xf>
    <xf numFmtId="0" fontId="18" fillId="0" borderId="5" xfId="27" applyFont="1" applyBorder="1" applyAlignment="1">
      <alignment horizontal="center" vertical="center"/>
    </xf>
    <xf numFmtId="0" fontId="19" fillId="0" borderId="0" xfId="27" applyFont="1" applyAlignment="1">
      <alignment vertical="center"/>
    </xf>
    <xf numFmtId="0" fontId="19" fillId="0" borderId="0" xfId="27" applyFont="1" applyAlignment="1">
      <alignment horizontal="center" vertical="center"/>
    </xf>
    <xf numFmtId="9" fontId="19" fillId="25" borderId="6" xfId="34" applyFont="1" applyFill="1" applyBorder="1" applyAlignment="1">
      <alignment horizontal="center" vertical="center"/>
    </xf>
    <xf numFmtId="0" fontId="19" fillId="25" borderId="6" xfId="27" applyFont="1" applyFill="1" applyBorder="1" applyAlignment="1">
      <alignment horizontal="center" vertical="center"/>
    </xf>
    <xf numFmtId="2" fontId="19" fillId="25" borderId="6" xfId="27" applyNumberFormat="1" applyFont="1" applyFill="1" applyBorder="1" applyAlignment="1">
      <alignment horizontal="center" vertical="center"/>
    </xf>
    <xf numFmtId="1" fontId="19" fillId="25" borderId="6" xfId="27" applyNumberFormat="1" applyFont="1" applyFill="1" applyBorder="1" applyAlignment="1">
      <alignment horizontal="center" vertical="center"/>
    </xf>
    <xf numFmtId="1" fontId="19" fillId="25" borderId="4" xfId="27" applyNumberFormat="1" applyFont="1" applyFill="1" applyBorder="1" applyAlignment="1">
      <alignment horizontal="center" vertical="center"/>
    </xf>
    <xf numFmtId="1" fontId="18" fillId="0" borderId="5" xfId="27" applyNumberFormat="1" applyFont="1" applyBorder="1" applyAlignment="1">
      <alignment horizontal="center" vertical="center"/>
    </xf>
    <xf numFmtId="0" fontId="19" fillId="0" borderId="4" xfId="27" applyFont="1" applyBorder="1" applyAlignment="1">
      <alignment vertical="center"/>
    </xf>
    <xf numFmtId="0" fontId="19" fillId="0" borderId="6" xfId="27" applyFont="1" applyBorder="1" applyAlignment="1">
      <alignment horizontal="center" vertical="center"/>
    </xf>
    <xf numFmtId="164" fontId="19" fillId="0" borderId="6" xfId="27" applyNumberFormat="1" applyFont="1" applyBorder="1" applyAlignment="1">
      <alignment horizontal="center" vertical="center"/>
    </xf>
    <xf numFmtId="2" fontId="19" fillId="0" borderId="4" xfId="27" applyNumberFormat="1" applyFont="1" applyBorder="1" applyAlignment="1">
      <alignment horizontal="center" vertical="center"/>
    </xf>
    <xf numFmtId="165" fontId="25" fillId="8" borderId="5" xfId="27" applyNumberFormat="1" applyFont="1" applyFill="1" applyBorder="1" applyAlignment="1">
      <alignment horizontal="center" vertical="center"/>
    </xf>
    <xf numFmtId="9" fontId="22" fillId="8" borderId="6" xfId="34" applyFont="1" applyFill="1" applyBorder="1" applyAlignment="1">
      <alignment horizontal="center" vertical="center"/>
    </xf>
    <xf numFmtId="0" fontId="19" fillId="0" borderId="5" xfId="27" applyFont="1" applyBorder="1" applyAlignment="1">
      <alignment horizontal="center" vertical="center"/>
    </xf>
    <xf numFmtId="0" fontId="19" fillId="8" borderId="6" xfId="27" applyFont="1" applyFill="1" applyBorder="1" applyAlignment="1">
      <alignment horizontal="center" vertical="center"/>
    </xf>
    <xf numFmtId="0" fontId="18" fillId="7" borderId="10" xfId="27" applyFont="1" applyFill="1" applyBorder="1" applyAlignment="1">
      <alignment vertical="center"/>
    </xf>
    <xf numFmtId="0" fontId="22" fillId="2" borderId="0" xfId="27" applyFont="1" applyFill="1" applyAlignment="1">
      <alignment horizontal="left" vertical="center"/>
    </xf>
    <xf numFmtId="0" fontId="22" fillId="2" borderId="0" xfId="27" applyFont="1" applyFill="1" applyAlignment="1">
      <alignment vertical="center"/>
    </xf>
    <xf numFmtId="0" fontId="24" fillId="2" borderId="0" xfId="27" applyFont="1" applyFill="1" applyAlignment="1">
      <alignment vertical="center"/>
    </xf>
    <xf numFmtId="0" fontId="19" fillId="8" borderId="4" xfId="27" applyFont="1" applyFill="1" applyBorder="1" applyAlignment="1">
      <alignment vertical="center"/>
    </xf>
    <xf numFmtId="0" fontId="30" fillId="2" borderId="17" xfId="27" applyFont="1" applyFill="1" applyBorder="1" applyAlignment="1">
      <alignment horizontal="center" vertical="center"/>
    </xf>
    <xf numFmtId="0" fontId="30" fillId="2" borderId="18" xfId="27" applyFont="1" applyFill="1" applyBorder="1" applyAlignment="1">
      <alignment horizontal="center" vertical="center"/>
    </xf>
    <xf numFmtId="0" fontId="30" fillId="2" borderId="19" xfId="27" applyFont="1" applyFill="1" applyBorder="1" applyAlignment="1">
      <alignment horizontal="center" vertical="center"/>
    </xf>
    <xf numFmtId="0" fontId="19" fillId="0" borderId="25" xfId="27" applyFont="1" applyBorder="1" applyAlignment="1">
      <alignment vertical="center"/>
    </xf>
    <xf numFmtId="0" fontId="22" fillId="0" borderId="25" xfId="27" applyFont="1" applyBorder="1" applyAlignment="1">
      <alignment vertical="center"/>
    </xf>
    <xf numFmtId="0" fontId="24" fillId="0" borderId="25" xfId="27" applyFont="1" applyBorder="1" applyAlignment="1">
      <alignment vertical="center"/>
    </xf>
    <xf numFmtId="0" fontId="18" fillId="0" borderId="25" xfId="27" applyFont="1" applyBorder="1" applyAlignment="1">
      <alignment vertical="center"/>
    </xf>
    <xf numFmtId="0" fontId="24" fillId="7" borderId="44" xfId="27" applyFont="1" applyFill="1" applyBorder="1" applyAlignment="1">
      <alignment horizontal="left" vertical="center"/>
    </xf>
    <xf numFmtId="0" fontId="18" fillId="7" borderId="44" xfId="27" applyFont="1" applyFill="1" applyBorder="1" applyAlignment="1">
      <alignment horizontal="left" vertical="center"/>
    </xf>
    <xf numFmtId="0" fontId="19" fillId="2" borderId="0" xfId="27" applyFont="1" applyFill="1" applyAlignment="1">
      <alignment horizontal="left" vertical="center"/>
    </xf>
    <xf numFmtId="0" fontId="19" fillId="2" borderId="0" xfId="27" applyFont="1" applyFill="1" applyAlignment="1">
      <alignment vertical="center"/>
    </xf>
    <xf numFmtId="0" fontId="18" fillId="2" borderId="0" xfId="27" applyFont="1" applyFill="1" applyAlignment="1">
      <alignment vertical="center"/>
    </xf>
    <xf numFmtId="0" fontId="19" fillId="7" borderId="8" xfId="27" applyFont="1" applyFill="1" applyBorder="1" applyAlignment="1">
      <alignment horizontal="center" vertical="center"/>
    </xf>
    <xf numFmtId="0" fontId="18" fillId="7" borderId="8" xfId="27" applyFont="1" applyFill="1" applyBorder="1" applyAlignment="1">
      <alignment horizontal="center" vertical="center"/>
    </xf>
    <xf numFmtId="0" fontId="18" fillId="7" borderId="11" xfId="27" applyFont="1" applyFill="1" applyBorder="1" applyAlignment="1">
      <alignment vertical="center"/>
    </xf>
    <xf numFmtId="164" fontId="25" fillId="0" borderId="6" xfId="27" applyNumberFormat="1" applyFont="1" applyBorder="1" applyAlignment="1">
      <alignment horizontal="center" vertical="center"/>
    </xf>
    <xf numFmtId="9" fontId="19" fillId="0" borderId="6" xfId="34" applyFont="1" applyFill="1" applyBorder="1" applyAlignment="1">
      <alignment horizontal="center" vertical="center"/>
    </xf>
    <xf numFmtId="0" fontId="19" fillId="8" borderId="5" xfId="27" applyFont="1" applyFill="1" applyBorder="1" applyAlignment="1">
      <alignment horizontal="center" vertical="center"/>
    </xf>
    <xf numFmtId="164" fontId="25" fillId="8" borderId="6" xfId="27" applyNumberFormat="1" applyFont="1" applyFill="1" applyBorder="1" applyAlignment="1">
      <alignment horizontal="center" vertical="center"/>
    </xf>
    <xf numFmtId="1" fontId="19" fillId="8" borderId="6" xfId="27" applyNumberFormat="1" applyFont="1" applyFill="1" applyBorder="1" applyAlignment="1">
      <alignment horizontal="center" vertical="center"/>
    </xf>
    <xf numFmtId="2" fontId="19" fillId="8" borderId="6" xfId="27" applyNumberFormat="1" applyFont="1" applyFill="1" applyBorder="1" applyAlignment="1">
      <alignment horizontal="center" vertical="center"/>
    </xf>
    <xf numFmtId="1" fontId="19" fillId="8" borderId="4" xfId="27" applyNumberFormat="1" applyFont="1" applyFill="1" applyBorder="1" applyAlignment="1">
      <alignment horizontal="center" vertical="center"/>
    </xf>
    <xf numFmtId="0" fontId="18" fillId="8" borderId="5" xfId="27" applyFont="1" applyFill="1" applyBorder="1" applyAlignment="1">
      <alignment horizontal="center" vertical="center"/>
    </xf>
    <xf numFmtId="0" fontId="18" fillId="8" borderId="7" xfId="27" applyFont="1" applyFill="1" applyBorder="1" applyAlignment="1">
      <alignment vertical="center"/>
    </xf>
    <xf numFmtId="0" fontId="18" fillId="0" borderId="8" xfId="27" applyFont="1" applyBorder="1" applyAlignment="1">
      <alignment horizontal="center" vertical="center"/>
    </xf>
    <xf numFmtId="2" fontId="19" fillId="0" borderId="6" xfId="27" applyNumberFormat="1" applyFont="1" applyBorder="1" applyAlignment="1">
      <alignment horizontal="center" vertical="center"/>
    </xf>
    <xf numFmtId="1" fontId="19" fillId="0" borderId="4" xfId="27" applyNumberFormat="1" applyFont="1" applyBorder="1" applyAlignment="1">
      <alignment horizontal="center" vertical="center"/>
    </xf>
    <xf numFmtId="164" fontId="19" fillId="8" borderId="6" xfId="27" applyNumberFormat="1" applyFont="1" applyFill="1" applyBorder="1" applyAlignment="1">
      <alignment horizontal="center" vertical="center"/>
    </xf>
    <xf numFmtId="0" fontId="19" fillId="0" borderId="4" xfId="27" applyFont="1" applyBorder="1" applyAlignment="1">
      <alignment horizontal="center" vertical="center"/>
    </xf>
    <xf numFmtId="0" fontId="19" fillId="0" borderId="14" xfId="27" applyFont="1" applyBorder="1" applyAlignment="1">
      <alignment horizontal="center" vertical="center"/>
    </xf>
    <xf numFmtId="9" fontId="19" fillId="8" borderId="6" xfId="34" applyFont="1" applyFill="1" applyBorder="1" applyAlignment="1">
      <alignment horizontal="center" vertical="center"/>
    </xf>
    <xf numFmtId="0" fontId="19" fillId="4" borderId="6" xfId="27" applyFont="1" applyFill="1" applyBorder="1" applyAlignment="1">
      <alignment horizontal="center" vertical="center"/>
    </xf>
    <xf numFmtId="0" fontId="18" fillId="0" borderId="6" xfId="27" applyFont="1" applyBorder="1" applyAlignment="1">
      <alignment horizontal="center" vertical="center"/>
    </xf>
    <xf numFmtId="0" fontId="25" fillId="0" borderId="6" xfId="26" applyFont="1" applyBorder="1" applyAlignment="1">
      <alignment horizontal="center" vertical="center"/>
    </xf>
    <xf numFmtId="0" fontId="19" fillId="0" borderId="12" xfId="27" applyFont="1" applyBorder="1" applyAlignment="1">
      <alignment horizontal="center" vertical="center"/>
    </xf>
    <xf numFmtId="2" fontId="19" fillId="0" borderId="29" xfId="27" applyNumberFormat="1" applyFont="1" applyBorder="1" applyAlignment="1">
      <alignment horizontal="center" vertical="center"/>
    </xf>
    <xf numFmtId="0" fontId="18" fillId="0" borderId="14" xfId="27" applyFont="1" applyBorder="1" applyAlignment="1">
      <alignment horizontal="center" vertical="center"/>
    </xf>
    <xf numFmtId="0" fontId="24" fillId="7" borderId="41" xfId="27" applyFont="1" applyFill="1" applyBorder="1" applyAlignment="1">
      <alignment horizontal="left" vertical="center"/>
    </xf>
    <xf numFmtId="165" fontId="25" fillId="0" borderId="14" xfId="27" applyNumberFormat="1" applyFont="1" applyBorder="1" applyAlignment="1">
      <alignment horizontal="center" vertical="center"/>
    </xf>
    <xf numFmtId="0" fontId="24" fillId="7" borderId="24" xfId="27" applyFont="1" applyFill="1" applyBorder="1" applyAlignment="1">
      <alignment horizontal="left" vertical="center"/>
    </xf>
    <xf numFmtId="0" fontId="18" fillId="7" borderId="24" xfId="27" applyFont="1" applyFill="1" applyBorder="1" applyAlignment="1">
      <alignment horizontal="left" vertical="center"/>
    </xf>
    <xf numFmtId="0" fontId="18" fillId="7" borderId="41" xfId="26" applyFont="1" applyFill="1" applyBorder="1" applyAlignment="1">
      <alignment horizontal="left" vertical="center"/>
    </xf>
    <xf numFmtId="0" fontId="19" fillId="33" borderId="24" xfId="27" applyFont="1" applyFill="1" applyBorder="1" applyAlignment="1">
      <alignment horizontal="left" vertical="center"/>
    </xf>
    <xf numFmtId="0" fontId="18" fillId="34" borderId="24" xfId="26" applyFont="1" applyFill="1" applyBorder="1" applyAlignment="1">
      <alignment horizontal="left" vertical="center"/>
    </xf>
    <xf numFmtId="167" fontId="19" fillId="8" borderId="24" xfId="26" applyNumberFormat="1" applyFont="1" applyFill="1" applyBorder="1" applyAlignment="1">
      <alignment horizontal="left" vertical="center"/>
    </xf>
    <xf numFmtId="2" fontId="19" fillId="8" borderId="6" xfId="26" applyNumberFormat="1" applyFont="1" applyFill="1" applyBorder="1" applyAlignment="1">
      <alignment horizontal="center" vertical="center"/>
    </xf>
    <xf numFmtId="9" fontId="22" fillId="0" borderId="4" xfId="34" applyFont="1" applyFill="1" applyBorder="1" applyAlignment="1">
      <alignment horizontal="center" vertical="center"/>
    </xf>
    <xf numFmtId="1" fontId="22" fillId="0" borderId="25" xfId="27" applyNumberFormat="1" applyFont="1" applyBorder="1" applyAlignment="1">
      <alignment horizontal="center" vertical="center"/>
    </xf>
    <xf numFmtId="1" fontId="22" fillId="0" borderId="14" xfId="27" applyNumberFormat="1" applyFont="1" applyBorder="1" applyAlignment="1">
      <alignment horizontal="center" vertical="center"/>
    </xf>
    <xf numFmtId="1" fontId="22" fillId="34" borderId="24" xfId="27" applyNumberFormat="1" applyFont="1" applyFill="1" applyBorder="1" applyAlignment="1">
      <alignment horizontal="center" vertical="center"/>
    </xf>
    <xf numFmtId="0" fontId="22" fillId="34" borderId="24" xfId="27" applyFont="1" applyFill="1" applyBorder="1" applyAlignment="1">
      <alignment horizontal="center" vertical="center"/>
    </xf>
    <xf numFmtId="2" fontId="19" fillId="8" borderId="14" xfId="26" applyNumberFormat="1" applyFont="1" applyFill="1" applyBorder="1" applyAlignment="1">
      <alignment horizontal="center" vertical="center"/>
    </xf>
    <xf numFmtId="1" fontId="19" fillId="34" borderId="24" xfId="26" applyNumberFormat="1" applyFont="1" applyFill="1" applyBorder="1" applyAlignment="1">
      <alignment horizontal="center" vertical="center"/>
    </xf>
    <xf numFmtId="0" fontId="22" fillId="0" borderId="4" xfId="27" applyFont="1" applyBorder="1" applyAlignment="1">
      <alignment horizontal="center" vertical="center"/>
    </xf>
    <xf numFmtId="2" fontId="22" fillId="34" borderId="24" xfId="27" applyNumberFormat="1" applyFont="1" applyFill="1" applyBorder="1" applyAlignment="1">
      <alignment horizontal="center" vertical="center"/>
    </xf>
    <xf numFmtId="1" fontId="24" fillId="0" borderId="25" xfId="27" applyNumberFormat="1" applyFont="1" applyBorder="1" applyAlignment="1">
      <alignment horizontal="center" vertical="center"/>
    </xf>
    <xf numFmtId="0" fontId="18" fillId="34" borderId="24" xfId="27" applyFont="1" applyFill="1" applyBorder="1" applyAlignment="1">
      <alignment vertical="center"/>
    </xf>
    <xf numFmtId="0" fontId="18" fillId="7" borderId="41" xfId="27" applyFont="1" applyFill="1" applyBorder="1" applyAlignment="1">
      <alignment horizontal="left" vertical="center"/>
    </xf>
    <xf numFmtId="0" fontId="19" fillId="34" borderId="24" xfId="27" applyFont="1" applyFill="1" applyBorder="1" applyAlignment="1">
      <alignment horizontal="left" vertical="center"/>
    </xf>
    <xf numFmtId="1" fontId="19" fillId="34" borderId="24" xfId="27" applyNumberFormat="1" applyFont="1" applyFill="1" applyBorder="1" applyAlignment="1">
      <alignment horizontal="center" vertical="center"/>
    </xf>
    <xf numFmtId="1" fontId="18" fillId="0" borderId="14" xfId="27" applyNumberFormat="1" applyFont="1" applyBorder="1" applyAlignment="1">
      <alignment horizontal="center" vertical="center"/>
    </xf>
    <xf numFmtId="0" fontId="19" fillId="8" borderId="14" xfId="27" applyFont="1" applyFill="1" applyBorder="1" applyAlignment="1">
      <alignment horizontal="center" vertical="center"/>
    </xf>
    <xf numFmtId="1" fontId="19" fillId="0" borderId="25" xfId="27" applyNumberFormat="1" applyFont="1" applyBorder="1" applyAlignment="1">
      <alignment horizontal="center" vertical="center"/>
    </xf>
    <xf numFmtId="0" fontId="19" fillId="34" borderId="24" xfId="27" applyFont="1" applyFill="1" applyBorder="1" applyAlignment="1">
      <alignment horizontal="center" vertical="center"/>
    </xf>
    <xf numFmtId="0" fontId="6" fillId="0" borderId="1" xfId="0" applyFont="1" applyBorder="1" applyAlignment="1">
      <alignment horizontal="center"/>
    </xf>
    <xf numFmtId="0" fontId="24" fillId="35" borderId="25" xfId="27" applyFont="1" applyFill="1" applyBorder="1" applyAlignment="1">
      <alignment vertical="center"/>
    </xf>
    <xf numFmtId="0" fontId="22" fillId="35" borderId="5" xfId="27" applyFont="1" applyFill="1" applyBorder="1" applyAlignment="1">
      <alignment horizontal="center" vertical="center"/>
    </xf>
    <xf numFmtId="0" fontId="22" fillId="35" borderId="6" xfId="27" applyFont="1" applyFill="1" applyBorder="1" applyAlignment="1">
      <alignment horizontal="center" vertical="center"/>
    </xf>
    <xf numFmtId="0" fontId="22" fillId="35" borderId="4" xfId="27" applyFont="1" applyFill="1" applyBorder="1" applyAlignment="1">
      <alignment horizontal="center" vertical="center"/>
    </xf>
    <xf numFmtId="0" fontId="24" fillId="35" borderId="5" xfId="27" applyFont="1" applyFill="1" applyBorder="1" applyAlignment="1">
      <alignment horizontal="center" vertical="center"/>
    </xf>
    <xf numFmtId="0" fontId="24" fillId="35" borderId="7" xfId="27" applyFont="1" applyFill="1" applyBorder="1" applyAlignment="1">
      <alignment vertical="center"/>
    </xf>
    <xf numFmtId="0" fontId="24" fillId="35" borderId="44" xfId="27" applyFont="1" applyFill="1" applyBorder="1" applyAlignment="1">
      <alignment horizontal="left" vertical="center"/>
    </xf>
    <xf numFmtId="0" fontId="18" fillId="33" borderId="25" xfId="27" applyFont="1" applyFill="1" applyBorder="1" applyAlignment="1">
      <alignment vertical="center"/>
    </xf>
    <xf numFmtId="0" fontId="19" fillId="33" borderId="5" xfId="27" applyFont="1" applyFill="1" applyBorder="1" applyAlignment="1">
      <alignment horizontal="center" vertical="center"/>
    </xf>
    <xf numFmtId="0" fontId="19" fillId="33" borderId="6" xfId="27" applyFont="1" applyFill="1" applyBorder="1" applyAlignment="1">
      <alignment horizontal="center" vertical="center"/>
    </xf>
    <xf numFmtId="164" fontId="19" fillId="33" borderId="6" xfId="27" applyNumberFormat="1" applyFont="1" applyFill="1" applyBorder="1" applyAlignment="1">
      <alignment horizontal="center" vertical="center"/>
    </xf>
    <xf numFmtId="0" fontId="23" fillId="33" borderId="6" xfId="27" applyFont="1" applyFill="1" applyBorder="1" applyAlignment="1">
      <alignment horizontal="center" vertical="center"/>
    </xf>
    <xf numFmtId="0" fontId="19" fillId="33" borderId="9" xfId="27" applyFont="1" applyFill="1" applyBorder="1" applyAlignment="1">
      <alignment horizontal="center" vertical="center"/>
    </xf>
    <xf numFmtId="0" fontId="19" fillId="33" borderId="10" xfId="27" applyFont="1" applyFill="1" applyBorder="1" applyAlignment="1">
      <alignment horizontal="center" vertical="center"/>
    </xf>
    <xf numFmtId="0" fontId="18" fillId="33" borderId="5" xfId="27" applyFont="1" applyFill="1" applyBorder="1" applyAlignment="1">
      <alignment horizontal="center" vertical="center"/>
    </xf>
    <xf numFmtId="0" fontId="18" fillId="33" borderId="7" xfId="27" applyFont="1" applyFill="1" applyBorder="1" applyAlignment="1">
      <alignment vertical="center"/>
    </xf>
    <xf numFmtId="0" fontId="18" fillId="34" borderId="15" xfId="27" applyFont="1" applyFill="1" applyBorder="1" applyAlignment="1">
      <alignment vertical="center"/>
    </xf>
    <xf numFmtId="0" fontId="18" fillId="34" borderId="54" xfId="27" applyFont="1" applyFill="1" applyBorder="1" applyAlignment="1">
      <alignment vertical="center"/>
    </xf>
    <xf numFmtId="10" fontId="22" fillId="34" borderId="24" xfId="27" applyNumberFormat="1" applyFont="1" applyFill="1" applyBorder="1" applyAlignment="1">
      <alignment horizontal="center" vertical="center"/>
    </xf>
    <xf numFmtId="49" fontId="3" fillId="0" borderId="44" xfId="0" applyNumberFormat="1" applyFont="1" applyBorder="1" applyAlignment="1">
      <alignment horizontal="center"/>
    </xf>
    <xf numFmtId="165" fontId="3" fillId="11" borderId="0" xfId="0" applyNumberFormat="1" applyFont="1" applyFill="1" applyAlignment="1">
      <alignment horizontal="center"/>
    </xf>
    <xf numFmtId="0" fontId="3" fillId="0" borderId="41" xfId="0" applyFont="1" applyBorder="1" applyAlignment="1">
      <alignment horizontal="center"/>
    </xf>
    <xf numFmtId="0" fontId="3" fillId="0" borderId="0" xfId="0" applyFont="1" applyAlignment="1">
      <alignment horizontal="center"/>
    </xf>
    <xf numFmtId="0" fontId="3" fillId="28" borderId="3" xfId="0" applyFont="1" applyFill="1" applyBorder="1" applyAlignment="1">
      <alignment horizontal="center"/>
    </xf>
    <xf numFmtId="0" fontId="19" fillId="35" borderId="6" xfId="27" applyFont="1" applyFill="1" applyBorder="1" applyAlignment="1">
      <alignment horizontal="center" vertical="center"/>
    </xf>
    <xf numFmtId="164" fontId="19" fillId="0" borderId="5" xfId="27" applyNumberFormat="1" applyFont="1" applyBorder="1" applyAlignment="1">
      <alignment horizontal="center" vertical="center"/>
    </xf>
    <xf numFmtId="2" fontId="19" fillId="0" borderId="5" xfId="27" applyNumberFormat="1" applyFont="1" applyBorder="1" applyAlignment="1">
      <alignment horizontal="center" vertical="center"/>
    </xf>
    <xf numFmtId="0" fontId="19" fillId="27" borderId="14" xfId="27" applyFont="1" applyFill="1" applyBorder="1" applyAlignment="1">
      <alignment horizontal="center" vertical="center"/>
    </xf>
    <xf numFmtId="0" fontId="22" fillId="35" borderId="14" xfId="27" applyFont="1" applyFill="1" applyBorder="1" applyAlignment="1">
      <alignment horizontal="center" vertical="center"/>
    </xf>
    <xf numFmtId="0" fontId="19" fillId="0" borderId="26" xfId="27" applyFont="1" applyBorder="1" applyAlignment="1">
      <alignment vertical="center"/>
    </xf>
    <xf numFmtId="0" fontId="19" fillId="0" borderId="20" xfId="27" applyFont="1" applyBorder="1" applyAlignment="1">
      <alignment vertical="center"/>
    </xf>
    <xf numFmtId="0" fontId="3" fillId="30" borderId="3" xfId="0" applyFont="1" applyFill="1" applyBorder="1"/>
    <xf numFmtId="2" fontId="25" fillId="0" borderId="6" xfId="26" applyNumberFormat="1" applyFont="1" applyBorder="1" applyAlignment="1">
      <alignment horizontal="center" vertical="center"/>
    </xf>
    <xf numFmtId="0" fontId="18" fillId="26" borderId="24" xfId="27" applyFont="1" applyFill="1" applyBorder="1" applyAlignment="1">
      <alignment horizontal="center" vertical="center"/>
    </xf>
    <xf numFmtId="167" fontId="19" fillId="26" borderId="18" xfId="26" applyNumberFormat="1" applyFont="1" applyFill="1" applyBorder="1" applyAlignment="1">
      <alignment vertical="center"/>
    </xf>
    <xf numFmtId="0" fontId="19" fillId="26" borderId="18" xfId="27" applyFont="1" applyFill="1" applyBorder="1" applyAlignment="1">
      <alignment horizontal="center" vertical="center"/>
    </xf>
    <xf numFmtId="164" fontId="19" fillId="26" borderId="18" xfId="27" applyNumberFormat="1" applyFont="1" applyFill="1" applyBorder="1" applyAlignment="1">
      <alignment horizontal="center" vertical="center"/>
    </xf>
    <xf numFmtId="0" fontId="23" fillId="26" borderId="18" xfId="27" applyFont="1" applyFill="1" applyBorder="1" applyAlignment="1">
      <alignment horizontal="center" vertical="center"/>
    </xf>
    <xf numFmtId="0" fontId="19" fillId="26" borderId="18" xfId="26" applyFont="1" applyFill="1" applyBorder="1" applyAlignment="1">
      <alignment horizontal="center" vertical="center"/>
    </xf>
    <xf numFmtId="1" fontId="19" fillId="26" borderId="18" xfId="26" applyNumberFormat="1" applyFont="1" applyFill="1" applyBorder="1" applyAlignment="1">
      <alignment horizontal="center" vertical="center"/>
    </xf>
    <xf numFmtId="2" fontId="19" fillId="26" borderId="18" xfId="27" applyNumberFormat="1" applyFont="1" applyFill="1" applyBorder="1" applyAlignment="1">
      <alignment horizontal="center" vertical="center"/>
    </xf>
    <xf numFmtId="0" fontId="18" fillId="26" borderId="18" xfId="27" applyFont="1" applyFill="1" applyBorder="1" applyAlignment="1">
      <alignment horizontal="center" vertical="center"/>
    </xf>
    <xf numFmtId="0" fontId="18" fillId="26" borderId="19" xfId="27" applyFont="1" applyFill="1" applyBorder="1" applyAlignment="1">
      <alignment vertical="center"/>
    </xf>
    <xf numFmtId="0" fontId="0" fillId="0" borderId="3" xfId="0" applyBorder="1" applyAlignment="1">
      <alignment horizontal="center" vertical="center"/>
    </xf>
    <xf numFmtId="0" fontId="3" fillId="0" borderId="3" xfId="0" applyFont="1" applyBorder="1" applyAlignment="1">
      <alignment horizontal="center" vertical="center"/>
    </xf>
    <xf numFmtId="0" fontId="10" fillId="0" borderId="62" xfId="0" applyFont="1" applyBorder="1" applyAlignment="1">
      <alignment horizontal="center" vertical="center"/>
    </xf>
    <xf numFmtId="0" fontId="10" fillId="0" borderId="63" xfId="0" applyFont="1" applyBorder="1" applyAlignment="1">
      <alignment horizontal="center" vertical="center"/>
    </xf>
    <xf numFmtId="0" fontId="10" fillId="0" borderId="64" xfId="0" applyFont="1" applyBorder="1" applyAlignment="1">
      <alignment horizontal="center" vertical="center"/>
    </xf>
    <xf numFmtId="0" fontId="3" fillId="36" borderId="48" xfId="0" applyFont="1" applyFill="1" applyBorder="1" applyAlignment="1">
      <alignment horizontal="center" vertical="center"/>
    </xf>
    <xf numFmtId="0" fontId="3" fillId="0" borderId="49" xfId="0" applyFont="1" applyBorder="1" applyAlignment="1">
      <alignment horizontal="center" vertical="center"/>
    </xf>
    <xf numFmtId="1" fontId="0" fillId="32" borderId="50" xfId="0" applyNumberFormat="1" applyFill="1" applyBorder="1" applyAlignment="1">
      <alignment horizontal="center"/>
    </xf>
    <xf numFmtId="1" fontId="0" fillId="0" borderId="3" xfId="0" applyNumberFormat="1" applyBorder="1" applyAlignment="1">
      <alignment horizontal="center" vertical="center"/>
    </xf>
    <xf numFmtId="0" fontId="3" fillId="37" borderId="36" xfId="0" applyFont="1" applyFill="1" applyBorder="1" applyAlignment="1">
      <alignment horizontal="center" vertical="center"/>
    </xf>
    <xf numFmtId="0" fontId="0" fillId="37" borderId="52" xfId="0" applyFill="1" applyBorder="1" applyAlignment="1">
      <alignment horizontal="center" vertical="center"/>
    </xf>
    <xf numFmtId="0" fontId="19" fillId="0" borderId="3" xfId="27" applyFont="1" applyBorder="1" applyAlignment="1">
      <alignment horizontal="center" vertical="center"/>
    </xf>
    <xf numFmtId="164" fontId="51" fillId="0" borderId="6" xfId="27" applyNumberFormat="1" applyFont="1" applyBorder="1" applyAlignment="1">
      <alignment horizontal="center" vertical="center"/>
    </xf>
    <xf numFmtId="164" fontId="52" fillId="0" borderId="6" xfId="27" applyNumberFormat="1" applyFont="1" applyBorder="1" applyAlignment="1">
      <alignment horizontal="center" vertical="center"/>
    </xf>
    <xf numFmtId="164" fontId="53" fillId="0" borderId="6" xfId="27" applyNumberFormat="1" applyFont="1" applyBorder="1" applyAlignment="1">
      <alignment horizontal="center" vertical="center"/>
    </xf>
    <xf numFmtId="0" fontId="3" fillId="31" borderId="3" xfId="0" applyFont="1" applyFill="1" applyBorder="1"/>
    <xf numFmtId="0" fontId="18" fillId="34" borderId="16" xfId="26" applyFont="1" applyFill="1" applyBorder="1" applyAlignment="1">
      <alignment vertical="center"/>
    </xf>
    <xf numFmtId="0" fontId="18" fillId="34" borderId="66" xfId="26" applyFont="1" applyFill="1" applyBorder="1" applyAlignment="1">
      <alignment vertical="center"/>
    </xf>
    <xf numFmtId="2" fontId="19" fillId="0" borderId="25" xfId="27" applyNumberFormat="1" applyFont="1" applyBorder="1" applyAlignment="1">
      <alignment horizontal="center" vertical="center"/>
    </xf>
    <xf numFmtId="0" fontId="54" fillId="0" borderId="0" xfId="0" applyFont="1"/>
    <xf numFmtId="0" fontId="53" fillId="0" borderId="0" xfId="27" applyFont="1" applyAlignment="1">
      <alignment horizontal="center" vertical="center"/>
    </xf>
    <xf numFmtId="2" fontId="53" fillId="0" borderId="0" xfId="27" applyNumberFormat="1" applyFont="1" applyAlignment="1">
      <alignment horizontal="center" vertical="center"/>
    </xf>
    <xf numFmtId="164" fontId="19" fillId="8" borderId="4" xfId="27" applyNumberFormat="1" applyFont="1" applyFill="1" applyBorder="1" applyAlignment="1">
      <alignment horizontal="center" vertical="center"/>
    </xf>
    <xf numFmtId="0" fontId="3" fillId="0" borderId="48" xfId="0" applyFont="1" applyBorder="1"/>
    <xf numFmtId="0" fontId="3" fillId="0" borderId="3" xfId="0" applyFont="1" applyBorder="1"/>
    <xf numFmtId="0" fontId="3" fillId="0" borderId="3" xfId="0" applyFont="1" applyBorder="1" applyAlignment="1">
      <alignment horizontal="center"/>
    </xf>
    <xf numFmtId="1" fontId="0" fillId="0" borderId="0" xfId="0" applyNumberFormat="1"/>
    <xf numFmtId="2" fontId="0" fillId="0" borderId="0" xfId="0" applyNumberFormat="1"/>
    <xf numFmtId="0" fontId="3" fillId="39" borderId="0" xfId="0" applyFont="1" applyFill="1"/>
    <xf numFmtId="0" fontId="3" fillId="0" borderId="0" xfId="0" applyFont="1"/>
    <xf numFmtId="165" fontId="3" fillId="0" borderId="0" xfId="0" applyNumberFormat="1" applyFont="1" applyAlignment="1">
      <alignment horizontal="center"/>
    </xf>
    <xf numFmtId="2" fontId="47" fillId="0" borderId="0" xfId="0" applyNumberFormat="1" applyFont="1"/>
    <xf numFmtId="165" fontId="5" fillId="0" borderId="0" xfId="0" applyNumberFormat="1" applyFont="1" applyAlignment="1">
      <alignment horizontal="center"/>
    </xf>
    <xf numFmtId="0" fontId="0" fillId="39" borderId="0" xfId="0" applyFill="1"/>
    <xf numFmtId="0" fontId="5" fillId="0" borderId="3" xfId="0" applyFont="1" applyBorder="1" applyAlignment="1">
      <alignment horizontal="center"/>
    </xf>
    <xf numFmtId="165" fontId="57" fillId="0" borderId="0" xfId="0" applyNumberFormat="1" applyFont="1" applyAlignment="1">
      <alignment horizontal="center"/>
    </xf>
    <xf numFmtId="0" fontId="57" fillId="0" borderId="0" xfId="0" applyFont="1" applyAlignment="1">
      <alignment horizontal="center"/>
    </xf>
    <xf numFmtId="3" fontId="0" fillId="0" borderId="0" xfId="0" applyNumberFormat="1"/>
    <xf numFmtId="0" fontId="3" fillId="39" borderId="0" xfId="0" applyFont="1" applyFill="1" applyAlignment="1">
      <alignment horizontal="center"/>
    </xf>
    <xf numFmtId="0" fontId="43" fillId="26" borderId="17" xfId="0" applyFont="1" applyFill="1" applyBorder="1" applyAlignment="1">
      <alignment horizontal="center"/>
    </xf>
    <xf numFmtId="0" fontId="43" fillId="26" borderId="17" xfId="0" applyFont="1" applyFill="1" applyBorder="1" applyAlignment="1">
      <alignment horizontal="left"/>
    </xf>
    <xf numFmtId="0" fontId="43" fillId="26" borderId="45" xfId="0" applyFont="1" applyFill="1" applyBorder="1"/>
    <xf numFmtId="0" fontId="6" fillId="26" borderId="46" xfId="0" applyFont="1" applyFill="1" applyBorder="1"/>
    <xf numFmtId="0" fontId="32" fillId="0" borderId="23" xfId="0" applyFont="1" applyBorder="1" applyAlignment="1">
      <alignment horizontal="center" vertical="center" textRotation="90"/>
    </xf>
    <xf numFmtId="170" fontId="0" fillId="0" borderId="3" xfId="0" applyNumberFormat="1" applyBorder="1"/>
    <xf numFmtId="0" fontId="2" fillId="65" borderId="76" xfId="68" applyFill="1" applyBorder="1" applyAlignment="1">
      <alignment horizontal="center"/>
    </xf>
    <xf numFmtId="0" fontId="2" fillId="66" borderId="76" xfId="68" applyFill="1" applyBorder="1" applyAlignment="1">
      <alignment horizontal="center"/>
    </xf>
    <xf numFmtId="0" fontId="5" fillId="28" borderId="3" xfId="0" applyFont="1" applyFill="1" applyBorder="1" applyAlignment="1">
      <alignment horizontal="center"/>
    </xf>
    <xf numFmtId="0" fontId="0" fillId="36" borderId="3" xfId="0" applyFill="1" applyBorder="1" applyAlignment="1">
      <alignment horizontal="center"/>
    </xf>
    <xf numFmtId="0" fontId="0" fillId="68" borderId="3" xfId="0" applyFill="1" applyBorder="1" applyAlignment="1">
      <alignment horizontal="center"/>
    </xf>
    <xf numFmtId="0" fontId="6" fillId="0" borderId="3" xfId="0" applyFont="1" applyBorder="1" applyAlignment="1">
      <alignment horizontal="center"/>
    </xf>
    <xf numFmtId="0" fontId="5" fillId="26" borderId="22" xfId="0" applyFont="1" applyFill="1" applyBorder="1" applyAlignment="1">
      <alignment horizontal="center"/>
    </xf>
    <xf numFmtId="0" fontId="2" fillId="28" borderId="3" xfId="68" applyFill="1" applyBorder="1" applyAlignment="1">
      <alignment horizontal="center"/>
    </xf>
    <xf numFmtId="0" fontId="0" fillId="60" borderId="3" xfId="0" applyFill="1" applyBorder="1" applyAlignment="1">
      <alignment horizontal="center"/>
    </xf>
    <xf numFmtId="3" fontId="5" fillId="0" borderId="3" xfId="0" applyNumberFormat="1" applyFont="1" applyBorder="1"/>
    <xf numFmtId="0" fontId="0" fillId="38" borderId="3" xfId="0" applyFill="1" applyBorder="1" applyAlignment="1">
      <alignment horizontal="center"/>
    </xf>
    <xf numFmtId="1" fontId="3" fillId="28" borderId="3" xfId="0" applyNumberFormat="1" applyFont="1" applyFill="1" applyBorder="1"/>
    <xf numFmtId="1" fontId="0" fillId="28" borderId="3" xfId="0" applyNumberFormat="1" applyFill="1" applyBorder="1"/>
    <xf numFmtId="170" fontId="0" fillId="58" borderId="3" xfId="0" applyNumberFormat="1" applyFill="1" applyBorder="1"/>
    <xf numFmtId="0" fontId="43" fillId="26" borderId="21" xfId="0" applyFont="1" applyFill="1" applyBorder="1"/>
    <xf numFmtId="0" fontId="0" fillId="58" borderId="3" xfId="0" applyFill="1" applyBorder="1" applyAlignment="1">
      <alignment horizontal="center"/>
    </xf>
    <xf numFmtId="0" fontId="5" fillId="26" borderId="46" xfId="0" applyFont="1" applyFill="1" applyBorder="1" applyAlignment="1">
      <alignment horizontal="center"/>
    </xf>
    <xf numFmtId="3" fontId="0" fillId="0" borderId="3" xfId="0" applyNumberFormat="1" applyBorder="1"/>
    <xf numFmtId="0" fontId="43" fillId="26" borderId="45" xfId="0" applyFont="1" applyFill="1" applyBorder="1" applyAlignment="1">
      <alignment horizontal="left"/>
    </xf>
    <xf numFmtId="170" fontId="0" fillId="34" borderId="3" xfId="0" applyNumberFormat="1" applyFill="1" applyBorder="1"/>
    <xf numFmtId="0" fontId="5" fillId="0" borderId="3" xfId="0" applyFont="1" applyBorder="1" applyAlignment="1">
      <alignment horizontal="center" vertical="center"/>
    </xf>
    <xf numFmtId="0" fontId="5" fillId="58" borderId="3" xfId="0" applyFont="1" applyFill="1" applyBorder="1" applyAlignment="1">
      <alignment horizontal="center"/>
    </xf>
    <xf numFmtId="170" fontId="0" fillId="36" borderId="3" xfId="0" applyNumberFormat="1" applyFill="1" applyBorder="1"/>
    <xf numFmtId="0" fontId="0" fillId="34" borderId="3" xfId="0" applyFill="1" applyBorder="1" applyAlignment="1">
      <alignment horizontal="center"/>
    </xf>
    <xf numFmtId="0" fontId="3" fillId="28" borderId="3" xfId="0" applyFont="1" applyFill="1" applyBorder="1"/>
    <xf numFmtId="0" fontId="2" fillId="34" borderId="76" xfId="68" applyFill="1" applyBorder="1" applyAlignment="1">
      <alignment horizontal="center"/>
    </xf>
    <xf numFmtId="0" fontId="2" fillId="58" borderId="75" xfId="68" applyFill="1" applyBorder="1" applyAlignment="1">
      <alignment horizontal="center"/>
    </xf>
    <xf numFmtId="0" fontId="2" fillId="58" borderId="76" xfId="68" applyFill="1" applyBorder="1" applyAlignment="1">
      <alignment horizontal="center"/>
    </xf>
    <xf numFmtId="0" fontId="2" fillId="59" borderId="76" xfId="68" applyFill="1" applyBorder="1" applyAlignment="1">
      <alignment horizontal="center"/>
    </xf>
    <xf numFmtId="0" fontId="2" fillId="36" borderId="76" xfId="68" applyFill="1" applyBorder="1" applyAlignment="1">
      <alignment horizontal="center"/>
    </xf>
    <xf numFmtId="0" fontId="2" fillId="60" borderId="76" xfId="68" applyFill="1" applyBorder="1" applyAlignment="1">
      <alignment horizontal="center"/>
    </xf>
    <xf numFmtId="0" fontId="2" fillId="62" borderId="76" xfId="68" applyFill="1" applyBorder="1" applyAlignment="1">
      <alignment horizontal="center"/>
    </xf>
    <xf numFmtId="0" fontId="2" fillId="58" borderId="78" xfId="68" applyFill="1" applyBorder="1" applyAlignment="1">
      <alignment horizontal="center"/>
    </xf>
    <xf numFmtId="0" fontId="2" fillId="62" borderId="79" xfId="68" applyFill="1" applyBorder="1" applyAlignment="1">
      <alignment horizontal="center"/>
    </xf>
    <xf numFmtId="0" fontId="2" fillId="34" borderId="3" xfId="68" applyFill="1" applyBorder="1" applyAlignment="1">
      <alignment horizontal="center"/>
    </xf>
    <xf numFmtId="0" fontId="2" fillId="36" borderId="3" xfId="68" applyFill="1" applyBorder="1" applyAlignment="1">
      <alignment horizontal="center"/>
    </xf>
    <xf numFmtId="0" fontId="2" fillId="58" borderId="49" xfId="68" applyFill="1" applyBorder="1" applyAlignment="1">
      <alignment horizontal="center"/>
    </xf>
    <xf numFmtId="0" fontId="2" fillId="58" borderId="48" xfId="68" applyFill="1" applyBorder="1" applyAlignment="1">
      <alignment horizontal="center"/>
    </xf>
    <xf numFmtId="0" fontId="2" fillId="58" borderId="3" xfId="68" applyFill="1" applyBorder="1" applyAlignment="1">
      <alignment horizontal="center"/>
    </xf>
    <xf numFmtId="0" fontId="2" fillId="59" borderId="3" xfId="68" applyFill="1" applyBorder="1" applyAlignment="1">
      <alignment horizontal="center"/>
    </xf>
    <xf numFmtId="0" fontId="2" fillId="60" borderId="3" xfId="68" applyFill="1" applyBorder="1" applyAlignment="1">
      <alignment horizontal="center"/>
    </xf>
    <xf numFmtId="0" fontId="2" fillId="62" borderId="3" xfId="68" applyFill="1" applyBorder="1" applyAlignment="1">
      <alignment horizontal="center"/>
    </xf>
    <xf numFmtId="0" fontId="2" fillId="62" borderId="50" xfId="68" applyFill="1" applyBorder="1" applyAlignment="1">
      <alignment horizontal="center"/>
    </xf>
    <xf numFmtId="0" fontId="2" fillId="34" borderId="82" xfId="68" applyFill="1" applyBorder="1" applyAlignment="1">
      <alignment horizontal="center"/>
    </xf>
    <xf numFmtId="0" fontId="2" fillId="58" borderId="82" xfId="68" applyFill="1" applyBorder="1" applyAlignment="1">
      <alignment horizontal="center"/>
    </xf>
    <xf numFmtId="0" fontId="2" fillId="36" borderId="82" xfId="68" applyFill="1" applyBorder="1" applyAlignment="1">
      <alignment horizontal="center"/>
    </xf>
    <xf numFmtId="0" fontId="2" fillId="59" borderId="82" xfId="68" applyFill="1" applyBorder="1" applyAlignment="1">
      <alignment horizontal="center"/>
    </xf>
    <xf numFmtId="0" fontId="2" fillId="62" borderId="82" xfId="68" applyFill="1" applyBorder="1" applyAlignment="1">
      <alignment horizontal="center"/>
    </xf>
    <xf numFmtId="0" fontId="2" fillId="60" borderId="82" xfId="68" applyFill="1" applyBorder="1" applyAlignment="1">
      <alignment horizontal="center"/>
    </xf>
    <xf numFmtId="0" fontId="2" fillId="58" borderId="81" xfId="68" applyFill="1" applyBorder="1" applyAlignment="1">
      <alignment horizontal="center"/>
    </xf>
    <xf numFmtId="0" fontId="2" fillId="58" borderId="80" xfId="68" applyFill="1" applyBorder="1" applyAlignment="1">
      <alignment horizontal="center"/>
    </xf>
    <xf numFmtId="0" fontId="2" fillId="62" borderId="83" xfId="68" applyFill="1" applyBorder="1" applyAlignment="1">
      <alignment horizontal="center"/>
    </xf>
    <xf numFmtId="0" fontId="2" fillId="63" borderId="76" xfId="68" applyFill="1" applyBorder="1" applyAlignment="1">
      <alignment horizontal="center"/>
    </xf>
    <xf numFmtId="0" fontId="2" fillId="63" borderId="3" xfId="68" applyFill="1" applyBorder="1" applyAlignment="1">
      <alignment horizontal="center"/>
    </xf>
    <xf numFmtId="0" fontId="2" fillId="63" borderId="82" xfId="68" applyFill="1" applyBorder="1" applyAlignment="1">
      <alignment horizontal="center"/>
    </xf>
    <xf numFmtId="0" fontId="2" fillId="58" borderId="88" xfId="68" applyFill="1" applyBorder="1" applyAlignment="1">
      <alignment horizontal="center"/>
    </xf>
    <xf numFmtId="0" fontId="2" fillId="59" borderId="43" xfId="68" applyFill="1" applyBorder="1" applyAlignment="1">
      <alignment horizontal="center"/>
    </xf>
    <xf numFmtId="0" fontId="2" fillId="59" borderId="84" xfId="68" applyFill="1" applyBorder="1" applyAlignment="1">
      <alignment horizontal="center"/>
    </xf>
    <xf numFmtId="0" fontId="2" fillId="61" borderId="81" xfId="68" applyFill="1" applyBorder="1" applyAlignment="1">
      <alignment horizontal="center"/>
    </xf>
    <xf numFmtId="0" fontId="2" fillId="62" borderId="81" xfId="68" applyFill="1" applyBorder="1" applyAlignment="1">
      <alignment horizontal="center"/>
    </xf>
    <xf numFmtId="0" fontId="2" fillId="61" borderId="87" xfId="68" applyFill="1" applyBorder="1" applyAlignment="1">
      <alignment horizontal="center"/>
    </xf>
    <xf numFmtId="0" fontId="2" fillId="60" borderId="81" xfId="68" applyFill="1" applyBorder="1" applyAlignment="1">
      <alignment horizontal="center"/>
    </xf>
    <xf numFmtId="0" fontId="2" fillId="25" borderId="76" xfId="68" applyFill="1" applyBorder="1" applyAlignment="1">
      <alignment horizontal="center"/>
    </xf>
    <xf numFmtId="0" fontId="2" fillId="25" borderId="3" xfId="68" applyFill="1" applyBorder="1" applyAlignment="1">
      <alignment horizontal="center"/>
    </xf>
    <xf numFmtId="0" fontId="2" fillId="59" borderId="77" xfId="68" applyFill="1" applyBorder="1" applyAlignment="1">
      <alignment horizontal="center"/>
    </xf>
    <xf numFmtId="0" fontId="2" fillId="62" borderId="78" xfId="68" applyFill="1" applyBorder="1" applyAlignment="1">
      <alignment horizontal="center"/>
    </xf>
    <xf numFmtId="0" fontId="2" fillId="62" borderId="48" xfId="68" applyFill="1" applyBorder="1" applyAlignment="1">
      <alignment horizontal="center"/>
    </xf>
    <xf numFmtId="0" fontId="2" fillId="60" borderId="78" xfId="68" applyFill="1" applyBorder="1" applyAlignment="1">
      <alignment horizontal="center"/>
    </xf>
    <xf numFmtId="0" fontId="2" fillId="60" borderId="48" xfId="68" applyFill="1" applyBorder="1" applyAlignment="1">
      <alignment horizontal="center"/>
    </xf>
    <xf numFmtId="0" fontId="2" fillId="61" borderId="78" xfId="68" applyFill="1" applyBorder="1" applyAlignment="1">
      <alignment horizontal="center"/>
    </xf>
    <xf numFmtId="0" fontId="2" fillId="61" borderId="48" xfId="68" applyFill="1" applyBorder="1" applyAlignment="1">
      <alignment horizontal="center"/>
    </xf>
    <xf numFmtId="0" fontId="2" fillId="25" borderId="75" xfId="68" applyFill="1" applyBorder="1" applyAlignment="1">
      <alignment horizontal="center"/>
    </xf>
    <xf numFmtId="0" fontId="2" fillId="61" borderId="85" xfId="68" applyFill="1" applyBorder="1" applyAlignment="1">
      <alignment horizontal="center"/>
    </xf>
    <xf numFmtId="0" fontId="2" fillId="61" borderId="86" xfId="68" applyFill="1" applyBorder="1" applyAlignment="1">
      <alignment horizontal="center"/>
    </xf>
    <xf numFmtId="0" fontId="0" fillId="59" borderId="3" xfId="0" applyFill="1" applyBorder="1" applyAlignment="1">
      <alignment horizontal="center"/>
    </xf>
    <xf numFmtId="170" fontId="0" fillId="59" borderId="3" xfId="0" applyNumberFormat="1" applyFill="1" applyBorder="1"/>
    <xf numFmtId="0" fontId="0" fillId="62" borderId="3" xfId="0" applyFill="1" applyBorder="1" applyAlignment="1">
      <alignment horizontal="center"/>
    </xf>
    <xf numFmtId="170" fontId="0" fillId="62" borderId="3" xfId="0" applyNumberFormat="1" applyFill="1" applyBorder="1"/>
    <xf numFmtId="170" fontId="0" fillId="0" borderId="3" xfId="0" applyNumberFormat="1" applyBorder="1" applyAlignment="1">
      <alignment horizontal="center"/>
    </xf>
    <xf numFmtId="0" fontId="0" fillId="61" borderId="3" xfId="0" applyFill="1" applyBorder="1" applyAlignment="1">
      <alignment horizontal="center"/>
    </xf>
    <xf numFmtId="3" fontId="0" fillId="62" borderId="3" xfId="0" applyNumberFormat="1" applyFill="1" applyBorder="1" applyAlignment="1">
      <alignment horizontal="center"/>
    </xf>
    <xf numFmtId="170" fontId="0" fillId="62" borderId="3" xfId="0" applyNumberFormat="1" applyFill="1" applyBorder="1" applyAlignment="1">
      <alignment horizontal="center"/>
    </xf>
    <xf numFmtId="3" fontId="0" fillId="61" borderId="3" xfId="0" applyNumberFormat="1" applyFill="1" applyBorder="1" applyAlignment="1">
      <alignment horizontal="center"/>
    </xf>
    <xf numFmtId="170" fontId="0" fillId="61" borderId="3" xfId="0" applyNumberFormat="1" applyFill="1" applyBorder="1" applyAlignment="1">
      <alignment horizontal="center"/>
    </xf>
    <xf numFmtId="170" fontId="0" fillId="38" borderId="3" xfId="0" applyNumberFormat="1" applyFill="1" applyBorder="1"/>
    <xf numFmtId="0" fontId="43" fillId="26" borderId="45" xfId="0" applyFont="1" applyFill="1" applyBorder="1" applyAlignment="1">
      <alignment horizontal="center"/>
    </xf>
    <xf numFmtId="0" fontId="43" fillId="26" borderId="21" xfId="0" applyFont="1" applyFill="1" applyBorder="1" applyAlignment="1">
      <alignment horizontal="center"/>
    </xf>
    <xf numFmtId="0" fontId="5" fillId="34" borderId="3" xfId="0" applyFont="1" applyFill="1" applyBorder="1" applyAlignment="1">
      <alignment horizontal="center"/>
    </xf>
    <xf numFmtId="0" fontId="5" fillId="36" borderId="3" xfId="0" applyFont="1" applyFill="1" applyBorder="1" applyAlignment="1">
      <alignment horizontal="center"/>
    </xf>
    <xf numFmtId="0" fontId="5" fillId="59" borderId="3" xfId="0" applyFont="1" applyFill="1" applyBorder="1" applyAlignment="1">
      <alignment horizontal="center"/>
    </xf>
    <xf numFmtId="0" fontId="5" fillId="62" borderId="3" xfId="0" applyFont="1" applyFill="1" applyBorder="1" applyAlignment="1">
      <alignment horizontal="center"/>
    </xf>
    <xf numFmtId="0" fontId="2" fillId="67" borderId="3" xfId="68" applyFill="1" applyBorder="1" applyAlignment="1">
      <alignment horizontal="center"/>
    </xf>
    <xf numFmtId="0" fontId="2" fillId="64" borderId="3" xfId="68" applyFill="1" applyBorder="1" applyAlignment="1">
      <alignment horizontal="center"/>
    </xf>
    <xf numFmtId="0" fontId="2" fillId="66" borderId="3" xfId="68" applyFill="1" applyBorder="1" applyAlignment="1">
      <alignment horizontal="center"/>
    </xf>
    <xf numFmtId="0" fontId="6" fillId="58" borderId="41" xfId="0" applyFont="1" applyFill="1" applyBorder="1" applyAlignment="1">
      <alignment horizontal="center"/>
    </xf>
    <xf numFmtId="0" fontId="5" fillId="58" borderId="0" xfId="0" applyFont="1" applyFill="1" applyAlignment="1">
      <alignment horizontal="center"/>
    </xf>
    <xf numFmtId="0" fontId="6" fillId="25" borderId="41" xfId="0" applyFont="1" applyFill="1" applyBorder="1" applyAlignment="1">
      <alignment horizontal="center"/>
    </xf>
    <xf numFmtId="0" fontId="5" fillId="25" borderId="0" xfId="0" applyFont="1" applyFill="1" applyAlignment="1">
      <alignment horizontal="center"/>
    </xf>
    <xf numFmtId="0" fontId="6" fillId="34" borderId="41" xfId="0" applyFont="1" applyFill="1" applyBorder="1" applyAlignment="1">
      <alignment horizontal="center"/>
    </xf>
    <xf numFmtId="0" fontId="5" fillId="34" borderId="0" xfId="0" applyFont="1" applyFill="1" applyAlignment="1">
      <alignment horizontal="center"/>
    </xf>
    <xf numFmtId="0" fontId="6" fillId="36" borderId="41" xfId="0" applyFont="1" applyFill="1" applyBorder="1" applyAlignment="1">
      <alignment horizontal="center"/>
    </xf>
    <xf numFmtId="0" fontId="5" fillId="36" borderId="0" xfId="0" applyFont="1" applyFill="1" applyAlignment="1">
      <alignment horizontal="center"/>
    </xf>
    <xf numFmtId="0" fontId="5" fillId="28" borderId="0" xfId="0" applyFont="1" applyFill="1" applyAlignment="1">
      <alignment horizontal="center"/>
    </xf>
    <xf numFmtId="0" fontId="6" fillId="59" borderId="41" xfId="0" applyFont="1" applyFill="1" applyBorder="1" applyAlignment="1">
      <alignment horizontal="center"/>
    </xf>
    <xf numFmtId="0" fontId="5" fillId="59" borderId="0" xfId="0" applyFont="1" applyFill="1" applyAlignment="1">
      <alignment horizontal="center"/>
    </xf>
    <xf numFmtId="0" fontId="6" fillId="68" borderId="41" xfId="0" applyFont="1" applyFill="1" applyBorder="1" applyAlignment="1">
      <alignment horizontal="center"/>
    </xf>
    <xf numFmtId="0" fontId="5" fillId="68" borderId="0" xfId="0" applyFont="1" applyFill="1" applyAlignment="1">
      <alignment horizontal="center"/>
    </xf>
    <xf numFmtId="0" fontId="6" fillId="62" borderId="41" xfId="0" applyFont="1" applyFill="1" applyBorder="1" applyAlignment="1">
      <alignment horizontal="center"/>
    </xf>
    <xf numFmtId="0" fontId="5" fillId="62" borderId="0" xfId="0" applyFont="1" applyFill="1" applyAlignment="1">
      <alignment horizontal="center"/>
    </xf>
    <xf numFmtId="0" fontId="6" fillId="38" borderId="41" xfId="0" applyFont="1" applyFill="1" applyBorder="1" applyAlignment="1">
      <alignment horizontal="center"/>
    </xf>
    <xf numFmtId="0" fontId="5" fillId="38" borderId="0" xfId="0" applyFont="1" applyFill="1" applyAlignment="1">
      <alignment horizontal="center"/>
    </xf>
    <xf numFmtId="0" fontId="6" fillId="60" borderId="41" xfId="0" applyFont="1" applyFill="1" applyBorder="1" applyAlignment="1">
      <alignment horizontal="center"/>
    </xf>
    <xf numFmtId="0" fontId="5" fillId="60" borderId="0" xfId="0" applyFont="1" applyFill="1" applyAlignment="1">
      <alignment horizontal="center"/>
    </xf>
    <xf numFmtId="0" fontId="6" fillId="61" borderId="41" xfId="0" applyFont="1" applyFill="1" applyBorder="1" applyAlignment="1">
      <alignment horizontal="center"/>
    </xf>
    <xf numFmtId="0" fontId="5" fillId="61" borderId="0" xfId="0" applyFont="1" applyFill="1" applyAlignment="1">
      <alignment horizontal="center"/>
    </xf>
    <xf numFmtId="165" fontId="29" fillId="25" borderId="16" xfId="0" applyNumberFormat="1" applyFont="1" applyFill="1" applyBorder="1" applyAlignment="1">
      <alignment horizontal="center"/>
    </xf>
    <xf numFmtId="165" fontId="29" fillId="25" borderId="44" xfId="0" applyNumberFormat="1" applyFont="1" applyFill="1" applyBorder="1" applyAlignment="1">
      <alignment horizontal="center"/>
    </xf>
    <xf numFmtId="165" fontId="29" fillId="25" borderId="20" xfId="0" applyNumberFormat="1" applyFont="1" applyFill="1" applyBorder="1" applyAlignment="1">
      <alignment horizontal="center"/>
    </xf>
    <xf numFmtId="0" fontId="0" fillId="34" borderId="3" xfId="0" applyFill="1" applyBorder="1"/>
    <xf numFmtId="0" fontId="0" fillId="69" borderId="3" xfId="0" applyFill="1" applyBorder="1"/>
    <xf numFmtId="0" fontId="0" fillId="69" borderId="3" xfId="0" applyFill="1" applyBorder="1" applyAlignment="1">
      <alignment horizontal="center"/>
    </xf>
    <xf numFmtId="0" fontId="3" fillId="36" borderId="3" xfId="0" applyFont="1" applyFill="1" applyBorder="1"/>
    <xf numFmtId="0" fontId="0" fillId="36" borderId="3" xfId="0" applyFill="1" applyBorder="1"/>
    <xf numFmtId="0" fontId="3" fillId="68" borderId="3" xfId="0" applyFont="1" applyFill="1" applyBorder="1"/>
    <xf numFmtId="0" fontId="0" fillId="68" borderId="3" xfId="0" applyFill="1" applyBorder="1"/>
    <xf numFmtId="0" fontId="0" fillId="59" borderId="3" xfId="0" applyFill="1" applyBorder="1"/>
    <xf numFmtId="0" fontId="0" fillId="62" borderId="3" xfId="0" applyFill="1" applyBorder="1"/>
    <xf numFmtId="0" fontId="3" fillId="58" borderId="3" xfId="0" applyFont="1" applyFill="1" applyBorder="1" applyAlignment="1">
      <alignment horizontal="center"/>
    </xf>
    <xf numFmtId="0" fontId="19" fillId="8" borderId="8" xfId="27" applyFont="1" applyFill="1" applyBorder="1" applyAlignment="1">
      <alignment horizontal="center" vertical="center"/>
    </xf>
    <xf numFmtId="0" fontId="19" fillId="0" borderId="8" xfId="27" applyFont="1" applyBorder="1" applyAlignment="1">
      <alignment horizontal="center" vertical="center"/>
    </xf>
    <xf numFmtId="0" fontId="18" fillId="0" borderId="15" xfId="27" applyFont="1" applyBorder="1" applyAlignment="1">
      <alignment vertical="center"/>
    </xf>
    <xf numFmtId="0" fontId="18" fillId="0" borderId="26" xfId="27" applyFont="1" applyBorder="1" applyAlignment="1">
      <alignment vertical="center"/>
    </xf>
    <xf numFmtId="0" fontId="18" fillId="0" borderId="20" xfId="27" applyFont="1" applyBorder="1" applyAlignment="1">
      <alignment vertical="center"/>
    </xf>
    <xf numFmtId="0" fontId="24" fillId="35" borderId="44" xfId="27" applyFont="1" applyFill="1" applyBorder="1" applyAlignment="1">
      <alignment vertical="center"/>
    </xf>
    <xf numFmtId="170" fontId="0" fillId="0" borderId="0" xfId="0" applyNumberFormat="1"/>
    <xf numFmtId="164" fontId="5" fillId="0" borderId="0" xfId="0" applyNumberFormat="1" applyFont="1" applyAlignment="1">
      <alignment horizontal="center"/>
    </xf>
    <xf numFmtId="0" fontId="57" fillId="0" borderId="3" xfId="0" applyFont="1" applyBorder="1"/>
    <xf numFmtId="0" fontId="19" fillId="36" borderId="28" xfId="27" applyFont="1" applyFill="1" applyBorder="1" applyAlignment="1">
      <alignment horizontal="center" vertical="center"/>
    </xf>
    <xf numFmtId="0" fontId="27" fillId="36" borderId="28" xfId="27" applyFont="1" applyFill="1" applyBorder="1" applyAlignment="1">
      <alignment horizontal="center" vertical="center"/>
    </xf>
    <xf numFmtId="2" fontId="19" fillId="36" borderId="28" xfId="27" applyNumberFormat="1" applyFont="1" applyFill="1" applyBorder="1" applyAlignment="1">
      <alignment horizontal="center" vertical="center"/>
    </xf>
    <xf numFmtId="0" fontId="22" fillId="34" borderId="20" xfId="27" applyFont="1" applyFill="1" applyBorder="1" applyAlignment="1">
      <alignment horizontal="center" vertical="center"/>
    </xf>
    <xf numFmtId="0" fontId="18" fillId="34" borderId="20" xfId="27" applyFont="1" applyFill="1" applyBorder="1" applyAlignment="1">
      <alignment vertical="center"/>
    </xf>
    <xf numFmtId="0" fontId="24" fillId="35" borderId="24" xfId="27" applyFont="1" applyFill="1" applyBorder="1" applyAlignment="1">
      <alignment vertical="center"/>
    </xf>
    <xf numFmtId="0" fontId="22" fillId="35" borderId="90" xfId="27" applyFont="1" applyFill="1" applyBorder="1" applyAlignment="1">
      <alignment horizontal="center" vertical="center"/>
    </xf>
    <xf numFmtId="0" fontId="22" fillId="35" borderId="91" xfId="27" applyFont="1" applyFill="1" applyBorder="1" applyAlignment="1">
      <alignment horizontal="center" vertical="center"/>
    </xf>
    <xf numFmtId="0" fontId="19" fillId="35" borderId="91" xfId="27" applyFont="1" applyFill="1" applyBorder="1" applyAlignment="1">
      <alignment horizontal="center" vertical="center"/>
    </xf>
    <xf numFmtId="0" fontId="22" fillId="35" borderId="92" xfId="27" applyFont="1" applyFill="1" applyBorder="1" applyAlignment="1">
      <alignment horizontal="center" vertical="center"/>
    </xf>
    <xf numFmtId="0" fontId="24" fillId="35" borderId="93" xfId="27" applyFont="1" applyFill="1" applyBorder="1" applyAlignment="1">
      <alignment horizontal="center" vertical="center"/>
    </xf>
    <xf numFmtId="0" fontId="24" fillId="35" borderId="94" xfId="27" applyFont="1" applyFill="1" applyBorder="1" applyAlignment="1">
      <alignment vertical="center"/>
    </xf>
    <xf numFmtId="0" fontId="19" fillId="3" borderId="65" xfId="27" applyFont="1" applyFill="1" applyBorder="1" applyAlignment="1">
      <alignment vertical="center"/>
    </xf>
    <xf numFmtId="0" fontId="19" fillId="3" borderId="27" xfId="27" applyFont="1" applyFill="1" applyBorder="1" applyAlignment="1">
      <alignment vertical="center"/>
    </xf>
    <xf numFmtId="0" fontId="19" fillId="0" borderId="41" xfId="27" applyFont="1" applyBorder="1" applyAlignment="1">
      <alignment vertical="center"/>
    </xf>
    <xf numFmtId="0" fontId="19" fillId="3" borderId="95" xfId="27" applyFont="1" applyFill="1" applyBorder="1" applyAlignment="1">
      <alignment vertical="center"/>
    </xf>
    <xf numFmtId="0" fontId="19" fillId="3" borderId="96" xfId="27" applyFont="1" applyFill="1" applyBorder="1" applyAlignment="1">
      <alignment vertical="center"/>
    </xf>
    <xf numFmtId="0" fontId="18" fillId="7" borderId="4" xfId="27" applyFont="1" applyFill="1" applyBorder="1" applyAlignment="1">
      <alignment vertical="center"/>
    </xf>
    <xf numFmtId="0" fontId="19" fillId="7" borderId="5" xfId="27" applyFont="1" applyFill="1" applyBorder="1" applyAlignment="1">
      <alignment horizontal="center" vertical="center"/>
    </xf>
    <xf numFmtId="0" fontId="19" fillId="7" borderId="4" xfId="27" applyFont="1" applyFill="1" applyBorder="1" applyAlignment="1">
      <alignment horizontal="center" vertical="center"/>
    </xf>
    <xf numFmtId="0" fontId="18" fillId="7" borderId="5" xfId="27" applyFont="1" applyFill="1" applyBorder="1" applyAlignment="1">
      <alignment horizontal="center" vertical="center"/>
    </xf>
    <xf numFmtId="0" fontId="18" fillId="7" borderId="7" xfId="27" applyFont="1" applyFill="1" applyBorder="1" applyAlignment="1">
      <alignment vertical="center"/>
    </xf>
    <xf numFmtId="165" fontId="28" fillId="28" borderId="0" xfId="0" applyNumberFormat="1" applyFont="1" applyFill="1" applyAlignment="1">
      <alignment horizontal="center"/>
    </xf>
    <xf numFmtId="0" fontId="5" fillId="0" borderId="3" xfId="0" applyFont="1" applyBorder="1" applyAlignment="1">
      <alignment horizontal="right"/>
    </xf>
    <xf numFmtId="170" fontId="0" fillId="58" borderId="3" xfId="0" applyNumberFormat="1" applyFill="1" applyBorder="1" applyAlignment="1">
      <alignment horizontal="right"/>
    </xf>
    <xf numFmtId="170" fontId="0" fillId="34" borderId="3" xfId="0" applyNumberFormat="1" applyFill="1" applyBorder="1" applyAlignment="1">
      <alignment horizontal="right"/>
    </xf>
    <xf numFmtId="0" fontId="0" fillId="36" borderId="3" xfId="0" applyFill="1" applyBorder="1" applyAlignment="1">
      <alignment horizontal="right"/>
    </xf>
    <xf numFmtId="0" fontId="5" fillId="36" borderId="3" xfId="0" applyFont="1" applyFill="1" applyBorder="1" applyAlignment="1">
      <alignment horizontal="right"/>
    </xf>
    <xf numFmtId="170" fontId="0" fillId="59" borderId="3" xfId="0" applyNumberFormat="1" applyFill="1" applyBorder="1" applyAlignment="1">
      <alignment horizontal="right"/>
    </xf>
    <xf numFmtId="170" fontId="0" fillId="62" borderId="3" xfId="0" applyNumberFormat="1" applyFill="1" applyBorder="1" applyAlignment="1">
      <alignment horizontal="right"/>
    </xf>
    <xf numFmtId="0" fontId="3" fillId="70" borderId="3" xfId="0" applyFont="1" applyFill="1" applyBorder="1" applyAlignment="1">
      <alignment horizontal="center"/>
    </xf>
    <xf numFmtId="0" fontId="5" fillId="70" borderId="3" xfId="0" applyFont="1" applyFill="1" applyBorder="1" applyAlignment="1">
      <alignment horizontal="center"/>
    </xf>
    <xf numFmtId="0" fontId="5" fillId="70" borderId="3" xfId="0" applyFont="1" applyFill="1" applyBorder="1" applyAlignment="1">
      <alignment horizontal="right"/>
    </xf>
    <xf numFmtId="0" fontId="3" fillId="68" borderId="3" xfId="0" applyFont="1" applyFill="1" applyBorder="1" applyAlignment="1">
      <alignment horizontal="center"/>
    </xf>
    <xf numFmtId="0" fontId="5" fillId="68" borderId="3" xfId="0" applyFont="1" applyFill="1" applyBorder="1" applyAlignment="1">
      <alignment horizontal="center"/>
    </xf>
    <xf numFmtId="0" fontId="5" fillId="68" borderId="3" xfId="0" applyFont="1" applyFill="1" applyBorder="1" applyAlignment="1">
      <alignment horizontal="right"/>
    </xf>
    <xf numFmtId="0" fontId="3" fillId="38" borderId="3" xfId="0" applyFont="1" applyFill="1" applyBorder="1" applyAlignment="1">
      <alignment horizontal="center"/>
    </xf>
    <xf numFmtId="0" fontId="5" fillId="38" borderId="3" xfId="0" applyFont="1" applyFill="1" applyBorder="1" applyAlignment="1">
      <alignment horizontal="center"/>
    </xf>
    <xf numFmtId="0" fontId="5" fillId="38" borderId="3" xfId="0" applyFont="1" applyFill="1" applyBorder="1" applyAlignment="1">
      <alignment horizontal="right"/>
    </xf>
    <xf numFmtId="0" fontId="3" fillId="60" borderId="3" xfId="0" applyFont="1" applyFill="1" applyBorder="1" applyAlignment="1">
      <alignment horizontal="center"/>
    </xf>
    <xf numFmtId="0" fontId="5" fillId="60" borderId="3" xfId="0" applyFont="1" applyFill="1" applyBorder="1" applyAlignment="1">
      <alignment horizontal="center"/>
    </xf>
    <xf numFmtId="0" fontId="5" fillId="60" borderId="3" xfId="0" applyFont="1" applyFill="1" applyBorder="1" applyAlignment="1">
      <alignment horizontal="right"/>
    </xf>
    <xf numFmtId="2" fontId="3" fillId="0" borderId="0" xfId="0" applyNumberFormat="1" applyFont="1" applyAlignment="1">
      <alignment horizontal="center"/>
    </xf>
    <xf numFmtId="0" fontId="3" fillId="0" borderId="41" xfId="0" quotePrefix="1" applyFont="1" applyBorder="1" applyAlignment="1">
      <alignment horizontal="center"/>
    </xf>
    <xf numFmtId="17" fontId="3" fillId="0" borderId="41" xfId="0" applyNumberFormat="1" applyFont="1" applyBorder="1" applyAlignment="1">
      <alignment horizontal="center"/>
    </xf>
    <xf numFmtId="17" fontId="3" fillId="0" borderId="41" xfId="0" quotePrefix="1" applyNumberFormat="1" applyFont="1" applyBorder="1" applyAlignment="1">
      <alignment horizontal="center"/>
    </xf>
    <xf numFmtId="0" fontId="3" fillId="0" borderId="45" xfId="0" applyFont="1" applyBorder="1" applyAlignment="1">
      <alignment horizontal="center"/>
    </xf>
    <xf numFmtId="0" fontId="3" fillId="0" borderId="21" xfId="0" applyFont="1" applyBorder="1" applyAlignment="1">
      <alignment horizontal="center"/>
    </xf>
    <xf numFmtId="0" fontId="2" fillId="71" borderId="76" xfId="68" applyFill="1" applyBorder="1" applyAlignment="1">
      <alignment horizontal="center"/>
    </xf>
    <xf numFmtId="0" fontId="2" fillId="71" borderId="3" xfId="68" applyFill="1" applyBorder="1" applyAlignment="1">
      <alignment horizontal="center"/>
    </xf>
    <xf numFmtId="0" fontId="2" fillId="71" borderId="82" xfId="68" applyFill="1" applyBorder="1" applyAlignment="1">
      <alignment horizontal="center"/>
    </xf>
    <xf numFmtId="0" fontId="1" fillId="71" borderId="76" xfId="68" applyFont="1" applyFill="1" applyBorder="1" applyAlignment="1">
      <alignment horizontal="center"/>
    </xf>
    <xf numFmtId="0" fontId="2" fillId="27" borderId="78" xfId="68" applyFill="1" applyBorder="1" applyAlignment="1">
      <alignment horizontal="center"/>
    </xf>
    <xf numFmtId="0" fontId="2" fillId="27" borderId="48" xfId="68" applyFill="1" applyBorder="1" applyAlignment="1">
      <alignment horizontal="center"/>
    </xf>
    <xf numFmtId="0" fontId="2" fillId="27" borderId="81" xfId="68" applyFill="1" applyBorder="1" applyAlignment="1">
      <alignment horizontal="center"/>
    </xf>
    <xf numFmtId="0" fontId="2" fillId="27" borderId="76" xfId="68" applyFill="1" applyBorder="1" applyAlignment="1">
      <alignment horizontal="center"/>
    </xf>
    <xf numFmtId="0" fontId="2" fillId="27" borderId="3" xfId="68" applyFill="1" applyBorder="1" applyAlignment="1">
      <alignment horizontal="center"/>
    </xf>
    <xf numFmtId="0" fontId="2" fillId="27" borderId="82" xfId="68" applyFill="1" applyBorder="1" applyAlignment="1">
      <alignment horizontal="center"/>
    </xf>
    <xf numFmtId="0" fontId="2" fillId="39" borderId="78" xfId="68" applyFill="1" applyBorder="1" applyAlignment="1">
      <alignment horizontal="center"/>
    </xf>
    <xf numFmtId="0" fontId="2" fillId="39" borderId="48" xfId="68" applyFill="1" applyBorder="1" applyAlignment="1">
      <alignment horizontal="center"/>
    </xf>
    <xf numFmtId="0" fontId="2" fillId="39" borderId="81" xfId="68" applyFill="1" applyBorder="1" applyAlignment="1">
      <alignment horizontal="center"/>
    </xf>
    <xf numFmtId="0" fontId="2" fillId="39" borderId="76" xfId="68" applyFill="1" applyBorder="1" applyAlignment="1">
      <alignment horizontal="center"/>
    </xf>
    <xf numFmtId="0" fontId="2" fillId="39" borderId="3" xfId="68" applyFill="1" applyBorder="1" applyAlignment="1">
      <alignment horizontal="center"/>
    </xf>
    <xf numFmtId="0" fontId="2" fillId="39" borderId="82" xfId="68" applyFill="1" applyBorder="1" applyAlignment="1">
      <alignment horizontal="center"/>
    </xf>
    <xf numFmtId="0" fontId="1" fillId="39" borderId="76" xfId="68" applyFont="1" applyFill="1" applyBorder="1" applyAlignment="1">
      <alignment horizontal="center"/>
    </xf>
    <xf numFmtId="0" fontId="1" fillId="58" borderId="76" xfId="68" applyFont="1" applyFill="1" applyBorder="1" applyAlignment="1">
      <alignment horizontal="center"/>
    </xf>
    <xf numFmtId="0" fontId="1" fillId="34" borderId="76" xfId="68" applyFont="1" applyFill="1" applyBorder="1" applyAlignment="1">
      <alignment horizontal="center"/>
    </xf>
    <xf numFmtId="0" fontId="1" fillId="36" borderId="76" xfId="68" applyFont="1" applyFill="1" applyBorder="1" applyAlignment="1">
      <alignment horizontal="center"/>
    </xf>
    <xf numFmtId="0" fontId="1" fillId="59" borderId="76" xfId="68" applyFont="1" applyFill="1" applyBorder="1" applyAlignment="1">
      <alignment horizontal="center"/>
    </xf>
    <xf numFmtId="0" fontId="1" fillId="62" borderId="78" xfId="68" applyFont="1" applyFill="1" applyBorder="1" applyAlignment="1">
      <alignment horizontal="center"/>
    </xf>
    <xf numFmtId="0" fontId="2" fillId="61" borderId="3" xfId="68" applyFill="1" applyBorder="1" applyAlignment="1">
      <alignment horizontal="center"/>
    </xf>
    <xf numFmtId="0" fontId="2" fillId="61" borderId="82" xfId="68" applyFill="1" applyBorder="1" applyAlignment="1">
      <alignment horizontal="center"/>
    </xf>
    <xf numFmtId="0" fontId="1" fillId="61" borderId="78" xfId="68" applyFont="1" applyFill="1" applyBorder="1" applyAlignment="1">
      <alignment horizontal="center"/>
    </xf>
    <xf numFmtId="0" fontId="2" fillId="59" borderId="78" xfId="68" applyFill="1" applyBorder="1" applyAlignment="1">
      <alignment horizontal="center"/>
    </xf>
    <xf numFmtId="0" fontId="2" fillId="59" borderId="48" xfId="68" applyFill="1" applyBorder="1" applyAlignment="1">
      <alignment horizontal="center"/>
    </xf>
    <xf numFmtId="0" fontId="2" fillId="59" borderId="81" xfId="68" applyFill="1" applyBorder="1" applyAlignment="1">
      <alignment horizontal="center"/>
    </xf>
    <xf numFmtId="1" fontId="0" fillId="28" borderId="3" xfId="0" applyNumberFormat="1" applyFill="1" applyBorder="1" applyAlignment="1">
      <alignment horizontal="center"/>
    </xf>
    <xf numFmtId="0" fontId="3" fillId="25" borderId="0" xfId="0" applyFont="1" applyFill="1" applyAlignment="1">
      <alignment horizontal="center"/>
    </xf>
    <xf numFmtId="165" fontId="3" fillId="25" borderId="0" xfId="0" applyNumberFormat="1" applyFont="1" applyFill="1" applyAlignment="1">
      <alignment horizontal="center"/>
    </xf>
    <xf numFmtId="1" fontId="0" fillId="36" borderId="50" xfId="0" applyNumberFormat="1" applyFill="1" applyBorder="1" applyAlignment="1">
      <alignment horizontal="center" vertical="center"/>
    </xf>
    <xf numFmtId="0" fontId="3" fillId="0" borderId="0" xfId="79"/>
    <xf numFmtId="0" fontId="3" fillId="0" borderId="43" xfId="79" applyBorder="1" applyAlignment="1">
      <alignment horizontal="center" shrinkToFit="1"/>
    </xf>
    <xf numFmtId="0" fontId="3" fillId="0" borderId="0" xfId="79" applyAlignment="1">
      <alignment horizontal="center" shrinkToFit="1"/>
    </xf>
    <xf numFmtId="0" fontId="0" fillId="72" borderId="3" xfId="0" applyFill="1" applyBorder="1"/>
    <xf numFmtId="0" fontId="0" fillId="72" borderId="3" xfId="0" applyFill="1" applyBorder="1" applyAlignment="1">
      <alignment horizontal="center"/>
    </xf>
    <xf numFmtId="0" fontId="0" fillId="73" borderId="3" xfId="0" applyFill="1" applyBorder="1"/>
    <xf numFmtId="0" fontId="0" fillId="73" borderId="3" xfId="0" applyFill="1" applyBorder="1" applyAlignment="1">
      <alignment horizontal="center"/>
    </xf>
    <xf numFmtId="0" fontId="0" fillId="74" borderId="3" xfId="0" applyFill="1" applyBorder="1" applyAlignment="1">
      <alignment horizontal="center"/>
    </xf>
    <xf numFmtId="0" fontId="0" fillId="74" borderId="3" xfId="0" applyFill="1" applyBorder="1"/>
    <xf numFmtId="0" fontId="0" fillId="75" borderId="3" xfId="0" applyFill="1" applyBorder="1"/>
    <xf numFmtId="0" fontId="0" fillId="75" borderId="3" xfId="0" applyFill="1" applyBorder="1" applyAlignment="1">
      <alignment horizontal="center"/>
    </xf>
    <xf numFmtId="0" fontId="0" fillId="76" borderId="3" xfId="0" applyFill="1" applyBorder="1"/>
    <xf numFmtId="0" fontId="0" fillId="76" borderId="3" xfId="0" applyFill="1" applyBorder="1" applyAlignment="1">
      <alignment horizontal="center"/>
    </xf>
    <xf numFmtId="0" fontId="0" fillId="77" borderId="3" xfId="0" applyFill="1" applyBorder="1"/>
    <xf numFmtId="0" fontId="0" fillId="77" borderId="3" xfId="0" applyFill="1" applyBorder="1" applyAlignment="1">
      <alignment horizontal="center"/>
    </xf>
    <xf numFmtId="0" fontId="3" fillId="28" borderId="41" xfId="0" applyFont="1" applyFill="1" applyBorder="1" applyAlignment="1">
      <alignment horizontal="center"/>
    </xf>
    <xf numFmtId="165" fontId="3" fillId="28" borderId="0" xfId="0" applyNumberFormat="1" applyFont="1" applyFill="1" applyAlignment="1">
      <alignment horizontal="center"/>
    </xf>
    <xf numFmtId="0" fontId="28" fillId="28" borderId="0" xfId="0" applyFont="1" applyFill="1" applyAlignment="1">
      <alignment horizontal="center"/>
    </xf>
    <xf numFmtId="0" fontId="28" fillId="28" borderId="42" xfId="0" applyFont="1" applyFill="1" applyBorder="1" applyAlignment="1">
      <alignment horizontal="center"/>
    </xf>
    <xf numFmtId="0" fontId="3" fillId="28" borderId="0" xfId="0" applyFont="1" applyFill="1" applyAlignment="1">
      <alignment horizontal="center"/>
    </xf>
    <xf numFmtId="0" fontId="29" fillId="28" borderId="0" xfId="0" applyFont="1" applyFill="1" applyAlignment="1">
      <alignment horizontal="center"/>
    </xf>
    <xf numFmtId="0" fontId="74" fillId="28" borderId="0" xfId="0" applyFont="1" applyFill="1" applyAlignment="1">
      <alignment horizontal="center"/>
    </xf>
    <xf numFmtId="165" fontId="57" fillId="28" borderId="0" xfId="0" applyNumberFormat="1" applyFont="1" applyFill="1" applyAlignment="1">
      <alignment horizontal="center"/>
    </xf>
    <xf numFmtId="0" fontId="57" fillId="28" borderId="41" xfId="0" applyFont="1" applyFill="1" applyBorder="1" applyAlignment="1">
      <alignment horizontal="center"/>
    </xf>
    <xf numFmtId="0" fontId="3" fillId="30" borderId="0" xfId="0" applyFont="1" applyFill="1" applyAlignment="1">
      <alignment horizontal="center"/>
    </xf>
    <xf numFmtId="0" fontId="5" fillId="30" borderId="0" xfId="0" applyFont="1" applyFill="1" applyAlignment="1">
      <alignment horizontal="center"/>
    </xf>
    <xf numFmtId="165" fontId="3" fillId="30" borderId="0" xfId="0" applyNumberFormat="1" applyFont="1" applyFill="1" applyAlignment="1">
      <alignment horizontal="center"/>
    </xf>
    <xf numFmtId="2" fontId="3" fillId="30" borderId="0" xfId="0" applyNumberFormat="1" applyFont="1" applyFill="1" applyAlignment="1">
      <alignment horizontal="center"/>
    </xf>
    <xf numFmtId="3" fontId="0" fillId="38" borderId="3" xfId="0" applyNumberFormat="1" applyFill="1" applyBorder="1" applyAlignment="1">
      <alignment horizontal="center"/>
    </xf>
    <xf numFmtId="1" fontId="19" fillId="34" borderId="24" xfId="27" quotePrefix="1" applyNumberFormat="1" applyFont="1" applyFill="1" applyBorder="1" applyAlignment="1">
      <alignment horizontal="center" vertical="center"/>
    </xf>
    <xf numFmtId="1" fontId="19" fillId="34" borderId="20" xfId="27" applyNumberFormat="1" applyFont="1" applyFill="1" applyBorder="1" applyAlignment="1">
      <alignment horizontal="center" vertical="center"/>
    </xf>
    <xf numFmtId="0" fontId="19" fillId="34" borderId="20" xfId="27" applyFont="1" applyFill="1" applyBorder="1" applyAlignment="1">
      <alignment horizontal="center" vertical="center"/>
    </xf>
    <xf numFmtId="0" fontId="19" fillId="0" borderId="24" xfId="27" applyFont="1" applyBorder="1" applyAlignment="1">
      <alignment horizontal="center" vertical="center"/>
    </xf>
    <xf numFmtId="0" fontId="22" fillId="0" borderId="25" xfId="27" applyFont="1" applyBorder="1" applyAlignment="1">
      <alignment horizontal="center" vertical="center"/>
    </xf>
    <xf numFmtId="0" fontId="19" fillId="28" borderId="20" xfId="27" applyFont="1" applyFill="1" applyBorder="1" applyAlignment="1">
      <alignment horizontal="center" vertical="center"/>
    </xf>
    <xf numFmtId="0" fontId="19" fillId="34" borderId="15" xfId="27" applyFont="1" applyFill="1" applyBorder="1" applyAlignment="1">
      <alignment horizontal="center" vertical="center"/>
    </xf>
    <xf numFmtId="0" fontId="19" fillId="34" borderId="97" xfId="27" applyFont="1" applyFill="1" applyBorder="1" applyAlignment="1">
      <alignment horizontal="center" vertical="center"/>
    </xf>
    <xf numFmtId="0" fontId="19" fillId="34" borderId="54" xfId="27" applyFont="1" applyFill="1" applyBorder="1" applyAlignment="1">
      <alignment horizontal="center" vertical="center"/>
    </xf>
    <xf numFmtId="1" fontId="19" fillId="34" borderId="15" xfId="26" applyNumberFormat="1" applyFont="1" applyFill="1" applyBorder="1" applyAlignment="1">
      <alignment horizontal="center" vertical="center"/>
    </xf>
    <xf numFmtId="1" fontId="19" fillId="34" borderId="97" xfId="26" applyNumberFormat="1" applyFont="1" applyFill="1" applyBorder="1" applyAlignment="1">
      <alignment horizontal="center" vertical="center"/>
    </xf>
    <xf numFmtId="1" fontId="19" fillId="34" borderId="54" xfId="26" applyNumberFormat="1" applyFont="1" applyFill="1" applyBorder="1" applyAlignment="1">
      <alignment horizontal="center" vertical="center"/>
    </xf>
    <xf numFmtId="1" fontId="0" fillId="0" borderId="52" xfId="0" applyNumberFormat="1" applyBorder="1" applyAlignment="1">
      <alignment horizontal="center" vertical="center"/>
    </xf>
    <xf numFmtId="0" fontId="19" fillId="0" borderId="25" xfId="27" applyFont="1" applyBorder="1" applyAlignment="1">
      <alignment horizontal="center" vertical="center"/>
    </xf>
    <xf numFmtId="164" fontId="19" fillId="0" borderId="25" xfId="27" applyNumberFormat="1" applyFont="1" applyBorder="1" applyAlignment="1">
      <alignment horizontal="center" vertical="center"/>
    </xf>
    <xf numFmtId="0" fontId="18" fillId="34" borderId="97" xfId="27" applyFont="1" applyFill="1" applyBorder="1" applyAlignment="1">
      <alignment vertical="center"/>
    </xf>
    <xf numFmtId="0" fontId="19" fillId="74" borderId="15" xfId="27" applyFont="1" applyFill="1" applyBorder="1" applyAlignment="1">
      <alignment horizontal="center" vertical="center"/>
    </xf>
    <xf numFmtId="0" fontId="19" fillId="74" borderId="97" xfId="27" applyFont="1" applyFill="1" applyBorder="1" applyAlignment="1">
      <alignment horizontal="center" vertical="center"/>
    </xf>
    <xf numFmtId="0" fontId="19" fillId="74" borderId="54" xfId="27" applyFont="1" applyFill="1" applyBorder="1" applyAlignment="1">
      <alignment horizontal="center" vertical="center"/>
    </xf>
    <xf numFmtId="164" fontId="19" fillId="8" borderId="12" xfId="27" applyNumberFormat="1" applyFont="1" applyFill="1" applyBorder="1" applyAlignment="1">
      <alignment horizontal="center" vertical="center"/>
    </xf>
    <xf numFmtId="164" fontId="19" fillId="8" borderId="29" xfId="27" applyNumberFormat="1" applyFont="1" applyFill="1" applyBorder="1" applyAlignment="1">
      <alignment horizontal="center" vertical="center"/>
    </xf>
    <xf numFmtId="164" fontId="27" fillId="0" borderId="6" xfId="27" applyNumberFormat="1" applyFont="1" applyBorder="1" applyAlignment="1">
      <alignment horizontal="center" vertical="center"/>
    </xf>
    <xf numFmtId="2" fontId="27" fillId="0" borderId="6" xfId="27" applyNumberFormat="1" applyFont="1" applyBorder="1" applyAlignment="1">
      <alignment horizontal="center" vertical="center"/>
    </xf>
    <xf numFmtId="0" fontId="19" fillId="34" borderId="24" xfId="27" quotePrefix="1" applyFont="1" applyFill="1" applyBorder="1" applyAlignment="1">
      <alignment horizontal="center" vertical="center"/>
    </xf>
    <xf numFmtId="0" fontId="3" fillId="34" borderId="41" xfId="0" applyFont="1" applyFill="1" applyBorder="1" applyAlignment="1">
      <alignment horizontal="center"/>
    </xf>
    <xf numFmtId="0" fontId="0" fillId="0" borderId="0" xfId="0" applyAlignment="1">
      <alignment horizontal="center" vertical="center"/>
    </xf>
    <xf numFmtId="0" fontId="3" fillId="0" borderId="0" xfId="0" applyFont="1" applyAlignment="1">
      <alignment horizontal="center" vertical="center"/>
    </xf>
    <xf numFmtId="49" fontId="0" fillId="0" borderId="0" xfId="0" applyNumberFormat="1" applyAlignment="1">
      <alignment horizontal="center" vertical="center"/>
    </xf>
    <xf numFmtId="0" fontId="0" fillId="0" borderId="35" xfId="0" applyBorder="1" applyAlignment="1">
      <alignment horizontal="center" vertical="center"/>
    </xf>
    <xf numFmtId="0" fontId="76" fillId="79" borderId="98" xfId="0" applyFont="1" applyFill="1" applyBorder="1" applyAlignment="1">
      <alignment horizontal="center" vertical="center"/>
    </xf>
    <xf numFmtId="0" fontId="78" fillId="0" borderId="99" xfId="0" applyFont="1" applyBorder="1" applyAlignment="1">
      <alignment horizontal="center" vertical="center"/>
    </xf>
    <xf numFmtId="0" fontId="76" fillId="79" borderId="100" xfId="0" applyFont="1" applyFill="1" applyBorder="1" applyAlignment="1">
      <alignment horizontal="center" vertical="center"/>
    </xf>
    <xf numFmtId="0" fontId="78" fillId="0" borderId="101" xfId="0" applyFont="1" applyBorder="1" applyAlignment="1">
      <alignment horizontal="center" vertical="center"/>
    </xf>
    <xf numFmtId="164" fontId="19" fillId="0" borderId="4" xfId="27" applyNumberFormat="1" applyFont="1" applyBorder="1" applyAlignment="1">
      <alignment horizontal="center" vertical="center"/>
    </xf>
    <xf numFmtId="164" fontId="19" fillId="0" borderId="12" xfId="27" applyNumberFormat="1" applyFont="1" applyBorder="1" applyAlignment="1">
      <alignment horizontal="center" vertical="center"/>
    </xf>
    <xf numFmtId="164" fontId="19" fillId="34" borderId="24" xfId="27" quotePrefix="1" applyNumberFormat="1" applyFont="1" applyFill="1" applyBorder="1" applyAlignment="1">
      <alignment horizontal="center" vertical="center"/>
    </xf>
    <xf numFmtId="0" fontId="19" fillId="74" borderId="53" xfId="27" applyFont="1" applyFill="1" applyBorder="1" applyAlignment="1">
      <alignment horizontal="center" vertical="center"/>
    </xf>
    <xf numFmtId="0" fontId="19" fillId="74" borderId="104" xfId="27" applyFont="1" applyFill="1" applyBorder="1" applyAlignment="1">
      <alignment horizontal="center" vertical="center"/>
    </xf>
    <xf numFmtId="164" fontId="19" fillId="0" borderId="75" xfId="27" applyNumberFormat="1" applyFont="1" applyBorder="1" applyAlignment="1">
      <alignment horizontal="center" vertical="center"/>
    </xf>
    <xf numFmtId="164" fontId="19" fillId="0" borderId="76" xfId="27" applyNumberFormat="1" applyFont="1" applyBorder="1" applyAlignment="1">
      <alignment horizontal="center" vertical="center"/>
    </xf>
    <xf numFmtId="164" fontId="19" fillId="0" borderId="79" xfId="27" applyNumberFormat="1" applyFont="1" applyBorder="1" applyAlignment="1">
      <alignment horizontal="center" vertical="center"/>
    </xf>
    <xf numFmtId="1" fontId="0" fillId="0" borderId="48" xfId="0" applyNumberFormat="1" applyBorder="1" applyAlignment="1">
      <alignment horizontal="center" vertical="center"/>
    </xf>
    <xf numFmtId="1" fontId="0" fillId="0" borderId="81" xfId="0" applyNumberFormat="1" applyBorder="1" applyAlignment="1">
      <alignment horizontal="center" vertical="center"/>
    </xf>
    <xf numFmtId="0" fontId="19" fillId="74" borderId="37" xfId="27" applyFont="1" applyFill="1" applyBorder="1" applyAlignment="1">
      <alignment horizontal="center" vertical="center"/>
    </xf>
    <xf numFmtId="2" fontId="19" fillId="0" borderId="78" xfId="27" applyNumberFormat="1" applyFont="1" applyBorder="1" applyAlignment="1">
      <alignment horizontal="center" vertical="center"/>
    </xf>
    <xf numFmtId="2" fontId="19" fillId="0" borderId="48" xfId="27" applyNumberFormat="1" applyFont="1" applyBorder="1" applyAlignment="1">
      <alignment horizontal="center" vertical="center"/>
    </xf>
    <xf numFmtId="0" fontId="19" fillId="7" borderId="105" xfId="27" applyFont="1" applyFill="1" applyBorder="1" applyAlignment="1">
      <alignment horizontal="center" vertical="center"/>
    </xf>
    <xf numFmtId="0" fontId="19" fillId="7" borderId="106" xfId="27" applyFont="1" applyFill="1" applyBorder="1" applyAlignment="1">
      <alignment horizontal="center" vertical="center"/>
    </xf>
    <xf numFmtId="0" fontId="19" fillId="0" borderId="51" xfId="27" applyFont="1" applyBorder="1" applyAlignment="1">
      <alignment horizontal="center" vertical="center"/>
    </xf>
    <xf numFmtId="0" fontId="19" fillId="7" borderId="9" xfId="27" applyFont="1" applyFill="1" applyBorder="1" applyAlignment="1">
      <alignment horizontal="center" vertical="center"/>
    </xf>
    <xf numFmtId="164" fontId="18" fillId="27" borderId="66" xfId="27" applyNumberFormat="1" applyFont="1" applyFill="1" applyBorder="1" applyAlignment="1">
      <alignment horizontal="center" vertical="center"/>
    </xf>
    <xf numFmtId="164" fontId="18" fillId="27" borderId="102" xfId="27" applyNumberFormat="1" applyFont="1" applyFill="1" applyBorder="1" applyAlignment="1">
      <alignment horizontal="center" vertical="center"/>
    </xf>
    <xf numFmtId="164" fontId="18" fillId="27" borderId="103" xfId="27" applyNumberFormat="1" applyFont="1" applyFill="1" applyBorder="1" applyAlignment="1">
      <alignment horizontal="center" vertical="center"/>
    </xf>
    <xf numFmtId="0" fontId="9" fillId="27" borderId="62" xfId="0" applyFont="1" applyFill="1" applyBorder="1" applyAlignment="1">
      <alignment horizontal="center" vertical="center"/>
    </xf>
    <xf numFmtId="0" fontId="9" fillId="27" borderId="63" xfId="0" applyFont="1" applyFill="1" applyBorder="1" applyAlignment="1">
      <alignment horizontal="center" vertical="center"/>
    </xf>
    <xf numFmtId="0" fontId="19" fillId="0" borderId="66" xfId="27" applyFont="1" applyBorder="1" applyAlignment="1">
      <alignment horizontal="center" vertical="center"/>
    </xf>
    <xf numFmtId="0" fontId="19" fillId="0" borderId="102" xfId="27" applyFont="1" applyBorder="1" applyAlignment="1">
      <alignment horizontal="center" vertical="center"/>
    </xf>
    <xf numFmtId="0" fontId="19" fillId="0" borderId="103" xfId="27" applyFont="1" applyBorder="1" applyAlignment="1">
      <alignment horizontal="center" vertical="center"/>
    </xf>
    <xf numFmtId="0" fontId="18" fillId="27" borderId="24" xfId="27" applyFont="1" applyFill="1" applyBorder="1" applyAlignment="1">
      <alignment horizontal="center" vertical="center"/>
    </xf>
    <xf numFmtId="164" fontId="18" fillId="27" borderId="62" xfId="27" applyNumberFormat="1" applyFont="1" applyFill="1" applyBorder="1" applyAlignment="1">
      <alignment horizontal="center" vertical="center"/>
    </xf>
    <xf numFmtId="0" fontId="5" fillId="27" borderId="63" xfId="0" applyFont="1" applyFill="1" applyBorder="1" applyAlignment="1">
      <alignment horizontal="center" vertical="center"/>
    </xf>
    <xf numFmtId="0" fontId="5" fillId="27" borderId="64" xfId="0" applyFont="1" applyFill="1" applyBorder="1" applyAlignment="1">
      <alignment horizontal="center" vertical="center"/>
    </xf>
    <xf numFmtId="0" fontId="18" fillId="27" borderId="18" xfId="27" applyFont="1" applyFill="1" applyBorder="1" applyAlignment="1">
      <alignment horizontal="center" vertical="center"/>
    </xf>
    <xf numFmtId="0" fontId="18" fillId="27" borderId="62" xfId="27" applyFont="1" applyFill="1" applyBorder="1" applyAlignment="1">
      <alignment horizontal="center" vertical="center"/>
    </xf>
    <xf numFmtId="0" fontId="18" fillId="27" borderId="63" xfId="27" applyFont="1" applyFill="1" applyBorder="1" applyAlignment="1">
      <alignment horizontal="center" vertical="center"/>
    </xf>
    <xf numFmtId="164" fontId="18" fillId="27" borderId="63" xfId="27" applyNumberFormat="1" applyFont="1" applyFill="1" applyBorder="1" applyAlignment="1">
      <alignment horizontal="center" vertical="center"/>
    </xf>
    <xf numFmtId="164" fontId="18" fillId="27" borderId="64" xfId="27" applyNumberFormat="1" applyFont="1" applyFill="1" applyBorder="1" applyAlignment="1">
      <alignment horizontal="center" vertical="center"/>
    </xf>
    <xf numFmtId="0" fontId="19" fillId="7" borderId="29" xfId="27" applyFont="1" applyFill="1" applyBorder="1" applyAlignment="1">
      <alignment horizontal="center" vertical="center"/>
    </xf>
    <xf numFmtId="1" fontId="19" fillId="0" borderId="24" xfId="27" applyNumberFormat="1" applyFont="1" applyBorder="1" applyAlignment="1">
      <alignment horizontal="center" vertical="center"/>
    </xf>
    <xf numFmtId="0" fontId="9" fillId="27" borderId="64" xfId="0" applyFont="1" applyFill="1" applyBorder="1" applyAlignment="1">
      <alignment horizontal="center" vertical="center"/>
    </xf>
    <xf numFmtId="0" fontId="3" fillId="36" borderId="86" xfId="0" applyFont="1" applyFill="1" applyBorder="1" applyAlignment="1">
      <alignment horizontal="center" vertical="center"/>
    </xf>
    <xf numFmtId="0" fontId="18" fillId="34" borderId="66" xfId="27" applyFont="1" applyFill="1" applyBorder="1" applyAlignment="1">
      <alignment vertical="center"/>
    </xf>
    <xf numFmtId="0" fontId="18" fillId="34" borderId="102" xfId="27" applyFont="1" applyFill="1" applyBorder="1" applyAlignment="1">
      <alignment vertical="center"/>
    </xf>
    <xf numFmtId="0" fontId="18" fillId="34" borderId="103" xfId="27" applyFont="1" applyFill="1" applyBorder="1" applyAlignment="1">
      <alignment vertical="center"/>
    </xf>
    <xf numFmtId="164" fontId="3" fillId="0" borderId="48" xfId="0" applyNumberFormat="1" applyFont="1" applyBorder="1" applyAlignment="1">
      <alignment horizontal="center" vertical="center"/>
    </xf>
    <xf numFmtId="164" fontId="3" fillId="0" borderId="81" xfId="0" applyNumberFormat="1" applyFont="1" applyBorder="1" applyAlignment="1">
      <alignment horizontal="center" vertical="center"/>
    </xf>
    <xf numFmtId="164" fontId="3" fillId="0" borderId="86" xfId="0" applyNumberFormat="1" applyFont="1" applyBorder="1" applyAlignment="1">
      <alignment horizontal="center" vertical="center"/>
    </xf>
    <xf numFmtId="164" fontId="3" fillId="0" borderId="87" xfId="0" applyNumberFormat="1" applyFont="1" applyBorder="1" applyAlignment="1">
      <alignment horizontal="center" vertical="center"/>
    </xf>
    <xf numFmtId="2" fontId="19" fillId="0" borderId="75" xfId="27" applyNumberFormat="1" applyFont="1" applyBorder="1" applyAlignment="1">
      <alignment horizontal="center" vertical="center"/>
    </xf>
    <xf numFmtId="2" fontId="19" fillId="0" borderId="49" xfId="27" applyNumberFormat="1" applyFont="1" applyBorder="1" applyAlignment="1">
      <alignment horizontal="center" vertical="center"/>
    </xf>
    <xf numFmtId="2" fontId="19" fillId="0" borderId="85" xfId="27" applyNumberFormat="1" applyFont="1" applyBorder="1" applyAlignment="1">
      <alignment horizontal="center" vertical="center"/>
    </xf>
    <xf numFmtId="2" fontId="19" fillId="0" borderId="86" xfId="27" applyNumberFormat="1" applyFont="1" applyBorder="1" applyAlignment="1">
      <alignment horizontal="center" vertical="center"/>
    </xf>
    <xf numFmtId="1" fontId="0" fillId="0" borderId="49" xfId="0" applyNumberFormat="1" applyBorder="1" applyAlignment="1">
      <alignment horizontal="center" vertical="center"/>
    </xf>
    <xf numFmtId="1" fontId="0" fillId="0" borderId="80" xfId="0" applyNumberFormat="1" applyBorder="1" applyAlignment="1">
      <alignment horizontal="center" vertical="center"/>
    </xf>
    <xf numFmtId="1" fontId="0" fillId="0" borderId="86" xfId="0" applyNumberFormat="1" applyBorder="1" applyAlignment="1">
      <alignment horizontal="center" vertical="center"/>
    </xf>
    <xf numFmtId="1" fontId="0" fillId="0" borderId="87" xfId="0" applyNumberFormat="1" applyBorder="1" applyAlignment="1">
      <alignment horizontal="center" vertical="center"/>
    </xf>
    <xf numFmtId="0" fontId="18" fillId="80" borderId="18" xfId="27" applyFont="1" applyFill="1" applyBorder="1" applyAlignment="1">
      <alignment vertical="center"/>
    </xf>
    <xf numFmtId="0" fontId="22" fillId="80" borderId="18" xfId="27" applyFont="1" applyFill="1" applyBorder="1" applyAlignment="1">
      <alignment vertical="center"/>
    </xf>
    <xf numFmtId="1" fontId="22" fillId="80" borderId="18" xfId="27" applyNumberFormat="1" applyFont="1" applyFill="1" applyBorder="1" applyAlignment="1">
      <alignment vertical="center"/>
    </xf>
    <xf numFmtId="0" fontId="24" fillId="80" borderId="18" xfId="27" applyFont="1" applyFill="1" applyBorder="1" applyAlignment="1">
      <alignment vertical="center"/>
    </xf>
    <xf numFmtId="0" fontId="24" fillId="80" borderId="19" xfId="27" applyFont="1" applyFill="1" applyBorder="1" applyAlignment="1">
      <alignment vertical="center"/>
    </xf>
    <xf numFmtId="0" fontId="18" fillId="81" borderId="18" xfId="27" applyFont="1" applyFill="1" applyBorder="1" applyAlignment="1">
      <alignment vertical="center"/>
    </xf>
    <xf numFmtId="0" fontId="22" fillId="81" borderId="18" xfId="27" applyFont="1" applyFill="1" applyBorder="1" applyAlignment="1">
      <alignment vertical="center"/>
    </xf>
    <xf numFmtId="1" fontId="22" fillId="81" borderId="18" xfId="27" applyNumberFormat="1" applyFont="1" applyFill="1" applyBorder="1" applyAlignment="1">
      <alignment vertical="center"/>
    </xf>
    <xf numFmtId="0" fontId="24" fillId="81" borderId="18" xfId="27" applyFont="1" applyFill="1" applyBorder="1" applyAlignment="1">
      <alignment vertical="center"/>
    </xf>
    <xf numFmtId="0" fontId="24" fillId="81" borderId="19" xfId="27" applyFont="1" applyFill="1" applyBorder="1" applyAlignment="1">
      <alignment vertical="center"/>
    </xf>
    <xf numFmtId="0" fontId="79" fillId="80" borderId="45" xfId="27" applyFont="1" applyFill="1" applyBorder="1" applyAlignment="1">
      <alignment horizontal="left" vertical="center"/>
    </xf>
    <xf numFmtId="0" fontId="79" fillId="80" borderId="46" xfId="27" applyFont="1" applyFill="1" applyBorder="1" applyAlignment="1">
      <alignment vertical="center"/>
    </xf>
    <xf numFmtId="0" fontId="80" fillId="80" borderId="46" xfId="27" applyFont="1" applyFill="1" applyBorder="1" applyAlignment="1">
      <alignment vertical="center"/>
    </xf>
    <xf numFmtId="1" fontId="80" fillId="80" borderId="46" xfId="27" applyNumberFormat="1" applyFont="1" applyFill="1" applyBorder="1" applyAlignment="1">
      <alignment vertical="center"/>
    </xf>
    <xf numFmtId="0" fontId="79" fillId="80" borderId="47" xfId="27" applyFont="1" applyFill="1" applyBorder="1" applyAlignment="1">
      <alignment vertical="center"/>
    </xf>
    <xf numFmtId="0" fontId="24" fillId="0" borderId="41" xfId="27" applyFont="1" applyBorder="1" applyAlignment="1">
      <alignment horizontal="left" vertical="center"/>
    </xf>
    <xf numFmtId="0" fontId="18" fillId="0" borderId="0" xfId="27" applyFont="1" applyAlignment="1">
      <alignment vertical="center"/>
    </xf>
    <xf numFmtId="1" fontId="22" fillId="0" borderId="0" xfId="27" applyNumberFormat="1" applyFont="1" applyAlignment="1">
      <alignment vertical="center"/>
    </xf>
    <xf numFmtId="0" fontId="24" fillId="0" borderId="0" xfId="27" applyFont="1" applyAlignment="1">
      <alignment vertical="center"/>
    </xf>
    <xf numFmtId="0" fontId="24" fillId="0" borderId="42" xfId="27" applyFont="1" applyBorder="1" applyAlignment="1">
      <alignment vertical="center"/>
    </xf>
    <xf numFmtId="0" fontId="81" fillId="33" borderId="0" xfId="27" applyFont="1" applyFill="1" applyAlignment="1">
      <alignment horizontal="center" vertical="center"/>
    </xf>
    <xf numFmtId="0" fontId="19" fillId="0" borderId="6" xfId="27" quotePrefix="1" applyFont="1" applyBorder="1" applyAlignment="1">
      <alignment horizontal="center" vertical="center"/>
    </xf>
    <xf numFmtId="0" fontId="35" fillId="0" borderId="44" xfId="0" applyFont="1" applyBorder="1" applyAlignment="1">
      <alignment vertical="center" textRotation="90"/>
    </xf>
    <xf numFmtId="0" fontId="13" fillId="0" borderId="3" xfId="31" applyFont="1" applyBorder="1" applyAlignment="1">
      <alignment horizontal="center" vertical="center"/>
    </xf>
    <xf numFmtId="0" fontId="15" fillId="0" borderId="3" xfId="31" applyFont="1" applyBorder="1" applyAlignment="1">
      <alignment horizontal="center" vertical="center"/>
    </xf>
    <xf numFmtId="0" fontId="13" fillId="0" borderId="3" xfId="31" applyFont="1" applyBorder="1" applyAlignment="1">
      <alignment vertical="center"/>
    </xf>
    <xf numFmtId="0" fontId="13" fillId="0" borderId="3" xfId="31" applyFont="1" applyBorder="1" applyAlignment="1" applyProtection="1">
      <alignment horizontal="center" vertical="center"/>
      <protection hidden="1"/>
    </xf>
    <xf numFmtId="0" fontId="15" fillId="0" borderId="3" xfId="31" applyFont="1" applyBorder="1" applyAlignment="1" applyProtection="1">
      <alignment horizontal="center" vertical="center"/>
      <protection hidden="1"/>
    </xf>
    <xf numFmtId="0" fontId="14" fillId="0" borderId="3" xfId="31" applyFont="1" applyBorder="1" applyAlignment="1">
      <alignment horizontal="center" vertical="center"/>
    </xf>
    <xf numFmtId="1" fontId="13" fillId="0" borderId="3" xfId="31" applyNumberFormat="1" applyFont="1" applyBorder="1" applyAlignment="1" applyProtection="1">
      <alignment horizontal="center" vertical="center"/>
      <protection hidden="1"/>
    </xf>
    <xf numFmtId="0" fontId="13" fillId="0" borderId="3" xfId="31" applyFont="1" applyBorder="1" applyAlignment="1" applyProtection="1">
      <alignment horizontal="center" vertical="center"/>
      <protection locked="0"/>
    </xf>
    <xf numFmtId="0" fontId="15" fillId="0" borderId="3" xfId="31" applyFont="1" applyBorder="1" applyAlignment="1" applyProtection="1">
      <alignment horizontal="center" vertical="center"/>
      <protection locked="0"/>
    </xf>
    <xf numFmtId="0" fontId="16" fillId="0" borderId="3" xfId="31" applyFont="1" applyBorder="1" applyAlignment="1" applyProtection="1">
      <alignment horizontal="center" vertical="center"/>
      <protection hidden="1"/>
    </xf>
    <xf numFmtId="0" fontId="82" fillId="0" borderId="6" xfId="27" applyFont="1" applyBorder="1" applyAlignment="1">
      <alignment horizontal="center" vertical="center"/>
    </xf>
    <xf numFmtId="0" fontId="77" fillId="78" borderId="34" xfId="0" applyFont="1" applyFill="1" applyBorder="1" applyAlignment="1">
      <alignment vertical="center"/>
    </xf>
    <xf numFmtId="0" fontId="77" fillId="78" borderId="0" xfId="0" applyFont="1" applyFill="1" applyAlignment="1">
      <alignment vertical="center"/>
    </xf>
    <xf numFmtId="165" fontId="0" fillId="0" borderId="0" xfId="0" applyNumberFormat="1" applyAlignment="1">
      <alignment horizontal="center" vertical="center"/>
    </xf>
    <xf numFmtId="0" fontId="24" fillId="81" borderId="17" xfId="27" applyFont="1" applyFill="1" applyBorder="1" applyAlignment="1">
      <alignment horizontal="left" vertical="center"/>
    </xf>
    <xf numFmtId="0" fontId="79" fillId="80" borderId="17" xfId="27" applyFont="1" applyFill="1" applyBorder="1" applyAlignment="1">
      <alignment horizontal="left" vertical="center"/>
    </xf>
    <xf numFmtId="2" fontId="19" fillId="34" borderId="24" xfId="27" applyNumberFormat="1" applyFont="1" applyFill="1" applyBorder="1" applyAlignment="1">
      <alignment horizontal="center" vertical="center"/>
    </xf>
    <xf numFmtId="164" fontId="18" fillId="27" borderId="107" xfId="27" applyNumberFormat="1" applyFont="1" applyFill="1" applyBorder="1" applyAlignment="1">
      <alignment horizontal="center" vertical="center"/>
    </xf>
    <xf numFmtId="0" fontId="18" fillId="27" borderId="107" xfId="27" applyFont="1" applyFill="1" applyBorder="1" applyAlignment="1">
      <alignment horizontal="center" vertical="center"/>
    </xf>
    <xf numFmtId="0" fontId="18" fillId="27" borderId="108" xfId="27" applyFont="1" applyFill="1" applyBorder="1" applyAlignment="1">
      <alignment horizontal="center" vertical="center"/>
    </xf>
    <xf numFmtId="0" fontId="18" fillId="27" borderId="109" xfId="27" applyFont="1" applyFill="1" applyBorder="1" applyAlignment="1">
      <alignment horizontal="center" vertical="center"/>
    </xf>
    <xf numFmtId="2" fontId="18" fillId="27" borderId="88" xfId="27" applyNumberFormat="1" applyFont="1" applyFill="1" applyBorder="1" applyAlignment="1">
      <alignment horizontal="center" vertical="center"/>
    </xf>
    <xf numFmtId="2" fontId="19" fillId="0" borderId="110" xfId="27" applyNumberFormat="1" applyFont="1" applyBorder="1" applyAlignment="1">
      <alignment horizontal="center" vertical="center"/>
    </xf>
    <xf numFmtId="0" fontId="19" fillId="0" borderId="76" xfId="27" applyFont="1" applyBorder="1" applyAlignment="1">
      <alignment horizontal="center" vertical="center"/>
    </xf>
    <xf numFmtId="1" fontId="19" fillId="0" borderId="3" xfId="27" applyNumberFormat="1" applyFont="1" applyBorder="1" applyAlignment="1">
      <alignment horizontal="center" vertical="center"/>
    </xf>
    <xf numFmtId="1" fontId="19" fillId="0" borderId="82" xfId="27" applyNumberFormat="1" applyFont="1" applyBorder="1" applyAlignment="1">
      <alignment horizontal="center" vertical="center"/>
    </xf>
    <xf numFmtId="2" fontId="19" fillId="0" borderId="36" xfId="27" applyNumberFormat="1" applyFont="1" applyBorder="1" applyAlignment="1">
      <alignment horizontal="center" vertical="center"/>
    </xf>
    <xf numFmtId="2" fontId="19" fillId="0" borderId="60" xfId="27" applyNumberFormat="1" applyFont="1" applyBorder="1" applyAlignment="1">
      <alignment horizontal="center" vertical="center"/>
    </xf>
    <xf numFmtId="0" fontId="19" fillId="0" borderId="79" xfId="27" applyFont="1" applyBorder="1" applyAlignment="1">
      <alignment horizontal="center" vertical="center"/>
    </xf>
    <xf numFmtId="1" fontId="19" fillId="0" borderId="50" xfId="27" applyNumberFormat="1" applyFont="1" applyBorder="1" applyAlignment="1">
      <alignment horizontal="center" vertical="center"/>
    </xf>
    <xf numFmtId="1" fontId="19" fillId="0" borderId="83" xfId="27" applyNumberFormat="1" applyFont="1" applyBorder="1" applyAlignment="1">
      <alignment horizontal="center" vertical="center"/>
    </xf>
    <xf numFmtId="10" fontId="19" fillId="34" borderId="24" xfId="27" applyNumberFormat="1" applyFont="1" applyFill="1" applyBorder="1" applyAlignment="1">
      <alignment horizontal="center" vertical="center"/>
    </xf>
    <xf numFmtId="0" fontId="18" fillId="0" borderId="51" xfId="27" applyFont="1" applyBorder="1" applyAlignment="1">
      <alignment horizontal="center" vertical="center"/>
    </xf>
    <xf numFmtId="0" fontId="18" fillId="0" borderId="40" xfId="27" applyFont="1" applyBorder="1" applyAlignment="1">
      <alignment vertical="center"/>
    </xf>
    <xf numFmtId="0" fontId="51" fillId="0" borderId="6" xfId="27" applyFont="1" applyBorder="1" applyAlignment="1">
      <alignment horizontal="center" vertical="center"/>
    </xf>
    <xf numFmtId="0" fontId="24" fillId="35" borderId="111" xfId="27" applyFont="1" applyFill="1" applyBorder="1" applyAlignment="1">
      <alignment vertical="center"/>
    </xf>
    <xf numFmtId="0" fontId="22" fillId="35" borderId="105" xfId="27" applyFont="1" applyFill="1" applyBorder="1" applyAlignment="1">
      <alignment horizontal="center" vertical="center"/>
    </xf>
    <xf numFmtId="0" fontId="22" fillId="35" borderId="106" xfId="27" applyFont="1" applyFill="1" applyBorder="1" applyAlignment="1">
      <alignment horizontal="center" vertical="center"/>
    </xf>
    <xf numFmtId="0" fontId="19" fillId="35" borderId="106" xfId="27" applyFont="1" applyFill="1" applyBorder="1" applyAlignment="1">
      <alignment horizontal="center" vertical="center"/>
    </xf>
    <xf numFmtId="0" fontId="22" fillId="35" borderId="112" xfId="27" applyFont="1" applyFill="1" applyBorder="1" applyAlignment="1">
      <alignment horizontal="center" vertical="center"/>
    </xf>
    <xf numFmtId="0" fontId="24" fillId="35" borderId="105" xfId="27" applyFont="1" applyFill="1" applyBorder="1" applyAlignment="1">
      <alignment horizontal="center" vertical="center"/>
    </xf>
    <xf numFmtId="0" fontId="24" fillId="35" borderId="113" xfId="27" applyFont="1" applyFill="1" applyBorder="1" applyAlignment="1">
      <alignment vertical="center"/>
    </xf>
    <xf numFmtId="1" fontId="5" fillId="0" borderId="0" xfId="0" applyNumberFormat="1" applyFont="1" applyAlignment="1">
      <alignment horizontal="center"/>
    </xf>
    <xf numFmtId="0" fontId="3" fillId="25" borderId="41" xfId="0" applyFont="1" applyFill="1" applyBorder="1" applyAlignment="1">
      <alignment horizontal="center"/>
    </xf>
    <xf numFmtId="0" fontId="3" fillId="0" borderId="33" xfId="79" applyBorder="1" applyAlignment="1">
      <alignment horizontal="center" vertical="center"/>
    </xf>
    <xf numFmtId="0" fontId="3" fillId="0" borderId="1" xfId="79" applyBorder="1" applyAlignment="1">
      <alignment horizontal="center" vertical="center"/>
    </xf>
    <xf numFmtId="0" fontId="3" fillId="0" borderId="2" xfId="79" applyBorder="1" applyAlignment="1">
      <alignment horizontal="center" vertical="center"/>
    </xf>
    <xf numFmtId="0" fontId="3" fillId="0" borderId="34" xfId="79" applyBorder="1" applyAlignment="1">
      <alignment horizontal="center" vertical="center"/>
    </xf>
    <xf numFmtId="0" fontId="3" fillId="0" borderId="0" xfId="79" applyAlignment="1">
      <alignment horizontal="center" vertical="center"/>
    </xf>
    <xf numFmtId="0" fontId="3" fillId="0" borderId="35" xfId="79" applyBorder="1" applyAlignment="1">
      <alignment horizontal="center" vertical="center"/>
    </xf>
    <xf numFmtId="0" fontId="3" fillId="0" borderId="36" xfId="79" applyBorder="1" applyAlignment="1">
      <alignment horizontal="center" vertical="center"/>
    </xf>
    <xf numFmtId="0" fontId="3" fillId="0" borderId="37" xfId="79" applyBorder="1" applyAlignment="1">
      <alignment horizontal="center" vertical="center"/>
    </xf>
    <xf numFmtId="0" fontId="3" fillId="0" borderId="38" xfId="79" applyBorder="1" applyAlignment="1">
      <alignment horizontal="center" vertical="center"/>
    </xf>
    <xf numFmtId="1" fontId="11" fillId="0" borderId="33" xfId="79" applyNumberFormat="1" applyFont="1" applyBorder="1" applyAlignment="1">
      <alignment horizontal="center" vertical="center"/>
    </xf>
    <xf numFmtId="0" fontId="3" fillId="0" borderId="1" xfId="79" applyBorder="1"/>
    <xf numFmtId="0" fontId="3" fillId="0" borderId="2" xfId="79" applyBorder="1"/>
    <xf numFmtId="0" fontId="3" fillId="0" borderId="36" xfId="79" applyBorder="1"/>
    <xf numFmtId="0" fontId="3" fillId="0" borderId="37" xfId="79" applyBorder="1"/>
    <xf numFmtId="0" fontId="3" fillId="0" borderId="38" xfId="79" applyBorder="1"/>
    <xf numFmtId="1" fontId="11" fillId="0" borderId="1" xfId="79" applyNumberFormat="1" applyFont="1" applyBorder="1" applyAlignment="1">
      <alignment horizontal="center" vertical="center"/>
    </xf>
    <xf numFmtId="1" fontId="11" fillId="0" borderId="2" xfId="79" applyNumberFormat="1" applyFont="1" applyBorder="1" applyAlignment="1">
      <alignment horizontal="center" vertical="center"/>
    </xf>
    <xf numFmtId="1" fontId="11" fillId="0" borderId="34" xfId="79" applyNumberFormat="1" applyFont="1" applyBorder="1" applyAlignment="1">
      <alignment horizontal="center" vertical="center"/>
    </xf>
    <xf numFmtId="1" fontId="11" fillId="0" borderId="0" xfId="79" applyNumberFormat="1" applyFont="1" applyAlignment="1">
      <alignment horizontal="center" vertical="center"/>
    </xf>
    <xf numFmtId="1" fontId="11" fillId="0" borderId="35" xfId="79" applyNumberFormat="1" applyFont="1" applyBorder="1" applyAlignment="1">
      <alignment horizontal="center" vertical="center"/>
    </xf>
    <xf numFmtId="1" fontId="11" fillId="0" borderId="36" xfId="79" applyNumberFormat="1" applyFont="1" applyBorder="1" applyAlignment="1">
      <alignment horizontal="center" vertical="center"/>
    </xf>
    <xf numFmtId="1" fontId="11" fillId="0" borderId="37" xfId="79" applyNumberFormat="1" applyFont="1" applyBorder="1" applyAlignment="1">
      <alignment horizontal="center" vertical="center"/>
    </xf>
    <xf numFmtId="1" fontId="11" fillId="0" borderId="38" xfId="79" applyNumberFormat="1" applyFont="1" applyBorder="1" applyAlignment="1">
      <alignment horizontal="center" vertical="center"/>
    </xf>
    <xf numFmtId="0" fontId="9" fillId="0" borderId="52" xfId="79" applyFont="1" applyBorder="1" applyAlignment="1">
      <alignment horizontal="center" vertical="center"/>
    </xf>
    <xf numFmtId="0" fontId="9" fillId="0" borderId="53" xfId="79" applyFont="1" applyBorder="1" applyAlignment="1">
      <alignment horizontal="center" vertical="center"/>
    </xf>
    <xf numFmtId="0" fontId="9" fillId="0" borderId="56" xfId="79" applyFont="1" applyBorder="1" applyAlignment="1">
      <alignment horizontal="center" vertical="center"/>
    </xf>
    <xf numFmtId="1" fontId="9" fillId="0" borderId="53" xfId="79" applyNumberFormat="1" applyFont="1" applyBorder="1" applyAlignment="1">
      <alignment horizontal="center" vertical="center"/>
    </xf>
    <xf numFmtId="1" fontId="9" fillId="0" borderId="56" xfId="79" applyNumberFormat="1" applyFont="1" applyBorder="1" applyAlignment="1">
      <alignment horizontal="center" vertical="center"/>
    </xf>
    <xf numFmtId="0" fontId="12" fillId="0" borderId="52" xfId="79" applyFont="1" applyBorder="1" applyAlignment="1">
      <alignment horizontal="center" vertical="center"/>
    </xf>
    <xf numFmtId="0" fontId="3" fillId="0" borderId="53" xfId="79" applyBorder="1"/>
    <xf numFmtId="0" fontId="3" fillId="0" borderId="56" xfId="79" applyBorder="1"/>
    <xf numFmtId="0" fontId="3" fillId="0" borderId="52" xfId="79" applyBorder="1" applyAlignment="1">
      <alignment horizontal="center" vertical="center"/>
    </xf>
    <xf numFmtId="0" fontId="3" fillId="0" borderId="53" xfId="79" applyBorder="1" applyAlignment="1">
      <alignment horizontal="center" vertical="center"/>
    </xf>
    <xf numFmtId="0" fontId="5" fillId="0" borderId="36" xfId="79" applyFont="1" applyBorder="1" applyAlignment="1">
      <alignment horizontal="center" vertical="center"/>
    </xf>
    <xf numFmtId="0" fontId="5" fillId="0" borderId="37" xfId="79" applyFont="1" applyBorder="1" applyAlignment="1">
      <alignment horizontal="center" vertical="center"/>
    </xf>
    <xf numFmtId="0" fontId="5" fillId="0" borderId="38" xfId="79" applyFont="1" applyBorder="1" applyAlignment="1">
      <alignment horizontal="center" vertical="center"/>
    </xf>
    <xf numFmtId="0" fontId="4" fillId="0" borderId="3" xfId="79" applyFont="1" applyBorder="1" applyAlignment="1">
      <alignment horizontal="center" vertical="center"/>
    </xf>
    <xf numFmtId="0" fontId="3" fillId="0" borderId="3" xfId="79" applyBorder="1" applyAlignment="1">
      <alignment horizontal="center" vertical="center"/>
    </xf>
    <xf numFmtId="0" fontId="3" fillId="0" borderId="43" xfId="79" applyBorder="1" applyAlignment="1">
      <alignment horizontal="center" shrinkToFit="1"/>
    </xf>
    <xf numFmtId="165" fontId="3" fillId="0" borderId="43" xfId="79" applyNumberFormat="1" applyBorder="1" applyAlignment="1">
      <alignment horizontal="center" shrinkToFit="1"/>
    </xf>
    <xf numFmtId="0" fontId="36" fillId="0" borderId="46" xfId="0" applyFont="1" applyBorder="1" applyAlignment="1">
      <alignment horizontal="center" vertical="center" textRotation="90"/>
    </xf>
    <xf numFmtId="0" fontId="36" fillId="0" borderId="0" xfId="0" applyFont="1" applyAlignment="1">
      <alignment horizontal="center" vertical="center" textRotation="90"/>
    </xf>
    <xf numFmtId="0" fontId="36" fillId="0" borderId="22" xfId="0" applyFont="1" applyBorder="1" applyAlignment="1">
      <alignment horizontal="center" vertical="center" textRotation="90"/>
    </xf>
    <xf numFmtId="0" fontId="36" fillId="0" borderId="44" xfId="0" applyFont="1" applyBorder="1" applyAlignment="1">
      <alignment horizontal="center" vertical="center" textRotation="90"/>
    </xf>
    <xf numFmtId="0" fontId="73" fillId="25" borderId="45" xfId="0" applyFont="1" applyFill="1" applyBorder="1" applyAlignment="1">
      <alignment horizontal="center" vertical="center"/>
    </xf>
    <xf numFmtId="0" fontId="73" fillId="25" borderId="46" xfId="0" applyFont="1" applyFill="1" applyBorder="1" applyAlignment="1">
      <alignment horizontal="center" vertical="center"/>
    </xf>
    <xf numFmtId="0" fontId="73" fillId="25" borderId="47" xfId="0" applyFont="1" applyFill="1" applyBorder="1" applyAlignment="1">
      <alignment horizontal="center" vertical="center"/>
    </xf>
    <xf numFmtId="0" fontId="73" fillId="25" borderId="41" xfId="0" applyFont="1" applyFill="1" applyBorder="1" applyAlignment="1">
      <alignment horizontal="center" vertical="center"/>
    </xf>
    <xf numFmtId="0" fontId="73" fillId="25" borderId="0" xfId="0" applyFont="1" applyFill="1" applyAlignment="1">
      <alignment horizontal="center" vertical="center"/>
    </xf>
    <xf numFmtId="0" fontId="73" fillId="25" borderId="42" xfId="0" applyFont="1" applyFill="1" applyBorder="1" applyAlignment="1">
      <alignment horizontal="center" vertical="center"/>
    </xf>
    <xf numFmtId="0" fontId="73" fillId="25" borderId="45" xfId="0" applyFont="1" applyFill="1" applyBorder="1" applyAlignment="1">
      <alignment horizontal="center" vertical="center" wrapText="1"/>
    </xf>
    <xf numFmtId="0" fontId="73" fillId="25" borderId="46" xfId="0" applyFont="1" applyFill="1" applyBorder="1" applyAlignment="1">
      <alignment horizontal="center" vertical="center" wrapText="1"/>
    </xf>
    <xf numFmtId="0" fontId="73" fillId="25" borderId="47" xfId="0" applyFont="1" applyFill="1" applyBorder="1" applyAlignment="1">
      <alignment horizontal="center" vertical="center" wrapText="1"/>
    </xf>
    <xf numFmtId="0" fontId="73" fillId="25" borderId="41" xfId="0" applyFont="1" applyFill="1" applyBorder="1" applyAlignment="1">
      <alignment horizontal="center" vertical="center" wrapText="1"/>
    </xf>
    <xf numFmtId="0" fontId="73" fillId="25" borderId="0" xfId="0" applyFont="1" applyFill="1" applyAlignment="1">
      <alignment horizontal="center" vertical="center" wrapText="1"/>
    </xf>
    <xf numFmtId="0" fontId="73" fillId="25" borderId="42" xfId="0" applyFont="1" applyFill="1" applyBorder="1" applyAlignment="1">
      <alignment horizontal="center" vertical="center" wrapText="1"/>
    </xf>
    <xf numFmtId="0" fontId="73" fillId="25" borderId="21" xfId="0" applyFont="1" applyFill="1" applyBorder="1" applyAlignment="1">
      <alignment horizontal="center" vertical="center" wrapText="1"/>
    </xf>
    <xf numFmtId="0" fontId="73" fillId="25" borderId="22" xfId="0" applyFont="1" applyFill="1" applyBorder="1" applyAlignment="1">
      <alignment horizontal="center" vertical="center" wrapText="1"/>
    </xf>
    <xf numFmtId="0" fontId="73" fillId="25" borderId="23" xfId="0" applyFont="1" applyFill="1" applyBorder="1" applyAlignment="1">
      <alignment horizontal="center" vertical="center" wrapText="1"/>
    </xf>
    <xf numFmtId="0" fontId="72" fillId="25" borderId="45" xfId="0" applyFont="1" applyFill="1" applyBorder="1" applyAlignment="1">
      <alignment horizontal="center" vertical="center" wrapText="1"/>
    </xf>
    <xf numFmtId="0" fontId="72" fillId="25" borderId="46" xfId="0" applyFont="1" applyFill="1" applyBorder="1" applyAlignment="1">
      <alignment horizontal="center" vertical="center" wrapText="1"/>
    </xf>
    <xf numFmtId="0" fontId="72" fillId="25" borderId="47" xfId="0" applyFont="1" applyFill="1" applyBorder="1" applyAlignment="1">
      <alignment horizontal="center" vertical="center" wrapText="1"/>
    </xf>
    <xf numFmtId="0" fontId="72" fillId="25" borderId="21" xfId="0" applyFont="1" applyFill="1" applyBorder="1" applyAlignment="1">
      <alignment horizontal="center" vertical="center" wrapText="1"/>
    </xf>
    <xf numFmtId="0" fontId="72" fillId="25" borderId="22" xfId="0" applyFont="1" applyFill="1" applyBorder="1" applyAlignment="1">
      <alignment horizontal="center" vertical="center" wrapText="1"/>
    </xf>
    <xf numFmtId="0" fontId="72" fillId="25" borderId="23" xfId="0" applyFont="1" applyFill="1" applyBorder="1" applyAlignment="1">
      <alignment horizontal="center" vertical="center" wrapText="1"/>
    </xf>
    <xf numFmtId="0" fontId="73" fillId="25" borderId="21" xfId="0" applyFont="1" applyFill="1" applyBorder="1" applyAlignment="1">
      <alignment horizontal="center" vertical="center"/>
    </xf>
    <xf numFmtId="0" fontId="73" fillId="25" borderId="22" xfId="0" applyFont="1" applyFill="1" applyBorder="1" applyAlignment="1">
      <alignment horizontal="center" vertical="center"/>
    </xf>
    <xf numFmtId="0" fontId="73" fillId="25" borderId="23" xfId="0" applyFont="1" applyFill="1" applyBorder="1" applyAlignment="1">
      <alignment horizontal="center" vertical="center"/>
    </xf>
    <xf numFmtId="0" fontId="35" fillId="0" borderId="16" xfId="0" applyFont="1" applyBorder="1" applyAlignment="1">
      <alignment horizontal="center" vertical="center" textRotation="90"/>
    </xf>
    <xf numFmtId="0" fontId="35" fillId="0" borderId="44" xfId="0" applyFont="1" applyBorder="1" applyAlignment="1">
      <alignment horizontal="center" vertical="center" textRotation="90"/>
    </xf>
    <xf numFmtId="0" fontId="32" fillId="0" borderId="16" xfId="0" applyFont="1" applyBorder="1" applyAlignment="1">
      <alignment horizontal="center" vertical="center" textRotation="90"/>
    </xf>
    <xf numFmtId="0" fontId="32" fillId="0" borderId="44" xfId="0" applyFont="1" applyBorder="1" applyAlignment="1">
      <alignment horizontal="center" vertical="center" textRotation="90"/>
    </xf>
    <xf numFmtId="0" fontId="32" fillId="0" borderId="20" xfId="0" applyFont="1" applyBorder="1" applyAlignment="1">
      <alignment horizontal="center" vertical="center" textRotation="90"/>
    </xf>
    <xf numFmtId="0" fontId="34" fillId="0" borderId="16" xfId="0" applyFont="1" applyBorder="1" applyAlignment="1">
      <alignment horizontal="center" vertical="center" textRotation="90"/>
    </xf>
    <xf numFmtId="0" fontId="34" fillId="0" borderId="44" xfId="0" applyFont="1" applyBorder="1" applyAlignment="1">
      <alignment horizontal="center" vertical="center" textRotation="90"/>
    </xf>
    <xf numFmtId="0" fontId="32" fillId="10" borderId="16" xfId="0" applyFont="1" applyFill="1" applyBorder="1" applyAlignment="1">
      <alignment horizontal="center" vertical="center" textRotation="90"/>
    </xf>
    <xf numFmtId="0" fontId="32" fillId="10" borderId="44" xfId="0" applyFont="1" applyFill="1" applyBorder="1" applyAlignment="1">
      <alignment horizontal="center" vertical="center" textRotation="90"/>
    </xf>
    <xf numFmtId="0" fontId="37" fillId="11" borderId="43" xfId="0" applyFont="1" applyFill="1" applyBorder="1" applyAlignment="1">
      <alignment horizontal="center" vertical="center" textRotation="90"/>
    </xf>
    <xf numFmtId="0" fontId="37" fillId="11" borderId="55" xfId="0" applyFont="1" applyFill="1" applyBorder="1" applyAlignment="1">
      <alignment horizontal="center" vertical="center" textRotation="90"/>
    </xf>
    <xf numFmtId="0" fontId="37" fillId="11" borderId="48" xfId="0" applyFont="1" applyFill="1" applyBorder="1" applyAlignment="1">
      <alignment horizontal="center" vertical="center" textRotation="90"/>
    </xf>
    <xf numFmtId="0" fontId="34" fillId="0" borderId="20" xfId="0" applyFont="1" applyBorder="1" applyAlignment="1">
      <alignment horizontal="center" vertical="center" textRotation="90"/>
    </xf>
    <xf numFmtId="0" fontId="30" fillId="2" borderId="17" xfId="27" applyFont="1" applyFill="1" applyBorder="1" applyAlignment="1">
      <alignment horizontal="center" vertical="center"/>
    </xf>
    <xf numFmtId="0" fontId="30" fillId="2" borderId="18" xfId="27" applyFont="1" applyFill="1" applyBorder="1" applyAlignment="1">
      <alignment horizontal="center" vertical="center"/>
    </xf>
    <xf numFmtId="0" fontId="30" fillId="2" borderId="19" xfId="27" applyFont="1" applyFill="1" applyBorder="1" applyAlignment="1">
      <alignment horizontal="center" vertical="center"/>
    </xf>
    <xf numFmtId="0" fontId="19" fillId="28" borderId="0" xfId="27" applyFont="1" applyFill="1" applyAlignment="1">
      <alignment horizontal="center" vertical="center"/>
    </xf>
    <xf numFmtId="0" fontId="18" fillId="34" borderId="16" xfId="26" applyFont="1" applyFill="1" applyBorder="1" applyAlignment="1">
      <alignment horizontal="left" vertical="center"/>
    </xf>
    <xf numFmtId="0" fontId="18" fillId="34" borderId="26" xfId="26" applyFont="1" applyFill="1" applyBorder="1" applyAlignment="1">
      <alignment horizontal="left" vertical="center"/>
    </xf>
    <xf numFmtId="0" fontId="19" fillId="0" borderId="10" xfId="27" applyFont="1" applyBorder="1" applyAlignment="1">
      <alignment horizontal="center" vertical="center"/>
    </xf>
    <xf numFmtId="0" fontId="19" fillId="0" borderId="13" xfId="27" applyFont="1" applyBorder="1" applyAlignment="1">
      <alignment horizontal="center" vertical="center"/>
    </xf>
    <xf numFmtId="0" fontId="19" fillId="0" borderId="3" xfId="27" applyFont="1" applyBorder="1" applyAlignment="1">
      <alignment horizontal="center"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9" fillId="0" borderId="19" xfId="0" applyFont="1" applyBorder="1" applyAlignment="1">
      <alignment horizontal="center" vertical="center"/>
    </xf>
    <xf numFmtId="0" fontId="18" fillId="3" borderId="44" xfId="27" applyFont="1" applyFill="1" applyBorder="1" applyAlignment="1">
      <alignment horizontal="center" vertical="center"/>
    </xf>
    <xf numFmtId="0" fontId="18" fillId="3" borderId="20" xfId="27" applyFont="1" applyFill="1" applyBorder="1" applyAlignment="1">
      <alignment horizontal="center" vertical="center"/>
    </xf>
    <xf numFmtId="0" fontId="18" fillId="3" borderId="16" xfId="27" applyFont="1" applyFill="1" applyBorder="1" applyAlignment="1">
      <alignment horizontal="center" vertical="center" wrapText="1"/>
    </xf>
    <xf numFmtId="0" fontId="18" fillId="3" borderId="20" xfId="27" applyFont="1" applyFill="1" applyBorder="1" applyAlignment="1">
      <alignment horizontal="center" vertical="center" wrapText="1"/>
    </xf>
    <xf numFmtId="0" fontId="18" fillId="3" borderId="16" xfId="27" applyFont="1" applyFill="1" applyBorder="1" applyAlignment="1">
      <alignment horizontal="center" vertical="center"/>
    </xf>
    <xf numFmtId="0" fontId="51" fillId="0" borderId="89" xfId="27" applyFont="1" applyBorder="1" applyAlignment="1">
      <alignment horizontal="center" vertical="center" wrapText="1"/>
    </xf>
    <xf numFmtId="0" fontId="51" fillId="0" borderId="26" xfId="27" applyFont="1" applyBorder="1" applyAlignment="1">
      <alignment horizontal="center" vertical="center" wrapText="1"/>
    </xf>
    <xf numFmtId="0" fontId="9" fillId="27" borderId="17" xfId="0" applyFont="1" applyFill="1" applyBorder="1" applyAlignment="1">
      <alignment horizontal="center" vertical="center"/>
    </xf>
    <xf numFmtId="0" fontId="9" fillId="27" borderId="18" xfId="0" applyFont="1" applyFill="1" applyBorder="1" applyAlignment="1">
      <alignment horizontal="center" vertical="center"/>
    </xf>
    <xf numFmtId="0" fontId="9" fillId="27" borderId="19" xfId="0" applyFont="1" applyFill="1" applyBorder="1" applyAlignment="1">
      <alignment horizontal="center" vertical="center"/>
    </xf>
    <xf numFmtId="0" fontId="17" fillId="6" borderId="52" xfId="31" applyFont="1" applyFill="1" applyBorder="1" applyAlignment="1">
      <alignment horizontal="center" vertical="center"/>
    </xf>
    <xf numFmtId="0" fontId="17" fillId="6" borderId="1" xfId="31" applyFont="1" applyFill="1" applyBorder="1" applyAlignment="1">
      <alignment horizontal="center" vertical="center"/>
    </xf>
    <xf numFmtId="0" fontId="17" fillId="6" borderId="53" xfId="31" applyFont="1" applyFill="1" applyBorder="1" applyAlignment="1">
      <alignment horizontal="center" vertical="center"/>
    </xf>
    <xf numFmtId="0" fontId="17" fillId="6" borderId="56" xfId="31" applyFont="1" applyFill="1" applyBorder="1" applyAlignment="1">
      <alignment horizontal="center" vertical="center"/>
    </xf>
    <xf numFmtId="0" fontId="14" fillId="0" borderId="33" xfId="31" applyFont="1" applyBorder="1" applyAlignment="1">
      <alignment horizontal="center" vertical="center"/>
    </xf>
    <xf numFmtId="0" fontId="14" fillId="0" borderId="1" xfId="31" applyFont="1" applyBorder="1" applyAlignment="1">
      <alignment horizontal="center" vertical="center"/>
    </xf>
    <xf numFmtId="0" fontId="14" fillId="0" borderId="2" xfId="31" applyFont="1" applyBorder="1" applyAlignment="1">
      <alignment horizontal="center" vertical="center"/>
    </xf>
    <xf numFmtId="0" fontId="38" fillId="0" borderId="0" xfId="31" applyFont="1" applyAlignment="1">
      <alignment horizontal="center" vertical="center"/>
    </xf>
    <xf numFmtId="0" fontId="15" fillId="0" borderId="3" xfId="31" applyFont="1" applyBorder="1" applyAlignment="1">
      <alignment horizontal="center" vertical="center" shrinkToFit="1"/>
    </xf>
    <xf numFmtId="0" fontId="5" fillId="0" borderId="3" xfId="0" applyFont="1" applyBorder="1" applyAlignment="1">
      <alignment horizontal="center" vertical="center" shrinkToFit="1"/>
    </xf>
    <xf numFmtId="166" fontId="6" fillId="0" borderId="52" xfId="0" applyNumberFormat="1" applyFont="1" applyBorder="1" applyAlignment="1">
      <alignment horizontal="center" vertical="center"/>
    </xf>
    <xf numFmtId="166" fontId="6" fillId="0" borderId="53" xfId="0" applyNumberFormat="1" applyFont="1" applyBorder="1" applyAlignment="1">
      <alignment horizontal="center" vertical="center"/>
    </xf>
    <xf numFmtId="166" fontId="6" fillId="0" borderId="56" xfId="0" applyNumberFormat="1" applyFont="1" applyBorder="1" applyAlignment="1">
      <alignment horizontal="center" vertical="center"/>
    </xf>
    <xf numFmtId="0" fontId="0" fillId="0" borderId="52" xfId="0" applyBorder="1" applyAlignment="1">
      <alignment horizontal="center" vertical="center"/>
    </xf>
    <xf numFmtId="0" fontId="0" fillId="0" borderId="53" xfId="0" applyBorder="1" applyAlignment="1">
      <alignment horizontal="center" vertical="center"/>
    </xf>
    <xf numFmtId="0" fontId="0" fillId="0" borderId="56" xfId="0" applyBorder="1" applyAlignment="1">
      <alignment horizontal="center" vertical="center"/>
    </xf>
    <xf numFmtId="0" fontId="0" fillId="0" borderId="3" xfId="0" applyBorder="1" applyAlignment="1">
      <alignment horizontal="center" vertical="center"/>
    </xf>
    <xf numFmtId="169" fontId="6" fillId="0" borderId="33" xfId="0" applyNumberFormat="1" applyFont="1" applyBorder="1" applyAlignment="1">
      <alignment horizontal="center" vertical="center"/>
    </xf>
    <xf numFmtId="169" fontId="6" fillId="0" borderId="1" xfId="0" applyNumberFormat="1" applyFont="1" applyBorder="1"/>
    <xf numFmtId="0" fontId="3" fillId="0" borderId="3" xfId="0" applyFont="1" applyBorder="1" applyAlignment="1">
      <alignment horizontal="center" vertical="center"/>
    </xf>
    <xf numFmtId="1" fontId="3" fillId="0" borderId="52" xfId="0" applyNumberFormat="1" applyFont="1" applyBorder="1" applyAlignment="1">
      <alignment horizontal="center" vertical="center"/>
    </xf>
    <xf numFmtId="1" fontId="6" fillId="0" borderId="53" xfId="0" applyNumberFormat="1" applyFont="1" applyBorder="1" applyAlignment="1">
      <alignment horizontal="center" vertical="center"/>
    </xf>
    <xf numFmtId="1" fontId="6" fillId="0" borderId="56" xfId="0" applyNumberFormat="1" applyFont="1" applyBorder="1" applyAlignment="1">
      <alignment horizontal="center" vertical="center"/>
    </xf>
    <xf numFmtId="1" fontId="10" fillId="0" borderId="33" xfId="0" applyNumberFormat="1" applyFont="1" applyBorder="1" applyAlignment="1">
      <alignment horizontal="center" vertical="center"/>
    </xf>
    <xf numFmtId="0" fontId="10" fillId="0" borderId="1" xfId="0" applyFont="1" applyBorder="1"/>
    <xf numFmtId="0" fontId="9" fillId="0" borderId="3" xfId="0" applyFont="1" applyBorder="1" applyAlignment="1">
      <alignment horizontal="center" vertical="center"/>
    </xf>
    <xf numFmtId="0" fontId="11" fillId="0" borderId="3" xfId="0" applyFont="1" applyBorder="1" applyAlignment="1">
      <alignment horizontal="center" vertical="center"/>
    </xf>
    <xf numFmtId="1" fontId="11" fillId="0" borderId="33" xfId="0" applyNumberFormat="1" applyFont="1" applyBorder="1" applyAlignment="1">
      <alignment horizontal="center" vertical="center"/>
    </xf>
    <xf numFmtId="0" fontId="0" fillId="0" borderId="1" xfId="0" applyBorder="1"/>
    <xf numFmtId="0" fontId="0" fillId="0" borderId="2" xfId="0" applyBorder="1"/>
    <xf numFmtId="0" fontId="0" fillId="0" borderId="36" xfId="0" applyBorder="1"/>
    <xf numFmtId="0" fontId="0" fillId="0" borderId="37" xfId="0" applyBorder="1"/>
    <xf numFmtId="0" fontId="0" fillId="0" borderId="38" xfId="0" applyBorder="1"/>
    <xf numFmtId="0" fontId="12" fillId="0" borderId="52" xfId="0" applyFont="1" applyBorder="1" applyAlignment="1">
      <alignment horizontal="center" vertical="center"/>
    </xf>
    <xf numFmtId="0" fontId="0" fillId="0" borderId="53" xfId="0" applyBorder="1"/>
    <xf numFmtId="0" fontId="0" fillId="0" borderId="56" xfId="0" applyBorder="1"/>
    <xf numFmtId="0" fontId="9" fillId="0" borderId="52" xfId="0" applyFont="1" applyBorder="1" applyAlignment="1">
      <alignment horizontal="center" vertical="center"/>
    </xf>
    <xf numFmtId="0" fontId="9" fillId="0" borderId="53" xfId="0" applyFont="1" applyBorder="1" applyAlignment="1">
      <alignment horizontal="center" vertical="center"/>
    </xf>
    <xf numFmtId="0" fontId="9" fillId="0" borderId="56" xfId="0" applyFont="1" applyBorder="1" applyAlignment="1">
      <alignment horizontal="center" vertical="center"/>
    </xf>
    <xf numFmtId="0" fontId="5" fillId="0" borderId="36" xfId="0" applyFont="1" applyBorder="1" applyAlignment="1">
      <alignment horizontal="center" vertical="center"/>
    </xf>
    <xf numFmtId="0" fontId="5" fillId="0" borderId="37" xfId="0" applyFont="1" applyBorder="1" applyAlignment="1">
      <alignment horizontal="center" vertical="center"/>
    </xf>
    <xf numFmtId="0" fontId="5" fillId="0" borderId="38" xfId="0" applyFont="1" applyBorder="1" applyAlignment="1">
      <alignment horizontal="center" vertical="center"/>
    </xf>
    <xf numFmtId="0" fontId="6" fillId="0" borderId="52" xfId="0" applyFont="1" applyBorder="1" applyAlignment="1">
      <alignment horizontal="center" vertical="center"/>
    </xf>
    <xf numFmtId="0" fontId="6" fillId="0" borderId="53" xfId="0" applyFont="1" applyBorder="1" applyAlignment="1">
      <alignment horizontal="center" vertical="center"/>
    </xf>
    <xf numFmtId="1" fontId="11" fillId="0" borderId="1" xfId="0" applyNumberFormat="1" applyFont="1" applyBorder="1" applyAlignment="1">
      <alignment horizontal="center" vertical="center"/>
    </xf>
    <xf numFmtId="1" fontId="11" fillId="0" borderId="2" xfId="0" applyNumberFormat="1" applyFont="1" applyBorder="1" applyAlignment="1">
      <alignment horizontal="center" vertical="center"/>
    </xf>
    <xf numFmtId="1" fontId="11" fillId="0" borderId="34" xfId="0" applyNumberFormat="1" applyFont="1" applyBorder="1" applyAlignment="1">
      <alignment horizontal="center" vertical="center"/>
    </xf>
    <xf numFmtId="1" fontId="11" fillId="0" borderId="0" xfId="0" applyNumberFormat="1" applyFont="1" applyAlignment="1">
      <alignment horizontal="center" vertical="center"/>
    </xf>
    <xf numFmtId="1" fontId="11" fillId="0" borderId="35" xfId="0" applyNumberFormat="1" applyFont="1" applyBorder="1" applyAlignment="1">
      <alignment horizontal="center" vertical="center"/>
    </xf>
    <xf numFmtId="1" fontId="11" fillId="0" borderId="36" xfId="0" applyNumberFormat="1" applyFont="1" applyBorder="1" applyAlignment="1">
      <alignment horizontal="center" vertical="center"/>
    </xf>
    <xf numFmtId="1" fontId="11" fillId="0" borderId="37" xfId="0" applyNumberFormat="1" applyFont="1" applyBorder="1" applyAlignment="1">
      <alignment horizontal="center" vertical="center"/>
    </xf>
    <xf numFmtId="1" fontId="11" fillId="0" borderId="38" xfId="0" applyNumberFormat="1" applyFont="1" applyBorder="1" applyAlignment="1">
      <alignment horizontal="center" vertical="center"/>
    </xf>
    <xf numFmtId="0" fontId="6" fillId="0" borderId="33" xfId="0" applyFont="1" applyBorder="1" applyAlignment="1">
      <alignment horizontal="center" vertical="center"/>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34" xfId="0" applyFont="1" applyBorder="1" applyAlignment="1">
      <alignment horizontal="center" vertical="center"/>
    </xf>
    <xf numFmtId="0" fontId="6" fillId="0" borderId="0" xfId="0" applyFont="1" applyAlignment="1">
      <alignment horizontal="center" vertical="center"/>
    </xf>
    <xf numFmtId="0" fontId="6" fillId="0" borderId="35" xfId="0" applyFont="1" applyBorder="1" applyAlignment="1">
      <alignment horizontal="center" vertical="center"/>
    </xf>
    <xf numFmtId="0" fontId="6" fillId="0" borderId="36" xfId="0" applyFont="1" applyBorder="1" applyAlignment="1">
      <alignment horizontal="center" vertical="center"/>
    </xf>
    <xf numFmtId="0" fontId="6" fillId="0" borderId="37" xfId="0" applyFont="1" applyBorder="1" applyAlignment="1">
      <alignment horizontal="center" vertical="center"/>
    </xf>
    <xf numFmtId="0" fontId="6" fillId="0" borderId="38" xfId="0" applyFont="1" applyBorder="1" applyAlignment="1">
      <alignment horizontal="center" vertical="center"/>
    </xf>
    <xf numFmtId="1" fontId="9" fillId="0" borderId="53" xfId="0" applyNumberFormat="1" applyFont="1" applyBorder="1" applyAlignment="1">
      <alignment horizontal="center" vertical="center"/>
    </xf>
    <xf numFmtId="1" fontId="9" fillId="0" borderId="56" xfId="0" applyNumberFormat="1" applyFont="1" applyBorder="1" applyAlignment="1">
      <alignment horizontal="center" vertical="center"/>
    </xf>
    <xf numFmtId="0" fontId="11" fillId="0" borderId="52" xfId="0" applyFont="1" applyBorder="1" applyAlignment="1">
      <alignment horizontal="center" vertical="center"/>
    </xf>
    <xf numFmtId="0" fontId="11" fillId="0" borderId="53" xfId="0" applyFont="1" applyBorder="1" applyAlignment="1">
      <alignment horizontal="center" vertical="center"/>
    </xf>
    <xf numFmtId="0" fontId="11" fillId="0" borderId="56" xfId="0" applyFont="1" applyBorder="1" applyAlignment="1">
      <alignment horizontal="center" vertical="center"/>
    </xf>
    <xf numFmtId="0" fontId="0" fillId="0" borderId="0" xfId="0" applyAlignment="1">
      <alignment horizontal="center" vertical="center"/>
    </xf>
    <xf numFmtId="0" fontId="4" fillId="0" borderId="3" xfId="0" applyFont="1" applyBorder="1" applyAlignment="1">
      <alignment horizontal="center" vertical="center"/>
    </xf>
    <xf numFmtId="0" fontId="3" fillId="0" borderId="33" xfId="0" applyFont="1" applyBorder="1" applyAlignment="1">
      <alignment horizontal="center" vertical="center" wrapText="1"/>
    </xf>
    <xf numFmtId="0" fontId="0" fillId="0" borderId="2" xfId="0" applyBorder="1" applyAlignment="1">
      <alignment horizontal="center" vertical="center" wrapText="1"/>
    </xf>
    <xf numFmtId="0" fontId="0" fillId="0" borderId="36" xfId="0" applyBorder="1" applyAlignment="1">
      <alignment horizontal="center" vertical="center" wrapText="1"/>
    </xf>
    <xf numFmtId="0" fontId="0" fillId="0" borderId="38" xfId="0" applyBorder="1" applyAlignment="1">
      <alignment horizontal="center" vertical="center" wrapText="1"/>
    </xf>
    <xf numFmtId="1" fontId="12" fillId="0" borderId="52" xfId="0" applyNumberFormat="1" applyFont="1" applyBorder="1" applyAlignment="1">
      <alignment horizontal="center" vertical="center"/>
    </xf>
    <xf numFmtId="0" fontId="3" fillId="0" borderId="36" xfId="0" applyFont="1" applyBorder="1" applyAlignment="1">
      <alignment horizontal="center"/>
    </xf>
    <xf numFmtId="0" fontId="0" fillId="0" borderId="38" xfId="0" applyBorder="1" applyAlignment="1">
      <alignment horizontal="center"/>
    </xf>
    <xf numFmtId="0" fontId="0" fillId="0" borderId="33" xfId="0" applyBorder="1" applyAlignment="1">
      <alignment horizontal="center"/>
    </xf>
    <xf numFmtId="0" fontId="0" fillId="0" borderId="2" xfId="0" applyBorder="1" applyAlignment="1">
      <alignment horizontal="center"/>
    </xf>
    <xf numFmtId="0" fontId="11" fillId="0" borderId="3" xfId="0" applyFont="1" applyBorder="1" applyAlignment="1">
      <alignment horizontal="center"/>
    </xf>
    <xf numFmtId="0" fontId="12" fillId="0" borderId="3" xfId="0" applyFont="1" applyBorder="1" applyAlignment="1">
      <alignment horizontal="left"/>
    </xf>
    <xf numFmtId="0" fontId="0" fillId="0" borderId="1" xfId="0" applyBorder="1" applyAlignment="1">
      <alignment horizontal="center"/>
    </xf>
    <xf numFmtId="0" fontId="0" fillId="0" borderId="37" xfId="0" applyBorder="1" applyAlignment="1">
      <alignment horizontal="center"/>
    </xf>
    <xf numFmtId="0" fontId="11" fillId="0" borderId="33" xfId="0" applyFont="1" applyBorder="1" applyAlignment="1">
      <alignment horizontal="center"/>
    </xf>
    <xf numFmtId="0" fontId="11" fillId="0" borderId="1" xfId="0" applyFont="1" applyBorder="1" applyAlignment="1">
      <alignment horizontal="center"/>
    </xf>
    <xf numFmtId="168" fontId="5" fillId="0" borderId="3" xfId="0" applyNumberFormat="1" applyFont="1" applyBorder="1" applyAlignment="1">
      <alignment horizontal="center"/>
    </xf>
    <xf numFmtId="0" fontId="5" fillId="0" borderId="3" xfId="0" applyFont="1" applyBorder="1" applyAlignment="1">
      <alignment horizontal="center"/>
    </xf>
    <xf numFmtId="0" fontId="5" fillId="0" borderId="3" xfId="0" applyFont="1" applyBorder="1" applyAlignment="1">
      <alignment horizontal="right"/>
    </xf>
    <xf numFmtId="0" fontId="41" fillId="0" borderId="59" xfId="0" applyFont="1" applyBorder="1" applyAlignment="1">
      <alignment horizontal="center" vertical="center"/>
    </xf>
    <xf numFmtId="0" fontId="41" fillId="0" borderId="46" xfId="0" applyFont="1" applyBorder="1" applyAlignment="1">
      <alignment horizontal="center" vertical="center"/>
    </xf>
    <xf numFmtId="0" fontId="41" fillId="0" borderId="47" xfId="0" applyFont="1" applyBorder="1" applyAlignment="1">
      <alignment horizontal="center" vertical="center"/>
    </xf>
    <xf numFmtId="0" fontId="41" fillId="0" borderId="60" xfId="0" applyFont="1" applyBorder="1" applyAlignment="1">
      <alignment horizontal="center"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0" fillId="0" borderId="3" xfId="0" applyFont="1" applyBorder="1" applyAlignment="1">
      <alignment horizontal="left" vertical="center"/>
    </xf>
    <xf numFmtId="0" fontId="31" fillId="0" borderId="3" xfId="0" applyFont="1" applyBorder="1" applyAlignment="1">
      <alignment horizontal="center"/>
    </xf>
    <xf numFmtId="0" fontId="31" fillId="0" borderId="3" xfId="0" applyFont="1" applyBorder="1" applyAlignment="1">
      <alignment horizontal="center" vertical="center"/>
    </xf>
    <xf numFmtId="0" fontId="9" fillId="0" borderId="3" xfId="0" applyFont="1" applyBorder="1" applyAlignment="1">
      <alignment horizontal="center"/>
    </xf>
    <xf numFmtId="0" fontId="40" fillId="0" borderId="45" xfId="0" applyFont="1" applyBorder="1" applyAlignment="1">
      <alignment horizontal="center" vertical="center"/>
    </xf>
    <xf numFmtId="0" fontId="40" fillId="0" borderId="46" xfId="0" applyFont="1" applyBorder="1" applyAlignment="1">
      <alignment horizontal="center" vertical="center"/>
    </xf>
    <xf numFmtId="0" fontId="40" fillId="0" borderId="57" xfId="0" applyFont="1" applyBorder="1" applyAlignment="1">
      <alignment horizontal="center" vertical="center"/>
    </xf>
    <xf numFmtId="0" fontId="40" fillId="0" borderId="21" xfId="0" applyFont="1" applyBorder="1" applyAlignment="1">
      <alignment horizontal="center" vertical="center"/>
    </xf>
    <xf numFmtId="0" fontId="40" fillId="0" borderId="22" xfId="0" applyFont="1" applyBorder="1" applyAlignment="1">
      <alignment horizontal="center" vertical="center"/>
    </xf>
    <xf numFmtId="0" fontId="40" fillId="0" borderId="58" xfId="0" applyFont="1" applyBorder="1" applyAlignment="1">
      <alignment horizontal="center" vertical="center"/>
    </xf>
    <xf numFmtId="168" fontId="12" fillId="0" borderId="3" xfId="0" applyNumberFormat="1" applyFont="1" applyBorder="1" applyAlignment="1">
      <alignment horizontal="center"/>
    </xf>
    <xf numFmtId="165" fontId="12" fillId="0" borderId="3" xfId="0" applyNumberFormat="1" applyFont="1" applyBorder="1" applyAlignment="1">
      <alignment horizontal="center"/>
    </xf>
    <xf numFmtId="168" fontId="0" fillId="0" borderId="0" xfId="0" applyNumberFormat="1" applyAlignment="1">
      <alignment horizontal="center" vertical="center"/>
    </xf>
    <xf numFmtId="168" fontId="11" fillId="0" borderId="3" xfId="0" applyNumberFormat="1" applyFont="1" applyBorder="1" applyAlignment="1">
      <alignment horizontal="center"/>
    </xf>
    <xf numFmtId="165" fontId="11" fillId="0" borderId="3" xfId="0" applyNumberFormat="1" applyFont="1" applyBorder="1" applyAlignment="1">
      <alignment horizontal="center"/>
    </xf>
    <xf numFmtId="0" fontId="9" fillId="0" borderId="43" xfId="0" applyFont="1" applyBorder="1" applyAlignment="1">
      <alignment horizontal="center"/>
    </xf>
    <xf numFmtId="0" fontId="11" fillId="0" borderId="52" xfId="0" applyFont="1" applyBorder="1" applyAlignment="1">
      <alignment horizontal="center"/>
    </xf>
    <xf numFmtId="0" fontId="11" fillId="0" borderId="53" xfId="0" applyFont="1" applyBorder="1" applyAlignment="1">
      <alignment horizontal="center"/>
    </xf>
    <xf numFmtId="0" fontId="11" fillId="0" borderId="56" xfId="0" applyFont="1" applyBorder="1" applyAlignment="1">
      <alignment horizontal="center"/>
    </xf>
    <xf numFmtId="0" fontId="11" fillId="0" borderId="43" xfId="0" applyFont="1" applyBorder="1" applyAlignment="1">
      <alignment horizontal="center"/>
    </xf>
    <xf numFmtId="0" fontId="31" fillId="0" borderId="43" xfId="0" applyFont="1" applyBorder="1" applyAlignment="1">
      <alignment horizontal="center"/>
    </xf>
    <xf numFmtId="0" fontId="11" fillId="0" borderId="3" xfId="0" applyFont="1" applyBorder="1" applyAlignment="1">
      <alignment horizontal="left"/>
    </xf>
    <xf numFmtId="0" fontId="12" fillId="0" borderId="3" xfId="0" applyFont="1" applyBorder="1" applyAlignment="1">
      <alignment horizontal="center"/>
    </xf>
    <xf numFmtId="0" fontId="77" fillId="78" borderId="52" xfId="0" applyFont="1" applyFill="1" applyBorder="1" applyAlignment="1">
      <alignment horizontal="center" vertical="center"/>
    </xf>
    <xf numFmtId="0" fontId="77" fillId="78" borderId="53" xfId="0" applyFont="1" applyFill="1" applyBorder="1" applyAlignment="1">
      <alignment horizontal="center" vertical="center"/>
    </xf>
    <xf numFmtId="0" fontId="77" fillId="78" borderId="56" xfId="0" applyFont="1" applyFill="1" applyBorder="1" applyAlignment="1">
      <alignment horizontal="center" vertical="center"/>
    </xf>
    <xf numFmtId="0" fontId="0" fillId="0" borderId="0" xfId="0" applyNumberFormat="1"/>
    <xf numFmtId="0" fontId="0" fillId="0" borderId="0" xfId="0" applyNumberFormat="1" applyFill="1" applyAlignment="1">
      <alignment horizontal="center" vertical="center"/>
    </xf>
    <xf numFmtId="0" fontId="0" fillId="0" borderId="0" xfId="0" applyFill="1" applyAlignment="1">
      <alignment horizontal="center" vertical="center"/>
    </xf>
    <xf numFmtId="49" fontId="0" fillId="0" borderId="0" xfId="0" applyNumberFormat="1" applyFill="1" applyAlignment="1">
      <alignment horizontal="center" vertical="center"/>
    </xf>
    <xf numFmtId="0" fontId="0" fillId="0" borderId="35" xfId="0" applyFill="1" applyBorder="1" applyAlignment="1">
      <alignment horizontal="center" vertical="center"/>
    </xf>
    <xf numFmtId="0" fontId="0" fillId="0" borderId="0" xfId="0" applyNumberFormat="1" applyFill="1"/>
    <xf numFmtId="0" fontId="3" fillId="0" borderId="0" xfId="0" applyNumberFormat="1" applyFont="1" applyFill="1"/>
    <xf numFmtId="0" fontId="3" fillId="0" borderId="0" xfId="0" applyNumberFormat="1" applyFont="1" applyFill="1" applyAlignment="1">
      <alignment horizontal="center" vertical="center"/>
    </xf>
    <xf numFmtId="0" fontId="3" fillId="0" borderId="0" xfId="0" applyNumberFormat="1" applyFont="1"/>
  </cellXfs>
  <cellStyles count="80">
    <cellStyle name="20% - Ênfase1" xfId="51" builtinId="30" customBuiltin="1"/>
    <cellStyle name="20% - Ênfase1 2" xfId="1" xr:uid="{00000000-0005-0000-0000-000000000000}"/>
    <cellStyle name="20% - Ênfase1 3" xfId="2" xr:uid="{00000000-0005-0000-0000-000001000000}"/>
    <cellStyle name="20% - Ênfase2" xfId="54" builtinId="34" customBuiltin="1"/>
    <cellStyle name="20% - Ênfase2 2" xfId="3" xr:uid="{00000000-0005-0000-0000-000002000000}"/>
    <cellStyle name="20% - Ênfase2 3" xfId="4" xr:uid="{00000000-0005-0000-0000-000003000000}"/>
    <cellStyle name="20% - Ênfase3" xfId="57" builtinId="38" customBuiltin="1"/>
    <cellStyle name="20% - Ênfase3 2" xfId="5" xr:uid="{00000000-0005-0000-0000-000004000000}"/>
    <cellStyle name="20% - Ênfase3 3" xfId="6" xr:uid="{00000000-0005-0000-0000-000005000000}"/>
    <cellStyle name="20% - Ênfase4" xfId="60" builtinId="42" customBuiltin="1"/>
    <cellStyle name="20% - Ênfase4 2" xfId="7" xr:uid="{00000000-0005-0000-0000-000006000000}"/>
    <cellStyle name="20% - Ênfase4 3" xfId="8" xr:uid="{00000000-0005-0000-0000-000007000000}"/>
    <cellStyle name="20% - Ênfase5" xfId="63" builtinId="46" customBuiltin="1"/>
    <cellStyle name="20% - Ênfase5 2" xfId="9" xr:uid="{00000000-0005-0000-0000-000008000000}"/>
    <cellStyle name="20% - Ênfase5 3" xfId="10" xr:uid="{00000000-0005-0000-0000-000009000000}"/>
    <cellStyle name="20% - Ênfase6" xfId="66" builtinId="50" customBuiltin="1"/>
    <cellStyle name="20% - Ênfase6 2" xfId="11" xr:uid="{00000000-0005-0000-0000-00000A000000}"/>
    <cellStyle name="20% - Ênfase6 3" xfId="12" xr:uid="{00000000-0005-0000-0000-00000B000000}"/>
    <cellStyle name="40% - Ênfase1" xfId="52" builtinId="31" customBuiltin="1"/>
    <cellStyle name="40% - Ênfase1 2" xfId="13" xr:uid="{00000000-0005-0000-0000-00000C000000}"/>
    <cellStyle name="40% - Ênfase1 3" xfId="14" xr:uid="{00000000-0005-0000-0000-00000D000000}"/>
    <cellStyle name="40% - Ênfase2" xfId="55" builtinId="35" customBuiltin="1"/>
    <cellStyle name="40% - Ênfase2 2" xfId="15" xr:uid="{00000000-0005-0000-0000-00000E000000}"/>
    <cellStyle name="40% - Ênfase2 3" xfId="16" xr:uid="{00000000-0005-0000-0000-00000F000000}"/>
    <cellStyle name="40% - Ênfase3" xfId="58" builtinId="39" customBuiltin="1"/>
    <cellStyle name="40% - Ênfase3 2" xfId="17" xr:uid="{00000000-0005-0000-0000-000010000000}"/>
    <cellStyle name="40% - Ênfase3 3" xfId="18" xr:uid="{00000000-0005-0000-0000-000011000000}"/>
    <cellStyle name="40% - Ênfase4" xfId="61" builtinId="43" customBuiltin="1"/>
    <cellStyle name="40% - Ênfase4 2" xfId="19" xr:uid="{00000000-0005-0000-0000-000012000000}"/>
    <cellStyle name="40% - Ênfase4 3" xfId="20" xr:uid="{00000000-0005-0000-0000-000013000000}"/>
    <cellStyle name="40% - Ênfase5" xfId="64" builtinId="47" customBuiltin="1"/>
    <cellStyle name="40% - Ênfase5 2" xfId="21" xr:uid="{00000000-0005-0000-0000-000014000000}"/>
    <cellStyle name="40% - Ênfase5 3" xfId="22" xr:uid="{00000000-0005-0000-0000-000015000000}"/>
    <cellStyle name="40% - Ênfase6" xfId="67" builtinId="51" customBuiltin="1"/>
    <cellStyle name="40% - Ênfase6 2" xfId="23" xr:uid="{00000000-0005-0000-0000-000016000000}"/>
    <cellStyle name="40% - Ênfase6 3" xfId="24" xr:uid="{00000000-0005-0000-0000-000017000000}"/>
    <cellStyle name="60% - Ênfase1 2" xfId="72" xr:uid="{96BFF5DC-3B4F-4F41-999A-6E3EB70C4902}"/>
    <cellStyle name="60% - Ênfase2 2" xfId="73" xr:uid="{2C9671E8-0496-498C-9945-E057DFFCC07B}"/>
    <cellStyle name="60% - Ênfase3 2" xfId="74" xr:uid="{56976BF7-88C4-4323-8FF4-7BB7718B07AE}"/>
    <cellStyle name="60% - Ênfase4 2" xfId="75" xr:uid="{4C085EC7-EDF6-4FCB-95A4-FDF8D93E191A}"/>
    <cellStyle name="60% - Ênfase5 2" xfId="76" xr:uid="{4727D59E-E188-4F94-9686-9DC093640EB0}"/>
    <cellStyle name="60% - Ênfase6 2" xfId="77" xr:uid="{BEBBD97C-AAAB-4897-A571-146EE86FA761}"/>
    <cellStyle name="Bom" xfId="40" builtinId="26" customBuiltin="1"/>
    <cellStyle name="Cálculo" xfId="44" builtinId="22" customBuiltin="1"/>
    <cellStyle name="Célula de Verificação" xfId="46" builtinId="23" customBuiltin="1"/>
    <cellStyle name="Célula Vinculada" xfId="45" builtinId="24" customBuiltin="1"/>
    <cellStyle name="Ênfase1" xfId="50" builtinId="29" customBuiltin="1"/>
    <cellStyle name="Ênfase2" xfId="53" builtinId="33" customBuiltin="1"/>
    <cellStyle name="Ênfase3" xfId="56" builtinId="37" customBuiltin="1"/>
    <cellStyle name="Ênfase4" xfId="59" builtinId="41" customBuiltin="1"/>
    <cellStyle name="Ênfase5" xfId="62" builtinId="45" customBuiltin="1"/>
    <cellStyle name="Ênfase6" xfId="65" builtinId="49" customBuiltin="1"/>
    <cellStyle name="Entrada" xfId="42" builtinId="20" customBuiltin="1"/>
    <cellStyle name="Neutro 2" xfId="70" xr:uid="{B98B686D-033F-4019-93F1-4509F6B00957}"/>
    <cellStyle name="Normal" xfId="0" builtinId="0"/>
    <cellStyle name="Normal 2" xfId="25" xr:uid="{00000000-0005-0000-0000-000019000000}"/>
    <cellStyle name="Normal 2 2" xfId="26" xr:uid="{00000000-0005-0000-0000-00001A000000}"/>
    <cellStyle name="Normal 3" xfId="27" xr:uid="{00000000-0005-0000-0000-00001B000000}"/>
    <cellStyle name="Normal 4" xfId="68" xr:uid="{46175B81-9E91-436A-A035-67BA0162822A}"/>
    <cellStyle name="Normal 4 2" xfId="28" xr:uid="{00000000-0005-0000-0000-00001C000000}"/>
    <cellStyle name="Normal 5" xfId="29" xr:uid="{00000000-0005-0000-0000-00001D000000}"/>
    <cellStyle name="Normal 5 2" xfId="30" xr:uid="{00000000-0005-0000-0000-00001E000000}"/>
    <cellStyle name="Normal 6" xfId="79" xr:uid="{8FE89A7D-EB5E-491A-852D-83A4B57DE31D}"/>
    <cellStyle name="Normal_Lista de Recomendadas - 2007" xfId="31" xr:uid="{00000000-0005-0000-0000-00001F000000}"/>
    <cellStyle name="Nota 2" xfId="32" xr:uid="{00000000-0005-0000-0000-000020000000}"/>
    <cellStyle name="Nota 3" xfId="33" xr:uid="{00000000-0005-0000-0000-000021000000}"/>
    <cellStyle name="Nota 4" xfId="71" xr:uid="{893A6308-BF55-45B5-A6B2-505E4A19F93C}"/>
    <cellStyle name="Porcentagem" xfId="34" builtinId="5"/>
    <cellStyle name="Porcentagem 2 2" xfId="35" xr:uid="{00000000-0005-0000-0000-000023000000}"/>
    <cellStyle name="Ruim" xfId="41" builtinId="27" customBuiltin="1"/>
    <cellStyle name="Saída" xfId="43" builtinId="21" customBuiltin="1"/>
    <cellStyle name="Standard 2" xfId="78" xr:uid="{43F12B08-864D-4552-8A9F-7B874576D16E}"/>
    <cellStyle name="Texto de Aviso" xfId="47" builtinId="11" customBuiltin="1"/>
    <cellStyle name="Texto Explicativo" xfId="48" builtinId="53" customBuiltin="1"/>
    <cellStyle name="Título 1" xfId="36" builtinId="16" customBuiltin="1"/>
    <cellStyle name="Título 2" xfId="37" builtinId="17" customBuiltin="1"/>
    <cellStyle name="Título 3" xfId="38" builtinId="18" customBuiltin="1"/>
    <cellStyle name="Título 4" xfId="39" builtinId="19" customBuiltin="1"/>
    <cellStyle name="Título 5" xfId="69" xr:uid="{71B21050-9695-4E0C-BF79-735403FDB95A}"/>
    <cellStyle name="Total" xfId="49" builtinId="25" customBuiltin="1"/>
  </cellStyles>
  <dxfs count="1198">
    <dxf>
      <font>
        <b/>
        <i val="0"/>
      </font>
      <fill>
        <patternFill>
          <bgColor theme="9" tint="0.59996337778862885"/>
        </patternFill>
      </fill>
    </dxf>
    <dxf>
      <font>
        <b/>
        <i val="0"/>
      </font>
      <fill>
        <patternFill>
          <bgColor rgb="FFFFFF99"/>
        </patternFill>
      </fill>
    </dxf>
    <dxf>
      <font>
        <b/>
        <i val="0"/>
        <color theme="0"/>
      </font>
      <fill>
        <patternFill>
          <bgColor theme="3" tint="-0.24994659260841701"/>
        </patternFill>
      </fill>
    </dxf>
    <dxf>
      <font>
        <b/>
        <i val="0"/>
      </font>
      <fill>
        <patternFill>
          <bgColor theme="9" tint="0.59996337778862885"/>
        </patternFill>
      </fill>
    </dxf>
    <dxf>
      <font>
        <b/>
        <i val="0"/>
      </font>
      <fill>
        <patternFill>
          <bgColor rgb="FFFFFF99"/>
        </patternFill>
      </fill>
    </dxf>
    <dxf>
      <font>
        <b/>
        <i val="0"/>
        <color theme="0"/>
      </font>
      <fill>
        <patternFill>
          <bgColor theme="3" tint="-0.24994659260841701"/>
        </patternFill>
      </fill>
    </dxf>
    <dxf>
      <font>
        <color theme="0"/>
      </font>
    </dxf>
    <dxf>
      <numFmt numFmtId="171" formatCode="&quot;Automatico&quot;"/>
    </dxf>
    <dxf>
      <font>
        <b/>
        <i val="0"/>
      </font>
      <fill>
        <patternFill>
          <bgColor rgb="FFFFFF99"/>
        </patternFill>
      </fill>
    </dxf>
    <dxf>
      <font>
        <b/>
        <i val="0"/>
      </font>
      <fill>
        <patternFill>
          <bgColor theme="9" tint="0.59996337778862885"/>
        </patternFill>
      </fill>
    </dxf>
    <dxf>
      <font>
        <b/>
        <i val="0"/>
      </font>
      <fill>
        <patternFill>
          <bgColor rgb="FFFFFF99"/>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rgb="FFFF0000"/>
        </patternFill>
      </fill>
    </dxf>
    <dxf>
      <font>
        <b/>
        <i val="0"/>
      </font>
      <fill>
        <patternFill>
          <bgColor rgb="FFFF0000"/>
        </patternFill>
      </fill>
    </dxf>
    <dxf>
      <font>
        <b/>
        <i val="0"/>
      </font>
      <fill>
        <patternFill>
          <bgColor theme="3" tint="0.39994506668294322"/>
        </patternFill>
      </fill>
    </dxf>
    <dxf>
      <font>
        <b/>
        <i val="0"/>
      </font>
      <fill>
        <patternFill>
          <bgColor rgb="FFFF0000"/>
        </patternFill>
      </fill>
    </dxf>
    <dxf>
      <font>
        <b/>
        <i val="0"/>
      </font>
      <fill>
        <patternFill>
          <bgColor rgb="FFFF0000"/>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ont>
        <b/>
        <i val="0"/>
      </font>
      <fill>
        <patternFill>
          <bgColor theme="3"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59996337778862885"/>
        </patternFill>
      </fill>
    </dxf>
    <dxf>
      <fill>
        <patternFill>
          <bgColor theme="5" tint="0.39994506668294322"/>
        </patternFill>
      </fill>
    </dxf>
    <dxf>
      <fill>
        <patternFill>
          <bgColor theme="6" tint="0.59996337778862885"/>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6" tint="0.59996337778862885"/>
        </patternFill>
      </fill>
    </dxf>
    <dxf>
      <fill>
        <patternFill>
          <bgColor theme="5" tint="0.39994506668294322"/>
        </patternFill>
      </fill>
    </dxf>
    <dxf>
      <fill>
        <patternFill>
          <bgColor theme="6" tint="0.59996337778862885"/>
        </patternFill>
      </fill>
    </dxf>
    <dxf>
      <fill>
        <patternFill>
          <bgColor theme="5" tint="0.3999450666829432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0000"/>
        </patternFill>
      </fill>
    </dxf>
    <dxf>
      <fill>
        <patternFill>
          <bgColor rgb="FFFF0000"/>
        </patternFill>
      </fill>
    </dxf>
    <dxf>
      <font>
        <color rgb="FFFFC000"/>
      </font>
      <fill>
        <patternFill>
          <bgColor rgb="FFFF0000"/>
        </patternFill>
      </fill>
    </dxf>
    <dxf>
      <font>
        <color rgb="FFFFFF0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FF00"/>
        </patternFill>
      </fill>
    </dxf>
    <dxf>
      <fill>
        <patternFill>
          <bgColor rgb="FFFF0000"/>
        </patternFill>
      </fill>
    </dxf>
    <dxf>
      <font>
        <b/>
        <i val="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ont>
        <condense val="0"/>
        <extend val="0"/>
        <color indexed="10"/>
      </font>
      <fill>
        <patternFill>
          <bgColor indexed="29"/>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b/>
        <i val="0"/>
        <color rgb="FFC00000"/>
      </font>
      <fill>
        <patternFill>
          <bgColor theme="5" tint="0.79998168889431442"/>
        </patternFill>
      </fill>
    </dxf>
    <dxf>
      <font>
        <b/>
        <i val="0"/>
        <color rgb="FFC00000"/>
      </font>
      <fill>
        <patternFill>
          <bgColor theme="5" tint="0.79998168889431442"/>
        </patternFill>
      </fill>
    </dxf>
    <dxf>
      <font>
        <b/>
        <i val="0"/>
        <color rgb="FFC00000"/>
      </font>
      <fill>
        <patternFill>
          <bgColor theme="5" tint="0.79998168889431442"/>
        </patternFill>
      </fill>
    </dxf>
    <dxf>
      <font>
        <color rgb="FF9C0006"/>
      </font>
      <fill>
        <patternFill>
          <bgColor rgb="FFFFC7CE"/>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numFmt numFmtId="0" formatCode="General"/>
    </dxf>
    <dxf>
      <numFmt numFmtId="0" formatCode="General"/>
      <fill>
        <patternFill patternType="none">
          <fgColor indexed="64"/>
          <bgColor auto="1"/>
        </patternFill>
      </fill>
    </dxf>
    <dxf>
      <numFmt numFmtId="0" formatCode="Genera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indexed="65"/>
        </patternFill>
      </fill>
      <alignment horizontal="center" vertical="center" textRotation="0" wrapText="0" indent="0" justifyLastLine="0" shrinkToFit="0" readingOrder="0"/>
      <border diagonalUp="0" diagonalDown="0" outline="0">
        <left/>
        <right style="thin">
          <color indexed="64"/>
        </right>
        <top/>
        <bottom/>
      </border>
    </dxf>
    <dxf>
      <fill>
        <patternFill patternType="none">
          <fgColor indexed="64"/>
          <bgColor indexed="65"/>
        </patternFill>
      </fill>
      <alignment horizontal="center" vertical="center" textRotation="0" wrapText="0" indent="0" justifyLastLine="0" shrinkToFit="0" readingOrder="0"/>
    </dxf>
    <dxf>
      <numFmt numFmtId="30" formatCode="@"/>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theme="1"/>
        </left>
      </border>
    </dxf>
    <dxf>
      <border>
        <left style="thin">
          <color theme="1"/>
        </left>
      </border>
    </dxf>
    <dxf>
      <border>
        <top style="thin">
          <color theme="1"/>
        </top>
      </border>
    </dxf>
    <dxf>
      <border>
        <top style="thin">
          <color theme="1"/>
        </top>
      </border>
    </dxf>
    <dxf>
      <font>
        <b/>
        <color theme="1"/>
      </font>
    </dxf>
    <dxf>
      <font>
        <b/>
        <color theme="1"/>
      </font>
    </dxf>
    <dxf>
      <font>
        <b/>
        <color theme="1"/>
      </font>
      <border>
        <top style="double">
          <color theme="1"/>
        </top>
      </border>
    </dxf>
    <dxf>
      <font>
        <b/>
        <color theme="0"/>
      </font>
      <fill>
        <patternFill patternType="solid">
          <fgColor theme="1"/>
          <bgColor theme="3" tint="-0.24994659260841701"/>
        </patternFill>
      </fill>
    </dxf>
    <dxf>
      <font>
        <color theme="3" tint="-0.24994659260841701"/>
      </font>
      <border>
        <left style="thin">
          <color theme="3" tint="-0.24994659260841701"/>
        </left>
        <right style="thin">
          <color theme="3" tint="-0.24994659260841701"/>
        </right>
        <top style="thin">
          <color theme="3" tint="-0.24994659260841701"/>
        </top>
        <bottom style="thin">
          <color theme="3" tint="-0.24994659260841701"/>
        </bottom>
      </border>
    </dxf>
    <dxf>
      <fill>
        <patternFill patternType="solid">
          <fgColor theme="3" tint="0.79998168889431442"/>
          <bgColor theme="0" tint="-0.14996795556505021"/>
        </patternFill>
      </fill>
    </dxf>
    <dxf>
      <fill>
        <patternFill patternType="solid">
          <fgColor theme="3" tint="0.79998168889431442"/>
          <bgColor theme="0" tint="-0.14996795556505021"/>
        </patternFill>
      </fill>
    </dxf>
    <dxf>
      <font>
        <b/>
        <color theme="1"/>
      </font>
    </dxf>
    <dxf>
      <font>
        <b/>
        <color theme="1"/>
      </font>
    </dxf>
    <dxf>
      <font>
        <b/>
        <color theme="1"/>
      </font>
      <border>
        <top style="thin">
          <color theme="1"/>
        </top>
      </border>
    </dxf>
    <dxf>
      <font>
        <b/>
        <i val="0"/>
        <color theme="3" tint="-0.24994659260841701"/>
      </font>
      <border>
        <bottom style="thin">
          <color theme="1"/>
        </bottom>
      </border>
    </dxf>
    <dxf>
      <font>
        <color theme="3" tint="-0.24994659260841701"/>
      </font>
      <border>
        <top style="thin">
          <color theme="3" tint="-0.24994659260841701"/>
        </top>
        <bottom style="thin">
          <color theme="3" tint="-0.24994659260841701"/>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dxf>
    <dxf>
      <font>
        <b/>
        <color theme="1"/>
      </font>
      <border>
        <top style="thin">
          <color theme="1"/>
        </top>
      </border>
    </dxf>
    <dxf>
      <font>
        <b/>
        <i val="0"/>
        <color theme="3" tint="-0.24994659260841701"/>
      </font>
      <border>
        <bottom style="thin">
          <color theme="3" tint="-0.24994659260841701"/>
        </bottom>
      </border>
    </dxf>
    <dxf>
      <font>
        <color theme="3" tint="-0.24994659260841701"/>
      </font>
      <border>
        <top style="thin">
          <color theme="3" tint="-0.24994659260841701"/>
        </top>
        <bottom style="thin">
          <color theme="3" tint="-0.24994659260841701"/>
        </bottom>
        <vertical style="thin">
          <color theme="3" tint="-0.24994659260841701"/>
        </vertical>
      </border>
    </dxf>
  </dxfs>
  <tableStyles count="3" defaultTableStyle="TableStyleMedium9" defaultPivotStyle="PivotStyleLight16">
    <tableStyle name="TableStyleLight1 2" pivot="0" count="7" xr9:uid="{543BB556-A30E-4391-BFB4-6DDBC0654A67}">
      <tableStyleElement type="wholeTable" dxfId="1197"/>
      <tableStyleElement type="headerRow" dxfId="1196"/>
      <tableStyleElement type="totalRow" dxfId="1195"/>
      <tableStyleElement type="firstColumn" dxfId="1194"/>
      <tableStyleElement type="lastColumn" dxfId="1193"/>
      <tableStyleElement type="firstRowStripe" dxfId="1192"/>
      <tableStyleElement type="firstColumnStripe" dxfId="1191"/>
    </tableStyle>
    <tableStyle name="TableStyleLight1 3" pivot="0" count="7" xr9:uid="{46910C32-2D29-4EDA-9822-BFD4503B9799}">
      <tableStyleElement type="wholeTable" dxfId="1190"/>
      <tableStyleElement type="headerRow" dxfId="1189"/>
      <tableStyleElement type="totalRow" dxfId="1188"/>
      <tableStyleElement type="firstColumn" dxfId="1187"/>
      <tableStyleElement type="lastColumn" dxfId="1186"/>
      <tableStyleElement type="firstRowStripe" dxfId="1185"/>
      <tableStyleElement type="firstColumnStripe" dxfId="1184"/>
    </tableStyle>
    <tableStyle name="TableStyleLight8 2" pivot="0" count="9" xr9:uid="{39BA5085-BC09-44BF-9FD8-824131C290D1}">
      <tableStyleElement type="wholeTable" dxfId="1183"/>
      <tableStyleElement type="headerRow" dxfId="1182"/>
      <tableStyleElement type="totalRow" dxfId="1181"/>
      <tableStyleElement type="firstColumn" dxfId="1180"/>
      <tableStyleElement type="lastColumn" dxfId="1179"/>
      <tableStyleElement type="firstRowStripe" dxfId="1178"/>
      <tableStyleElement type="secondRowStripe" dxfId="1177"/>
      <tableStyleElement type="firstColumnStripe" dxfId="1176"/>
      <tableStyleElement type="secondColumnStripe" dxfId="1175"/>
    </tableStyle>
  </tableStyles>
  <colors>
    <mruColors>
      <color rgb="FFB8CCE4"/>
      <color rgb="FFC5D9F1"/>
      <color rgb="FFFFFFCC"/>
      <color rgb="FF538DD5"/>
      <color rgb="FF92CDDC"/>
      <color rgb="FF8DB4E2"/>
      <color rgb="FFDAEE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22/10/relationships/richValueRel" Target="richData/richValueRel.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alcChain" Target="calcChain.xml"/><Relationship Id="rId30"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9.svg"/><Relationship Id="rId2" Type="http://schemas.openxmlformats.org/officeDocument/2006/relationships/image" Target="../media/image8.png"/><Relationship Id="rId1" Type="http://schemas.openxmlformats.org/officeDocument/2006/relationships/image" Target="../media/image2.png"/><Relationship Id="rId5" Type="http://schemas.openxmlformats.org/officeDocument/2006/relationships/image" Target="../media/image11.sv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svg"/><Relationship Id="rId1" Type="http://schemas.openxmlformats.org/officeDocument/2006/relationships/image" Target="../media/image8.png"/><Relationship Id="rId4" Type="http://schemas.openxmlformats.org/officeDocument/2006/relationships/image" Target="../media/image13.svg"/></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15.svg"/><Relationship Id="rId5" Type="http://schemas.openxmlformats.org/officeDocument/2006/relationships/image" Target="../media/image14.png"/><Relationship Id="rId4" Type="http://schemas.openxmlformats.org/officeDocument/2006/relationships/image" Target="../media/image13.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2" name="Imagem 2" descr="Descrição: cid:image002.png@01D34F58.D11CAC7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60960</xdr:colOff>
          <xdr:row>0</xdr:row>
          <xdr:rowOff>38100</xdr:rowOff>
        </xdr:from>
        <xdr:to>
          <xdr:col>24</xdr:col>
          <xdr:colOff>1623060</xdr:colOff>
          <xdr:row>0</xdr:row>
          <xdr:rowOff>373380</xdr:rowOff>
        </xdr:to>
        <xdr:sp macro="" textlink="">
          <xdr:nvSpPr>
            <xdr:cNvPr id="88216" name="Button 152" hidden="1">
              <a:extLst>
                <a:ext uri="{63B3BB69-23CF-44E3-9099-C40C66FF867C}">
                  <a14:compatExt spid="_x0000_s88216"/>
                </a:ext>
                <a:ext uri="{FF2B5EF4-FFF2-40B4-BE49-F238E27FC236}">
                  <a16:creationId xmlns:a16="http://schemas.microsoft.com/office/drawing/2014/main" id="{00000000-0008-0000-0800-00009858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CALCULAR</a:t>
              </a:r>
            </a:p>
          </xdr:txBody>
        </xdr:sp>
        <xdr:clientData fPrintsWithSheet="0"/>
      </xdr:twoCellAnchor>
    </mc:Choice>
    <mc:Fallback/>
  </mc:AlternateContent>
  <xdr:twoCellAnchor editAs="oneCell">
    <xdr:from>
      <xdr:col>1</xdr:col>
      <xdr:colOff>107256</xdr:colOff>
      <xdr:row>334</xdr:row>
      <xdr:rowOff>128068</xdr:rowOff>
    </xdr:from>
    <xdr:to>
      <xdr:col>1</xdr:col>
      <xdr:colOff>1846142</xdr:colOff>
      <xdr:row>348</xdr:row>
      <xdr:rowOff>97949</xdr:rowOff>
    </xdr:to>
    <xdr:pic>
      <xdr:nvPicPr>
        <xdr:cNvPr id="4" name="Imagem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stretch>
          <a:fillRect/>
        </a:stretch>
      </xdr:blipFill>
      <xdr:spPr>
        <a:xfrm>
          <a:off x="387403" y="64898068"/>
          <a:ext cx="1745871" cy="264704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12</xdr:col>
          <xdr:colOff>0</xdr:colOff>
          <xdr:row>591</xdr:row>
          <xdr:rowOff>0</xdr:rowOff>
        </xdr:from>
        <xdr:to>
          <xdr:col>13</xdr:col>
          <xdr:colOff>38100</xdr:colOff>
          <xdr:row>592</xdr:row>
          <xdr:rowOff>68580</xdr:rowOff>
        </xdr:to>
        <xdr:sp macro="" textlink="">
          <xdr:nvSpPr>
            <xdr:cNvPr id="97537" name="TempCombo" hidden="1">
              <a:extLst>
                <a:ext uri="{63B3BB69-23CF-44E3-9099-C40C66FF867C}">
                  <a14:compatExt spid="_x0000_s97537"/>
                </a:ext>
                <a:ext uri="{FF2B5EF4-FFF2-40B4-BE49-F238E27FC236}">
                  <a16:creationId xmlns:a16="http://schemas.microsoft.com/office/drawing/2014/main" id="{00000000-0008-0000-0800-0000017D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28</xdr:col>
      <xdr:colOff>78441</xdr:colOff>
      <xdr:row>1</xdr:row>
      <xdr:rowOff>93457</xdr:rowOff>
    </xdr:from>
    <xdr:to>
      <xdr:col>29</xdr:col>
      <xdr:colOff>67235</xdr:colOff>
      <xdr:row>1</xdr:row>
      <xdr:rowOff>399602</xdr:rowOff>
    </xdr:to>
    <xdr:sp macro="[0]!LADLE_TEMPLATE" textlink="">
      <xdr:nvSpPr>
        <xdr:cNvPr id="5" name="Retângulo: Cantos Arredondados 4">
          <a:extLst>
            <a:ext uri="{FF2B5EF4-FFF2-40B4-BE49-F238E27FC236}">
              <a16:creationId xmlns:a16="http://schemas.microsoft.com/office/drawing/2014/main" id="{00000000-0008-0000-0800-000005000000}"/>
            </a:ext>
          </a:extLst>
        </xdr:cNvPr>
        <xdr:cNvSpPr/>
      </xdr:nvSpPr>
      <xdr:spPr>
        <a:xfrm>
          <a:off x="18187147" y="474457"/>
          <a:ext cx="1299882" cy="30614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t>GERAR TEMPLATE</a:t>
          </a:r>
        </a:p>
      </xdr:txBody>
    </xdr:sp>
    <xdr:clientData/>
  </xdr:twoCellAnchor>
  <xdr:twoCellAnchor editAs="oneCell">
    <xdr:from>
      <xdr:col>12</xdr:col>
      <xdr:colOff>31296</xdr:colOff>
      <xdr:row>625</xdr:row>
      <xdr:rowOff>52523</xdr:rowOff>
    </xdr:from>
    <xdr:to>
      <xdr:col>18</xdr:col>
      <xdr:colOff>22405</xdr:colOff>
      <xdr:row>635</xdr:row>
      <xdr:rowOff>16591</xdr:rowOff>
    </xdr:to>
    <xdr:pic>
      <xdr:nvPicPr>
        <xdr:cNvPr id="12" name="Imagem 11">
          <a:extLst>
            <a:ext uri="{FF2B5EF4-FFF2-40B4-BE49-F238E27FC236}">
              <a16:creationId xmlns:a16="http://schemas.microsoft.com/office/drawing/2014/main" id="{00000000-0008-0000-0800-00000C000000}"/>
            </a:ext>
          </a:extLst>
        </xdr:cNvPr>
        <xdr:cNvPicPr>
          <a:picLocks noChangeAspect="1"/>
          <a:extLst>
            <a:ext uri="{53484399-7A02-498B-ADA4-41CD10E50FAC}">
              <aif:imageFormula xmlns:aif="http://schemas.microsoft.com/office/drawing/2022/imageformula" formula="'Memória TOTAL'!M626"/>
            </a:ext>
          </a:extLst>
        </xdr:cNvPicPr>
      </xdr:nvPicPr>
      <xdr:blipFill>
        <a:blip xmlns:r="http://schemas.openxmlformats.org/officeDocument/2006/relationships" r:embed="rId2"/>
        <a:stretch>
          <a:fillRect/>
        </a:stretch>
      </xdr:blipFill>
      <xdr:spPr>
        <a:xfrm>
          <a:off x="8658225" y="119414380"/>
          <a:ext cx="4559299" cy="1865258"/>
        </a:xfrm>
        <a:prstGeom prst="rect">
          <a:avLst/>
        </a:prstGeom>
      </xdr:spPr>
    </xdr:pic>
    <xdr:clientData/>
  </xdr:twoCellAnchor>
  <xdr:oneCellAnchor>
    <xdr:from>
      <xdr:col>1</xdr:col>
      <xdr:colOff>107256</xdr:colOff>
      <xdr:row>970</xdr:row>
      <xdr:rowOff>128068</xdr:rowOff>
    </xdr:from>
    <xdr:ext cx="1744601" cy="2629261"/>
    <xdr:pic>
      <xdr:nvPicPr>
        <xdr:cNvPr id="13" name="Imagem 12">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
        <a:stretch>
          <a:fillRect/>
        </a:stretch>
      </xdr:blipFill>
      <xdr:spPr>
        <a:xfrm>
          <a:off x="404708" y="64058235"/>
          <a:ext cx="1744601" cy="2629261"/>
        </a:xfrm>
        <a:prstGeom prst="rect">
          <a:avLst/>
        </a:prstGeom>
      </xdr:spPr>
    </xdr:pic>
    <xdr:clientData/>
  </xdr:oneCellAnchor>
  <xdr:oneCellAnchor>
    <xdr:from>
      <xdr:col>12</xdr:col>
      <xdr:colOff>31296</xdr:colOff>
      <xdr:row>1261</xdr:row>
      <xdr:rowOff>52523</xdr:rowOff>
    </xdr:from>
    <xdr:ext cx="4561204" cy="1869068"/>
    <xdr:pic>
      <xdr:nvPicPr>
        <xdr:cNvPr id="15" name="Imagem 14">
          <a:extLst>
            <a:ext uri="{FF2B5EF4-FFF2-40B4-BE49-F238E27FC236}">
              <a16:creationId xmlns:a16="http://schemas.microsoft.com/office/drawing/2014/main" id="{00000000-0008-0000-0800-00000F000000}"/>
            </a:ext>
          </a:extLst>
        </xdr:cNvPr>
        <xdr:cNvPicPr>
          <a:picLocks noChangeAspect="1"/>
          <a:extLst>
            <a:ext uri="{53484399-7A02-498B-ADA4-41CD10E50FAC}">
              <aif:imageFormula xmlns:aif="http://schemas.microsoft.com/office/drawing/2022/imageformula" formula="'Memória TOTAL'!M626"/>
            </a:ext>
          </a:extLst>
        </xdr:cNvPicPr>
      </xdr:nvPicPr>
      <xdr:blipFill>
        <a:blip xmlns:r="http://schemas.openxmlformats.org/officeDocument/2006/relationships" r:embed="rId2"/>
        <a:stretch>
          <a:fillRect/>
        </a:stretch>
      </xdr:blipFill>
      <xdr:spPr>
        <a:xfrm>
          <a:off x="8656320" y="119418190"/>
          <a:ext cx="4561204" cy="1869068"/>
        </a:xfrm>
        <a:prstGeom prst="rect">
          <a:avLst/>
        </a:prstGeom>
      </xdr:spPr>
    </xdr:pic>
    <xdr:clientData/>
  </xdr:oneCellAnchor>
  <xdr:twoCellAnchor editAs="oneCell">
    <xdr:from>
      <xdr:col>1</xdr:col>
      <xdr:colOff>57937</xdr:colOff>
      <xdr:row>431</xdr:row>
      <xdr:rowOff>133892</xdr:rowOff>
    </xdr:from>
    <xdr:to>
      <xdr:col>1</xdr:col>
      <xdr:colOff>1960424</xdr:colOff>
      <xdr:row>441</xdr:row>
      <xdr:rowOff>130436</xdr:rowOff>
    </xdr:to>
    <xdr:pic>
      <xdr:nvPicPr>
        <xdr:cNvPr id="2" name="Picture 4" descr="3stein">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5117" y="82536572"/>
          <a:ext cx="1906297" cy="1893924"/>
        </a:xfrm>
        <a:prstGeom prst="rect">
          <a:avLst/>
        </a:prstGeom>
        <a:noFill/>
      </xdr:spPr>
    </xdr:pic>
    <xdr:clientData/>
  </xdr:twoCellAnchor>
  <xdr:oneCellAnchor>
    <xdr:from>
      <xdr:col>1</xdr:col>
      <xdr:colOff>57937</xdr:colOff>
      <xdr:row>1067</xdr:row>
      <xdr:rowOff>133892</xdr:rowOff>
    </xdr:from>
    <xdr:ext cx="1906297" cy="1871512"/>
    <xdr:pic>
      <xdr:nvPicPr>
        <xdr:cNvPr id="3" name="Picture 4" descr="3stein">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772" y="81766504"/>
          <a:ext cx="1906297" cy="1871512"/>
        </a:xfrm>
        <a:prstGeom prst="rect">
          <a:avLst/>
        </a:prstGeom>
        <a:noFill/>
      </xdr:spPr>
    </xdr:pic>
    <xdr:clientData/>
  </xdr:oneCellAnchor>
</xdr:wsDr>
</file>

<file path=xl/drawings/drawing3.xml><?xml version="1.0" encoding="utf-8"?>
<xdr:wsDr xmlns:xdr="http://schemas.openxmlformats.org/drawingml/2006/spreadsheetDrawing" xmlns:a="http://schemas.openxmlformats.org/drawingml/2006/main">
  <xdr:twoCellAnchor>
    <xdr:from>
      <xdr:col>13</xdr:col>
      <xdr:colOff>80010</xdr:colOff>
      <xdr:row>1</xdr:row>
      <xdr:rowOff>11430</xdr:rowOff>
    </xdr:from>
    <xdr:to>
      <xdr:col>14</xdr:col>
      <xdr:colOff>750503</xdr:colOff>
      <xdr:row>1</xdr:row>
      <xdr:rowOff>133350</xdr:rowOff>
    </xdr:to>
    <xdr:sp macro="" textlink="">
      <xdr:nvSpPr>
        <xdr:cNvPr id="2" name="Texto 3">
          <a:extLst>
            <a:ext uri="{FF2B5EF4-FFF2-40B4-BE49-F238E27FC236}">
              <a16:creationId xmlns:a16="http://schemas.microsoft.com/office/drawing/2014/main" id="{00000000-0008-0000-0900-000002000000}"/>
            </a:ext>
          </a:extLst>
        </xdr:cNvPr>
        <xdr:cNvSpPr txBox="1">
          <a:spLocks noChangeArrowheads="1"/>
        </xdr:cNvSpPr>
      </xdr:nvSpPr>
      <xdr:spPr bwMode="auto">
        <a:xfrm>
          <a:off x="5695950" y="257175"/>
          <a:ext cx="1524000" cy="11430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Quantidade</a:t>
          </a:r>
        </a:p>
      </xdr:txBody>
    </xdr:sp>
    <xdr:clientData/>
  </xdr:twoCellAnchor>
  <xdr:twoCellAnchor>
    <xdr:from>
      <xdr:col>13</xdr:col>
      <xdr:colOff>66675</xdr:colOff>
      <xdr:row>1</xdr:row>
      <xdr:rowOff>171450</xdr:rowOff>
    </xdr:from>
    <xdr:to>
      <xdr:col>13</xdr:col>
      <xdr:colOff>775466</xdr:colOff>
      <xdr:row>1</xdr:row>
      <xdr:rowOff>300149</xdr:rowOff>
    </xdr:to>
    <xdr:sp macro="" textlink="">
      <xdr:nvSpPr>
        <xdr:cNvPr id="3" name="Texto 4">
          <a:extLst>
            <a:ext uri="{FF2B5EF4-FFF2-40B4-BE49-F238E27FC236}">
              <a16:creationId xmlns:a16="http://schemas.microsoft.com/office/drawing/2014/main" id="{00000000-0008-0000-0900-000003000000}"/>
            </a:ext>
          </a:extLst>
        </xdr:cNvPr>
        <xdr:cNvSpPr txBox="1">
          <a:spLocks noChangeArrowheads="1"/>
        </xdr:cNvSpPr>
      </xdr:nvSpPr>
      <xdr:spPr bwMode="auto">
        <a:xfrm>
          <a:off x="5676900" y="409575"/>
          <a:ext cx="704850" cy="13335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Calculada</a:t>
          </a:r>
        </a:p>
      </xdr:txBody>
    </xdr:sp>
    <xdr:clientData/>
  </xdr:twoCellAnchor>
  <xdr:twoCellAnchor>
    <xdr:from>
      <xdr:col>14</xdr:col>
      <xdr:colOff>66675</xdr:colOff>
      <xdr:row>1</xdr:row>
      <xdr:rowOff>171450</xdr:rowOff>
    </xdr:from>
    <xdr:to>
      <xdr:col>14</xdr:col>
      <xdr:colOff>779164</xdr:colOff>
      <xdr:row>1</xdr:row>
      <xdr:rowOff>300149</xdr:rowOff>
    </xdr:to>
    <xdr:sp macro="" textlink="">
      <xdr:nvSpPr>
        <xdr:cNvPr id="4" name="Texto 5">
          <a:extLst>
            <a:ext uri="{FF2B5EF4-FFF2-40B4-BE49-F238E27FC236}">
              <a16:creationId xmlns:a16="http://schemas.microsoft.com/office/drawing/2014/main" id="{00000000-0008-0000-0900-000004000000}"/>
            </a:ext>
          </a:extLst>
        </xdr:cNvPr>
        <xdr:cNvSpPr txBox="1">
          <a:spLocks noChangeArrowheads="1"/>
        </xdr:cNvSpPr>
      </xdr:nvSpPr>
      <xdr:spPr bwMode="auto">
        <a:xfrm>
          <a:off x="6524625" y="409575"/>
          <a:ext cx="723900" cy="133350"/>
        </a:xfrm>
        <a:prstGeom prst="rect">
          <a:avLst/>
        </a:prstGeom>
        <a:solidFill>
          <a:srgbClr val="FFFFFF"/>
        </a:solidFill>
        <a:ln w="1">
          <a:noFill/>
          <a:miter lim="800000"/>
          <a:headEnd/>
          <a:tailEnd/>
        </a:ln>
      </xdr:spPr>
      <xdr:txBody>
        <a:bodyPr vertOverflow="clip" wrap="square" lIns="27432" tIns="18288" rIns="27432" bIns="18288" anchor="ctr" upright="1"/>
        <a:lstStyle/>
        <a:p>
          <a:pPr algn="ctr" rtl="0">
            <a:defRPr sz="1000"/>
          </a:pPr>
          <a:r>
            <a:rPr lang="pt-BR" sz="700" b="1" i="0" strike="noStrike">
              <a:solidFill>
                <a:srgbClr val="000000"/>
              </a:solidFill>
              <a:latin typeface="Times New Roman"/>
              <a:cs typeface="Times New Roman"/>
            </a:rPr>
            <a:t>Recomendada</a:t>
          </a:r>
        </a:p>
      </xdr:txBody>
    </xdr:sp>
    <xdr:clientData/>
  </xdr:twoCellAnchor>
  <xdr:twoCellAnchor>
    <xdr:from>
      <xdr:col>13</xdr:col>
      <xdr:colOff>0</xdr:colOff>
      <xdr:row>1</xdr:row>
      <xdr:rowOff>152400</xdr:rowOff>
    </xdr:from>
    <xdr:to>
      <xdr:col>15</xdr:col>
      <xdr:colOff>0</xdr:colOff>
      <xdr:row>1</xdr:row>
      <xdr:rowOff>152400</xdr:rowOff>
    </xdr:to>
    <xdr:sp macro="" textlink="">
      <xdr:nvSpPr>
        <xdr:cNvPr id="93181" name="Line 4">
          <a:extLst>
            <a:ext uri="{FF2B5EF4-FFF2-40B4-BE49-F238E27FC236}">
              <a16:creationId xmlns:a16="http://schemas.microsoft.com/office/drawing/2014/main" id="{00000000-0008-0000-0900-0000FD6B0100}"/>
            </a:ext>
          </a:extLst>
        </xdr:cNvPr>
        <xdr:cNvSpPr>
          <a:spLocks noChangeShapeType="1"/>
        </xdr:cNvSpPr>
      </xdr:nvSpPr>
      <xdr:spPr bwMode="auto">
        <a:xfrm flipH="1" flipV="1">
          <a:off x="5610225" y="390525"/>
          <a:ext cx="1695450" cy="0"/>
        </a:xfrm>
        <a:prstGeom prst="line">
          <a:avLst/>
        </a:prstGeom>
        <a:noFill/>
        <a:ln w="1">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38</xdr:col>
          <xdr:colOff>30480</xdr:colOff>
          <xdr:row>0</xdr:row>
          <xdr:rowOff>213360</xdr:rowOff>
        </xdr:from>
        <xdr:to>
          <xdr:col>40</xdr:col>
          <xdr:colOff>441960</xdr:colOff>
          <xdr:row>2</xdr:row>
          <xdr:rowOff>137160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900-0000011C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EDITAR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95279" name="Imagem 2" descr="Descrição: cid:image002.png@01D34F58.D11CAC70">
          <a:extLst>
            <a:ext uri="{FF2B5EF4-FFF2-40B4-BE49-F238E27FC236}">
              <a16:creationId xmlns:a16="http://schemas.microsoft.com/office/drawing/2014/main" id="{00000000-0008-0000-0A00-00002F74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83930" name="Imagem 2" descr="Descrição: cid:image002.png@01D34F58.D11CAC70">
          <a:extLst>
            <a:ext uri="{FF2B5EF4-FFF2-40B4-BE49-F238E27FC236}">
              <a16:creationId xmlns:a16="http://schemas.microsoft.com/office/drawing/2014/main" id="{00000000-0008-0000-0B00-0000DA47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33</xdr:col>
      <xdr:colOff>0</xdr:colOff>
      <xdr:row>2</xdr:row>
      <xdr:rowOff>0</xdr:rowOff>
    </xdr:from>
    <xdr:to>
      <xdr:col>35</xdr:col>
      <xdr:colOff>224700</xdr:colOff>
      <xdr:row>6</xdr:row>
      <xdr:rowOff>133260</xdr:rowOff>
    </xdr:to>
    <xdr:grpSp>
      <xdr:nvGrpSpPr>
        <xdr:cNvPr id="2" name="Agrupar 1">
          <a:extLst>
            <a:ext uri="{FF2B5EF4-FFF2-40B4-BE49-F238E27FC236}">
              <a16:creationId xmlns:a16="http://schemas.microsoft.com/office/drawing/2014/main" id="{00000000-0008-0000-0B00-000002000000}"/>
            </a:ext>
          </a:extLst>
        </xdr:cNvPr>
        <xdr:cNvGrpSpPr/>
      </xdr:nvGrpSpPr>
      <xdr:grpSpPr>
        <a:xfrm>
          <a:off x="8515350" y="323850"/>
          <a:ext cx="718095" cy="727620"/>
          <a:chOff x="3930015" y="194309"/>
          <a:chExt cx="762000" cy="674370"/>
        </a:xfrm>
        <a:effectLst>
          <a:outerShdw blurRad="50800" dist="38100" dir="2700000" algn="tl" rotWithShape="0">
            <a:prstClr val="black">
              <a:alpha val="40000"/>
            </a:prstClr>
          </a:outerShdw>
        </a:effectLst>
      </xdr:grpSpPr>
      <xdr:sp macro="[0]!createListSAP" textlink="">
        <xdr:nvSpPr>
          <xdr:cNvPr id="3" name="Retângulo: Cantos Arredondados 2" descr="Repetir com preenchimento sólido">
            <a:extLst>
              <a:ext uri="{FF2B5EF4-FFF2-40B4-BE49-F238E27FC236}">
                <a16:creationId xmlns:a16="http://schemas.microsoft.com/office/drawing/2014/main" id="{00000000-0008-0000-0B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rcRect/>
                <a:stretch>
                  <a:fillRect/>
                </a:stretch>
              </a:blipFill>
            </a:endParaRPr>
          </a:p>
        </xdr:txBody>
      </xdr:sp>
      <xdr:pic macro="[0]!createListSAP">
        <xdr:nvPicPr>
          <xdr:cNvPr id="4" name="Gráfico 3" descr="Transferência com preenchimento sólido">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rcRect/>
          <a:stretch/>
        </xdr:blipFill>
        <xdr:spPr>
          <a:xfrm>
            <a:off x="4055426" y="301593"/>
            <a:ext cx="502277" cy="469117"/>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95250</xdr:colOff>
      <xdr:row>1</xdr:row>
      <xdr:rowOff>9525</xdr:rowOff>
    </xdr:from>
    <xdr:to>
      <xdr:col>6</xdr:col>
      <xdr:colOff>228600</xdr:colOff>
      <xdr:row>6</xdr:row>
      <xdr:rowOff>66675</xdr:rowOff>
    </xdr:to>
    <xdr:pic>
      <xdr:nvPicPr>
        <xdr:cNvPr id="96269" name="Imagem 2" descr="Descrição: cid:image002.png@01D34F58.D11CAC70">
          <a:extLst>
            <a:ext uri="{FF2B5EF4-FFF2-40B4-BE49-F238E27FC236}">
              <a16:creationId xmlns:a16="http://schemas.microsoft.com/office/drawing/2014/main" id="{00000000-0008-0000-0C00-00000D78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171450"/>
          <a:ext cx="1371600"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251460</xdr:colOff>
          <xdr:row>5</xdr:row>
          <xdr:rowOff>152400</xdr:rowOff>
        </xdr:from>
        <xdr:to>
          <xdr:col>48</xdr:col>
          <xdr:colOff>251460</xdr:colOff>
          <xdr:row>8</xdr:row>
          <xdr:rowOff>106680</xdr:rowOff>
        </xdr:to>
        <xdr:sp macro="" textlink="">
          <xdr:nvSpPr>
            <xdr:cNvPr id="58124" name="Button 780" hidden="1">
              <a:extLst>
                <a:ext uri="{63B3BB69-23CF-44E3-9099-C40C66FF867C}">
                  <a14:compatExt spid="_x0000_s58124"/>
                </a:ext>
                <a:ext uri="{FF2B5EF4-FFF2-40B4-BE49-F238E27FC236}">
                  <a16:creationId xmlns:a16="http://schemas.microsoft.com/office/drawing/2014/main" id="{00000000-0008-0000-0C00-00000CE3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pt-BR" sz="1400" b="1" i="0" u="none" strike="noStrike" baseline="0">
                  <a:solidFill>
                    <a:srgbClr val="000000"/>
                  </a:solidFill>
                  <a:latin typeface="Arial"/>
                  <a:cs typeface="Arial"/>
                </a:rPr>
                <a:t>Converter Unidades - SI para INGLESAS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251460</xdr:colOff>
          <xdr:row>9</xdr:row>
          <xdr:rowOff>60960</xdr:rowOff>
        </xdr:from>
        <xdr:to>
          <xdr:col>48</xdr:col>
          <xdr:colOff>251460</xdr:colOff>
          <xdr:row>11</xdr:row>
          <xdr:rowOff>106680</xdr:rowOff>
        </xdr:to>
        <xdr:sp macro="" textlink="">
          <xdr:nvSpPr>
            <xdr:cNvPr id="58125" name="Button 781" hidden="1">
              <a:extLst>
                <a:ext uri="{63B3BB69-23CF-44E3-9099-C40C66FF867C}">
                  <a14:compatExt spid="_x0000_s58125"/>
                </a:ext>
                <a:ext uri="{FF2B5EF4-FFF2-40B4-BE49-F238E27FC236}">
                  <a16:creationId xmlns:a16="http://schemas.microsoft.com/office/drawing/2014/main" id="{00000000-0008-0000-0C00-00000DE3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pt-BR" sz="1400" b="1" i="0" u="none" strike="noStrike" baseline="0">
                  <a:solidFill>
                    <a:srgbClr val="000000"/>
                  </a:solidFill>
                  <a:latin typeface="Arial"/>
                  <a:cs typeface="Arial"/>
                </a:rPr>
                <a:t>Converter Unidades - INGLESAS para 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228600</xdr:colOff>
          <xdr:row>13</xdr:row>
          <xdr:rowOff>30480</xdr:rowOff>
        </xdr:from>
        <xdr:to>
          <xdr:col>42</xdr:col>
          <xdr:colOff>137160</xdr:colOff>
          <xdr:row>16</xdr:row>
          <xdr:rowOff>99060</xdr:rowOff>
        </xdr:to>
        <xdr:sp macro="" textlink="">
          <xdr:nvSpPr>
            <xdr:cNvPr id="80537" name="Button 1689" hidden="1">
              <a:extLst>
                <a:ext uri="{63B3BB69-23CF-44E3-9099-C40C66FF867C}">
                  <a14:compatExt spid="_x0000_s80537"/>
                </a:ext>
                <a:ext uri="{FF2B5EF4-FFF2-40B4-BE49-F238E27FC236}">
                  <a16:creationId xmlns:a16="http://schemas.microsoft.com/office/drawing/2014/main" id="{00000000-0008-0000-0C00-0000993A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Salvar Lista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228600</xdr:colOff>
          <xdr:row>17</xdr:row>
          <xdr:rowOff>30480</xdr:rowOff>
        </xdr:from>
        <xdr:to>
          <xdr:col>42</xdr:col>
          <xdr:colOff>137160</xdr:colOff>
          <xdr:row>20</xdr:row>
          <xdr:rowOff>99060</xdr:rowOff>
        </xdr:to>
        <xdr:sp macro="" textlink="">
          <xdr:nvSpPr>
            <xdr:cNvPr id="80538" name="Button 1690" hidden="1">
              <a:extLst>
                <a:ext uri="{63B3BB69-23CF-44E3-9099-C40C66FF867C}">
                  <a14:compatExt spid="_x0000_s80538"/>
                </a:ext>
                <a:ext uri="{FF2B5EF4-FFF2-40B4-BE49-F238E27FC236}">
                  <a16:creationId xmlns:a16="http://schemas.microsoft.com/office/drawing/2014/main" id="{00000000-0008-0000-0C00-00009A3A01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pt-BR" sz="1600" b="1" i="0" u="none" strike="noStrike" baseline="0">
                  <a:solidFill>
                    <a:srgbClr val="000000"/>
                  </a:solidFill>
                  <a:latin typeface="Arial"/>
                  <a:cs typeface="Arial"/>
                </a:rPr>
                <a:t>Lista Compilada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609599</xdr:colOff>
      <xdr:row>1</xdr:row>
      <xdr:rowOff>0</xdr:rowOff>
    </xdr:from>
    <xdr:to>
      <xdr:col>7</xdr:col>
      <xdr:colOff>539999</xdr:colOff>
      <xdr:row>4</xdr:row>
      <xdr:rowOff>21840</xdr:rowOff>
    </xdr:to>
    <xdr:grpSp>
      <xdr:nvGrpSpPr>
        <xdr:cNvPr id="2" name="Agrupar 1">
          <a:extLst>
            <a:ext uri="{FF2B5EF4-FFF2-40B4-BE49-F238E27FC236}">
              <a16:creationId xmlns:a16="http://schemas.microsoft.com/office/drawing/2014/main" id="{00000000-0008-0000-0D00-000002000000}"/>
            </a:ext>
          </a:extLst>
        </xdr:cNvPr>
        <xdr:cNvGrpSpPr/>
      </xdr:nvGrpSpPr>
      <xdr:grpSpPr>
        <a:xfrm>
          <a:off x="8557259" y="167640"/>
          <a:ext cx="540000" cy="524760"/>
          <a:chOff x="3930015" y="194309"/>
          <a:chExt cx="762000" cy="674370"/>
        </a:xfrm>
        <a:effectLst>
          <a:outerShdw blurRad="50800" dist="38100" dir="2700000" algn="tl" rotWithShape="0">
            <a:prstClr val="black">
              <a:alpha val="40000"/>
            </a:prstClr>
          </a:outerShdw>
        </a:effectLst>
      </xdr:grpSpPr>
      <xdr:sp macro="[0]!Atualizar_Codigo" textlink="">
        <xdr:nvSpPr>
          <xdr:cNvPr id="3" name="Retângulo: Cantos Arredondados 2" descr="Repetir com preenchimento sólido">
            <a:extLst>
              <a:ext uri="{FF2B5EF4-FFF2-40B4-BE49-F238E27FC236}">
                <a16:creationId xmlns:a16="http://schemas.microsoft.com/office/drawing/2014/main" id="{00000000-0008-0000-0D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Atualizar_Codigo">
        <xdr:nvPicPr>
          <xdr:cNvPr id="4" name="Gráfico 3" descr="Repetir com preenchimento sólido">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79146" y="369646"/>
            <a:ext cx="455601" cy="357682"/>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327656</xdr:colOff>
      <xdr:row>1</xdr:row>
      <xdr:rowOff>22857</xdr:rowOff>
    </xdr:from>
    <xdr:to>
      <xdr:col>2</xdr:col>
      <xdr:colOff>277106</xdr:colOff>
      <xdr:row>4</xdr:row>
      <xdr:rowOff>54222</xdr:rowOff>
    </xdr:to>
    <xdr:grpSp>
      <xdr:nvGrpSpPr>
        <xdr:cNvPr id="2" name="Agrupar 1">
          <a:extLst>
            <a:ext uri="{FF2B5EF4-FFF2-40B4-BE49-F238E27FC236}">
              <a16:creationId xmlns:a16="http://schemas.microsoft.com/office/drawing/2014/main" id="{00000000-0008-0000-0E00-000002000000}"/>
            </a:ext>
          </a:extLst>
        </xdr:cNvPr>
        <xdr:cNvGrpSpPr/>
      </xdr:nvGrpSpPr>
      <xdr:grpSpPr>
        <a:xfrm>
          <a:off x="5742338" y="193186"/>
          <a:ext cx="532156" cy="542354"/>
          <a:chOff x="3930015" y="194309"/>
          <a:chExt cx="762000" cy="674370"/>
        </a:xfrm>
        <a:effectLst>
          <a:outerShdw blurRad="50800" dist="38100" dir="2700000" algn="tl" rotWithShape="0">
            <a:prstClr val="black">
              <a:alpha val="40000"/>
            </a:prstClr>
          </a:outerShdw>
        </a:effectLst>
      </xdr:grpSpPr>
      <xdr:sp macro="[0]!Atualizar_Codigo" textlink="">
        <xdr:nvSpPr>
          <xdr:cNvPr id="3" name="Retângulo: Cantos Arredondados 2" descr="Repetir com preenchimento sólido">
            <a:extLst>
              <a:ext uri="{FF2B5EF4-FFF2-40B4-BE49-F238E27FC236}">
                <a16:creationId xmlns:a16="http://schemas.microsoft.com/office/drawing/2014/main" id="{00000000-0008-0000-0E00-000003000000}"/>
              </a:ext>
            </a:extLst>
          </xdr:cNvPr>
          <xdr:cNvSpPr/>
        </xdr:nvSpPr>
        <xdr:spPr>
          <a:xfrm>
            <a:off x="3930015" y="194309"/>
            <a:ext cx="762000" cy="674370"/>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Atualizar_Codigo">
        <xdr:nvPicPr>
          <xdr:cNvPr id="4" name="Gráfico 3" descr="Repetir com preenchimento sólido">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79146" y="369646"/>
            <a:ext cx="455601" cy="357682"/>
          </a:xfrm>
          <a:prstGeom prst="rect">
            <a:avLst/>
          </a:prstGeom>
        </xdr:spPr>
      </xdr:pic>
    </xdr:grpSp>
    <xdr:clientData/>
  </xdr:twoCellAnchor>
  <xdr:twoCellAnchor>
    <xdr:from>
      <xdr:col>2</xdr:col>
      <xdr:colOff>826770</xdr:colOff>
      <xdr:row>1</xdr:row>
      <xdr:rowOff>19050</xdr:rowOff>
    </xdr:from>
    <xdr:to>
      <xdr:col>3</xdr:col>
      <xdr:colOff>282825</xdr:colOff>
      <xdr:row>4</xdr:row>
      <xdr:rowOff>54225</xdr:rowOff>
    </xdr:to>
    <xdr:grpSp>
      <xdr:nvGrpSpPr>
        <xdr:cNvPr id="5" name="Agrupar 4">
          <a:extLst>
            <a:ext uri="{FF2B5EF4-FFF2-40B4-BE49-F238E27FC236}">
              <a16:creationId xmlns:a16="http://schemas.microsoft.com/office/drawing/2014/main" id="{00000000-0008-0000-0E00-000005000000}"/>
            </a:ext>
          </a:extLst>
        </xdr:cNvPr>
        <xdr:cNvGrpSpPr/>
      </xdr:nvGrpSpPr>
      <xdr:grpSpPr>
        <a:xfrm>
          <a:off x="6824158" y="189379"/>
          <a:ext cx="558714" cy="546164"/>
          <a:chOff x="3910965" y="1032509"/>
          <a:chExt cx="762000" cy="683895"/>
        </a:xfrm>
        <a:effectLst>
          <a:outerShdw blurRad="50800" dist="38100" dir="2700000" algn="tl" rotWithShape="0">
            <a:prstClr val="black">
              <a:alpha val="40000"/>
            </a:prstClr>
          </a:outerShdw>
        </a:effectLst>
      </xdr:grpSpPr>
      <xdr:sp macro="[0]!ExportarTxt" textlink="">
        <xdr:nvSpPr>
          <xdr:cNvPr id="6" name="Retângulo: Cantos Arredondados 5" descr="Repetir com preenchimento sólido">
            <a:extLst>
              <a:ext uri="{FF2B5EF4-FFF2-40B4-BE49-F238E27FC236}">
                <a16:creationId xmlns:a16="http://schemas.microsoft.com/office/drawing/2014/main" id="{00000000-0008-0000-0E00-000006000000}"/>
              </a:ext>
            </a:extLst>
          </xdr:cNvPr>
          <xdr:cNvSpPr/>
        </xdr:nvSpPr>
        <xdr:spPr>
          <a:xfrm>
            <a:off x="3910965" y="1032509"/>
            <a:ext cx="762000" cy="683895"/>
          </a:xfrm>
          <a:prstGeom prst="roundRect">
            <a:avLst/>
          </a:prstGeom>
          <a:solidFill>
            <a:schemeClr val="tx2">
              <a:lumMod val="75000"/>
            </a:schemeClr>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blipFill dpi="0" rotWithShape="1">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a:fillRect/>
                </a:stretch>
              </a:blipFill>
            </a:endParaRPr>
          </a:p>
        </xdr:txBody>
      </xdr:sp>
      <xdr:pic macro="[0]!ExportarTxt">
        <xdr:nvPicPr>
          <xdr:cNvPr id="7" name="Gráfico 6" descr="Disco com preenchimento sólido">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4055836" y="1188063"/>
            <a:ext cx="467864" cy="392721"/>
          </a:xfrm>
          <a:prstGeom prst="rect">
            <a:avLst/>
          </a:prstGeom>
        </xdr:spPr>
      </xdr:pic>
    </xdr:grp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refreshOnLoad="1" connectionId="11" xr16:uid="{FD52F0DD-9D65-432D-A6F4-F65103F49693}" autoFormatId="16" applyNumberFormats="0" applyBorderFormats="0" applyFontFormats="0" applyPatternFormats="0" applyAlignmentFormats="0" applyWidthHeightFormats="0">
  <queryTableRefresh nextId="5">
    <queryTableFields count="4">
      <queryTableField id="1" name="Shape" tableColumnId="1"/>
      <queryTableField id="2" name="Brand" tableColumnId="2"/>
      <queryTableField id="3" name="Shape &amp; Brand" tableColumnId="3"/>
      <queryTableField id="4" name="Material Code"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4" refreshOnLoad="1" connectionId="6" xr16:uid="{E4B43968-EAD5-4827-B640-F3D16B22ED65}" autoFormatId="16" applyNumberFormats="0" applyBorderFormats="0" applyFontFormats="0" applyPatternFormats="0" applyAlignmentFormats="0" applyWidthHeightFormats="0">
  <queryTableRefresh nextId="6">
    <queryTableFields count="5">
      <queryTableField id="1" name="Brand" tableColumnId="1"/>
      <queryTableField id="2" name="Density [g/cm3]" tableColumnId="2"/>
      <queryTableField id="3" name="Main Application(s)" tableColumnId="3"/>
      <queryTableField id="4" name="Classification" tableColumnId="4"/>
      <queryTableField id="5" name="Addition"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dosExternos_3" refreshOnLoad="1" connectionId="5" xr16:uid="{521654B3-5B02-4CCE-95CC-DB03BDB7597D}" autoFormatId="16" applyNumberFormats="0" applyBorderFormats="0" applyFontFormats="0" applyPatternFormats="0" applyAlignmentFormats="0" applyWidthHeightFormats="0">
  <queryTableRefresh nextId="5">
    <queryTableFields count="4">
      <queryTableField id="1" name="Brand" tableColumnId="1"/>
      <queryTableField id="2" name="Density [g/cm3]" tableColumnId="2"/>
      <queryTableField id="3" name="Main Application(s)" tableColumnId="3"/>
      <queryTableField id="4" name="Classificatio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dosExternos_1" adjustColumnWidth="0" connectionId="4" xr16:uid="{A1CDA63F-6960-491E-A354-C1AE460B60CB}" autoFormatId="16" applyNumberFormats="0" applyBorderFormats="0" applyFontFormats="0" applyPatternFormats="0" applyAlignmentFormats="0" applyWidthHeightFormats="0">
  <queryTableRefresh nextId="4" unboundColumnsRight="2">
    <queryTableFields count="3">
      <queryTableField id="1" name="Brand" tableColumnId="1"/>
      <queryTableField id="2" dataBound="0" tableColumnId="2"/>
      <queryTableField id="3" dataBound="0"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dosExternos_2" adjustColumnWidth="0" connectionId="15" xr16:uid="{0493219B-4DE7-454E-905E-A605AF7C542B}" autoFormatId="16" applyNumberFormats="0" applyBorderFormats="0" applyFontFormats="0" applyPatternFormats="0" applyAlignmentFormats="0" applyWidthHeightFormats="0">
  <queryTableRefresh nextId="3" unboundColumnsRight="1">
    <queryTableFields count="2">
      <queryTableField id="1" name="Shape" tableColumnId="1"/>
      <queryTableField id="2" dataBound="0"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dosExternos_2" connectionId="10" xr16:uid="{E5C98437-C0BF-4D0D-B3C1-EF83F97D7288}" autoFormatId="16" applyNumberFormats="0" applyBorderFormats="0" applyFontFormats="0" applyPatternFormats="0" applyAlignmentFormats="0" applyWidthHeightFormats="0">
  <queryTableRefresh nextId="17" unboundColumnsRight="3">
    <queryTableFields count="9">
      <queryTableField id="1" name="Item" tableColumnId="1"/>
      <queryTableField id="3" name="Shape" tableColumnId="3"/>
      <queryTableField id="2" name="Brand" tableColumnId="2"/>
      <queryTableField id="8" name="Add-On" tableColumnId="8"/>
      <queryTableField id="4" name="Theoretical quantity" tableColumnId="4"/>
      <queryTableField id="5" name="Order quantity" tableColumnId="5"/>
      <queryTableField id="12" dataBound="0" tableColumnId="6"/>
      <queryTableField id="13" dataBound="0" tableColumnId="7"/>
      <queryTableField id="14" dataBound="0" tableColumnId="9"/>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dosExternos_3" connectionId="8" xr16:uid="{FD5972C6-7F6D-45A3-9C13-5EED9F57F77D}" autoFormatId="16" applyNumberFormats="0" applyBorderFormats="0" applyFontFormats="0" applyPatternFormats="0" applyAlignmentFormats="0" applyWidthHeightFormats="0">
  <queryTableRefresh nextId="3">
    <queryTableFields count="1">
      <queryTableField id="2" name="AutoHotkey.ahk"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dosExternos_1" connectionId="9" xr16:uid="{4F995CBC-E5A4-473B-B0E5-C6E9DDCFBDB8}" autoFormatId="16" applyNumberFormats="0" applyBorderFormats="0" applyFontFormats="0" applyPatternFormats="0" applyAlignmentFormats="0" applyWidthHeightFormats="0">
  <queryTableRefresh nextId="2">
    <queryTableFields count="1">
      <queryTableField id="1" name="Item" tableColumnId="1"/>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0872F9-64FA-4BEB-A4F2-37F7D0003464}" name="Tabela1" displayName="Tabela1" ref="F1:G10" totalsRowShown="0">
  <tableColumns count="2">
    <tableColumn id="1" xr3:uid="{DD49B9D1-EA32-4BAF-9DDA-8AB718E7BD38}" name="Descrição"/>
    <tableColumn id="2" xr3:uid="{43ED6EEA-3EC5-4D2C-9960-ADBCE38CD5D5}" name="Valor Classificação"/>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F21725D-79F7-46D3-99DD-0A568D11D4C0}" name="Material_Code" displayName="Material_Code" ref="A1:D1818" tableType="queryTable" totalsRowShown="0">
  <autoFilter ref="A1:D1818" xr:uid="{8F21725D-79F7-46D3-99DD-0A568D11D4C0}"/>
  <tableColumns count="4">
    <tableColumn id="1" xr3:uid="{839E6059-BAE4-4769-917F-23AB91CC33CF}" uniqueName="1" name="Shape" queryTableFieldId="1" dataDxfId="1174"/>
    <tableColumn id="2" xr3:uid="{4C4701DC-55C5-4E0F-B664-671CF4BB1107}" uniqueName="2" name="Brand" queryTableFieldId="2" dataDxfId="1173"/>
    <tableColumn id="3" xr3:uid="{E71C9DD9-4AC9-452A-A498-FF0F021399D0}" uniqueName="3" name="Shape &amp; Brand" queryTableFieldId="3" dataDxfId="1172"/>
    <tableColumn id="4" xr3:uid="{EC99FEDD-5245-4C86-A970-632AD4983B83}" uniqueName="4" name="Material Code" queryTableFieldId="4" dataDxfId="117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7AC9836-E087-4AC7-9B29-80D778E531F6}" name="brands_unshaped" displayName="brands_unshaped" ref="A1:E1790" tableType="queryTable" totalsRowShown="0">
  <autoFilter ref="A1:E1790" xr:uid="{E7AC9836-E087-4AC7-9B29-80D778E531F6}"/>
  <tableColumns count="5">
    <tableColumn id="1" xr3:uid="{CCA0C7D1-8B00-4719-82BB-49900534A22F}" uniqueName="1" name="Brand" queryTableFieldId="1" dataDxfId="1170"/>
    <tableColumn id="2" xr3:uid="{AEBF659C-5F7C-40F7-8C46-C1A0B44E58BE}" uniqueName="2" name="Density [g/cm3]" queryTableFieldId="2"/>
    <tableColumn id="3" xr3:uid="{D378E866-5CCD-438E-8E98-C3A894107D22}" uniqueName="3" name="Main Application(s)" queryTableFieldId="3" dataDxfId="1169"/>
    <tableColumn id="4" xr3:uid="{2842392A-1892-451D-BFA7-68BECE56C1A0}" uniqueName="4" name="Classification" queryTableFieldId="4" dataDxfId="1168"/>
    <tableColumn id="5" xr3:uid="{F58DA24C-17A4-48B9-8F80-47AFADC4C8F1}" uniqueName="5" name="Addition" queryTableFieldId="5" dataDxfId="116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674C74-1F3E-44F3-87C8-41A87075D373}" name="brands_shaped" displayName="brands_shaped" ref="A1:D2893" tableType="queryTable" totalsRowShown="0">
  <autoFilter ref="A1:D2893" xr:uid="{FF674C74-1F3E-44F3-87C8-41A87075D373}"/>
  <tableColumns count="4">
    <tableColumn id="1" xr3:uid="{51103644-5386-455C-92B6-ED238C18F77D}" uniqueName="1" name="Brand" queryTableFieldId="1" dataDxfId="1166"/>
    <tableColumn id="2" xr3:uid="{0F6EB941-B4BF-4465-8B3D-3313CB3E536A}" uniqueName="2" name="Density [g/cm3]" queryTableFieldId="2"/>
    <tableColumn id="3" xr3:uid="{512719DC-3AE9-4D8E-94CA-750DED749C31}" uniqueName="3" name="Main Application(s)" queryTableFieldId="3" dataDxfId="1165"/>
    <tableColumn id="4" xr3:uid="{6AC14E02-99B4-47F4-AA69-AC44ED418FF1}" uniqueName="4" name="Classification" queryTableFieldId="4" dataDxfId="116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83EB79-E81B-4D9E-89E3-7F4781D67AF3}" name="BRANDS" displayName="BRANDS" ref="A1:C10" tableType="queryTable" totalsRowShown="0" headerRowDxfId="1163" dataDxfId="1162">
  <autoFilter ref="A1:C10" xr:uid="{B083EB79-E81B-4D9E-89E3-7F4781D67AF3}">
    <filterColumn colId="0" hiddenButton="1"/>
    <filterColumn colId="1" hiddenButton="1"/>
    <filterColumn colId="2" hiddenButton="1"/>
  </autoFilter>
  <tableColumns count="3">
    <tableColumn id="1" xr3:uid="{5C0FDE9E-614A-41B6-875F-1639ED8601F7}" uniqueName="1" name="Brand" queryTableFieldId="1" dataDxfId="1132"/>
    <tableColumn id="2" xr3:uid="{DA505512-EDA9-4C2D-A54C-7BFFD538D6E1}" uniqueName="2" name="State" queryTableFieldId="2" dataDxfId="1131"/>
    <tableColumn id="3" xr3:uid="{1858C212-3B2E-4DE1-BD02-D83C3AEB2DAA}" uniqueName="3" name="Brand Type" queryTableFieldId="3" dataDxfId="1130"/>
  </tableColumns>
  <tableStyleInfo name="TableStyleLight1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D7110FC-B102-4900-8348-8E3E09A39EF3}" name="SHAPES" displayName="SHAPES" ref="E1:F32" tableType="queryTable" totalsRowShown="0" headerRowDxfId="1161" dataDxfId="1160">
  <autoFilter ref="E1:F32" xr:uid="{AD7110FC-B102-4900-8348-8E3E09A39EF3}">
    <filterColumn colId="0" hiddenButton="1"/>
    <filterColumn colId="1" hiddenButton="1"/>
  </autoFilter>
  <tableColumns count="2">
    <tableColumn id="1" xr3:uid="{4C45D739-B918-4ECF-87C8-4F6105130A82}" uniqueName="1" name="Shape" queryTableFieldId="1" dataDxfId="1134"/>
    <tableColumn id="2" xr3:uid="{F2FF2CEA-1C57-47E4-8CA3-8B4F5B52E4AA}" uniqueName="2" name="State" queryTableFieldId="2" dataDxfId="1133"/>
  </tableColumns>
  <tableStyleInfo name="TableStyleLight1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19AE23-79A8-47A7-A7D7-C15B9A2C3CAC}" name="MANUAL_SAP" displayName="MANUAL_SAP" ref="E2:M3" tableType="queryTable" insertRow="1" totalsRowShown="0" headerRowDxfId="1159" dataDxfId="1158">
  <autoFilter ref="E2:M3" xr:uid="{8E19AE23-79A8-47A7-A7D7-C15B9A2C3CAC}"/>
  <tableColumns count="9">
    <tableColumn id="1" xr3:uid="{27D3371E-4563-4B6F-BCE0-9194DC16F463}" uniqueName="1" name="Item" queryTableFieldId="1" dataDxfId="1129"/>
    <tableColumn id="3" xr3:uid="{E6419E08-BD02-4C68-A386-E2FEBD3801CE}" uniqueName="3" name="Shape" queryTableFieldId="3" dataDxfId="1128"/>
    <tableColumn id="2" xr3:uid="{4CE8DF74-A03A-4647-BF44-B0E23707F93F}" uniqueName="2" name="Brand" queryTableFieldId="2" dataDxfId="1127"/>
    <tableColumn id="8" xr3:uid="{D8B3FD51-659D-4A29-9B01-76FA71846560}" uniqueName="8" name="Add-On" queryTableFieldId="8" dataDxfId="1126"/>
    <tableColumn id="4" xr3:uid="{828D9F5C-4BC4-45BC-BAEA-22412B418445}" uniqueName="4" name="Theoretical quantity" queryTableFieldId="4" dataDxfId="1125"/>
    <tableColumn id="5" xr3:uid="{BE16B4E0-93F6-41DC-A01D-051D1BC584AA}" uniqueName="5" name="Order quantity" queryTableFieldId="5" dataDxfId="1124"/>
    <tableColumn id="6" xr3:uid="{D3E71448-AAB3-4F33-8E1D-78AFC2DA2D47}" uniqueName="6" name="Volume" queryTableFieldId="12" dataDxfId="1123">
      <calculatedColumnFormula>IFERROR(IF(MANUAL_SAP[[#This Row],[Item]]="","",ROUNDUP(_xlfn.XLOOKUP(MANUAL_SAP[[#This Row],[Shape]],Formatos!A:A,Formatos!G:G,"",0),3)),"-")</calculatedColumnFormula>
    </tableColumn>
    <tableColumn id="7" xr3:uid="{0C90FCDE-F9D8-4BB4-AA29-BB72D3A075D1}" uniqueName="7" name="Density" queryTableFieldId="13" dataDxfId="1122">
      <calculatedColumnFormula>IFERROR(IF(MANUAL_SAP[[#This Row],[Item]]="","",ROUNDUP(_xlfn.XLOOKUP(MANUAL_SAP[[#This Row],[Brand]],Densidades!A:A,Densidades!B:B,"",0),2)),"-")</calculatedColumnFormula>
    </tableColumn>
    <tableColumn id="9" xr3:uid="{0206ED0C-CF7D-49CE-8223-E69BD7BA1A08}" uniqueName="9" name="Unit Weight" queryTableFieldId="14" dataDxfId="1121">
      <calculatedColumnFormula>IFERROR(IF(MANUAL_SAP[[#This Row],[Item]]="","",ROUNDUP(_xlfn.XLOOKUP(MANUAL_SAP[[#This Row],[Shape]],Formatos!A:A,Formatos!G:G,"",0)*_xlfn.XLOOKUP(MANUAL_SAP[[#This Row],[Brand]],Densidades!A:A,Densidades!B:B,"",0),3)),"-")</calculatedColumnFormula>
    </tableColumn>
  </tableColumns>
  <tableStyleInfo name="TableStyleLight8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816497D-6BD4-4D1F-B783-41DCFA450802}" name="FINAL_CODE_2" displayName="FINAL_CODE_2" ref="A1:A996" tableType="queryTable" totalsRowShown="0">
  <autoFilter ref="A1:A996" xr:uid="{E816497D-6BD4-4D1F-B783-41DCFA450802}">
    <filterColumn colId="0" hiddenButton="1"/>
  </autoFilter>
  <tableColumns count="1">
    <tableColumn id="1" xr3:uid="{31012002-7B0B-4DFA-B205-898179DBCD7A}" uniqueName="1" name="AutoHotkey.ahk" queryTableFieldId="2" dataDxfId="1135"/>
  </tableColumns>
  <tableStyleInfo name="TableStyleLight8 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95C7FDD-0BE4-4244-8B33-D282275971DD}" name="Tabela2" displayName="Tabela2" ref="A1:U39" totalsRowShown="0" headerRowDxfId="1157">
  <autoFilter ref="A1:U39" xr:uid="{195C7FDD-0BE4-4244-8B33-D282275971D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tableColumns count="21">
    <tableColumn id="2" xr3:uid="{0DB6D875-F629-4B86-A97E-B83D3F4D70FD}" name="Item (Reference)" dataDxfId="1156">
      <calculatedColumnFormula array="1">IFERROR(IF(Tabela2[[#This Row],[State]]="Automatico",IF(Tabela2[[#This Row],[Shape]]="","",(ROW()-1)*10),INDEX(Tabela2[[#All],[Item (Reference)]],ROW()-1)),"")</calculatedColumnFormula>
    </tableColumn>
    <tableColumn id="14" xr3:uid="{55C418EF-B9D3-42C5-8522-B5192390BBED}" name="Item" dataDxfId="1155">
      <calculatedColumnFormula>IFERROR((ROW()-1)*10,"")</calculatedColumnFormula>
    </tableColumn>
    <tableColumn id="13" xr3:uid="{66D52ADE-ED62-41C0-8047-00CDAA726823}" name="State" dataDxfId="1154">
      <calculatedColumnFormula>IFERROR(IF(Tabela2[[#This Row],[Material Code]]&lt;&gt;"","Automatico",IF(Tabela2[[#This Row],[Shape]]="","Automatico",IF(_xlfn.XLOOKUP(Tabela2[[#This Row],[Brand]],BRANDS[Brand],BRANDS[State])="Manual","Manual",IF(Tabela2[[#This Row],[Shape]]="-","Automatico",IF(_xlfn.XLOOKUP(Tabela2[[#This Row],[Shape]],SHAPES[Shape],SHAPES[State])="Manual","Manual","Automatico"))))),"")</calculatedColumnFormula>
    </tableColumn>
    <tableColumn id="17" xr3:uid="{478B76BD-B1F6-4096-BF65-9B9368632CA9}" name="Brand Type" dataDxfId="1153">
      <calculatedColumnFormula>IFERROR(IF(Tabela2[[#This Row],[Shape]]="","Normal",IF(_xlfn.XLOOKUP(Tabela2[[#This Row],[Brand]],BRANDS[Brand],BRANDS[Brand Type])="","Normal",_xlfn.XLOOKUP(Tabela2[[#This Row],[Brand]],BRANDS[Brand],BRANDS[Brand Type]))),"")</calculatedColumnFormula>
    </tableColumn>
    <tableColumn id="3" xr3:uid="{56CC4561-5EAB-4F8B-9AAC-DF7754B0A9A4}" name="Brand" dataDxfId="1152"/>
    <tableColumn id="4" xr3:uid="{075435FB-71BB-4A57-9C82-E7EA34A5EF41}" name="Shape" dataDxfId="1151"/>
    <tableColumn id="5" xr3:uid="{3FA6835C-C244-44C5-B111-9C0398941240}" name="Qnt 1" dataDxfId="1150"/>
    <tableColumn id="6" xr3:uid="{20B2B5E6-D613-43A9-8396-554CFE3EFEE3}" name="Qnt 2" dataDxfId="1149"/>
    <tableColumn id="7" xr3:uid="{57607A83-3873-4335-8FC7-3E6ACAF4B0A4}" name="Qnt 1 (Reference)" dataDxfId="1148">
      <calculatedColumnFormula>IFERROR(IF(Tabela2[[#This Row],[Shape]]="","",IF(Tabela2[[#This Row],[Shape]]="-",Tabela2[[#This Row],[Qnt 1]]/1000,Tabela2[[#This Row],[Qnt 1]])),"")</calculatedColumnFormula>
    </tableColumn>
    <tableColumn id="8" xr3:uid="{8CBE1050-57BF-4C1D-8118-5722811AAAD2}" name="Qnt 2 (Reference)" dataDxfId="1147">
      <calculatedColumnFormula>IFERROR(IF(Tabela2[[#This Row],[Shape]]="","",IF(Tabela2[[#This Row],[Shape]]="-",Tabela2[[#This Row],[Qnt 2]]/1000,Tabela2[[#This Row],[Qnt 2]])),"")</calculatedColumnFormula>
    </tableColumn>
    <tableColumn id="15" xr3:uid="{B9B270BD-76D1-4B61-B0CB-F616FBC5EBCB}" name="Brand (Reference)" dataDxfId="1146">
      <calculatedColumnFormula array="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calculatedColumnFormula>
    </tableColumn>
    <tableColumn id="16" xr3:uid="{3EB10294-62D2-4E4B-9037-B74D916D9C78}" name="Add-On" dataDxfId="1145">
      <calculatedColumnFormula array="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calculatedColumnFormula>
    </tableColumn>
    <tableColumn id="20" xr3:uid="{ECD9245F-7829-4B47-AE63-1386B3D11D4D}" name="Material Code" dataDxfId="1144">
      <calculatedColumnFormula>_xlfn.XLOOKUP(Tabela2[[#This Row],[Shape]]&amp;Tabela2[[#This Row],[Brand]],Material_Code[Shape &amp; Brand],Material_Code[Material Code],"",0)</calculatedColumnFormula>
    </tableColumn>
    <tableColumn id="19" xr3:uid="{6F7C08CD-AD27-4593-8278-500237F1CB8A}" name="Delay1" dataDxfId="1143">
      <calculatedColumnFormula>IFERROR(IF(SAP_FINAL!$C$11="Office",2000,IF(SAP_FINAL!$C$11="VPN",3500,5000)),"")</calculatedColumnFormula>
    </tableColumn>
    <tableColumn id="18" xr3:uid="{51C70BE8-F616-4EEA-9924-4E9E90F802DA}" name="Delay2" dataDxfId="1142">
      <calculatedColumnFormula>IFERROR(IF(SAP_FINAL!$C$11="Office",2500,IF(SAP_FINAL!$C$11="VPN",4000,5000)),"")</calculatedColumnFormula>
    </tableColumn>
    <tableColumn id="9" xr3:uid="{2DFFBC59-C25C-4806-802F-60E667102557}" name="Reference1" dataDxfId="1141">
      <calculatedColumnFormula array="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calculatedColumnFormula>
    </tableColumn>
    <tableColumn id="10" xr3:uid="{FF8FDC7E-027C-4985-AD34-F8822433C26C}" name="Reference2" dataDxfId="1140">
      <calculatedColumnFormula>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calculatedColumnFormula>
    </tableColumn>
    <tableColumn id="11" xr3:uid="{8D966149-7C95-42AE-8CE9-936ADC247FD9}" name="Reference3" dataDxfId="1139">
      <calculatedColumnFormula>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calculatedColumnFormula>
    </tableColumn>
    <tableColumn id="12" xr3:uid="{767E8C0B-923E-4248-A734-A7B06954C144}" name="Reference4" dataDxfId="1138">
      <calculatedColumnFormula>IFERROR(IF(Tabela2[[#This Row],[Item (Reference)]]="","",IF(Tabela2[[#This Row],[Shape]]="-",Tabela2[[#This Row],[Reference2]],Tabela2[[#This Row],[Reference3]])),"")</calculatedColumnFormula>
    </tableColumn>
    <tableColumn id="21" xr3:uid="{AEF800FE-D90E-4076-912C-AA5DDCACC018}" name="Reference5" dataDxfId="1137">
      <calculatedColumnFormula>"Sleep,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calculatedColumnFormula>
    </tableColumn>
    <tableColumn id="1" xr3:uid="{13529F86-2212-4D36-B619-6C041D627DB3}" name="Código" dataDxfId="1136">
      <calculatedColumnFormula>IFERROR(IF(Tabela2[[#This Row],[State]]="Automatico",Tabela2[[#This Row],[Reference1]]&amp;"|"&amp;IF(Tabela2[[#This Row],[Material Code]]="",Tabela2[[#This Row],[Reference4]],Tabela2[[#This Row],[Reference5]]),""),"")</calculatedColumnFormula>
    </tableColumn>
  </tableColumns>
  <tableStyleInfo name="TableStyleLight1 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D36C5E6-3061-4888-B5D2-874467C0441A}" name="ITEM_REFERENCE" displayName="ITEM_REFERENCE" ref="A1:A39" tableType="queryTable" totalsRowShown="0">
  <autoFilter ref="A1:A39" xr:uid="{DD36C5E6-3061-4888-B5D2-874467C0441A}"/>
  <tableColumns count="1">
    <tableColumn id="1" xr3:uid="{5BB6275C-A198-4DED-9072-50F63DC7B4B0}" uniqueName="1" name="Item" queryTableFieldId="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1.xml"/><Relationship Id="rId5" Type="http://schemas.openxmlformats.org/officeDocument/2006/relationships/image" Target="../media/image4.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2" Type="http://schemas.openxmlformats.org/officeDocument/2006/relationships/drawing" Target="../drawings/drawing6.xml"/><Relationship Id="rId1" Type="http://schemas.openxmlformats.org/officeDocument/2006/relationships/printerSettings" Target="../printerSettings/printerSettings10.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table" Target="../tables/table8.xml"/><Relationship Id="rId4" Type="http://schemas.openxmlformats.org/officeDocument/2006/relationships/table" Target="../tables/table7.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3937-038B-41F2-B402-F83684B42D66}">
  <sheetPr codeName="Plan15"/>
  <dimension ref="A1:Y78"/>
  <sheetViews>
    <sheetView showGridLines="0" zoomScaleNormal="100" workbookViewId="0">
      <selection activeCell="AF25" sqref="AF25"/>
    </sheetView>
  </sheetViews>
  <sheetFormatPr defaultColWidth="3.6640625" defaultRowHeight="13.2"/>
  <cols>
    <col min="1" max="1" width="4.5546875" style="573" customWidth="1"/>
    <col min="2" max="25" width="3.6640625" style="573" customWidth="1"/>
    <col min="26" max="16384" width="3.6640625" style="573"/>
  </cols>
  <sheetData>
    <row r="1" spans="1:25" ht="12.75" customHeight="1">
      <c r="A1" s="755"/>
      <c r="B1" s="756"/>
      <c r="C1" s="756"/>
      <c r="D1" s="756"/>
      <c r="E1" s="756"/>
      <c r="F1" s="756"/>
      <c r="G1" s="756"/>
      <c r="H1" s="757"/>
      <c r="I1" s="764" t="str">
        <f>OVERALL!I1</f>
        <v xml:space="preserve"> - </v>
      </c>
      <c r="J1" s="765"/>
      <c r="K1" s="765"/>
      <c r="L1" s="765"/>
      <c r="M1" s="765"/>
      <c r="N1" s="765"/>
      <c r="O1" s="765"/>
      <c r="P1" s="765"/>
      <c r="Q1" s="765"/>
      <c r="R1" s="765"/>
      <c r="S1" s="765"/>
      <c r="T1" s="765"/>
      <c r="U1" s="765"/>
      <c r="V1" s="765"/>
      <c r="W1" s="765"/>
      <c r="X1" s="765"/>
      <c r="Y1" s="766"/>
    </row>
    <row r="2" spans="1:25" ht="12.75" customHeight="1">
      <c r="A2" s="758"/>
      <c r="B2" s="759"/>
      <c r="C2" s="759"/>
      <c r="D2" s="759"/>
      <c r="E2" s="759"/>
      <c r="F2" s="759"/>
      <c r="G2" s="759"/>
      <c r="H2" s="760"/>
      <c r="I2" s="767"/>
      <c r="J2" s="768"/>
      <c r="K2" s="768"/>
      <c r="L2" s="768"/>
      <c r="M2" s="768"/>
      <c r="N2" s="768"/>
      <c r="O2" s="768"/>
      <c r="P2" s="768"/>
      <c r="Q2" s="768"/>
      <c r="R2" s="768"/>
      <c r="S2" s="768"/>
      <c r="T2" s="768"/>
      <c r="U2" s="768"/>
      <c r="V2" s="768"/>
      <c r="W2" s="768"/>
      <c r="X2" s="768"/>
      <c r="Y2" s="769"/>
    </row>
    <row r="3" spans="1:25" ht="12.75" customHeight="1">
      <c r="A3" s="758"/>
      <c r="B3" s="759"/>
      <c r="C3" s="759"/>
      <c r="D3" s="759"/>
      <c r="E3" s="759"/>
      <c r="F3" s="759"/>
      <c r="G3" s="759"/>
      <c r="H3" s="760"/>
      <c r="I3" s="764" t="str">
        <f>OVERALL!I3</f>
        <v xml:space="preserve"> - </v>
      </c>
      <c r="J3" s="770"/>
      <c r="K3" s="770"/>
      <c r="L3" s="770"/>
      <c r="M3" s="770"/>
      <c r="N3" s="770"/>
      <c r="O3" s="770"/>
      <c r="P3" s="770"/>
      <c r="Q3" s="770"/>
      <c r="R3" s="770"/>
      <c r="S3" s="770"/>
      <c r="T3" s="770"/>
      <c r="U3" s="770"/>
      <c r="V3" s="770"/>
      <c r="W3" s="770"/>
      <c r="X3" s="770"/>
      <c r="Y3" s="771"/>
    </row>
    <row r="4" spans="1:25" ht="12.75" customHeight="1">
      <c r="A4" s="758"/>
      <c r="B4" s="759"/>
      <c r="C4" s="759"/>
      <c r="D4" s="759"/>
      <c r="E4" s="759"/>
      <c r="F4" s="759"/>
      <c r="G4" s="759"/>
      <c r="H4" s="760"/>
      <c r="I4" s="772"/>
      <c r="J4" s="773"/>
      <c r="K4" s="773"/>
      <c r="L4" s="773"/>
      <c r="M4" s="773"/>
      <c r="N4" s="773"/>
      <c r="O4" s="773"/>
      <c r="P4" s="773"/>
      <c r="Q4" s="773"/>
      <c r="R4" s="773"/>
      <c r="S4" s="773"/>
      <c r="T4" s="773"/>
      <c r="U4" s="773"/>
      <c r="V4" s="773"/>
      <c r="W4" s="773"/>
      <c r="X4" s="773"/>
      <c r="Y4" s="774"/>
    </row>
    <row r="5" spans="1:25" ht="5.0999999999999996" customHeight="1">
      <c r="A5" s="758"/>
      <c r="B5" s="759"/>
      <c r="C5" s="759"/>
      <c r="D5" s="759"/>
      <c r="E5" s="759"/>
      <c r="F5" s="759"/>
      <c r="G5" s="759"/>
      <c r="H5" s="760"/>
      <c r="I5" s="775"/>
      <c r="J5" s="776"/>
      <c r="K5" s="776"/>
      <c r="L5" s="776"/>
      <c r="M5" s="776"/>
      <c r="N5" s="776"/>
      <c r="O5" s="776"/>
      <c r="P5" s="776"/>
      <c r="Q5" s="776"/>
      <c r="R5" s="776"/>
      <c r="S5" s="776"/>
      <c r="T5" s="776"/>
      <c r="U5" s="776"/>
      <c r="V5" s="776"/>
      <c r="W5" s="776"/>
      <c r="X5" s="776"/>
      <c r="Y5" s="777"/>
    </row>
    <row r="6" spans="1:25" ht="16.5" customHeight="1">
      <c r="A6" s="758"/>
      <c r="B6" s="759"/>
      <c r="C6" s="759"/>
      <c r="D6" s="759"/>
      <c r="E6" s="759"/>
      <c r="F6" s="759"/>
      <c r="G6" s="759"/>
      <c r="H6" s="760"/>
      <c r="I6" s="778" t="str">
        <f>OVERALL!I6</f>
        <v>Drawing number</v>
      </c>
      <c r="J6" s="779"/>
      <c r="K6" s="779"/>
      <c r="L6" s="779"/>
      <c r="M6" s="779"/>
      <c r="N6" s="779"/>
      <c r="O6" s="779"/>
      <c r="P6" s="779"/>
      <c r="Q6" s="779"/>
      <c r="R6" s="779"/>
      <c r="S6" s="780"/>
      <c r="T6" s="781" t="str">
        <f>OVERALL!V6</f>
        <v>Revision</v>
      </c>
      <c r="U6" s="781"/>
      <c r="V6" s="782"/>
      <c r="W6" s="778" t="str">
        <f>OVERALL!Y6</f>
        <v>State</v>
      </c>
      <c r="X6" s="779"/>
      <c r="Y6" s="780"/>
    </row>
    <row r="7" spans="1:25" ht="16.5" customHeight="1">
      <c r="A7" s="761"/>
      <c r="B7" s="762"/>
      <c r="C7" s="762"/>
      <c r="D7" s="762"/>
      <c r="E7" s="762"/>
      <c r="F7" s="762"/>
      <c r="G7" s="762"/>
      <c r="H7" s="763"/>
      <c r="I7" s="783" t="str">
        <f>OVERALL!I7</f>
        <v>CS</v>
      </c>
      <c r="J7" s="784"/>
      <c r="K7" s="784"/>
      <c r="L7" s="784"/>
      <c r="M7" s="784"/>
      <c r="N7" s="784"/>
      <c r="O7" s="784"/>
      <c r="P7" s="784"/>
      <c r="Q7" s="784"/>
      <c r="R7" s="784"/>
      <c r="S7" s="785"/>
      <c r="T7" s="786" t="str">
        <f>OVERALL!V7</f>
        <v>A00</v>
      </c>
      <c r="U7" s="787"/>
      <c r="V7" s="787"/>
      <c r="W7" s="788" t="str">
        <f>OVERALL!Y7</f>
        <v>V</v>
      </c>
      <c r="X7" s="789"/>
      <c r="Y7" s="790"/>
    </row>
    <row r="8" spans="1:25" ht="5.0999999999999996" customHeight="1">
      <c r="A8" s="759"/>
      <c r="B8" s="759"/>
      <c r="C8" s="759"/>
      <c r="D8" s="759"/>
      <c r="E8" s="759"/>
      <c r="F8" s="759"/>
      <c r="G8" s="759"/>
      <c r="H8" s="759"/>
      <c r="I8" s="759"/>
      <c r="J8" s="759"/>
      <c r="K8" s="759"/>
      <c r="L8" s="759"/>
      <c r="M8" s="759"/>
      <c r="N8" s="759"/>
      <c r="O8" s="759"/>
      <c r="P8" s="759"/>
      <c r="Q8" s="759"/>
      <c r="R8" s="759"/>
      <c r="S8" s="759"/>
      <c r="T8" s="759"/>
      <c r="U8" s="759"/>
      <c r="V8" s="759"/>
      <c r="W8" s="759"/>
      <c r="X8" s="759"/>
      <c r="Y8" s="759"/>
    </row>
    <row r="9" spans="1:25" ht="12.75" customHeight="1">
      <c r="A9" s="791" t="s">
        <v>96</v>
      </c>
      <c r="B9" s="792" t="s">
        <v>499</v>
      </c>
      <c r="C9" s="792"/>
      <c r="D9" s="792"/>
      <c r="E9" s="792"/>
      <c r="F9" s="792"/>
      <c r="G9" s="792" t="s">
        <v>500</v>
      </c>
      <c r="H9" s="792"/>
      <c r="I9" s="792"/>
      <c r="J9" s="792"/>
      <c r="K9" s="792"/>
      <c r="L9" s="792"/>
      <c r="M9" s="792"/>
      <c r="N9" s="792" t="s">
        <v>501</v>
      </c>
      <c r="O9" s="792"/>
      <c r="P9" s="792"/>
      <c r="Q9" s="792"/>
      <c r="R9" s="792" t="s">
        <v>25</v>
      </c>
      <c r="S9" s="792" t="s">
        <v>660</v>
      </c>
      <c r="T9" s="792"/>
      <c r="U9" s="792"/>
      <c r="V9" s="792"/>
      <c r="W9" s="792"/>
      <c r="X9" s="792"/>
      <c r="Y9" s="791" t="s">
        <v>503</v>
      </c>
    </row>
    <row r="10" spans="1:25">
      <c r="A10" s="791"/>
      <c r="B10" s="792"/>
      <c r="C10" s="792"/>
      <c r="D10" s="792"/>
      <c r="E10" s="792"/>
      <c r="F10" s="792"/>
      <c r="G10" s="792"/>
      <c r="H10" s="792"/>
      <c r="I10" s="792"/>
      <c r="J10" s="792"/>
      <c r="K10" s="792"/>
      <c r="L10" s="792"/>
      <c r="M10" s="792"/>
      <c r="N10" s="792" t="s">
        <v>502</v>
      </c>
      <c r="O10" s="792"/>
      <c r="P10" s="792" t="s">
        <v>27</v>
      </c>
      <c r="Q10" s="792"/>
      <c r="R10" s="792"/>
      <c r="S10" s="792" t="s">
        <v>502</v>
      </c>
      <c r="T10" s="792"/>
      <c r="U10" s="792"/>
      <c r="V10" s="792" t="s">
        <v>27</v>
      </c>
      <c r="W10" s="792"/>
      <c r="X10" s="792"/>
      <c r="Y10" s="791"/>
    </row>
    <row r="11" spans="1:25" ht="5.0999999999999996" customHeight="1">
      <c r="A11" s="759"/>
      <c r="B11" s="759"/>
      <c r="C11" s="759"/>
      <c r="D11" s="759"/>
      <c r="E11" s="759"/>
      <c r="F11" s="759"/>
      <c r="G11" s="759"/>
      <c r="H11" s="759"/>
      <c r="I11" s="759"/>
      <c r="J11" s="759"/>
      <c r="K11" s="759"/>
      <c r="L11" s="759"/>
      <c r="M11" s="759"/>
      <c r="N11" s="759"/>
      <c r="O11" s="759"/>
      <c r="P11" s="759"/>
      <c r="Q11" s="759"/>
      <c r="R11" s="759"/>
      <c r="S11" s="759"/>
      <c r="T11" s="759"/>
      <c r="U11" s="759"/>
      <c r="V11" s="759"/>
      <c r="W11" s="759"/>
      <c r="X11" s="759"/>
      <c r="Y11" s="759"/>
    </row>
    <row r="12" spans="1:25" s="575" customFormat="1" ht="12.75" customHeight="1">
      <c r="A12" s="574"/>
      <c r="B12" s="793"/>
      <c r="C12" s="793"/>
      <c r="D12" s="793"/>
      <c r="E12" s="793"/>
      <c r="F12" s="793"/>
      <c r="G12" s="793"/>
      <c r="H12" s="793"/>
      <c r="I12" s="793"/>
      <c r="J12" s="793"/>
      <c r="K12" s="793"/>
      <c r="L12" s="793"/>
      <c r="M12" s="793"/>
      <c r="N12" s="793"/>
      <c r="O12" s="793"/>
      <c r="P12" s="793"/>
      <c r="Q12" s="793"/>
      <c r="R12" s="574"/>
      <c r="S12" s="794"/>
      <c r="T12" s="794"/>
      <c r="U12" s="794"/>
      <c r="V12" s="794"/>
      <c r="W12" s="794"/>
      <c r="X12" s="794"/>
      <c r="Y12" s="574"/>
    </row>
    <row r="13" spans="1:25" s="575" customFormat="1" ht="12.75" customHeight="1">
      <c r="A13" s="574"/>
      <c r="B13" s="793"/>
      <c r="C13" s="793"/>
      <c r="D13" s="793"/>
      <c r="E13" s="793"/>
      <c r="F13" s="793"/>
      <c r="G13" s="793"/>
      <c r="H13" s="793"/>
      <c r="I13" s="793"/>
      <c r="J13" s="793"/>
      <c r="K13" s="793"/>
      <c r="L13" s="793"/>
      <c r="M13" s="793"/>
      <c r="N13" s="793"/>
      <c r="O13" s="793"/>
      <c r="P13" s="793"/>
      <c r="Q13" s="793"/>
      <c r="R13" s="574"/>
      <c r="S13" s="794"/>
      <c r="T13" s="794"/>
      <c r="U13" s="794"/>
      <c r="V13" s="794"/>
      <c r="W13" s="794"/>
      <c r="X13" s="794"/>
      <c r="Y13" s="574"/>
    </row>
    <row r="14" spans="1:25" s="575" customFormat="1" ht="12.75" customHeight="1">
      <c r="A14" s="574"/>
      <c r="B14" s="793"/>
      <c r="C14" s="793"/>
      <c r="D14" s="793"/>
      <c r="E14" s="793"/>
      <c r="F14" s="793"/>
      <c r="G14" s="793"/>
      <c r="H14" s="793"/>
      <c r="I14" s="793"/>
      <c r="J14" s="793"/>
      <c r="K14" s="793"/>
      <c r="L14" s="793"/>
      <c r="M14" s="793"/>
      <c r="N14" s="793"/>
      <c r="O14" s="793"/>
      <c r="P14" s="793"/>
      <c r="Q14" s="793"/>
      <c r="R14" s="574"/>
      <c r="S14" s="794"/>
      <c r="T14" s="794"/>
      <c r="U14" s="794"/>
      <c r="V14" s="794"/>
      <c r="W14" s="794"/>
      <c r="X14" s="794"/>
      <c r="Y14" s="574"/>
    </row>
    <row r="15" spans="1:25" s="575" customFormat="1" ht="12.75" customHeight="1">
      <c r="A15" s="574"/>
      <c r="B15" s="793"/>
      <c r="C15" s="793"/>
      <c r="D15" s="793"/>
      <c r="E15" s="793"/>
      <c r="F15" s="793"/>
      <c r="G15" s="793"/>
      <c r="H15" s="793"/>
      <c r="I15" s="793"/>
      <c r="J15" s="793"/>
      <c r="K15" s="793"/>
      <c r="L15" s="793"/>
      <c r="M15" s="793"/>
      <c r="N15" s="793"/>
      <c r="O15" s="793"/>
      <c r="P15" s="793"/>
      <c r="Q15" s="793"/>
      <c r="R15" s="574"/>
      <c r="S15" s="794"/>
      <c r="T15" s="794"/>
      <c r="U15" s="794"/>
      <c r="V15" s="794"/>
      <c r="W15" s="794"/>
      <c r="X15" s="794"/>
      <c r="Y15" s="574"/>
    </row>
    <row r="16" spans="1:25" s="575" customFormat="1" ht="12.75" customHeight="1">
      <c r="A16" s="574"/>
      <c r="B16" s="793"/>
      <c r="C16" s="793"/>
      <c r="D16" s="793"/>
      <c r="E16" s="793"/>
      <c r="F16" s="793"/>
      <c r="G16" s="793"/>
      <c r="H16" s="793"/>
      <c r="I16" s="793"/>
      <c r="J16" s="793"/>
      <c r="K16" s="793"/>
      <c r="L16" s="793"/>
      <c r="M16" s="793"/>
      <c r="N16" s="793"/>
      <c r="O16" s="793"/>
      <c r="P16" s="793"/>
      <c r="Q16" s="793"/>
      <c r="R16" s="574"/>
      <c r="S16" s="794"/>
      <c r="T16" s="794"/>
      <c r="U16" s="794"/>
      <c r="V16" s="794"/>
      <c r="W16" s="794"/>
      <c r="X16" s="794"/>
      <c r="Y16" s="574"/>
    </row>
    <row r="17" spans="1:25" s="575" customFormat="1" ht="12.75" customHeight="1">
      <c r="A17" s="574"/>
      <c r="B17" s="793"/>
      <c r="C17" s="793"/>
      <c r="D17" s="793"/>
      <c r="E17" s="793"/>
      <c r="F17" s="793"/>
      <c r="G17" s="793"/>
      <c r="H17" s="793"/>
      <c r="I17" s="793"/>
      <c r="J17" s="793"/>
      <c r="K17" s="793"/>
      <c r="L17" s="793"/>
      <c r="M17" s="793"/>
      <c r="N17" s="793"/>
      <c r="O17" s="793"/>
      <c r="P17" s="793"/>
      <c r="Q17" s="793"/>
      <c r="R17" s="574"/>
      <c r="S17" s="794"/>
      <c r="T17" s="794"/>
      <c r="U17" s="794"/>
      <c r="V17" s="794"/>
      <c r="W17" s="794"/>
      <c r="X17" s="794"/>
      <c r="Y17" s="574"/>
    </row>
    <row r="18" spans="1:25" s="575" customFormat="1" ht="12.75" customHeight="1">
      <c r="A18" s="574"/>
      <c r="B18" s="793"/>
      <c r="C18" s="793"/>
      <c r="D18" s="793"/>
      <c r="E18" s="793"/>
      <c r="F18" s="793"/>
      <c r="G18" s="793"/>
      <c r="H18" s="793"/>
      <c r="I18" s="793"/>
      <c r="J18" s="793"/>
      <c r="K18" s="793"/>
      <c r="L18" s="793"/>
      <c r="M18" s="793"/>
      <c r="N18" s="793"/>
      <c r="O18" s="793"/>
      <c r="P18" s="793"/>
      <c r="Q18" s="793"/>
      <c r="R18" s="574"/>
      <c r="S18" s="794"/>
      <c r="T18" s="794"/>
      <c r="U18" s="794"/>
      <c r="V18" s="794"/>
      <c r="W18" s="794"/>
      <c r="X18" s="794"/>
      <c r="Y18" s="574"/>
    </row>
    <row r="19" spans="1:25" s="575" customFormat="1" ht="12.75" customHeight="1">
      <c r="A19" s="574"/>
      <c r="B19" s="793"/>
      <c r="C19" s="793"/>
      <c r="D19" s="793"/>
      <c r="E19" s="793"/>
      <c r="F19" s="793"/>
      <c r="G19" s="793"/>
      <c r="H19" s="793"/>
      <c r="I19" s="793"/>
      <c r="J19" s="793"/>
      <c r="K19" s="793"/>
      <c r="L19" s="793"/>
      <c r="M19" s="793"/>
      <c r="N19" s="793"/>
      <c r="O19" s="793"/>
      <c r="P19" s="793"/>
      <c r="Q19" s="793"/>
      <c r="R19" s="574"/>
      <c r="S19" s="794"/>
      <c r="T19" s="794"/>
      <c r="U19" s="794"/>
      <c r="V19" s="794"/>
      <c r="W19" s="794"/>
      <c r="X19" s="794"/>
      <c r="Y19" s="574"/>
    </row>
    <row r="20" spans="1:25" s="575" customFormat="1" ht="12.75" customHeight="1">
      <c r="A20" s="574"/>
      <c r="B20" s="793"/>
      <c r="C20" s="793"/>
      <c r="D20" s="793"/>
      <c r="E20" s="793"/>
      <c r="F20" s="793"/>
      <c r="G20" s="793"/>
      <c r="H20" s="793"/>
      <c r="I20" s="793"/>
      <c r="J20" s="793"/>
      <c r="K20" s="793"/>
      <c r="L20" s="793"/>
      <c r="M20" s="793"/>
      <c r="N20" s="793"/>
      <c r="O20" s="793"/>
      <c r="P20" s="793"/>
      <c r="Q20" s="793"/>
      <c r="R20" s="574"/>
      <c r="S20" s="794"/>
      <c r="T20" s="794"/>
      <c r="U20" s="794"/>
      <c r="V20" s="794"/>
      <c r="W20" s="794"/>
      <c r="X20" s="794"/>
      <c r="Y20" s="574"/>
    </row>
    <row r="21" spans="1:25" s="575" customFormat="1" ht="12.75" customHeight="1">
      <c r="A21" s="574"/>
      <c r="B21" s="793"/>
      <c r="C21" s="793"/>
      <c r="D21" s="793"/>
      <c r="E21" s="793"/>
      <c r="F21" s="793"/>
      <c r="G21" s="793"/>
      <c r="H21" s="793"/>
      <c r="I21" s="793"/>
      <c r="J21" s="793"/>
      <c r="K21" s="793"/>
      <c r="L21" s="793"/>
      <c r="M21" s="793"/>
      <c r="N21" s="793"/>
      <c r="O21" s="793"/>
      <c r="P21" s="793"/>
      <c r="Q21" s="793"/>
      <c r="R21" s="574"/>
      <c r="S21" s="794"/>
      <c r="T21" s="794"/>
      <c r="U21" s="794"/>
      <c r="V21" s="794"/>
      <c r="W21" s="794"/>
      <c r="X21" s="794"/>
      <c r="Y21" s="574"/>
    </row>
    <row r="22" spans="1:25" s="575" customFormat="1" ht="12.75" customHeight="1">
      <c r="A22" s="574"/>
      <c r="B22" s="793"/>
      <c r="C22" s="793"/>
      <c r="D22" s="793"/>
      <c r="E22" s="793"/>
      <c r="F22" s="793"/>
      <c r="G22" s="793"/>
      <c r="H22" s="793"/>
      <c r="I22" s="793"/>
      <c r="J22" s="793"/>
      <c r="K22" s="793"/>
      <c r="L22" s="793"/>
      <c r="M22" s="793"/>
      <c r="N22" s="793"/>
      <c r="O22" s="793"/>
      <c r="P22" s="793"/>
      <c r="Q22" s="793"/>
      <c r="R22" s="574"/>
      <c r="S22" s="794"/>
      <c r="T22" s="794"/>
      <c r="U22" s="794"/>
      <c r="V22" s="794"/>
      <c r="W22" s="794"/>
      <c r="X22" s="794"/>
      <c r="Y22" s="574"/>
    </row>
    <row r="23" spans="1:25" s="575" customFormat="1" ht="12.75" customHeight="1">
      <c r="A23" s="574"/>
      <c r="B23" s="793"/>
      <c r="C23" s="793"/>
      <c r="D23" s="793"/>
      <c r="E23" s="793"/>
      <c r="F23" s="793"/>
      <c r="G23" s="793"/>
      <c r="H23" s="793"/>
      <c r="I23" s="793"/>
      <c r="J23" s="793"/>
      <c r="K23" s="793"/>
      <c r="L23" s="793"/>
      <c r="M23" s="793"/>
      <c r="N23" s="793"/>
      <c r="O23" s="793"/>
      <c r="P23" s="793"/>
      <c r="Q23" s="793"/>
      <c r="R23" s="574"/>
      <c r="S23" s="794"/>
      <c r="T23" s="794"/>
      <c r="U23" s="794"/>
      <c r="V23" s="794"/>
      <c r="W23" s="794"/>
      <c r="X23" s="794"/>
      <c r="Y23" s="574"/>
    </row>
    <row r="24" spans="1:25" s="575" customFormat="1" ht="12.75" customHeight="1">
      <c r="A24" s="574"/>
      <c r="B24" s="793"/>
      <c r="C24" s="793"/>
      <c r="D24" s="793"/>
      <c r="E24" s="793"/>
      <c r="F24" s="793"/>
      <c r="G24" s="793"/>
      <c r="H24" s="793"/>
      <c r="I24" s="793"/>
      <c r="J24" s="793"/>
      <c r="K24" s="793"/>
      <c r="L24" s="793"/>
      <c r="M24" s="793"/>
      <c r="N24" s="793"/>
      <c r="O24" s="793"/>
      <c r="P24" s="793"/>
      <c r="Q24" s="793"/>
      <c r="R24" s="574"/>
      <c r="S24" s="794"/>
      <c r="T24" s="794"/>
      <c r="U24" s="794"/>
      <c r="V24" s="794"/>
      <c r="W24" s="794"/>
      <c r="X24" s="794"/>
      <c r="Y24" s="574"/>
    </row>
    <row r="25" spans="1:25" s="575" customFormat="1" ht="12.75" customHeight="1">
      <c r="A25" s="574"/>
      <c r="B25" s="793"/>
      <c r="C25" s="793"/>
      <c r="D25" s="793"/>
      <c r="E25" s="793"/>
      <c r="F25" s="793"/>
      <c r="G25" s="793"/>
      <c r="H25" s="793"/>
      <c r="I25" s="793"/>
      <c r="J25" s="793"/>
      <c r="K25" s="793"/>
      <c r="L25" s="793"/>
      <c r="M25" s="793"/>
      <c r="N25" s="793"/>
      <c r="O25" s="793"/>
      <c r="P25" s="793"/>
      <c r="Q25" s="793"/>
      <c r="R25" s="574"/>
      <c r="S25" s="794"/>
      <c r="T25" s="794"/>
      <c r="U25" s="794"/>
      <c r="V25" s="794"/>
      <c r="W25" s="794"/>
      <c r="X25" s="794"/>
      <c r="Y25" s="574"/>
    </row>
    <row r="26" spans="1:25" s="575" customFormat="1" ht="12.75" customHeight="1">
      <c r="A26" s="574"/>
      <c r="B26" s="793"/>
      <c r="C26" s="793"/>
      <c r="D26" s="793"/>
      <c r="E26" s="793"/>
      <c r="F26" s="793"/>
      <c r="G26" s="793"/>
      <c r="H26" s="793"/>
      <c r="I26" s="793"/>
      <c r="J26" s="793"/>
      <c r="K26" s="793"/>
      <c r="L26" s="793"/>
      <c r="M26" s="793"/>
      <c r="N26" s="793"/>
      <c r="O26" s="793"/>
      <c r="P26" s="793"/>
      <c r="Q26" s="793"/>
      <c r="R26" s="574"/>
      <c r="S26" s="794"/>
      <c r="T26" s="794"/>
      <c r="U26" s="794"/>
      <c r="V26" s="794"/>
      <c r="W26" s="794"/>
      <c r="X26" s="794"/>
      <c r="Y26" s="574"/>
    </row>
    <row r="27" spans="1:25" s="575" customFormat="1" ht="12.75" customHeight="1">
      <c r="A27" s="574"/>
      <c r="B27" s="793"/>
      <c r="C27" s="793"/>
      <c r="D27" s="793"/>
      <c r="E27" s="793"/>
      <c r="F27" s="793"/>
      <c r="G27" s="793"/>
      <c r="H27" s="793"/>
      <c r="I27" s="793"/>
      <c r="J27" s="793"/>
      <c r="K27" s="793"/>
      <c r="L27" s="793"/>
      <c r="M27" s="793"/>
      <c r="N27" s="793"/>
      <c r="O27" s="793"/>
      <c r="P27" s="793"/>
      <c r="Q27" s="793"/>
      <c r="R27" s="574"/>
      <c r="S27" s="794"/>
      <c r="T27" s="794"/>
      <c r="U27" s="794"/>
      <c r="V27" s="794"/>
      <c r="W27" s="794"/>
      <c r="X27" s="794"/>
      <c r="Y27" s="574"/>
    </row>
    <row r="28" spans="1:25" s="575" customFormat="1" ht="12.75" customHeight="1">
      <c r="A28" s="574"/>
      <c r="B28" s="793"/>
      <c r="C28" s="793"/>
      <c r="D28" s="793"/>
      <c r="E28" s="793"/>
      <c r="F28" s="793"/>
      <c r="G28" s="793"/>
      <c r="H28" s="793"/>
      <c r="I28" s="793"/>
      <c r="J28" s="793"/>
      <c r="K28" s="793"/>
      <c r="L28" s="793"/>
      <c r="M28" s="793"/>
      <c r="N28" s="793"/>
      <c r="O28" s="793"/>
      <c r="P28" s="793"/>
      <c r="Q28" s="793"/>
      <c r="R28" s="574"/>
      <c r="S28" s="794"/>
      <c r="T28" s="794"/>
      <c r="U28" s="794"/>
      <c r="V28" s="794"/>
      <c r="W28" s="794"/>
      <c r="X28" s="794"/>
      <c r="Y28" s="574"/>
    </row>
    <row r="29" spans="1:25" s="575" customFormat="1" ht="12.75" customHeight="1">
      <c r="A29" s="574"/>
      <c r="B29" s="793"/>
      <c r="C29" s="793"/>
      <c r="D29" s="793"/>
      <c r="E29" s="793"/>
      <c r="F29" s="793"/>
      <c r="G29" s="793"/>
      <c r="H29" s="793"/>
      <c r="I29" s="793"/>
      <c r="J29" s="793"/>
      <c r="K29" s="793"/>
      <c r="L29" s="793"/>
      <c r="M29" s="793"/>
      <c r="N29" s="793"/>
      <c r="O29" s="793"/>
      <c r="P29" s="793"/>
      <c r="Q29" s="793"/>
      <c r="R29" s="574"/>
      <c r="S29" s="794"/>
      <c r="T29" s="794"/>
      <c r="U29" s="794"/>
      <c r="V29" s="794"/>
      <c r="W29" s="794"/>
      <c r="X29" s="794"/>
      <c r="Y29" s="574"/>
    </row>
    <row r="30" spans="1:25" s="575" customFormat="1" ht="12.75" customHeight="1">
      <c r="A30" s="574"/>
      <c r="B30" s="793"/>
      <c r="C30" s="793"/>
      <c r="D30" s="793"/>
      <c r="E30" s="793"/>
      <c r="F30" s="793"/>
      <c r="G30" s="793"/>
      <c r="H30" s="793"/>
      <c r="I30" s="793"/>
      <c r="J30" s="793"/>
      <c r="K30" s="793"/>
      <c r="L30" s="793"/>
      <c r="M30" s="793"/>
      <c r="N30" s="793"/>
      <c r="O30" s="793"/>
      <c r="P30" s="793"/>
      <c r="Q30" s="793"/>
      <c r="R30" s="574"/>
      <c r="S30" s="794"/>
      <c r="T30" s="794"/>
      <c r="U30" s="794"/>
      <c r="V30" s="794"/>
      <c r="W30" s="794"/>
      <c r="X30" s="794"/>
      <c r="Y30" s="574"/>
    </row>
    <row r="31" spans="1:25" s="575" customFormat="1" ht="12.75" customHeight="1">
      <c r="A31" s="574"/>
      <c r="B31" s="793"/>
      <c r="C31" s="793"/>
      <c r="D31" s="793"/>
      <c r="E31" s="793"/>
      <c r="F31" s="793"/>
      <c r="G31" s="793"/>
      <c r="H31" s="793"/>
      <c r="I31" s="793"/>
      <c r="J31" s="793"/>
      <c r="K31" s="793"/>
      <c r="L31" s="793"/>
      <c r="M31" s="793"/>
      <c r="N31" s="793"/>
      <c r="O31" s="793"/>
      <c r="P31" s="793"/>
      <c r="Q31" s="793"/>
      <c r="R31" s="574"/>
      <c r="S31" s="794"/>
      <c r="T31" s="794"/>
      <c r="U31" s="794"/>
      <c r="V31" s="794"/>
      <c r="W31" s="794"/>
      <c r="X31" s="794"/>
      <c r="Y31" s="574"/>
    </row>
    <row r="32" spans="1:25" s="575" customFormat="1" ht="12.75" customHeight="1">
      <c r="A32" s="574"/>
      <c r="B32" s="793"/>
      <c r="C32" s="793"/>
      <c r="D32" s="793"/>
      <c r="E32" s="793"/>
      <c r="F32" s="793"/>
      <c r="G32" s="793"/>
      <c r="H32" s="793"/>
      <c r="I32" s="793"/>
      <c r="J32" s="793"/>
      <c r="K32" s="793"/>
      <c r="L32" s="793"/>
      <c r="M32" s="793"/>
      <c r="N32" s="793"/>
      <c r="O32" s="793"/>
      <c r="P32" s="793"/>
      <c r="Q32" s="793"/>
      <c r="R32" s="574"/>
      <c r="S32" s="794"/>
      <c r="T32" s="794"/>
      <c r="U32" s="794"/>
      <c r="V32" s="794"/>
      <c r="W32" s="794"/>
      <c r="X32" s="794"/>
      <c r="Y32" s="574"/>
    </row>
    <row r="33" spans="1:25" s="575" customFormat="1" ht="12.75" customHeight="1">
      <c r="A33" s="574"/>
      <c r="B33" s="793"/>
      <c r="C33" s="793"/>
      <c r="D33" s="793"/>
      <c r="E33" s="793"/>
      <c r="F33" s="793"/>
      <c r="G33" s="793"/>
      <c r="H33" s="793"/>
      <c r="I33" s="793"/>
      <c r="J33" s="793"/>
      <c r="K33" s="793"/>
      <c r="L33" s="793"/>
      <c r="M33" s="793"/>
      <c r="N33" s="793"/>
      <c r="O33" s="793"/>
      <c r="P33" s="793"/>
      <c r="Q33" s="793"/>
      <c r="R33" s="574"/>
      <c r="S33" s="794"/>
      <c r="T33" s="794"/>
      <c r="U33" s="794"/>
      <c r="V33" s="794"/>
      <c r="W33" s="794"/>
      <c r="X33" s="794"/>
      <c r="Y33" s="574"/>
    </row>
    <row r="34" spans="1:25" s="575" customFormat="1" ht="12.75" customHeight="1">
      <c r="A34" s="574"/>
      <c r="B34" s="793"/>
      <c r="C34" s="793"/>
      <c r="D34" s="793"/>
      <c r="E34" s="793"/>
      <c r="F34" s="793"/>
      <c r="G34" s="793"/>
      <c r="H34" s="793"/>
      <c r="I34" s="793"/>
      <c r="J34" s="793"/>
      <c r="K34" s="793"/>
      <c r="L34" s="793"/>
      <c r="M34" s="793"/>
      <c r="N34" s="793"/>
      <c r="O34" s="793"/>
      <c r="P34" s="793"/>
      <c r="Q34" s="793"/>
      <c r="R34" s="574"/>
      <c r="S34" s="794"/>
      <c r="T34" s="794"/>
      <c r="U34" s="794"/>
      <c r="V34" s="794"/>
      <c r="W34" s="794"/>
      <c r="X34" s="794"/>
      <c r="Y34" s="574"/>
    </row>
    <row r="35" spans="1:25" s="575" customFormat="1" ht="12.75" customHeight="1">
      <c r="A35" s="574"/>
      <c r="B35" s="793"/>
      <c r="C35" s="793"/>
      <c r="D35" s="793"/>
      <c r="E35" s="793"/>
      <c r="F35" s="793"/>
      <c r="G35" s="793"/>
      <c r="H35" s="793"/>
      <c r="I35" s="793"/>
      <c r="J35" s="793"/>
      <c r="K35" s="793"/>
      <c r="L35" s="793"/>
      <c r="M35" s="793"/>
      <c r="N35" s="793"/>
      <c r="O35" s="793"/>
      <c r="P35" s="793"/>
      <c r="Q35" s="793"/>
      <c r="R35" s="574"/>
      <c r="S35" s="794"/>
      <c r="T35" s="794"/>
      <c r="U35" s="794"/>
      <c r="V35" s="794"/>
      <c r="W35" s="794"/>
      <c r="X35" s="794"/>
      <c r="Y35" s="574"/>
    </row>
    <row r="36" spans="1:25" s="575" customFormat="1" ht="12.75" customHeight="1">
      <c r="A36" s="574"/>
      <c r="B36" s="793"/>
      <c r="C36" s="793"/>
      <c r="D36" s="793"/>
      <c r="E36" s="793"/>
      <c r="F36" s="793"/>
      <c r="G36" s="793"/>
      <c r="H36" s="793"/>
      <c r="I36" s="793"/>
      <c r="J36" s="793"/>
      <c r="K36" s="793"/>
      <c r="L36" s="793"/>
      <c r="M36" s="793"/>
      <c r="N36" s="793"/>
      <c r="O36" s="793"/>
      <c r="P36" s="793"/>
      <c r="Q36" s="793"/>
      <c r="R36" s="574"/>
      <c r="S36" s="794"/>
      <c r="T36" s="794"/>
      <c r="U36" s="794"/>
      <c r="V36" s="794"/>
      <c r="W36" s="794"/>
      <c r="X36" s="794"/>
      <c r="Y36" s="574"/>
    </row>
    <row r="37" spans="1:25" s="575" customFormat="1" ht="12.75" customHeight="1">
      <c r="A37" s="574"/>
      <c r="B37" s="793"/>
      <c r="C37" s="793"/>
      <c r="D37" s="793"/>
      <c r="E37" s="793"/>
      <c r="F37" s="793"/>
      <c r="G37" s="793"/>
      <c r="H37" s="793"/>
      <c r="I37" s="793"/>
      <c r="J37" s="793"/>
      <c r="K37" s="793"/>
      <c r="L37" s="793"/>
      <c r="M37" s="793"/>
      <c r="N37" s="793"/>
      <c r="O37" s="793"/>
      <c r="P37" s="793"/>
      <c r="Q37" s="793"/>
      <c r="R37" s="574"/>
      <c r="S37" s="794"/>
      <c r="T37" s="794"/>
      <c r="U37" s="794"/>
      <c r="V37" s="794"/>
      <c r="W37" s="794"/>
      <c r="X37" s="794"/>
      <c r="Y37" s="574"/>
    </row>
    <row r="38" spans="1:25" s="575" customFormat="1" ht="12.75" customHeight="1">
      <c r="A38" s="574"/>
      <c r="B38" s="793"/>
      <c r="C38" s="793"/>
      <c r="D38" s="793"/>
      <c r="E38" s="793"/>
      <c r="F38" s="793"/>
      <c r="G38" s="793"/>
      <c r="H38" s="793"/>
      <c r="I38" s="793"/>
      <c r="J38" s="793"/>
      <c r="K38" s="793"/>
      <c r="L38" s="793"/>
      <c r="M38" s="793"/>
      <c r="N38" s="793"/>
      <c r="O38" s="793"/>
      <c r="P38" s="793"/>
      <c r="Q38" s="793"/>
      <c r="R38" s="574"/>
      <c r="S38" s="794"/>
      <c r="T38" s="794"/>
      <c r="U38" s="794"/>
      <c r="V38" s="794"/>
      <c r="W38" s="794"/>
      <c r="X38" s="794"/>
      <c r="Y38" s="574"/>
    </row>
    <row r="39" spans="1:25" s="575" customFormat="1" ht="12.75" customHeight="1">
      <c r="A39" s="574"/>
      <c r="B39" s="793"/>
      <c r="C39" s="793"/>
      <c r="D39" s="793"/>
      <c r="E39" s="793"/>
      <c r="F39" s="793"/>
      <c r="G39" s="793"/>
      <c r="H39" s="793"/>
      <c r="I39" s="793"/>
      <c r="J39" s="793"/>
      <c r="K39" s="793"/>
      <c r="L39" s="793"/>
      <c r="M39" s="793"/>
      <c r="N39" s="793"/>
      <c r="O39" s="793"/>
      <c r="P39" s="793"/>
      <c r="Q39" s="793"/>
      <c r="R39" s="574"/>
      <c r="S39" s="794"/>
      <c r="T39" s="794"/>
      <c r="U39" s="794"/>
      <c r="V39" s="794"/>
      <c r="W39" s="794"/>
      <c r="X39" s="794"/>
      <c r="Y39" s="574"/>
    </row>
    <row r="40" spans="1:25" s="575" customFormat="1" ht="12.75" customHeight="1">
      <c r="A40" s="574"/>
      <c r="B40" s="793"/>
      <c r="C40" s="793"/>
      <c r="D40" s="793"/>
      <c r="E40" s="793"/>
      <c r="F40" s="793"/>
      <c r="G40" s="793"/>
      <c r="H40" s="793"/>
      <c r="I40" s="793"/>
      <c r="J40" s="793"/>
      <c r="K40" s="793"/>
      <c r="L40" s="793"/>
      <c r="M40" s="793"/>
      <c r="N40" s="793"/>
      <c r="O40" s="793"/>
      <c r="P40" s="793"/>
      <c r="Q40" s="793"/>
      <c r="R40" s="574"/>
      <c r="S40" s="794"/>
      <c r="T40" s="794"/>
      <c r="U40" s="794"/>
      <c r="V40" s="794"/>
      <c r="W40" s="794"/>
      <c r="X40" s="794"/>
      <c r="Y40" s="574"/>
    </row>
    <row r="41" spans="1:25" s="575" customFormat="1" ht="12.75" customHeight="1">
      <c r="A41" s="574"/>
      <c r="B41" s="793"/>
      <c r="C41" s="793"/>
      <c r="D41" s="793"/>
      <c r="E41" s="793"/>
      <c r="F41" s="793"/>
      <c r="G41" s="793"/>
      <c r="H41" s="793"/>
      <c r="I41" s="793"/>
      <c r="J41" s="793"/>
      <c r="K41" s="793"/>
      <c r="L41" s="793"/>
      <c r="M41" s="793"/>
      <c r="N41" s="793"/>
      <c r="O41" s="793"/>
      <c r="P41" s="793"/>
      <c r="Q41" s="793"/>
      <c r="R41" s="574"/>
      <c r="S41" s="794"/>
      <c r="T41" s="794"/>
      <c r="U41" s="794"/>
      <c r="V41" s="794"/>
      <c r="W41" s="794"/>
      <c r="X41" s="794"/>
      <c r="Y41" s="574"/>
    </row>
    <row r="42" spans="1:25" s="575" customFormat="1" ht="12.75" customHeight="1">
      <c r="A42" s="574"/>
      <c r="B42" s="793"/>
      <c r="C42" s="793"/>
      <c r="D42" s="793"/>
      <c r="E42" s="793"/>
      <c r="F42" s="793"/>
      <c r="G42" s="793"/>
      <c r="H42" s="793"/>
      <c r="I42" s="793"/>
      <c r="J42" s="793"/>
      <c r="K42" s="793"/>
      <c r="L42" s="793"/>
      <c r="M42" s="793"/>
      <c r="N42" s="793"/>
      <c r="O42" s="793"/>
      <c r="P42" s="793"/>
      <c r="Q42" s="793"/>
      <c r="R42" s="574"/>
      <c r="S42" s="794"/>
      <c r="T42" s="794"/>
      <c r="U42" s="794"/>
      <c r="V42" s="794"/>
      <c r="W42" s="794"/>
      <c r="X42" s="794"/>
      <c r="Y42" s="574"/>
    </row>
    <row r="43" spans="1:25" s="575" customFormat="1" ht="12.75" customHeight="1">
      <c r="A43" s="574"/>
      <c r="B43" s="793"/>
      <c r="C43" s="793"/>
      <c r="D43" s="793"/>
      <c r="E43" s="793"/>
      <c r="F43" s="793"/>
      <c r="G43" s="793"/>
      <c r="H43" s="793"/>
      <c r="I43" s="793"/>
      <c r="J43" s="793"/>
      <c r="K43" s="793"/>
      <c r="L43" s="793"/>
      <c r="M43" s="793"/>
      <c r="N43" s="793"/>
      <c r="O43" s="793"/>
      <c r="P43" s="793"/>
      <c r="Q43" s="793"/>
      <c r="R43" s="574"/>
      <c r="S43" s="794"/>
      <c r="T43" s="794"/>
      <c r="U43" s="794"/>
      <c r="V43" s="794"/>
      <c r="W43" s="794"/>
      <c r="X43" s="794"/>
      <c r="Y43" s="574"/>
    </row>
    <row r="44" spans="1:25" s="575" customFormat="1" ht="12.75" customHeight="1">
      <c r="A44" s="574"/>
      <c r="B44" s="793"/>
      <c r="C44" s="793"/>
      <c r="D44" s="793"/>
      <c r="E44" s="793"/>
      <c r="F44" s="793"/>
      <c r="G44" s="793"/>
      <c r="H44" s="793"/>
      <c r="I44" s="793"/>
      <c r="J44" s="793"/>
      <c r="K44" s="793"/>
      <c r="L44" s="793"/>
      <c r="M44" s="793"/>
      <c r="N44" s="793"/>
      <c r="O44" s="793"/>
      <c r="P44" s="793"/>
      <c r="Q44" s="793"/>
      <c r="R44" s="574"/>
      <c r="S44" s="794"/>
      <c r="T44" s="794"/>
      <c r="U44" s="794"/>
      <c r="V44" s="794"/>
      <c r="W44" s="794"/>
      <c r="X44" s="794"/>
      <c r="Y44" s="574"/>
    </row>
    <row r="45" spans="1:25" s="575" customFormat="1" ht="12.75" customHeight="1">
      <c r="A45" s="574"/>
      <c r="B45" s="793"/>
      <c r="C45" s="793"/>
      <c r="D45" s="793"/>
      <c r="E45" s="793"/>
      <c r="F45" s="793"/>
      <c r="G45" s="793"/>
      <c r="H45" s="793"/>
      <c r="I45" s="793"/>
      <c r="J45" s="793"/>
      <c r="K45" s="793"/>
      <c r="L45" s="793"/>
      <c r="M45" s="793"/>
      <c r="N45" s="793"/>
      <c r="O45" s="793"/>
      <c r="P45" s="793"/>
      <c r="Q45" s="793"/>
      <c r="R45" s="574"/>
      <c r="S45" s="794"/>
      <c r="T45" s="794"/>
      <c r="U45" s="794"/>
      <c r="V45" s="794"/>
      <c r="W45" s="794"/>
      <c r="X45" s="794"/>
      <c r="Y45" s="574"/>
    </row>
    <row r="46" spans="1:25" s="575" customFormat="1" ht="12.75" customHeight="1">
      <c r="A46" s="574"/>
      <c r="B46" s="793"/>
      <c r="C46" s="793"/>
      <c r="D46" s="793"/>
      <c r="E46" s="793"/>
      <c r="F46" s="793"/>
      <c r="G46" s="793"/>
      <c r="H46" s="793"/>
      <c r="I46" s="793"/>
      <c r="J46" s="793"/>
      <c r="K46" s="793"/>
      <c r="L46" s="793"/>
      <c r="M46" s="793"/>
      <c r="N46" s="793"/>
      <c r="O46" s="793"/>
      <c r="P46" s="793"/>
      <c r="Q46" s="793"/>
      <c r="R46" s="574"/>
      <c r="S46" s="794"/>
      <c r="T46" s="794"/>
      <c r="U46" s="794"/>
      <c r="V46" s="794"/>
      <c r="W46" s="794"/>
      <c r="X46" s="794"/>
      <c r="Y46" s="574"/>
    </row>
    <row r="47" spans="1:25" s="575" customFormat="1" ht="12.75" customHeight="1">
      <c r="A47" s="574"/>
      <c r="B47" s="793"/>
      <c r="C47" s="793"/>
      <c r="D47" s="793"/>
      <c r="E47" s="793"/>
      <c r="F47" s="793"/>
      <c r="G47" s="793"/>
      <c r="H47" s="793"/>
      <c r="I47" s="793"/>
      <c r="J47" s="793"/>
      <c r="K47" s="793"/>
      <c r="L47" s="793"/>
      <c r="M47" s="793"/>
      <c r="N47" s="793"/>
      <c r="O47" s="793"/>
      <c r="P47" s="793"/>
      <c r="Q47" s="793"/>
      <c r="R47" s="574"/>
      <c r="S47" s="794"/>
      <c r="T47" s="794"/>
      <c r="U47" s="794"/>
      <c r="V47" s="794"/>
      <c r="W47" s="794"/>
      <c r="X47" s="794"/>
      <c r="Y47" s="574"/>
    </row>
    <row r="48" spans="1:25" s="575" customFormat="1" ht="12.75" customHeight="1">
      <c r="A48" s="574"/>
      <c r="B48" s="793"/>
      <c r="C48" s="793"/>
      <c r="D48" s="793"/>
      <c r="E48" s="793"/>
      <c r="F48" s="793"/>
      <c r="G48" s="793"/>
      <c r="H48" s="793"/>
      <c r="I48" s="793"/>
      <c r="J48" s="793"/>
      <c r="K48" s="793"/>
      <c r="L48" s="793"/>
      <c r="M48" s="793"/>
      <c r="N48" s="793"/>
      <c r="O48" s="793"/>
      <c r="P48" s="793"/>
      <c r="Q48" s="793"/>
      <c r="R48" s="574"/>
      <c r="S48" s="794"/>
      <c r="T48" s="794"/>
      <c r="U48" s="794"/>
      <c r="V48" s="794"/>
      <c r="W48" s="794"/>
      <c r="X48" s="794"/>
      <c r="Y48" s="574"/>
    </row>
    <row r="49" spans="1:25" s="575" customFormat="1" ht="12.75" customHeight="1">
      <c r="A49" s="574"/>
      <c r="B49" s="793"/>
      <c r="C49" s="793"/>
      <c r="D49" s="793"/>
      <c r="E49" s="793"/>
      <c r="F49" s="793"/>
      <c r="G49" s="793"/>
      <c r="H49" s="793"/>
      <c r="I49" s="793"/>
      <c r="J49" s="793"/>
      <c r="K49" s="793"/>
      <c r="L49" s="793"/>
      <c r="M49" s="793"/>
      <c r="N49" s="793"/>
      <c r="O49" s="793"/>
      <c r="P49" s="793"/>
      <c r="Q49" s="793"/>
      <c r="R49" s="574"/>
      <c r="S49" s="794"/>
      <c r="T49" s="794"/>
      <c r="U49" s="794"/>
      <c r="V49" s="794"/>
      <c r="W49" s="794"/>
      <c r="X49" s="794"/>
      <c r="Y49" s="574"/>
    </row>
    <row r="50" spans="1:25" s="575" customFormat="1" ht="12.75" customHeight="1">
      <c r="A50" s="574"/>
      <c r="B50" s="793"/>
      <c r="C50" s="793"/>
      <c r="D50" s="793"/>
      <c r="E50" s="793"/>
      <c r="F50" s="793"/>
      <c r="G50" s="793"/>
      <c r="H50" s="793"/>
      <c r="I50" s="793"/>
      <c r="J50" s="793"/>
      <c r="K50" s="793"/>
      <c r="L50" s="793"/>
      <c r="M50" s="793"/>
      <c r="N50" s="793"/>
      <c r="O50" s="793"/>
      <c r="P50" s="793"/>
      <c r="Q50" s="793"/>
      <c r="R50" s="574"/>
      <c r="S50" s="794"/>
      <c r="T50" s="794"/>
      <c r="U50" s="794"/>
      <c r="V50" s="794"/>
      <c r="W50" s="794"/>
      <c r="X50" s="794"/>
      <c r="Y50" s="574"/>
    </row>
    <row r="51" spans="1:25" s="575" customFormat="1" ht="12.75" customHeight="1">
      <c r="A51" s="574"/>
      <c r="B51" s="793"/>
      <c r="C51" s="793"/>
      <c r="D51" s="793"/>
      <c r="E51" s="793"/>
      <c r="F51" s="793"/>
      <c r="G51" s="793"/>
      <c r="H51" s="793"/>
      <c r="I51" s="793"/>
      <c r="J51" s="793"/>
      <c r="K51" s="793"/>
      <c r="L51" s="793"/>
      <c r="M51" s="793"/>
      <c r="N51" s="793"/>
      <c r="O51" s="793"/>
      <c r="P51" s="793"/>
      <c r="Q51" s="793"/>
      <c r="R51" s="574"/>
      <c r="S51" s="794"/>
      <c r="T51" s="794"/>
      <c r="U51" s="794"/>
      <c r="V51" s="794"/>
      <c r="W51" s="794"/>
      <c r="X51" s="794"/>
      <c r="Y51" s="574"/>
    </row>
    <row r="52" spans="1:25" s="575" customFormat="1" ht="12.75" customHeight="1">
      <c r="A52" s="574"/>
      <c r="B52" s="793"/>
      <c r="C52" s="793"/>
      <c r="D52" s="793"/>
      <c r="E52" s="793"/>
      <c r="F52" s="793"/>
      <c r="G52" s="793"/>
      <c r="H52" s="793"/>
      <c r="I52" s="793"/>
      <c r="J52" s="793"/>
      <c r="K52" s="793"/>
      <c r="L52" s="793"/>
      <c r="M52" s="793"/>
      <c r="N52" s="793"/>
      <c r="O52" s="793"/>
      <c r="P52" s="793"/>
      <c r="Q52" s="793"/>
      <c r="R52" s="574"/>
      <c r="S52" s="794"/>
      <c r="T52" s="794"/>
      <c r="U52" s="794"/>
      <c r="V52" s="794"/>
      <c r="W52" s="794"/>
      <c r="X52" s="794"/>
      <c r="Y52" s="574"/>
    </row>
    <row r="53" spans="1:25" s="575" customFormat="1" ht="12.75" customHeight="1">
      <c r="A53" s="574"/>
      <c r="B53" s="793"/>
      <c r="C53" s="793"/>
      <c r="D53" s="793"/>
      <c r="E53" s="793"/>
      <c r="F53" s="793"/>
      <c r="G53" s="793"/>
      <c r="H53" s="793"/>
      <c r="I53" s="793"/>
      <c r="J53" s="793"/>
      <c r="K53" s="793"/>
      <c r="L53" s="793"/>
      <c r="M53" s="793"/>
      <c r="N53" s="793"/>
      <c r="O53" s="793"/>
      <c r="P53" s="793"/>
      <c r="Q53" s="793"/>
      <c r="R53" s="574"/>
      <c r="S53" s="794"/>
      <c r="T53" s="794"/>
      <c r="U53" s="794"/>
      <c r="V53" s="794"/>
      <c r="W53" s="794"/>
      <c r="X53" s="794"/>
      <c r="Y53" s="574"/>
    </row>
    <row r="54" spans="1:25" s="575" customFormat="1" ht="12.75" customHeight="1">
      <c r="A54" s="574"/>
      <c r="B54" s="793"/>
      <c r="C54" s="793"/>
      <c r="D54" s="793"/>
      <c r="E54" s="793"/>
      <c r="F54" s="793"/>
      <c r="G54" s="793"/>
      <c r="H54" s="793"/>
      <c r="I54" s="793"/>
      <c r="J54" s="793"/>
      <c r="K54" s="793"/>
      <c r="L54" s="793"/>
      <c r="M54" s="793"/>
      <c r="N54" s="793"/>
      <c r="O54" s="793"/>
      <c r="P54" s="793"/>
      <c r="Q54" s="793"/>
      <c r="R54" s="574"/>
      <c r="S54" s="794"/>
      <c r="T54" s="794"/>
      <c r="U54" s="794"/>
      <c r="V54" s="794"/>
      <c r="W54" s="794"/>
      <c r="X54" s="794"/>
      <c r="Y54" s="574"/>
    </row>
    <row r="55" spans="1:25" s="575" customFormat="1" ht="12.75" customHeight="1">
      <c r="A55" s="574"/>
      <c r="B55" s="793"/>
      <c r="C55" s="793"/>
      <c r="D55" s="793"/>
      <c r="E55" s="793"/>
      <c r="F55" s="793"/>
      <c r="G55" s="793"/>
      <c r="H55" s="793"/>
      <c r="I55" s="793"/>
      <c r="J55" s="793"/>
      <c r="K55" s="793"/>
      <c r="L55" s="793"/>
      <c r="M55" s="793"/>
      <c r="N55" s="793"/>
      <c r="O55" s="793"/>
      <c r="P55" s="793"/>
      <c r="Q55" s="793"/>
      <c r="R55" s="574"/>
      <c r="S55" s="794"/>
      <c r="T55" s="794"/>
      <c r="U55" s="794"/>
      <c r="V55" s="794"/>
      <c r="W55" s="794"/>
      <c r="X55" s="794"/>
      <c r="Y55" s="574"/>
    </row>
    <row r="56" spans="1:25" s="575" customFormat="1" ht="12.75" customHeight="1">
      <c r="A56" s="574"/>
      <c r="B56" s="793"/>
      <c r="C56" s="793"/>
      <c r="D56" s="793"/>
      <c r="E56" s="793"/>
      <c r="F56" s="793"/>
      <c r="G56" s="793"/>
      <c r="H56" s="793"/>
      <c r="I56" s="793"/>
      <c r="J56" s="793"/>
      <c r="K56" s="793"/>
      <c r="L56" s="793"/>
      <c r="M56" s="793"/>
      <c r="N56" s="793"/>
      <c r="O56" s="793"/>
      <c r="P56" s="793"/>
      <c r="Q56" s="793"/>
      <c r="R56" s="574"/>
      <c r="S56" s="794"/>
      <c r="T56" s="794"/>
      <c r="U56" s="794"/>
      <c r="V56" s="794"/>
      <c r="W56" s="794"/>
      <c r="X56" s="794"/>
      <c r="Y56" s="574"/>
    </row>
    <row r="57" spans="1:25" s="575" customFormat="1" ht="12.75" customHeight="1">
      <c r="A57" s="574"/>
      <c r="B57" s="793"/>
      <c r="C57" s="793"/>
      <c r="D57" s="793"/>
      <c r="E57" s="793"/>
      <c r="F57" s="793"/>
      <c r="G57" s="793"/>
      <c r="H57" s="793"/>
      <c r="I57" s="793"/>
      <c r="J57" s="793"/>
      <c r="K57" s="793"/>
      <c r="L57" s="793"/>
      <c r="M57" s="793"/>
      <c r="N57" s="793"/>
      <c r="O57" s="793"/>
      <c r="P57" s="793"/>
      <c r="Q57" s="793"/>
      <c r="R57" s="574"/>
      <c r="S57" s="794"/>
      <c r="T57" s="794"/>
      <c r="U57" s="794"/>
      <c r="V57" s="794"/>
      <c r="W57" s="794"/>
      <c r="X57" s="794"/>
      <c r="Y57" s="574"/>
    </row>
    <row r="58" spans="1:25" s="575" customFormat="1" ht="12.75" customHeight="1">
      <c r="A58" s="574"/>
      <c r="B58" s="793"/>
      <c r="C58" s="793"/>
      <c r="D58" s="793"/>
      <c r="E58" s="793"/>
      <c r="F58" s="793"/>
      <c r="G58" s="793"/>
      <c r="H58" s="793"/>
      <c r="I58" s="793"/>
      <c r="J58" s="793"/>
      <c r="K58" s="793"/>
      <c r="L58" s="793"/>
      <c r="M58" s="793"/>
      <c r="N58" s="793"/>
      <c r="O58" s="793"/>
      <c r="P58" s="793"/>
      <c r="Q58" s="793"/>
      <c r="R58" s="574"/>
      <c r="S58" s="794"/>
      <c r="T58" s="794"/>
      <c r="U58" s="794"/>
      <c r="V58" s="794"/>
      <c r="W58" s="794"/>
      <c r="X58" s="794"/>
      <c r="Y58" s="574"/>
    </row>
    <row r="59" spans="1:25" s="575" customFormat="1" ht="12.75" customHeight="1">
      <c r="A59" s="574"/>
      <c r="B59" s="793"/>
      <c r="C59" s="793"/>
      <c r="D59" s="793"/>
      <c r="E59" s="793"/>
      <c r="F59" s="793"/>
      <c r="G59" s="793"/>
      <c r="H59" s="793"/>
      <c r="I59" s="793"/>
      <c r="J59" s="793"/>
      <c r="K59" s="793"/>
      <c r="L59" s="793"/>
      <c r="M59" s="793"/>
      <c r="N59" s="793"/>
      <c r="O59" s="793"/>
      <c r="P59" s="793"/>
      <c r="Q59" s="793"/>
      <c r="R59" s="574"/>
      <c r="S59" s="794"/>
      <c r="T59" s="794"/>
      <c r="U59" s="794"/>
      <c r="V59" s="794"/>
      <c r="W59" s="794"/>
      <c r="X59" s="794"/>
      <c r="Y59" s="574"/>
    </row>
    <row r="60" spans="1:25" s="575" customFormat="1" ht="12.75" customHeight="1">
      <c r="A60" s="574"/>
      <c r="B60" s="793"/>
      <c r="C60" s="793"/>
      <c r="D60" s="793"/>
      <c r="E60" s="793"/>
      <c r="F60" s="793"/>
      <c r="G60" s="793"/>
      <c r="H60" s="793"/>
      <c r="I60" s="793"/>
      <c r="J60" s="793"/>
      <c r="K60" s="793"/>
      <c r="L60" s="793"/>
      <c r="M60" s="793"/>
      <c r="N60" s="793"/>
      <c r="O60" s="793"/>
      <c r="P60" s="793"/>
      <c r="Q60" s="793"/>
      <c r="R60" s="574"/>
      <c r="S60" s="794"/>
      <c r="T60" s="794"/>
      <c r="U60" s="794"/>
      <c r="V60" s="794"/>
      <c r="W60" s="794"/>
      <c r="X60" s="794"/>
      <c r="Y60" s="574"/>
    </row>
    <row r="61" spans="1:25" s="575" customFormat="1" ht="12.75" customHeight="1">
      <c r="A61" s="574"/>
      <c r="B61" s="793"/>
      <c r="C61" s="793"/>
      <c r="D61" s="793"/>
      <c r="E61" s="793"/>
      <c r="F61" s="793"/>
      <c r="G61" s="793"/>
      <c r="H61" s="793"/>
      <c r="I61" s="793"/>
      <c r="J61" s="793"/>
      <c r="K61" s="793"/>
      <c r="L61" s="793"/>
      <c r="M61" s="793"/>
      <c r="N61" s="793"/>
      <c r="O61" s="793"/>
      <c r="P61" s="793"/>
      <c r="Q61" s="793"/>
      <c r="R61" s="574"/>
      <c r="S61" s="794"/>
      <c r="T61" s="794"/>
      <c r="U61" s="794"/>
      <c r="V61" s="794"/>
      <c r="W61" s="794"/>
      <c r="X61" s="794"/>
      <c r="Y61" s="574"/>
    </row>
    <row r="62" spans="1:25" s="575" customFormat="1" ht="12.75" customHeight="1">
      <c r="A62" s="574"/>
      <c r="B62" s="793"/>
      <c r="C62" s="793"/>
      <c r="D62" s="793"/>
      <c r="E62" s="793"/>
      <c r="F62" s="793"/>
      <c r="G62" s="793"/>
      <c r="H62" s="793"/>
      <c r="I62" s="793"/>
      <c r="J62" s="793"/>
      <c r="K62" s="793"/>
      <c r="L62" s="793"/>
      <c r="M62" s="793"/>
      <c r="N62" s="793"/>
      <c r="O62" s="793"/>
      <c r="P62" s="793"/>
      <c r="Q62" s="793"/>
      <c r="R62" s="574"/>
      <c r="S62" s="794"/>
      <c r="T62" s="794"/>
      <c r="U62" s="794"/>
      <c r="V62" s="794"/>
      <c r="W62" s="794"/>
      <c r="X62" s="794"/>
      <c r="Y62" s="574"/>
    </row>
    <row r="63" spans="1:25" s="575" customFormat="1" ht="12.75" customHeight="1">
      <c r="A63" s="574"/>
      <c r="B63" s="793"/>
      <c r="C63" s="793"/>
      <c r="D63" s="793"/>
      <c r="E63" s="793"/>
      <c r="F63" s="793"/>
      <c r="G63" s="793"/>
      <c r="H63" s="793"/>
      <c r="I63" s="793"/>
      <c r="J63" s="793"/>
      <c r="K63" s="793"/>
      <c r="L63" s="793"/>
      <c r="M63" s="793"/>
      <c r="N63" s="793"/>
      <c r="O63" s="793"/>
      <c r="P63" s="793"/>
      <c r="Q63" s="793"/>
      <c r="R63" s="574"/>
      <c r="S63" s="794"/>
      <c r="T63" s="794"/>
      <c r="U63" s="794"/>
      <c r="V63" s="794"/>
      <c r="W63" s="794"/>
      <c r="X63" s="794"/>
      <c r="Y63" s="574"/>
    </row>
    <row r="64" spans="1:25" s="575" customFormat="1" ht="12.75" customHeight="1">
      <c r="A64" s="574"/>
      <c r="B64" s="793"/>
      <c r="C64" s="793"/>
      <c r="D64" s="793"/>
      <c r="E64" s="793"/>
      <c r="F64" s="793"/>
      <c r="G64" s="793"/>
      <c r="H64" s="793"/>
      <c r="I64" s="793"/>
      <c r="J64" s="793"/>
      <c r="K64" s="793"/>
      <c r="L64" s="793"/>
      <c r="M64" s="793"/>
      <c r="N64" s="793"/>
      <c r="O64" s="793"/>
      <c r="P64" s="793"/>
      <c r="Q64" s="793"/>
      <c r="R64" s="574"/>
      <c r="S64" s="794"/>
      <c r="T64" s="794"/>
      <c r="U64" s="794"/>
      <c r="V64" s="794"/>
      <c r="W64" s="794"/>
      <c r="X64" s="794"/>
      <c r="Y64" s="574"/>
    </row>
    <row r="65" spans="1:25" s="575" customFormat="1" ht="12.75" customHeight="1">
      <c r="A65" s="574"/>
      <c r="B65" s="793"/>
      <c r="C65" s="793"/>
      <c r="D65" s="793"/>
      <c r="E65" s="793"/>
      <c r="F65" s="793"/>
      <c r="G65" s="793"/>
      <c r="H65" s="793"/>
      <c r="I65" s="793"/>
      <c r="J65" s="793"/>
      <c r="K65" s="793"/>
      <c r="L65" s="793"/>
      <c r="M65" s="793"/>
      <c r="N65" s="793"/>
      <c r="O65" s="793"/>
      <c r="P65" s="793"/>
      <c r="Q65" s="793"/>
      <c r="R65" s="574"/>
      <c r="S65" s="794"/>
      <c r="T65" s="794"/>
      <c r="U65" s="794"/>
      <c r="V65" s="794"/>
      <c r="W65" s="794"/>
      <c r="X65" s="794"/>
      <c r="Y65" s="574"/>
    </row>
    <row r="66" spans="1:25" s="575" customFormat="1" ht="12.75" customHeight="1">
      <c r="A66" s="574"/>
      <c r="B66" s="793"/>
      <c r="C66" s="793"/>
      <c r="D66" s="793"/>
      <c r="E66" s="793"/>
      <c r="F66" s="793"/>
      <c r="G66" s="793"/>
      <c r="H66" s="793"/>
      <c r="I66" s="793"/>
      <c r="J66" s="793"/>
      <c r="K66" s="793"/>
      <c r="L66" s="793"/>
      <c r="M66" s="793"/>
      <c r="N66" s="793"/>
      <c r="O66" s="793"/>
      <c r="P66" s="793"/>
      <c r="Q66" s="793"/>
      <c r="R66" s="574"/>
      <c r="S66" s="794"/>
      <c r="T66" s="794"/>
      <c r="U66" s="794"/>
      <c r="V66" s="794"/>
      <c r="W66" s="794"/>
      <c r="X66" s="794"/>
      <c r="Y66" s="574"/>
    </row>
    <row r="67" spans="1:25" s="575" customFormat="1" ht="12.75" customHeight="1">
      <c r="A67" s="574"/>
      <c r="B67" s="793"/>
      <c r="C67" s="793"/>
      <c r="D67" s="793"/>
      <c r="E67" s="793"/>
      <c r="F67" s="793"/>
      <c r="G67" s="793"/>
      <c r="H67" s="793"/>
      <c r="I67" s="793"/>
      <c r="J67" s="793"/>
      <c r="K67" s="793"/>
      <c r="L67" s="793"/>
      <c r="M67" s="793"/>
      <c r="N67" s="793"/>
      <c r="O67" s="793"/>
      <c r="P67" s="793"/>
      <c r="Q67" s="793"/>
      <c r="R67" s="574"/>
      <c r="S67" s="794"/>
      <c r="T67" s="794"/>
      <c r="U67" s="794"/>
      <c r="V67" s="794"/>
      <c r="W67" s="794"/>
      <c r="X67" s="794"/>
      <c r="Y67" s="574"/>
    </row>
    <row r="68" spans="1:25" s="575" customFormat="1" ht="12.75" customHeight="1">
      <c r="A68" s="574"/>
      <c r="B68" s="793"/>
      <c r="C68" s="793"/>
      <c r="D68" s="793"/>
      <c r="E68" s="793"/>
      <c r="F68" s="793"/>
      <c r="G68" s="793"/>
      <c r="H68" s="793"/>
      <c r="I68" s="793"/>
      <c r="J68" s="793"/>
      <c r="K68" s="793"/>
      <c r="L68" s="793"/>
      <c r="M68" s="793"/>
      <c r="N68" s="793"/>
      <c r="O68" s="793"/>
      <c r="P68" s="793"/>
      <c r="Q68" s="793"/>
      <c r="R68" s="574"/>
      <c r="S68" s="794"/>
      <c r="T68" s="794"/>
      <c r="U68" s="794"/>
      <c r="V68" s="794"/>
      <c r="W68" s="794"/>
      <c r="X68" s="794"/>
      <c r="Y68" s="574"/>
    </row>
    <row r="69" spans="1:25" s="575" customFormat="1" ht="12.75" customHeight="1">
      <c r="A69" s="574"/>
      <c r="B69" s="793"/>
      <c r="C69" s="793"/>
      <c r="D69" s="793"/>
      <c r="E69" s="793"/>
      <c r="F69" s="793"/>
      <c r="G69" s="793"/>
      <c r="H69" s="793"/>
      <c r="I69" s="793"/>
      <c r="J69" s="793"/>
      <c r="K69" s="793"/>
      <c r="L69" s="793"/>
      <c r="M69" s="793"/>
      <c r="N69" s="793"/>
      <c r="O69" s="793"/>
      <c r="P69" s="793"/>
      <c r="Q69" s="793"/>
      <c r="R69" s="574"/>
      <c r="S69" s="794"/>
      <c r="T69" s="794"/>
      <c r="U69" s="794"/>
      <c r="V69" s="794"/>
      <c r="W69" s="794"/>
      <c r="X69" s="794"/>
      <c r="Y69" s="574"/>
    </row>
    <row r="70" spans="1:25" s="575" customFormat="1" ht="12.75" customHeight="1">
      <c r="A70" s="574"/>
      <c r="B70" s="793"/>
      <c r="C70" s="793"/>
      <c r="D70" s="793"/>
      <c r="E70" s="793"/>
      <c r="F70" s="793"/>
      <c r="G70" s="793"/>
      <c r="H70" s="793"/>
      <c r="I70" s="793"/>
      <c r="J70" s="793"/>
      <c r="K70" s="793"/>
      <c r="L70" s="793"/>
      <c r="M70" s="793"/>
      <c r="N70" s="793"/>
      <c r="O70" s="793"/>
      <c r="P70" s="793"/>
      <c r="Q70" s="793"/>
      <c r="R70" s="574"/>
      <c r="S70" s="794"/>
      <c r="T70" s="794"/>
      <c r="U70" s="794"/>
      <c r="V70" s="794"/>
      <c r="W70" s="794"/>
      <c r="X70" s="794"/>
      <c r="Y70" s="574"/>
    </row>
    <row r="71" spans="1:25" s="575" customFormat="1" ht="12.75" customHeight="1">
      <c r="A71" s="574"/>
      <c r="B71" s="793"/>
      <c r="C71" s="793"/>
      <c r="D71" s="793"/>
      <c r="E71" s="793"/>
      <c r="F71" s="793"/>
      <c r="G71" s="793"/>
      <c r="H71" s="793"/>
      <c r="I71" s="793"/>
      <c r="J71" s="793"/>
      <c r="K71" s="793"/>
      <c r="L71" s="793"/>
      <c r="M71" s="793"/>
      <c r="N71" s="793"/>
      <c r="O71" s="793"/>
      <c r="P71" s="793"/>
      <c r="Q71" s="793"/>
      <c r="R71" s="574"/>
      <c r="S71" s="794"/>
      <c r="T71" s="794"/>
      <c r="U71" s="794"/>
      <c r="V71" s="794"/>
      <c r="W71" s="794"/>
      <c r="X71" s="794"/>
      <c r="Y71" s="574"/>
    </row>
    <row r="72" spans="1:25" s="575" customFormat="1" ht="12.75" customHeight="1">
      <c r="A72" s="574"/>
      <c r="B72" s="793"/>
      <c r="C72" s="793"/>
      <c r="D72" s="793"/>
      <c r="E72" s="793"/>
      <c r="F72" s="793"/>
      <c r="G72" s="793"/>
      <c r="H72" s="793"/>
      <c r="I72" s="793"/>
      <c r="J72" s="793"/>
      <c r="K72" s="793"/>
      <c r="L72" s="793"/>
      <c r="M72" s="793"/>
      <c r="N72" s="793"/>
      <c r="O72" s="793"/>
      <c r="P72" s="793"/>
      <c r="Q72" s="793"/>
      <c r="R72" s="574"/>
      <c r="S72" s="794"/>
      <c r="T72" s="794"/>
      <c r="U72" s="794"/>
      <c r="V72" s="794"/>
      <c r="W72" s="794"/>
      <c r="X72" s="794"/>
      <c r="Y72" s="574"/>
    </row>
    <row r="73" spans="1:25" s="575" customFormat="1" ht="12.75" customHeight="1">
      <c r="A73" s="574"/>
      <c r="B73" s="793"/>
      <c r="C73" s="793"/>
      <c r="D73" s="793"/>
      <c r="E73" s="793"/>
      <c r="F73" s="793"/>
      <c r="G73" s="793"/>
      <c r="H73" s="793"/>
      <c r="I73" s="793"/>
      <c r="J73" s="793"/>
      <c r="K73" s="793"/>
      <c r="L73" s="793"/>
      <c r="M73" s="793"/>
      <c r="N73" s="793"/>
      <c r="O73" s="793"/>
      <c r="P73" s="793"/>
      <c r="Q73" s="793"/>
      <c r="R73" s="574"/>
      <c r="S73" s="794"/>
      <c r="T73" s="794"/>
      <c r="U73" s="794"/>
      <c r="V73" s="794"/>
      <c r="W73" s="794"/>
      <c r="X73" s="794"/>
      <c r="Y73" s="574"/>
    </row>
    <row r="74" spans="1:25" s="575" customFormat="1" ht="12.75" customHeight="1">
      <c r="A74" s="574"/>
      <c r="B74" s="793"/>
      <c r="C74" s="793"/>
      <c r="D74" s="793"/>
      <c r="E74" s="793"/>
      <c r="F74" s="793"/>
      <c r="G74" s="793"/>
      <c r="H74" s="793"/>
      <c r="I74" s="793"/>
      <c r="J74" s="793"/>
      <c r="K74" s="793"/>
      <c r="L74" s="793"/>
      <c r="M74" s="793"/>
      <c r="N74" s="793"/>
      <c r="O74" s="793"/>
      <c r="P74" s="793"/>
      <c r="Q74" s="793"/>
      <c r="R74" s="574"/>
      <c r="S74" s="794"/>
      <c r="T74" s="794"/>
      <c r="U74" s="794"/>
      <c r="V74" s="794"/>
      <c r="W74" s="794"/>
      <c r="X74" s="794"/>
      <c r="Y74" s="574"/>
    </row>
    <row r="75" spans="1:25" s="575" customFormat="1" ht="12.75" customHeight="1">
      <c r="A75" s="574"/>
      <c r="B75" s="793"/>
      <c r="C75" s="793"/>
      <c r="D75" s="793"/>
      <c r="E75" s="793"/>
      <c r="F75" s="793"/>
      <c r="G75" s="793"/>
      <c r="H75" s="793"/>
      <c r="I75" s="793"/>
      <c r="J75" s="793"/>
      <c r="K75" s="793"/>
      <c r="L75" s="793"/>
      <c r="M75" s="793"/>
      <c r="N75" s="793"/>
      <c r="O75" s="793"/>
      <c r="P75" s="793"/>
      <c r="Q75" s="793"/>
      <c r="R75" s="574"/>
      <c r="S75" s="794"/>
      <c r="T75" s="794"/>
      <c r="U75" s="794"/>
      <c r="V75" s="794"/>
      <c r="W75" s="794"/>
      <c r="X75" s="794"/>
      <c r="Y75" s="574"/>
    </row>
    <row r="76" spans="1:25" s="575" customFormat="1" ht="12.75" customHeight="1">
      <c r="A76" s="574"/>
      <c r="B76" s="793"/>
      <c r="C76" s="793"/>
      <c r="D76" s="793"/>
      <c r="E76" s="793"/>
      <c r="F76" s="793"/>
      <c r="G76" s="793"/>
      <c r="H76" s="793"/>
      <c r="I76" s="793"/>
      <c r="J76" s="793"/>
      <c r="K76" s="793"/>
      <c r="L76" s="793"/>
      <c r="M76" s="793"/>
      <c r="N76" s="793"/>
      <c r="O76" s="793"/>
      <c r="P76" s="793"/>
      <c r="Q76" s="793"/>
      <c r="R76" s="574"/>
      <c r="S76" s="794"/>
      <c r="T76" s="794"/>
      <c r="U76" s="794"/>
      <c r="V76" s="794"/>
      <c r="W76" s="794"/>
      <c r="X76" s="794"/>
      <c r="Y76" s="574"/>
    </row>
    <row r="77" spans="1:25" s="575" customFormat="1" ht="12.75" customHeight="1">
      <c r="A77" s="574"/>
      <c r="B77" s="793"/>
      <c r="C77" s="793"/>
      <c r="D77" s="793"/>
      <c r="E77" s="793"/>
      <c r="F77" s="793"/>
      <c r="G77" s="793"/>
      <c r="H77" s="793"/>
      <c r="I77" s="793"/>
      <c r="J77" s="793"/>
      <c r="K77" s="793"/>
      <c r="L77" s="793"/>
      <c r="M77" s="793"/>
      <c r="N77" s="793"/>
      <c r="O77" s="793"/>
      <c r="P77" s="793"/>
      <c r="Q77" s="793"/>
      <c r="R77" s="574"/>
      <c r="S77" s="794"/>
      <c r="T77" s="794"/>
      <c r="U77" s="794"/>
      <c r="V77" s="794"/>
      <c r="W77" s="794"/>
      <c r="X77" s="794"/>
      <c r="Y77" s="574"/>
    </row>
    <row r="78" spans="1:25" s="575" customFormat="1" ht="12.75" customHeight="1">
      <c r="A78" s="574"/>
      <c r="B78" s="793"/>
      <c r="C78" s="793"/>
      <c r="D78" s="793"/>
      <c r="E78" s="793"/>
      <c r="F78" s="793"/>
      <c r="G78" s="793"/>
      <c r="H78" s="793"/>
      <c r="I78" s="793"/>
      <c r="J78" s="793"/>
      <c r="K78" s="793"/>
      <c r="L78" s="793"/>
      <c r="M78" s="793"/>
      <c r="N78" s="793"/>
      <c r="O78" s="793"/>
      <c r="P78" s="793"/>
      <c r="Q78" s="793"/>
      <c r="R78" s="574"/>
      <c r="S78" s="794"/>
      <c r="T78" s="794"/>
      <c r="U78" s="794"/>
      <c r="V78" s="794"/>
      <c r="W78" s="794"/>
      <c r="X78" s="794"/>
      <c r="Y78" s="574"/>
    </row>
  </sheetData>
  <mergeCells count="424">
    <mergeCell ref="B78:F78"/>
    <mergeCell ref="G78:M78"/>
    <mergeCell ref="N78:O78"/>
    <mergeCell ref="P78:Q78"/>
    <mergeCell ref="S78:U78"/>
    <mergeCell ref="V78:X78"/>
    <mergeCell ref="B77:F77"/>
    <mergeCell ref="G77:M77"/>
    <mergeCell ref="N77:O77"/>
    <mergeCell ref="P77:Q77"/>
    <mergeCell ref="S77:U77"/>
    <mergeCell ref="V77:X77"/>
    <mergeCell ref="B76:F76"/>
    <mergeCell ref="G76:M76"/>
    <mergeCell ref="N76:O76"/>
    <mergeCell ref="P76:Q76"/>
    <mergeCell ref="S76:U76"/>
    <mergeCell ref="V76:X76"/>
    <mergeCell ref="B75:F75"/>
    <mergeCell ref="G75:M75"/>
    <mergeCell ref="N75:O75"/>
    <mergeCell ref="P75:Q75"/>
    <mergeCell ref="S75:U75"/>
    <mergeCell ref="V75:X75"/>
    <mergeCell ref="B74:F74"/>
    <mergeCell ref="G74:M74"/>
    <mergeCell ref="N74:O74"/>
    <mergeCell ref="P74:Q74"/>
    <mergeCell ref="S74:U74"/>
    <mergeCell ref="V74:X74"/>
    <mergeCell ref="B73:F73"/>
    <mergeCell ref="G73:M73"/>
    <mergeCell ref="N73:O73"/>
    <mergeCell ref="P73:Q73"/>
    <mergeCell ref="S73:U73"/>
    <mergeCell ref="V73:X73"/>
    <mergeCell ref="B72:F72"/>
    <mergeCell ref="G72:M72"/>
    <mergeCell ref="N72:O72"/>
    <mergeCell ref="P72:Q72"/>
    <mergeCell ref="S72:U72"/>
    <mergeCell ref="V72:X72"/>
    <mergeCell ref="B71:F71"/>
    <mergeCell ref="G71:M71"/>
    <mergeCell ref="N71:O71"/>
    <mergeCell ref="P71:Q71"/>
    <mergeCell ref="S71:U71"/>
    <mergeCell ref="V71:X71"/>
    <mergeCell ref="B70:F70"/>
    <mergeCell ref="G70:M70"/>
    <mergeCell ref="N70:O70"/>
    <mergeCell ref="P70:Q70"/>
    <mergeCell ref="S70:U70"/>
    <mergeCell ref="V70:X70"/>
    <mergeCell ref="B69:F69"/>
    <mergeCell ref="G69:M69"/>
    <mergeCell ref="N69:O69"/>
    <mergeCell ref="P69:Q69"/>
    <mergeCell ref="S69:U69"/>
    <mergeCell ref="V69:X69"/>
    <mergeCell ref="B68:F68"/>
    <mergeCell ref="G68:M68"/>
    <mergeCell ref="N68:O68"/>
    <mergeCell ref="P68:Q68"/>
    <mergeCell ref="S68:U68"/>
    <mergeCell ref="V68:X68"/>
    <mergeCell ref="B67:F67"/>
    <mergeCell ref="G67:M67"/>
    <mergeCell ref="N67:O67"/>
    <mergeCell ref="P67:Q67"/>
    <mergeCell ref="S67:U67"/>
    <mergeCell ref="V67:X67"/>
    <mergeCell ref="B66:F66"/>
    <mergeCell ref="G66:M66"/>
    <mergeCell ref="N66:O66"/>
    <mergeCell ref="P66:Q66"/>
    <mergeCell ref="S66:U66"/>
    <mergeCell ref="V66:X66"/>
    <mergeCell ref="B65:F65"/>
    <mergeCell ref="G65:M65"/>
    <mergeCell ref="N65:O65"/>
    <mergeCell ref="P65:Q65"/>
    <mergeCell ref="S65:U65"/>
    <mergeCell ref="V65:X65"/>
    <mergeCell ref="B64:F64"/>
    <mergeCell ref="G64:M64"/>
    <mergeCell ref="N64:O64"/>
    <mergeCell ref="P64:Q64"/>
    <mergeCell ref="S64:U64"/>
    <mergeCell ref="V64:X64"/>
    <mergeCell ref="B63:F63"/>
    <mergeCell ref="G63:M63"/>
    <mergeCell ref="N63:O63"/>
    <mergeCell ref="P63:Q63"/>
    <mergeCell ref="S63:U63"/>
    <mergeCell ref="V63:X63"/>
    <mergeCell ref="B62:F62"/>
    <mergeCell ref="G62:M62"/>
    <mergeCell ref="N62:O62"/>
    <mergeCell ref="P62:Q62"/>
    <mergeCell ref="S62:U62"/>
    <mergeCell ref="V62:X62"/>
    <mergeCell ref="B61:F61"/>
    <mergeCell ref="G61:M61"/>
    <mergeCell ref="N61:O61"/>
    <mergeCell ref="P61:Q61"/>
    <mergeCell ref="S61:U61"/>
    <mergeCell ref="V61:X61"/>
    <mergeCell ref="B60:F60"/>
    <mergeCell ref="G60:M60"/>
    <mergeCell ref="N60:O60"/>
    <mergeCell ref="P60:Q60"/>
    <mergeCell ref="S60:U60"/>
    <mergeCell ref="V60:X60"/>
    <mergeCell ref="B59:F59"/>
    <mergeCell ref="G59:M59"/>
    <mergeCell ref="N59:O59"/>
    <mergeCell ref="P59:Q59"/>
    <mergeCell ref="S59:U59"/>
    <mergeCell ref="V59:X59"/>
    <mergeCell ref="B58:F58"/>
    <mergeCell ref="G58:M58"/>
    <mergeCell ref="N58:O58"/>
    <mergeCell ref="P58:Q58"/>
    <mergeCell ref="S58:U58"/>
    <mergeCell ref="V58:X58"/>
    <mergeCell ref="B57:F57"/>
    <mergeCell ref="G57:M57"/>
    <mergeCell ref="N57:O57"/>
    <mergeCell ref="P57:Q57"/>
    <mergeCell ref="S57:U57"/>
    <mergeCell ref="V57:X57"/>
    <mergeCell ref="B56:F56"/>
    <mergeCell ref="G56:M56"/>
    <mergeCell ref="N56:O56"/>
    <mergeCell ref="P56:Q56"/>
    <mergeCell ref="S56:U56"/>
    <mergeCell ref="V56:X56"/>
    <mergeCell ref="B55:F55"/>
    <mergeCell ref="G55:M55"/>
    <mergeCell ref="N55:O55"/>
    <mergeCell ref="P55:Q55"/>
    <mergeCell ref="S55:U55"/>
    <mergeCell ref="V55:X55"/>
    <mergeCell ref="B54:F54"/>
    <mergeCell ref="G54:M54"/>
    <mergeCell ref="N54:O54"/>
    <mergeCell ref="P54:Q54"/>
    <mergeCell ref="S54:U54"/>
    <mergeCell ref="V54:X54"/>
    <mergeCell ref="B53:F53"/>
    <mergeCell ref="G53:M53"/>
    <mergeCell ref="N53:O53"/>
    <mergeCell ref="P53:Q53"/>
    <mergeCell ref="S53:U53"/>
    <mergeCell ref="V53:X53"/>
    <mergeCell ref="B52:F52"/>
    <mergeCell ref="G52:M52"/>
    <mergeCell ref="N52:O52"/>
    <mergeCell ref="P52:Q52"/>
    <mergeCell ref="S52:U52"/>
    <mergeCell ref="V52:X52"/>
    <mergeCell ref="B51:F51"/>
    <mergeCell ref="G51:M51"/>
    <mergeCell ref="N51:O51"/>
    <mergeCell ref="P51:Q51"/>
    <mergeCell ref="S51:U51"/>
    <mergeCell ref="V51:X51"/>
    <mergeCell ref="B50:F50"/>
    <mergeCell ref="G50:M50"/>
    <mergeCell ref="N50:O50"/>
    <mergeCell ref="P50:Q50"/>
    <mergeCell ref="S50:U50"/>
    <mergeCell ref="V50:X50"/>
    <mergeCell ref="B49:F49"/>
    <mergeCell ref="G49:M49"/>
    <mergeCell ref="N49:O49"/>
    <mergeCell ref="P49:Q49"/>
    <mergeCell ref="S49:U49"/>
    <mergeCell ref="V49:X49"/>
    <mergeCell ref="B48:F48"/>
    <mergeCell ref="G48:M48"/>
    <mergeCell ref="N48:O48"/>
    <mergeCell ref="P48:Q48"/>
    <mergeCell ref="S48:U48"/>
    <mergeCell ref="V48:X48"/>
    <mergeCell ref="B47:F47"/>
    <mergeCell ref="G47:M47"/>
    <mergeCell ref="N47:O47"/>
    <mergeCell ref="P47:Q47"/>
    <mergeCell ref="S47:U47"/>
    <mergeCell ref="V47:X47"/>
    <mergeCell ref="B46:F46"/>
    <mergeCell ref="G46:M46"/>
    <mergeCell ref="N46:O46"/>
    <mergeCell ref="P46:Q46"/>
    <mergeCell ref="S46:U46"/>
    <mergeCell ref="V46:X46"/>
    <mergeCell ref="B45:F45"/>
    <mergeCell ref="G45:M45"/>
    <mergeCell ref="N45:O45"/>
    <mergeCell ref="P45:Q45"/>
    <mergeCell ref="S45:U45"/>
    <mergeCell ref="V45:X45"/>
    <mergeCell ref="B44:F44"/>
    <mergeCell ref="G44:M44"/>
    <mergeCell ref="N44:O44"/>
    <mergeCell ref="P44:Q44"/>
    <mergeCell ref="S44:U44"/>
    <mergeCell ref="V44:X44"/>
    <mergeCell ref="B43:F43"/>
    <mergeCell ref="G43:M43"/>
    <mergeCell ref="N43:O43"/>
    <mergeCell ref="P43:Q43"/>
    <mergeCell ref="S43:U43"/>
    <mergeCell ref="V43:X43"/>
    <mergeCell ref="B42:F42"/>
    <mergeCell ref="G42:M42"/>
    <mergeCell ref="N42:O42"/>
    <mergeCell ref="P42:Q42"/>
    <mergeCell ref="S42:U42"/>
    <mergeCell ref="V42:X42"/>
    <mergeCell ref="B41:F41"/>
    <mergeCell ref="G41:M41"/>
    <mergeCell ref="N41:O41"/>
    <mergeCell ref="P41:Q41"/>
    <mergeCell ref="S41:U41"/>
    <mergeCell ref="V41:X41"/>
    <mergeCell ref="B40:F40"/>
    <mergeCell ref="G40:M40"/>
    <mergeCell ref="N40:O40"/>
    <mergeCell ref="P40:Q40"/>
    <mergeCell ref="S40:U40"/>
    <mergeCell ref="V40:X40"/>
    <mergeCell ref="B39:F39"/>
    <mergeCell ref="G39:M39"/>
    <mergeCell ref="N39:O39"/>
    <mergeCell ref="P39:Q39"/>
    <mergeCell ref="S39:U39"/>
    <mergeCell ref="V39:X39"/>
    <mergeCell ref="B38:F38"/>
    <mergeCell ref="G38:M38"/>
    <mergeCell ref="N38:O38"/>
    <mergeCell ref="P38:Q38"/>
    <mergeCell ref="S38:U38"/>
    <mergeCell ref="V38:X38"/>
    <mergeCell ref="B37:F37"/>
    <mergeCell ref="G37:M37"/>
    <mergeCell ref="N37:O37"/>
    <mergeCell ref="P37:Q37"/>
    <mergeCell ref="S37:U37"/>
    <mergeCell ref="V37:X37"/>
    <mergeCell ref="B36:F36"/>
    <mergeCell ref="G36:M36"/>
    <mergeCell ref="N36:O36"/>
    <mergeCell ref="P36:Q36"/>
    <mergeCell ref="S36:U36"/>
    <mergeCell ref="V36:X36"/>
    <mergeCell ref="B35:F35"/>
    <mergeCell ref="G35:M35"/>
    <mergeCell ref="N35:O35"/>
    <mergeCell ref="P35:Q35"/>
    <mergeCell ref="S35:U35"/>
    <mergeCell ref="V35:X35"/>
    <mergeCell ref="B34:F34"/>
    <mergeCell ref="G34:M34"/>
    <mergeCell ref="N34:O34"/>
    <mergeCell ref="P34:Q34"/>
    <mergeCell ref="S34:U34"/>
    <mergeCell ref="V34:X34"/>
    <mergeCell ref="B33:F33"/>
    <mergeCell ref="G33:M33"/>
    <mergeCell ref="N33:O33"/>
    <mergeCell ref="P33:Q33"/>
    <mergeCell ref="S33:U33"/>
    <mergeCell ref="V33:X33"/>
    <mergeCell ref="B32:F32"/>
    <mergeCell ref="G32:M32"/>
    <mergeCell ref="N32:O32"/>
    <mergeCell ref="P32:Q32"/>
    <mergeCell ref="S32:U32"/>
    <mergeCell ref="V32:X32"/>
    <mergeCell ref="B31:F31"/>
    <mergeCell ref="G31:M31"/>
    <mergeCell ref="N31:O31"/>
    <mergeCell ref="P31:Q31"/>
    <mergeCell ref="S31:U31"/>
    <mergeCell ref="V31:X31"/>
    <mergeCell ref="B30:F30"/>
    <mergeCell ref="G30:M30"/>
    <mergeCell ref="N30:O30"/>
    <mergeCell ref="P30:Q30"/>
    <mergeCell ref="S30:U30"/>
    <mergeCell ref="V30:X30"/>
    <mergeCell ref="B29:F29"/>
    <mergeCell ref="G29:M29"/>
    <mergeCell ref="N29:O29"/>
    <mergeCell ref="P29:Q29"/>
    <mergeCell ref="S29:U29"/>
    <mergeCell ref="V29:X29"/>
    <mergeCell ref="B28:F28"/>
    <mergeCell ref="G28:M28"/>
    <mergeCell ref="N28:O28"/>
    <mergeCell ref="P28:Q28"/>
    <mergeCell ref="S28:U28"/>
    <mergeCell ref="V28:X28"/>
    <mergeCell ref="B27:F27"/>
    <mergeCell ref="G27:M27"/>
    <mergeCell ref="N27:O27"/>
    <mergeCell ref="P27:Q27"/>
    <mergeCell ref="S27:U27"/>
    <mergeCell ref="V27:X27"/>
    <mergeCell ref="B26:F26"/>
    <mergeCell ref="G26:M26"/>
    <mergeCell ref="N26:O26"/>
    <mergeCell ref="P26:Q26"/>
    <mergeCell ref="S26:U26"/>
    <mergeCell ref="V26:X26"/>
    <mergeCell ref="B25:F25"/>
    <mergeCell ref="G25:M25"/>
    <mergeCell ref="N25:O25"/>
    <mergeCell ref="P25:Q25"/>
    <mergeCell ref="S25:U25"/>
    <mergeCell ref="V25:X25"/>
    <mergeCell ref="B24:F24"/>
    <mergeCell ref="G24:M24"/>
    <mergeCell ref="N24:O24"/>
    <mergeCell ref="P24:Q24"/>
    <mergeCell ref="S24:U24"/>
    <mergeCell ref="V24:X24"/>
    <mergeCell ref="B23:F23"/>
    <mergeCell ref="G23:M23"/>
    <mergeCell ref="N23:O23"/>
    <mergeCell ref="P23:Q23"/>
    <mergeCell ref="S23:U23"/>
    <mergeCell ref="V23:X23"/>
    <mergeCell ref="B22:F22"/>
    <mergeCell ref="G22:M22"/>
    <mergeCell ref="N22:O22"/>
    <mergeCell ref="P22:Q22"/>
    <mergeCell ref="S22:U22"/>
    <mergeCell ref="V22:X22"/>
    <mergeCell ref="B21:F21"/>
    <mergeCell ref="G21:M21"/>
    <mergeCell ref="N21:O21"/>
    <mergeCell ref="P21:Q21"/>
    <mergeCell ref="S21:U21"/>
    <mergeCell ref="V21:X21"/>
    <mergeCell ref="B20:F20"/>
    <mergeCell ref="G20:M20"/>
    <mergeCell ref="N20:O20"/>
    <mergeCell ref="P20:Q20"/>
    <mergeCell ref="S20:U20"/>
    <mergeCell ref="V20:X20"/>
    <mergeCell ref="B19:F19"/>
    <mergeCell ref="G19:M19"/>
    <mergeCell ref="N19:O19"/>
    <mergeCell ref="P19:Q19"/>
    <mergeCell ref="S19:U19"/>
    <mergeCell ref="V19:X19"/>
    <mergeCell ref="B18:F18"/>
    <mergeCell ref="G18:M18"/>
    <mergeCell ref="N18:O18"/>
    <mergeCell ref="P18:Q18"/>
    <mergeCell ref="S18:U18"/>
    <mergeCell ref="V18:X18"/>
    <mergeCell ref="B17:F17"/>
    <mergeCell ref="G17:M17"/>
    <mergeCell ref="N17:O17"/>
    <mergeCell ref="P17:Q17"/>
    <mergeCell ref="S17:U17"/>
    <mergeCell ref="V17:X17"/>
    <mergeCell ref="B16:F16"/>
    <mergeCell ref="G16:M16"/>
    <mergeCell ref="N16:O16"/>
    <mergeCell ref="P16:Q16"/>
    <mergeCell ref="S16:U16"/>
    <mergeCell ref="V16:X16"/>
    <mergeCell ref="B15:F15"/>
    <mergeCell ref="G15:M15"/>
    <mergeCell ref="N15:O15"/>
    <mergeCell ref="P15:Q15"/>
    <mergeCell ref="S15:U15"/>
    <mergeCell ref="V15:X15"/>
    <mergeCell ref="A11:Y11"/>
    <mergeCell ref="B12:F12"/>
    <mergeCell ref="G12:M12"/>
    <mergeCell ref="N12:O12"/>
    <mergeCell ref="P12:Q12"/>
    <mergeCell ref="S12:U12"/>
    <mergeCell ref="V12:X12"/>
    <mergeCell ref="B14:F14"/>
    <mergeCell ref="G14:M14"/>
    <mergeCell ref="N14:O14"/>
    <mergeCell ref="P14:Q14"/>
    <mergeCell ref="S14:U14"/>
    <mergeCell ref="V14:X14"/>
    <mergeCell ref="B13:F13"/>
    <mergeCell ref="G13:M13"/>
    <mergeCell ref="N13:O13"/>
    <mergeCell ref="P13:Q13"/>
    <mergeCell ref="S13:U13"/>
    <mergeCell ref="V13:X13"/>
    <mergeCell ref="A8:Y8"/>
    <mergeCell ref="A9:A10"/>
    <mergeCell ref="B9:F10"/>
    <mergeCell ref="G9:M10"/>
    <mergeCell ref="N9:Q9"/>
    <mergeCell ref="R9:R10"/>
    <mergeCell ref="S9:X9"/>
    <mergeCell ref="Y9:Y10"/>
    <mergeCell ref="N10:O10"/>
    <mergeCell ref="P10:Q10"/>
    <mergeCell ref="S10:U10"/>
    <mergeCell ref="V10:X10"/>
    <mergeCell ref="A1:H7"/>
    <mergeCell ref="I1:Y2"/>
    <mergeCell ref="I3:Y5"/>
    <mergeCell ref="I6:S6"/>
    <mergeCell ref="T6:V6"/>
    <mergeCell ref="W6:Y6"/>
    <mergeCell ref="I7:S7"/>
    <mergeCell ref="T7:V7"/>
    <mergeCell ref="W7:Y7"/>
  </mergeCells>
  <conditionalFormatting sqref="I3 I1:Y2">
    <cfRule type="cellIs" dxfId="1120" priority="5" stopIfTrue="1" operator="equal">
      <formula>"CLIENTE"</formula>
    </cfRule>
  </conditionalFormatting>
  <conditionalFormatting sqref="I3:Y4">
    <cfRule type="cellIs" dxfId="1119" priority="4" stopIfTrue="1" operator="equal">
      <formula>"EQUIPAMENTO"</formula>
    </cfRule>
  </conditionalFormatting>
  <conditionalFormatting sqref="F7 D6 I3 I1">
    <cfRule type="cellIs" dxfId="1118" priority="3" stopIfTrue="1" operator="equal">
      <formula>""</formula>
    </cfRule>
  </conditionalFormatting>
  <conditionalFormatting sqref="D6 Y6 I3 I1 N6:V6">
    <cfRule type="cellIs" dxfId="1117" priority="2" stopIfTrue="1" operator="equal">
      <formula>"880............."</formula>
    </cfRule>
  </conditionalFormatting>
  <conditionalFormatting sqref="Y6">
    <cfRule type="cellIs" dxfId="1116" priority="1"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
  <dimension ref="A1:G13"/>
  <sheetViews>
    <sheetView showGridLines="0" workbookViewId="0">
      <selection activeCell="F11" sqref="F11"/>
    </sheetView>
  </sheetViews>
  <sheetFormatPr defaultRowHeight="13.2"/>
  <cols>
    <col min="1" max="1" width="14.44140625" style="1" bestFit="1" customWidth="1"/>
    <col min="2" max="2" width="37.33203125" style="1" customWidth="1"/>
    <col min="6" max="6" width="16.6640625" bestFit="1" customWidth="1"/>
    <col min="7" max="7" width="20.44140625" customWidth="1"/>
  </cols>
  <sheetData>
    <row r="1" spans="1:7">
      <c r="A1" s="13" t="s">
        <v>30</v>
      </c>
      <c r="B1" s="13" t="s">
        <v>24</v>
      </c>
      <c r="F1" t="s">
        <v>24</v>
      </c>
      <c r="G1" t="s">
        <v>2129</v>
      </c>
    </row>
    <row r="2" spans="1:7">
      <c r="A2" s="3" t="s">
        <v>2</v>
      </c>
      <c r="B2" s="3" t="s">
        <v>31</v>
      </c>
      <c r="F2" t="s">
        <v>2130</v>
      </c>
      <c r="G2">
        <v>1</v>
      </c>
    </row>
    <row r="3" spans="1:7">
      <c r="A3" s="3" t="s">
        <v>520</v>
      </c>
      <c r="B3" s="3" t="s">
        <v>32</v>
      </c>
      <c r="F3" t="s">
        <v>2131</v>
      </c>
      <c r="G3">
        <v>2</v>
      </c>
    </row>
    <row r="4" spans="1:7">
      <c r="A4" s="3" t="s">
        <v>29</v>
      </c>
      <c r="B4" s="3" t="s">
        <v>33</v>
      </c>
      <c r="F4" t="s">
        <v>2132</v>
      </c>
      <c r="G4">
        <v>3</v>
      </c>
    </row>
    <row r="5" spans="1:7">
      <c r="A5" s="3" t="s">
        <v>14</v>
      </c>
      <c r="B5" s="290" t="s">
        <v>1073</v>
      </c>
      <c r="F5" t="s">
        <v>2133</v>
      </c>
      <c r="G5">
        <v>4</v>
      </c>
    </row>
    <row r="6" spans="1:7">
      <c r="A6" s="3" t="s">
        <v>35</v>
      </c>
      <c r="B6" s="3" t="s">
        <v>34</v>
      </c>
      <c r="F6" t="s">
        <v>2134</v>
      </c>
      <c r="G6">
        <v>5</v>
      </c>
    </row>
    <row r="7" spans="1:7">
      <c r="A7" s="3" t="s">
        <v>75</v>
      </c>
      <c r="B7" s="3" t="s">
        <v>36</v>
      </c>
      <c r="F7" t="s">
        <v>2135</v>
      </c>
      <c r="G7">
        <v>6</v>
      </c>
    </row>
    <row r="8" spans="1:7">
      <c r="F8" t="s">
        <v>2136</v>
      </c>
      <c r="G8">
        <v>7</v>
      </c>
    </row>
    <row r="9" spans="1:7">
      <c r="F9" t="s">
        <v>2137</v>
      </c>
      <c r="G9">
        <v>8</v>
      </c>
    </row>
    <row r="10" spans="1:7">
      <c r="A10" s="3"/>
      <c r="B10" s="3"/>
      <c r="F10" t="s">
        <v>2138</v>
      </c>
      <c r="G10">
        <v>9</v>
      </c>
    </row>
    <row r="11" spans="1:7">
      <c r="A11" s="3"/>
      <c r="B11" s="3"/>
    </row>
    <row r="12" spans="1:7">
      <c r="A12" s="3"/>
      <c r="B12" s="3"/>
    </row>
    <row r="13" spans="1:7">
      <c r="A13" s="3"/>
      <c r="B13" s="3"/>
    </row>
  </sheetData>
  <phoneticPr fontId="0" type="noConversion"/>
  <pageMargins left="0.511811024" right="0.511811024" top="0.78740157499999996" bottom="0.78740157499999996" header="0.31496062000000002" footer="0.31496062000000002"/>
  <pageSetup paperSize="9" orientation="portrait" r:id="rId1"/>
  <headerFooter>
    <oddFooter>&amp;L
&amp;K808080&amp;"Trebuchet MS"CLASSIFICAÇÃO DO DOCUMENTO: INTERNO</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
  <dimension ref="A1:A3"/>
  <sheetViews>
    <sheetView workbookViewId="0"/>
  </sheetViews>
  <sheetFormatPr defaultColWidth="9.33203125" defaultRowHeight="13.2"/>
  <cols>
    <col min="1" max="1" width="15.5546875" customWidth="1"/>
  </cols>
  <sheetData>
    <row r="1" spans="1:1">
      <c r="A1" s="55" t="s">
        <v>418</v>
      </c>
    </row>
    <row r="2" spans="1:1">
      <c r="A2" s="55" t="s">
        <v>419</v>
      </c>
    </row>
    <row r="3" spans="1:1">
      <c r="A3" s="55" t="s">
        <v>420</v>
      </c>
    </row>
  </sheetData>
  <phoneticPr fontId="0" type="noConversion"/>
  <pageMargins left="0.511811024" right="0.511811024" top="0.78740157499999996" bottom="0.78740157499999996" header="0.31496062000000002" footer="0.31496062000000002"/>
  <pageSetup paperSize="9" orientation="portrait" r:id="rId1"/>
  <headerFooter>
    <oddFooter>&amp;L
&amp;K808080&amp;"Trebuchet MS"CLASSIFICAÇÃO DO DOCUMENTO: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
  <dimension ref="A1:AI174"/>
  <sheetViews>
    <sheetView zoomScale="90" zoomScaleNormal="90" workbookViewId="0">
      <pane xSplit="1" ySplit="1" topLeftCell="B2" activePane="bottomRight" state="frozen"/>
      <selection sqref="A1:X1"/>
      <selection pane="topRight" sqref="A1:X1"/>
      <selection pane="bottomLeft" sqref="A1:X1"/>
      <selection pane="bottomRight" activeCell="B9" sqref="B9"/>
    </sheetView>
  </sheetViews>
  <sheetFormatPr defaultColWidth="9.33203125" defaultRowHeight="13.2"/>
  <cols>
    <col min="1" max="1" width="39" style="2" customWidth="1"/>
    <col min="2" max="2" width="21.44140625" style="1" customWidth="1"/>
    <col min="3" max="3" width="12.33203125" style="1" bestFit="1" customWidth="1"/>
    <col min="4" max="4" width="12.6640625" style="1" bestFit="1" customWidth="1"/>
    <col min="5" max="5" width="25.6640625" style="2" customWidth="1"/>
    <col min="6" max="6" width="19.44140625" style="2" bestFit="1" customWidth="1"/>
    <col min="7" max="7" width="12.33203125" style="2" bestFit="1" customWidth="1"/>
    <col min="8" max="8" width="19" style="2" customWidth="1"/>
    <col min="9" max="9" width="12.33203125" style="2" bestFit="1" customWidth="1"/>
    <col min="10" max="10" width="9.44140625" style="2" bestFit="1" customWidth="1"/>
    <col min="11" max="16384" width="9.33203125" style="1"/>
  </cols>
  <sheetData>
    <row r="1" spans="1:35">
      <c r="A1" s="15" t="s">
        <v>643</v>
      </c>
      <c r="B1" s="15" t="s">
        <v>644</v>
      </c>
      <c r="C1" s="15" t="s">
        <v>645</v>
      </c>
      <c r="D1" s="15" t="s">
        <v>104</v>
      </c>
      <c r="E1" s="15" t="s">
        <v>0</v>
      </c>
      <c r="F1" s="15" t="s">
        <v>104</v>
      </c>
      <c r="G1" s="15" t="s">
        <v>646</v>
      </c>
      <c r="H1" s="15" t="s">
        <v>104</v>
      </c>
      <c r="I1" s="15" t="s">
        <v>646</v>
      </c>
      <c r="J1" s="15" t="s">
        <v>647</v>
      </c>
    </row>
    <row r="2" spans="1:35" s="112" customFormat="1" ht="25.8">
      <c r="A2" s="110" t="s">
        <v>2139</v>
      </c>
      <c r="B2" s="110"/>
      <c r="C2" s="110"/>
      <c r="D2" s="110"/>
      <c r="E2" s="110"/>
      <c r="F2" s="111"/>
      <c r="G2" s="110"/>
      <c r="H2" s="110"/>
      <c r="I2" s="111"/>
      <c r="J2" s="110"/>
      <c r="K2"/>
      <c r="L2"/>
      <c r="M2"/>
      <c r="N2"/>
      <c r="O2"/>
      <c r="P2"/>
      <c r="Q2"/>
      <c r="R2"/>
      <c r="S2"/>
      <c r="T2"/>
      <c r="U2"/>
      <c r="V2"/>
      <c r="W2"/>
      <c r="X2"/>
      <c r="Y2"/>
    </row>
    <row r="3" spans="1:35" s="125" customFormat="1" ht="14.4">
      <c r="A3" s="299"/>
      <c r="B3" s="126" t="str">
        <f>IF(A3="","",_xlfn.XLOOKUP(A3,brands_shaped[Brand],brands_shaped[Density '[g/cm3']],"TDS",0))</f>
        <v/>
      </c>
      <c r="C3" s="113">
        <v>1</v>
      </c>
      <c r="D3" s="113"/>
      <c r="E3" s="123" t="s">
        <v>16</v>
      </c>
      <c r="F3" s="124" t="s">
        <v>16</v>
      </c>
      <c r="G3" s="113"/>
      <c r="H3" s="113" t="s">
        <v>2130</v>
      </c>
      <c r="I3" s="114">
        <f>IF(H3="","",VLOOKUP(H3,Tabela1[],2,0))</f>
        <v>1</v>
      </c>
      <c r="J3" s="113" t="s">
        <v>520</v>
      </c>
      <c r="K3"/>
      <c r="L3"/>
      <c r="M3"/>
      <c r="N3"/>
      <c r="O3"/>
      <c r="P3"/>
      <c r="Q3"/>
      <c r="R3"/>
      <c r="S3"/>
      <c r="T3"/>
      <c r="U3"/>
      <c r="V3"/>
      <c r="W3"/>
      <c r="X3"/>
      <c r="Y3"/>
      <c r="Z3"/>
      <c r="AA3"/>
      <c r="AB3"/>
      <c r="AC3"/>
      <c r="AD3"/>
      <c r="AE3"/>
      <c r="AF3"/>
      <c r="AG3"/>
      <c r="AH3"/>
      <c r="AI3"/>
    </row>
    <row r="4" spans="1:35" s="125" customFormat="1" ht="14.4">
      <c r="A4" s="299"/>
      <c r="B4" s="126" t="str">
        <f>IF(A4="","",_xlfn.XLOOKUP(A4,brands_shaped[Brand],brands_shaped[Density '[g/cm3']],"TDS",0))</f>
        <v/>
      </c>
      <c r="C4" s="113">
        <v>1</v>
      </c>
      <c r="D4" s="113"/>
      <c r="E4" s="123" t="s">
        <v>16</v>
      </c>
      <c r="F4" s="124" t="s">
        <v>16</v>
      </c>
      <c r="G4" s="113"/>
      <c r="H4" s="113" t="s">
        <v>2130</v>
      </c>
      <c r="I4" s="114">
        <f>IF(H4="","",VLOOKUP(H4,Tabela1[],2,0))</f>
        <v>1</v>
      </c>
      <c r="J4" s="113" t="s">
        <v>520</v>
      </c>
      <c r="K4"/>
      <c r="L4"/>
      <c r="M4"/>
      <c r="N4"/>
      <c r="O4"/>
      <c r="P4"/>
      <c r="Q4"/>
      <c r="R4"/>
      <c r="S4"/>
      <c r="T4"/>
      <c r="U4"/>
      <c r="V4"/>
      <c r="W4"/>
      <c r="X4"/>
      <c r="Y4"/>
      <c r="Z4"/>
      <c r="AA4"/>
      <c r="AB4"/>
      <c r="AC4"/>
      <c r="AD4"/>
      <c r="AE4"/>
      <c r="AF4"/>
      <c r="AG4"/>
      <c r="AH4"/>
      <c r="AI4"/>
    </row>
    <row r="5" spans="1:35" s="125" customFormat="1" ht="14.4">
      <c r="A5" s="299"/>
      <c r="B5" s="126" t="str">
        <f>IF(A5="","",_xlfn.XLOOKUP(A5,brands_shaped[Brand],brands_shaped[Density '[g/cm3']],"TDS",0))</f>
        <v/>
      </c>
      <c r="C5" s="113">
        <v>1</v>
      </c>
      <c r="D5" s="113"/>
      <c r="E5" s="123" t="s">
        <v>16</v>
      </c>
      <c r="F5" s="124" t="s">
        <v>16</v>
      </c>
      <c r="G5" s="113"/>
      <c r="H5" s="113" t="s">
        <v>2130</v>
      </c>
      <c r="I5" s="114">
        <f>IF(H5="","",VLOOKUP(H5,Tabela1[],2,0))</f>
        <v>1</v>
      </c>
      <c r="J5" s="113" t="s">
        <v>520</v>
      </c>
      <c r="K5"/>
      <c r="L5"/>
      <c r="M5"/>
      <c r="N5"/>
      <c r="O5"/>
      <c r="P5"/>
      <c r="Q5"/>
      <c r="R5"/>
      <c r="S5"/>
      <c r="T5"/>
      <c r="U5"/>
      <c r="V5"/>
      <c r="W5"/>
      <c r="X5"/>
      <c r="Y5"/>
      <c r="Z5"/>
      <c r="AA5"/>
      <c r="AB5"/>
      <c r="AC5"/>
      <c r="AD5"/>
      <c r="AE5"/>
      <c r="AF5"/>
      <c r="AG5"/>
      <c r="AH5"/>
      <c r="AI5"/>
    </row>
    <row r="6" spans="1:35" s="125" customFormat="1" ht="14.4">
      <c r="A6" s="299"/>
      <c r="B6" s="126" t="str">
        <f>IF(A6="","",_xlfn.XLOOKUP(A6,brands_shaped[Brand],brands_shaped[Density '[g/cm3']],"TDS",0))</f>
        <v/>
      </c>
      <c r="C6" s="113">
        <v>1</v>
      </c>
      <c r="D6" s="113"/>
      <c r="E6" s="123" t="s">
        <v>16</v>
      </c>
      <c r="F6" s="124" t="s">
        <v>16</v>
      </c>
      <c r="G6" s="113"/>
      <c r="H6" s="113" t="s">
        <v>2130</v>
      </c>
      <c r="I6" s="114">
        <f>IF(H6="","",VLOOKUP(H6,Tabela1[],2,0))</f>
        <v>1</v>
      </c>
      <c r="J6" s="113" t="s">
        <v>520</v>
      </c>
      <c r="K6"/>
      <c r="L6"/>
      <c r="M6"/>
      <c r="N6"/>
      <c r="O6"/>
      <c r="P6"/>
      <c r="Q6"/>
      <c r="R6"/>
      <c r="S6"/>
      <c r="T6"/>
      <c r="U6"/>
      <c r="V6"/>
      <c r="W6"/>
      <c r="X6"/>
      <c r="Y6"/>
      <c r="Z6"/>
      <c r="AA6"/>
      <c r="AB6"/>
      <c r="AC6"/>
      <c r="AD6"/>
      <c r="AE6"/>
      <c r="AF6"/>
      <c r="AG6"/>
      <c r="AH6"/>
      <c r="AI6"/>
    </row>
    <row r="7" spans="1:35" s="125" customFormat="1" ht="14.4">
      <c r="A7" s="299"/>
      <c r="B7" s="126" t="str">
        <f>IF(A7="","",_xlfn.XLOOKUP(A7,brands_shaped[Brand],brands_shaped[Density '[g/cm3']],"TDS",0))</f>
        <v/>
      </c>
      <c r="C7" s="113">
        <v>1</v>
      </c>
      <c r="D7" s="113"/>
      <c r="E7" s="123" t="s">
        <v>16</v>
      </c>
      <c r="F7" s="124" t="s">
        <v>16</v>
      </c>
      <c r="G7" s="113"/>
      <c r="H7" s="113" t="s">
        <v>2130</v>
      </c>
      <c r="I7" s="114">
        <f>IF(H7="","",VLOOKUP(H7,Tabela1[],2,0))</f>
        <v>1</v>
      </c>
      <c r="J7" s="113" t="s">
        <v>520</v>
      </c>
      <c r="K7"/>
      <c r="L7"/>
      <c r="M7"/>
      <c r="N7"/>
      <c r="O7"/>
      <c r="P7"/>
      <c r="Q7"/>
      <c r="R7"/>
      <c r="S7"/>
      <c r="T7"/>
      <c r="U7"/>
      <c r="V7"/>
      <c r="W7"/>
      <c r="X7"/>
      <c r="Y7"/>
      <c r="Z7"/>
      <c r="AA7"/>
      <c r="AB7"/>
      <c r="AC7"/>
      <c r="AD7"/>
      <c r="AE7"/>
      <c r="AF7"/>
      <c r="AG7"/>
      <c r="AH7"/>
      <c r="AI7"/>
    </row>
    <row r="8" spans="1:35" s="125" customFormat="1" ht="14.4">
      <c r="A8" s="299"/>
      <c r="B8" s="126" t="str">
        <f>IF(A8="","",_xlfn.XLOOKUP(A8,brands_shaped[Brand],brands_shaped[Density '[g/cm3']],"TDS",0))</f>
        <v/>
      </c>
      <c r="C8" s="113">
        <v>1</v>
      </c>
      <c r="D8" s="113"/>
      <c r="E8" s="123" t="s">
        <v>16</v>
      </c>
      <c r="F8" s="124" t="s">
        <v>16</v>
      </c>
      <c r="G8" s="113"/>
      <c r="H8" s="113" t="s">
        <v>2130</v>
      </c>
      <c r="I8" s="114">
        <f>IF(H8="","",VLOOKUP(H8,Tabela1[],2,0))</f>
        <v>1</v>
      </c>
      <c r="J8" s="113" t="s">
        <v>520</v>
      </c>
      <c r="K8"/>
      <c r="L8"/>
      <c r="M8"/>
      <c r="N8"/>
      <c r="O8"/>
      <c r="P8"/>
      <c r="Q8"/>
      <c r="R8"/>
      <c r="S8"/>
      <c r="T8"/>
      <c r="U8"/>
      <c r="V8"/>
      <c r="W8"/>
      <c r="X8"/>
      <c r="Y8"/>
      <c r="Z8"/>
      <c r="AA8"/>
      <c r="AB8"/>
      <c r="AC8"/>
      <c r="AD8"/>
      <c r="AE8"/>
      <c r="AF8"/>
      <c r="AG8"/>
      <c r="AH8"/>
      <c r="AI8"/>
    </row>
    <row r="9" spans="1:35" s="125" customFormat="1" ht="14.4">
      <c r="A9" s="299"/>
      <c r="B9" s="126" t="str">
        <f>IF(A9="","",_xlfn.XLOOKUP(A9,brands_shaped[Brand],brands_shaped[Density '[g/cm3']],"TDS",0))</f>
        <v/>
      </c>
      <c r="C9" s="113">
        <v>1</v>
      </c>
      <c r="D9" s="113"/>
      <c r="E9" s="123" t="s">
        <v>16</v>
      </c>
      <c r="F9" s="124" t="s">
        <v>16</v>
      </c>
      <c r="G9" s="113"/>
      <c r="H9" s="113" t="s">
        <v>2130</v>
      </c>
      <c r="I9" s="114">
        <f>IF(H9="","",VLOOKUP(H9,Tabela1[],2,0))</f>
        <v>1</v>
      </c>
      <c r="J9" s="113" t="s">
        <v>520</v>
      </c>
      <c r="K9"/>
      <c r="L9"/>
      <c r="M9"/>
      <c r="N9"/>
      <c r="O9"/>
      <c r="P9"/>
      <c r="Q9"/>
      <c r="R9"/>
      <c r="S9"/>
      <c r="T9"/>
      <c r="U9"/>
      <c r="V9"/>
      <c r="W9"/>
      <c r="X9"/>
      <c r="Y9"/>
      <c r="Z9"/>
      <c r="AA9"/>
      <c r="AB9"/>
      <c r="AC9"/>
      <c r="AD9"/>
      <c r="AE9"/>
      <c r="AF9"/>
      <c r="AG9"/>
      <c r="AH9"/>
      <c r="AI9"/>
    </row>
    <row r="10" spans="1:35" s="125" customFormat="1" ht="14.4">
      <c r="A10" s="299"/>
      <c r="B10" s="126" t="str">
        <f>IF(A10="","",_xlfn.XLOOKUP(A10,brands_shaped[Brand],brands_shaped[Density '[g/cm3']],"TDS",0))</f>
        <v/>
      </c>
      <c r="C10" s="113">
        <v>1</v>
      </c>
      <c r="D10" s="113"/>
      <c r="E10" s="123" t="s">
        <v>16</v>
      </c>
      <c r="F10" s="124" t="s">
        <v>16</v>
      </c>
      <c r="G10" s="113"/>
      <c r="H10" s="113" t="s">
        <v>2130</v>
      </c>
      <c r="I10" s="114">
        <f>IF(H10="","",VLOOKUP(H10,Tabela1[],2,0))</f>
        <v>1</v>
      </c>
      <c r="J10" s="113" t="s">
        <v>520</v>
      </c>
      <c r="K10"/>
      <c r="L10"/>
      <c r="M10"/>
      <c r="N10"/>
      <c r="O10"/>
      <c r="P10"/>
      <c r="Q10"/>
      <c r="R10"/>
      <c r="S10"/>
      <c r="T10"/>
      <c r="U10"/>
      <c r="V10"/>
      <c r="W10"/>
      <c r="X10"/>
      <c r="Y10"/>
      <c r="Z10"/>
      <c r="AA10"/>
      <c r="AB10"/>
      <c r="AC10"/>
      <c r="AD10"/>
      <c r="AE10"/>
      <c r="AF10"/>
      <c r="AG10"/>
      <c r="AH10"/>
      <c r="AI10"/>
    </row>
    <row r="11" spans="1:35" s="125" customFormat="1" ht="14.4">
      <c r="A11" s="299"/>
      <c r="B11" s="126" t="str">
        <f>IF(A11="","",_xlfn.XLOOKUP(A11,brands_shaped[Brand],brands_shaped[Density '[g/cm3']],"TDS",0))</f>
        <v/>
      </c>
      <c r="C11" s="113">
        <v>1</v>
      </c>
      <c r="D11" s="113"/>
      <c r="E11" s="123" t="s">
        <v>16</v>
      </c>
      <c r="F11" s="124" t="s">
        <v>16</v>
      </c>
      <c r="G11" s="113"/>
      <c r="H11" s="113" t="s">
        <v>2130</v>
      </c>
      <c r="I11" s="114">
        <f>IF(H11="","",VLOOKUP(H11,Tabela1[],2,0))</f>
        <v>1</v>
      </c>
      <c r="J11" s="113" t="s">
        <v>520</v>
      </c>
      <c r="K11"/>
      <c r="L11"/>
      <c r="M11"/>
      <c r="N11"/>
      <c r="O11"/>
      <c r="P11"/>
      <c r="Q11"/>
      <c r="R11"/>
      <c r="S11"/>
      <c r="T11"/>
      <c r="U11"/>
      <c r="V11"/>
      <c r="W11"/>
      <c r="X11"/>
      <c r="Y11"/>
      <c r="Z11"/>
      <c r="AA11"/>
      <c r="AB11"/>
      <c r="AC11"/>
      <c r="AD11"/>
      <c r="AE11"/>
      <c r="AF11"/>
      <c r="AG11"/>
      <c r="AH11"/>
      <c r="AI11"/>
    </row>
    <row r="12" spans="1:35" s="125" customFormat="1" ht="14.4">
      <c r="A12" s="299"/>
      <c r="B12" s="126" t="str">
        <f>IF(A12="","",_xlfn.XLOOKUP(A12,brands_shaped[Brand],brands_shaped[Density '[g/cm3']],"TDS",0))</f>
        <v/>
      </c>
      <c r="C12" s="113">
        <v>1</v>
      </c>
      <c r="D12" s="113"/>
      <c r="E12" s="123" t="s">
        <v>16</v>
      </c>
      <c r="F12" s="124" t="s">
        <v>16</v>
      </c>
      <c r="G12" s="113"/>
      <c r="H12" s="113" t="s">
        <v>2130</v>
      </c>
      <c r="I12" s="114">
        <f>IF(H12="","",VLOOKUP(H12,Tabela1[],2,0))</f>
        <v>1</v>
      </c>
      <c r="J12" s="113" t="s">
        <v>520</v>
      </c>
      <c r="K12"/>
      <c r="L12"/>
      <c r="M12"/>
      <c r="N12"/>
      <c r="O12"/>
      <c r="P12"/>
      <c r="Q12"/>
      <c r="R12"/>
      <c r="S12"/>
      <c r="T12"/>
      <c r="U12"/>
      <c r="V12"/>
      <c r="W12"/>
      <c r="X12"/>
      <c r="Y12"/>
      <c r="Z12"/>
      <c r="AA12"/>
      <c r="AB12"/>
      <c r="AC12"/>
      <c r="AD12"/>
      <c r="AE12"/>
      <c r="AF12"/>
      <c r="AG12"/>
      <c r="AH12"/>
      <c r="AI12"/>
    </row>
    <row r="13" spans="1:35" customFormat="1">
      <c r="A13" s="64"/>
      <c r="B13" s="64"/>
      <c r="C13" s="64"/>
      <c r="D13" s="64"/>
      <c r="E13" s="64"/>
      <c r="F13" s="65"/>
      <c r="G13" s="64"/>
      <c r="H13" s="64"/>
      <c r="I13" s="65"/>
      <c r="J13" s="64"/>
    </row>
    <row r="14" spans="1:35" customFormat="1">
      <c r="A14" s="64"/>
      <c r="B14" s="64"/>
      <c r="C14" s="64"/>
      <c r="D14" s="64"/>
      <c r="E14" s="64"/>
      <c r="F14" s="65"/>
      <c r="G14" s="64"/>
      <c r="H14" s="64"/>
      <c r="I14" s="65"/>
      <c r="J14" s="64"/>
    </row>
    <row r="15" spans="1:35" s="112" customFormat="1" ht="25.8">
      <c r="A15" s="110" t="s">
        <v>2140</v>
      </c>
      <c r="B15" s="110"/>
      <c r="C15" s="110"/>
      <c r="D15" s="110"/>
      <c r="E15" s="110"/>
      <c r="F15" s="111"/>
      <c r="G15" s="110"/>
      <c r="H15" s="110"/>
      <c r="I15" s="111"/>
      <c r="J15" s="110"/>
      <c r="K15"/>
      <c r="L15"/>
      <c r="M15"/>
      <c r="N15"/>
      <c r="O15"/>
      <c r="P15"/>
      <c r="Q15"/>
      <c r="R15"/>
      <c r="S15"/>
      <c r="T15"/>
      <c r="U15"/>
      <c r="V15"/>
      <c r="W15"/>
      <c r="X15"/>
      <c r="Y15"/>
    </row>
    <row r="16" spans="1:35" s="125" customFormat="1" ht="14.4">
      <c r="A16" s="299"/>
      <c r="B16" s="126" t="str">
        <f>IF(A16="","",_xlfn.XLOOKUP(A16,brands_shaped[Brand],brands_shaped[Density '[g/cm3']],"TDS",0))</f>
        <v/>
      </c>
      <c r="C16" s="113">
        <v>1</v>
      </c>
      <c r="D16" s="113"/>
      <c r="E16" s="123" t="s">
        <v>16</v>
      </c>
      <c r="F16" s="124" t="s">
        <v>16</v>
      </c>
      <c r="G16" s="113"/>
      <c r="H16" s="113" t="s">
        <v>2131</v>
      </c>
      <c r="I16" s="114">
        <f>IF(H16="","",VLOOKUP(H16,Tabela1[],2,0))</f>
        <v>2</v>
      </c>
      <c r="J16" s="113" t="s">
        <v>520</v>
      </c>
      <c r="K16"/>
      <c r="L16"/>
      <c r="M16"/>
      <c r="N16"/>
      <c r="O16"/>
      <c r="P16"/>
      <c r="Q16"/>
      <c r="R16"/>
      <c r="S16"/>
      <c r="T16"/>
      <c r="U16"/>
      <c r="V16"/>
      <c r="W16"/>
      <c r="X16"/>
      <c r="Y16"/>
      <c r="Z16"/>
      <c r="AA16"/>
      <c r="AB16"/>
      <c r="AC16"/>
      <c r="AD16"/>
      <c r="AE16"/>
      <c r="AF16"/>
      <c r="AG16"/>
      <c r="AH16"/>
      <c r="AI16"/>
    </row>
    <row r="17" spans="1:35" s="125" customFormat="1" ht="14.4">
      <c r="A17" s="299"/>
      <c r="B17" s="126" t="str">
        <f>IF(A17="","",_xlfn.XLOOKUP(A17,brands_shaped[Brand],brands_shaped[Density '[g/cm3']],"TDS",0))</f>
        <v/>
      </c>
      <c r="C17" s="113">
        <v>1</v>
      </c>
      <c r="D17" s="113"/>
      <c r="E17" s="123" t="s">
        <v>16</v>
      </c>
      <c r="F17" s="124" t="s">
        <v>16</v>
      </c>
      <c r="G17" s="113"/>
      <c r="H17" s="113" t="s">
        <v>2131</v>
      </c>
      <c r="I17" s="114">
        <f>IF(H17="","",VLOOKUP(H17,Tabela1[],2,0))</f>
        <v>2</v>
      </c>
      <c r="J17" s="113" t="s">
        <v>520</v>
      </c>
      <c r="K17"/>
      <c r="L17"/>
      <c r="M17"/>
      <c r="N17"/>
      <c r="O17"/>
      <c r="P17"/>
      <c r="Q17"/>
      <c r="R17"/>
      <c r="S17"/>
      <c r="T17"/>
      <c r="U17"/>
      <c r="V17"/>
      <c r="W17"/>
      <c r="X17"/>
      <c r="Y17"/>
      <c r="Z17"/>
      <c r="AA17"/>
      <c r="AB17"/>
      <c r="AC17"/>
      <c r="AD17"/>
      <c r="AE17"/>
      <c r="AF17"/>
      <c r="AG17"/>
      <c r="AH17"/>
      <c r="AI17"/>
    </row>
    <row r="18" spans="1:35" s="125" customFormat="1" ht="14.4">
      <c r="A18" s="299"/>
      <c r="B18" s="126" t="str">
        <f>IF(A18="","",_xlfn.XLOOKUP(A18,brands_shaped[Brand],brands_shaped[Density '[g/cm3']],"TDS",0))</f>
        <v/>
      </c>
      <c r="C18" s="113">
        <v>1</v>
      </c>
      <c r="D18" s="113"/>
      <c r="E18" s="123" t="s">
        <v>16</v>
      </c>
      <c r="F18" s="124" t="s">
        <v>16</v>
      </c>
      <c r="G18" s="113"/>
      <c r="H18" s="113" t="s">
        <v>2131</v>
      </c>
      <c r="I18" s="114">
        <f>IF(H18="","",VLOOKUP(H18,Tabela1[],2,0))</f>
        <v>2</v>
      </c>
      <c r="J18" s="113" t="s">
        <v>520</v>
      </c>
      <c r="K18"/>
      <c r="L18"/>
      <c r="M18"/>
      <c r="N18"/>
      <c r="O18"/>
      <c r="P18"/>
      <c r="Q18"/>
      <c r="R18"/>
      <c r="S18"/>
      <c r="T18"/>
      <c r="U18"/>
      <c r="V18"/>
      <c r="W18"/>
      <c r="X18"/>
      <c r="Y18"/>
      <c r="Z18"/>
      <c r="AA18"/>
      <c r="AB18"/>
      <c r="AC18"/>
      <c r="AD18"/>
      <c r="AE18"/>
      <c r="AF18"/>
      <c r="AG18"/>
      <c r="AH18"/>
      <c r="AI18"/>
    </row>
    <row r="19" spans="1:35" s="125" customFormat="1" ht="14.4">
      <c r="A19" s="299"/>
      <c r="B19" s="126" t="str">
        <f>IF(A19="","",_xlfn.XLOOKUP(A19,brands_shaped[Brand],brands_shaped[Density '[g/cm3']],"TDS",0))</f>
        <v/>
      </c>
      <c r="C19" s="113">
        <v>1</v>
      </c>
      <c r="D19" s="113"/>
      <c r="E19" s="123" t="s">
        <v>16</v>
      </c>
      <c r="F19" s="124" t="s">
        <v>16</v>
      </c>
      <c r="G19" s="113"/>
      <c r="H19" s="113" t="s">
        <v>2131</v>
      </c>
      <c r="I19" s="114">
        <f>IF(H19="","",VLOOKUP(H19,Tabela1[],2,0))</f>
        <v>2</v>
      </c>
      <c r="J19" s="113" t="s">
        <v>520</v>
      </c>
      <c r="K19"/>
      <c r="L19"/>
      <c r="M19"/>
      <c r="N19"/>
      <c r="O19"/>
      <c r="P19"/>
      <c r="Q19"/>
      <c r="R19"/>
      <c r="S19"/>
      <c r="T19"/>
      <c r="U19"/>
      <c r="V19"/>
      <c r="W19"/>
      <c r="X19"/>
      <c r="Y19"/>
      <c r="Z19"/>
      <c r="AA19"/>
      <c r="AB19"/>
      <c r="AC19"/>
      <c r="AD19"/>
      <c r="AE19"/>
      <c r="AF19"/>
      <c r="AG19"/>
      <c r="AH19"/>
      <c r="AI19"/>
    </row>
    <row r="20" spans="1:35" s="125" customFormat="1" ht="14.4">
      <c r="A20" s="299"/>
      <c r="B20" s="126" t="str">
        <f>IF(A20="","",_xlfn.XLOOKUP(A20,brands_shaped[Brand],brands_shaped[Density '[g/cm3']],"TDS",0))</f>
        <v/>
      </c>
      <c r="C20" s="113">
        <v>1</v>
      </c>
      <c r="D20" s="113"/>
      <c r="E20" s="123" t="s">
        <v>16</v>
      </c>
      <c r="F20" s="124" t="s">
        <v>16</v>
      </c>
      <c r="G20" s="113"/>
      <c r="H20" s="113" t="s">
        <v>2131</v>
      </c>
      <c r="I20" s="114">
        <f>IF(H20="","",VLOOKUP(H20,Tabela1[],2,0))</f>
        <v>2</v>
      </c>
      <c r="J20" s="113" t="s">
        <v>520</v>
      </c>
      <c r="K20"/>
      <c r="L20"/>
      <c r="M20"/>
      <c r="N20"/>
      <c r="O20"/>
      <c r="P20"/>
      <c r="Q20"/>
      <c r="R20"/>
      <c r="S20"/>
      <c r="T20"/>
      <c r="U20"/>
      <c r="V20"/>
      <c r="W20"/>
      <c r="X20"/>
      <c r="Y20"/>
      <c r="Z20"/>
      <c r="AA20"/>
      <c r="AB20"/>
      <c r="AC20"/>
      <c r="AD20"/>
      <c r="AE20"/>
      <c r="AF20"/>
      <c r="AG20"/>
      <c r="AH20"/>
      <c r="AI20"/>
    </row>
    <row r="21" spans="1:35" s="125" customFormat="1" ht="14.4">
      <c r="A21" s="299"/>
      <c r="B21" s="126" t="str">
        <f>IF(A21="","",_xlfn.XLOOKUP(A21,brands_shaped[Brand],brands_shaped[Density '[g/cm3']],"TDS",0))</f>
        <v/>
      </c>
      <c r="C21" s="113">
        <v>1</v>
      </c>
      <c r="D21" s="113"/>
      <c r="E21" s="123" t="s">
        <v>16</v>
      </c>
      <c r="F21" s="124" t="s">
        <v>16</v>
      </c>
      <c r="G21" s="113"/>
      <c r="H21" s="113" t="s">
        <v>2131</v>
      </c>
      <c r="I21" s="114">
        <f>IF(H21="","",VLOOKUP(H21,Tabela1[],2,0))</f>
        <v>2</v>
      </c>
      <c r="J21" s="113" t="s">
        <v>520</v>
      </c>
      <c r="K21"/>
      <c r="L21"/>
      <c r="M21"/>
      <c r="N21"/>
      <c r="O21"/>
      <c r="P21"/>
      <c r="Q21"/>
      <c r="R21"/>
      <c r="S21"/>
      <c r="T21"/>
      <c r="U21"/>
      <c r="V21"/>
      <c r="W21"/>
      <c r="X21"/>
      <c r="Y21"/>
      <c r="Z21"/>
      <c r="AA21"/>
      <c r="AB21"/>
      <c r="AC21"/>
      <c r="AD21"/>
      <c r="AE21"/>
      <c r="AF21"/>
      <c r="AG21"/>
      <c r="AH21"/>
      <c r="AI21"/>
    </row>
    <row r="22" spans="1:35" s="125" customFormat="1" ht="14.4">
      <c r="A22" s="299"/>
      <c r="B22" s="126" t="str">
        <f>IF(A22="","",_xlfn.XLOOKUP(A22,brands_shaped[Brand],brands_shaped[Density '[g/cm3']],"TDS",0))</f>
        <v/>
      </c>
      <c r="C22" s="113">
        <v>1</v>
      </c>
      <c r="D22" s="113"/>
      <c r="E22" s="123" t="s">
        <v>16</v>
      </c>
      <c r="F22" s="124" t="s">
        <v>16</v>
      </c>
      <c r="G22" s="113"/>
      <c r="H22" s="113" t="s">
        <v>2131</v>
      </c>
      <c r="I22" s="114">
        <f>IF(H22="","",VLOOKUP(H22,Tabela1[],2,0))</f>
        <v>2</v>
      </c>
      <c r="J22" s="113" t="s">
        <v>520</v>
      </c>
      <c r="K22"/>
      <c r="L22"/>
      <c r="M22"/>
      <c r="N22"/>
      <c r="O22"/>
      <c r="P22"/>
      <c r="Q22"/>
      <c r="R22"/>
      <c r="S22"/>
      <c r="T22"/>
      <c r="U22"/>
      <c r="V22"/>
      <c r="W22"/>
      <c r="X22"/>
      <c r="Y22"/>
      <c r="Z22"/>
      <c r="AA22"/>
      <c r="AB22"/>
      <c r="AC22"/>
      <c r="AD22"/>
      <c r="AE22"/>
      <c r="AF22"/>
      <c r="AG22"/>
      <c r="AH22"/>
      <c r="AI22"/>
    </row>
    <row r="23" spans="1:35" s="125" customFormat="1" ht="14.4">
      <c r="A23" s="299"/>
      <c r="B23" s="126" t="str">
        <f>IF(A23="","",_xlfn.XLOOKUP(A23,brands_shaped[Brand],brands_shaped[Density '[g/cm3']],"TDS",0))</f>
        <v/>
      </c>
      <c r="C23" s="113">
        <v>1</v>
      </c>
      <c r="D23" s="113"/>
      <c r="E23" s="123" t="s">
        <v>16</v>
      </c>
      <c r="F23" s="124" t="s">
        <v>16</v>
      </c>
      <c r="G23" s="113"/>
      <c r="H23" s="113" t="s">
        <v>2131</v>
      </c>
      <c r="I23" s="114">
        <f>IF(H23="","",VLOOKUP(H23,Tabela1[],2,0))</f>
        <v>2</v>
      </c>
      <c r="J23" s="113" t="s">
        <v>520</v>
      </c>
      <c r="K23"/>
      <c r="L23"/>
      <c r="M23"/>
      <c r="N23"/>
      <c r="O23"/>
      <c r="P23"/>
      <c r="Q23"/>
      <c r="R23"/>
      <c r="S23"/>
      <c r="T23"/>
      <c r="U23"/>
      <c r="V23"/>
      <c r="W23"/>
      <c r="X23"/>
      <c r="Y23"/>
      <c r="Z23"/>
      <c r="AA23"/>
      <c r="AB23"/>
      <c r="AC23"/>
      <c r="AD23"/>
      <c r="AE23"/>
      <c r="AF23"/>
      <c r="AG23"/>
      <c r="AH23"/>
      <c r="AI23"/>
    </row>
    <row r="24" spans="1:35" s="125" customFormat="1" ht="14.4">
      <c r="A24" s="299"/>
      <c r="B24" s="126" t="str">
        <f>IF(A24="","",_xlfn.XLOOKUP(A24,brands_shaped[Brand],brands_shaped[Density '[g/cm3']],"TDS",0))</f>
        <v/>
      </c>
      <c r="C24" s="113">
        <v>1</v>
      </c>
      <c r="D24" s="113"/>
      <c r="E24" s="123" t="s">
        <v>16</v>
      </c>
      <c r="F24" s="124" t="s">
        <v>16</v>
      </c>
      <c r="G24" s="113"/>
      <c r="H24" s="113" t="s">
        <v>2131</v>
      </c>
      <c r="I24" s="114">
        <f>IF(H24="","",VLOOKUP(H24,Tabela1[],2,0))</f>
        <v>2</v>
      </c>
      <c r="J24" s="113" t="s">
        <v>520</v>
      </c>
      <c r="K24"/>
      <c r="L24"/>
      <c r="M24"/>
      <c r="N24"/>
      <c r="O24"/>
      <c r="P24"/>
      <c r="Q24"/>
      <c r="R24"/>
      <c r="S24"/>
      <c r="T24"/>
      <c r="U24"/>
      <c r="V24"/>
      <c r="W24"/>
      <c r="X24"/>
      <c r="Y24"/>
      <c r="Z24"/>
      <c r="AA24"/>
      <c r="AB24"/>
      <c r="AC24"/>
      <c r="AD24"/>
      <c r="AE24"/>
      <c r="AF24"/>
      <c r="AG24"/>
      <c r="AH24"/>
      <c r="AI24"/>
    </row>
    <row r="25" spans="1:35" s="125" customFormat="1" ht="14.4">
      <c r="A25" s="299"/>
      <c r="B25" s="126" t="str">
        <f>IF(A25="","",_xlfn.XLOOKUP(A25,brands_shaped[Brand],brands_shaped[Density '[g/cm3']],"TDS",0))</f>
        <v/>
      </c>
      <c r="C25" s="113">
        <v>1</v>
      </c>
      <c r="D25" s="113"/>
      <c r="E25" s="123" t="s">
        <v>16</v>
      </c>
      <c r="F25" s="124" t="s">
        <v>16</v>
      </c>
      <c r="G25" s="113"/>
      <c r="H25" s="113" t="s">
        <v>2131</v>
      </c>
      <c r="I25" s="114">
        <f>IF(H25="","",VLOOKUP(H25,Tabela1[],2,0))</f>
        <v>2</v>
      </c>
      <c r="J25" s="113" t="s">
        <v>520</v>
      </c>
      <c r="K25"/>
      <c r="L25"/>
      <c r="M25"/>
      <c r="N25"/>
      <c r="O25"/>
      <c r="P25"/>
      <c r="Q25"/>
      <c r="R25"/>
      <c r="S25"/>
      <c r="T25"/>
      <c r="U25"/>
      <c r="V25"/>
      <c r="W25"/>
      <c r="X25"/>
      <c r="Y25"/>
      <c r="Z25"/>
      <c r="AA25"/>
      <c r="AB25"/>
      <c r="AC25"/>
      <c r="AD25"/>
      <c r="AE25"/>
      <c r="AF25"/>
      <c r="AG25"/>
      <c r="AH25"/>
      <c r="AI25"/>
    </row>
    <row r="26" spans="1:35" customFormat="1">
      <c r="A26" s="64"/>
      <c r="B26" s="64"/>
      <c r="C26" s="64"/>
      <c r="D26" s="64"/>
      <c r="E26" s="64"/>
      <c r="F26" s="65"/>
      <c r="G26" s="64"/>
      <c r="H26" s="64"/>
      <c r="I26" s="65"/>
      <c r="J26" s="64"/>
    </row>
    <row r="27" spans="1:35" customFormat="1">
      <c r="A27" s="64"/>
      <c r="B27" s="64"/>
      <c r="C27" s="64"/>
      <c r="D27" s="64"/>
      <c r="E27" s="64"/>
      <c r="F27" s="65"/>
      <c r="G27" s="64"/>
      <c r="H27" s="64"/>
      <c r="I27" s="65"/>
      <c r="J27" s="64"/>
    </row>
    <row r="28" spans="1:35" s="112" customFormat="1" ht="25.8">
      <c r="A28" s="110" t="s">
        <v>2141</v>
      </c>
      <c r="B28" s="110"/>
      <c r="C28" s="110"/>
      <c r="D28" s="110"/>
      <c r="E28" s="110"/>
      <c r="F28" s="111"/>
      <c r="G28" s="110"/>
      <c r="H28" s="110"/>
      <c r="I28" s="111"/>
      <c r="J28" s="110"/>
    </row>
    <row r="29" spans="1:35" customFormat="1" ht="14.4">
      <c r="A29" s="299"/>
      <c r="B29" s="126" t="str">
        <f>IF(A29="","",_xlfn.XLOOKUP(A29,brands_unshaped[Brand],brands_unshaped[Density '[g/cm3']],"TDS",0))</f>
        <v/>
      </c>
      <c r="C29" s="120">
        <v>25</v>
      </c>
      <c r="D29" s="120"/>
      <c r="E29" s="120" t="str">
        <f>IF(A29="","-",IF(_xlfn.XLOOKUP(A29,brands_unshaped[Brand],brands_unshaped[Addition],"TDS",0)="","-",_xlfn.XLOOKUP(A29,brands_unshaped[Brand],brands_unshaped[Addition],"TDS",0)))</f>
        <v>-</v>
      </c>
      <c r="F29" s="120" t="s">
        <v>16</v>
      </c>
      <c r="G29" s="121"/>
      <c r="H29" s="113" t="s">
        <v>2135</v>
      </c>
      <c r="I29" s="114">
        <f>IF(H29="","",VLOOKUP(H29,Tabela1[],2,0))</f>
        <v>6</v>
      </c>
      <c r="J29" s="120" t="s">
        <v>2</v>
      </c>
    </row>
    <row r="30" spans="1:35" customFormat="1" ht="14.4">
      <c r="A30" s="299"/>
      <c r="B30" s="126" t="str">
        <f>IF(A30="","",_xlfn.XLOOKUP(A30,brands_unshaped[Brand],brands_unshaped[Density '[g/cm3']],"TDS",0))</f>
        <v/>
      </c>
      <c r="C30" s="120">
        <v>25</v>
      </c>
      <c r="D30" s="120"/>
      <c r="E30" s="120" t="str">
        <f>IF(A30="","-",IF(_xlfn.XLOOKUP(A30,brands_unshaped[Brand],brands_unshaped[Addition],"TDS",0)="","-",_xlfn.XLOOKUP(A30,brands_unshaped[Brand],brands_unshaped[Addition],"TDS",0)))</f>
        <v>-</v>
      </c>
      <c r="F30" s="120" t="s">
        <v>16</v>
      </c>
      <c r="G30" s="121"/>
      <c r="H30" s="113" t="s">
        <v>2135</v>
      </c>
      <c r="I30" s="114">
        <f>IF(H30="","",VLOOKUP(H30,Tabela1[],2,0))</f>
        <v>6</v>
      </c>
      <c r="J30" s="120" t="s">
        <v>2</v>
      </c>
    </row>
    <row r="31" spans="1:35" customFormat="1" ht="14.4">
      <c r="A31" s="299"/>
      <c r="B31" s="126" t="str">
        <f>IF(A31="","",_xlfn.XLOOKUP(A31,brands_unshaped[Brand],brands_unshaped[Density '[g/cm3']],"TDS",0))</f>
        <v/>
      </c>
      <c r="C31" s="120">
        <v>25</v>
      </c>
      <c r="D31" s="120"/>
      <c r="E31" s="120" t="str">
        <f>IF(A31="","-",IF(_xlfn.XLOOKUP(A31,brands_unshaped[Brand],brands_unshaped[Addition],"TDS",0)="","-",_xlfn.XLOOKUP(A31,brands_unshaped[Brand],brands_unshaped[Addition],"TDS",0)))</f>
        <v>-</v>
      </c>
      <c r="F31" s="120" t="s">
        <v>16</v>
      </c>
      <c r="G31" s="121"/>
      <c r="H31" s="113" t="s">
        <v>2135</v>
      </c>
      <c r="I31" s="114">
        <f>IF(H31="","",VLOOKUP(H31,Tabela1[],2,0))</f>
        <v>6</v>
      </c>
      <c r="J31" s="120" t="s">
        <v>2</v>
      </c>
    </row>
    <row r="32" spans="1:35" customFormat="1" ht="14.4">
      <c r="A32" s="299"/>
      <c r="B32" s="126" t="str">
        <f>IF(A32="","",_xlfn.XLOOKUP(A32,brands_unshaped[Brand],brands_unshaped[Density '[g/cm3']],"TDS",0))</f>
        <v/>
      </c>
      <c r="C32" s="120">
        <v>25</v>
      </c>
      <c r="D32" s="120"/>
      <c r="E32" s="120" t="str">
        <f>IF(A32="","-",IF(_xlfn.XLOOKUP(A32,brands_unshaped[Brand],brands_unshaped[Addition],"TDS",0)="","-",_xlfn.XLOOKUP(A32,brands_unshaped[Brand],brands_unshaped[Addition],"TDS",0)))</f>
        <v>-</v>
      </c>
      <c r="F32" s="120" t="s">
        <v>16</v>
      </c>
      <c r="G32" s="121"/>
      <c r="H32" s="113" t="s">
        <v>2135</v>
      </c>
      <c r="I32" s="114">
        <f>IF(H32="","",VLOOKUP(H32,Tabela1[],2,0))</f>
        <v>6</v>
      </c>
      <c r="J32" s="120" t="s">
        <v>2</v>
      </c>
    </row>
    <row r="33" spans="1:10" customFormat="1" ht="14.4">
      <c r="A33" s="299"/>
      <c r="B33" s="126" t="str">
        <f>IF(A33="","",_xlfn.XLOOKUP(A33,brands_unshaped[Brand],brands_unshaped[Density '[g/cm3']],"TDS",0))</f>
        <v/>
      </c>
      <c r="C33" s="120">
        <v>25</v>
      </c>
      <c r="D33" s="120"/>
      <c r="E33" s="120" t="str">
        <f>IF(A33="","-",IF(_xlfn.XLOOKUP(A33,brands_unshaped[Brand],brands_unshaped[Addition],"TDS",0)="","-",_xlfn.XLOOKUP(A33,brands_unshaped[Brand],brands_unshaped[Addition],"TDS",0)))</f>
        <v>-</v>
      </c>
      <c r="F33" s="120" t="s">
        <v>16</v>
      </c>
      <c r="G33" s="121"/>
      <c r="H33" s="113" t="s">
        <v>2135</v>
      </c>
      <c r="I33" s="114">
        <f>IF(H33="","",VLOOKUP(H33,Tabela1[],2,0))</f>
        <v>6</v>
      </c>
      <c r="J33" s="120" t="s">
        <v>2</v>
      </c>
    </row>
    <row r="34" spans="1:10" customFormat="1" ht="14.4">
      <c r="A34" s="299"/>
      <c r="B34" s="126" t="str">
        <f>IF(A34="","",_xlfn.XLOOKUP(A34,brands_unshaped[Brand],brands_unshaped[Density '[g/cm3']],"TDS",0))</f>
        <v/>
      </c>
      <c r="C34" s="120">
        <v>25</v>
      </c>
      <c r="D34" s="120"/>
      <c r="E34" s="120" t="str">
        <f>IF(A34="","-",IF(_xlfn.XLOOKUP(A34,brands_unshaped[Brand],brands_unshaped[Addition],"TDS",0)="","-",_xlfn.XLOOKUP(A34,brands_unshaped[Brand],brands_unshaped[Addition],"TDS",0)))</f>
        <v>-</v>
      </c>
      <c r="F34" s="120" t="s">
        <v>16</v>
      </c>
      <c r="G34" s="121"/>
      <c r="H34" s="113" t="s">
        <v>2135</v>
      </c>
      <c r="I34" s="114">
        <f>IF(H34="","",VLOOKUP(H34,Tabela1[],2,0))</f>
        <v>6</v>
      </c>
      <c r="J34" s="120" t="s">
        <v>2</v>
      </c>
    </row>
    <row r="35" spans="1:10" customFormat="1" ht="14.4">
      <c r="A35" s="299"/>
      <c r="B35" s="126" t="str">
        <f>IF(A35="","",_xlfn.XLOOKUP(A35,brands_unshaped[Brand],brands_unshaped[Density '[g/cm3']],"TDS",0))</f>
        <v/>
      </c>
      <c r="C35" s="120">
        <v>25</v>
      </c>
      <c r="D35" s="120"/>
      <c r="E35" s="120" t="str">
        <f>IF(A35="","-",IF(_xlfn.XLOOKUP(A35,brands_unshaped[Brand],brands_unshaped[Addition],"TDS",0)="","-",_xlfn.XLOOKUP(A35,brands_unshaped[Brand],brands_unshaped[Addition],"TDS",0)))</f>
        <v>-</v>
      </c>
      <c r="F35" s="120" t="s">
        <v>16</v>
      </c>
      <c r="G35" s="121"/>
      <c r="H35" s="113" t="s">
        <v>2135</v>
      </c>
      <c r="I35" s="114">
        <f>IF(H35="","",VLOOKUP(H35,Tabela1[],2,0))</f>
        <v>6</v>
      </c>
      <c r="J35" s="120" t="s">
        <v>2</v>
      </c>
    </row>
    <row r="36" spans="1:10" customFormat="1" ht="14.4">
      <c r="A36" s="299"/>
      <c r="B36" s="126" t="str">
        <f>IF(A36="","",_xlfn.XLOOKUP(A36,brands_unshaped[Brand],brands_unshaped[Density '[g/cm3']],"TDS",0))</f>
        <v/>
      </c>
      <c r="C36" s="120">
        <v>25</v>
      </c>
      <c r="D36" s="120"/>
      <c r="E36" s="120" t="str">
        <f>IF(A36="","-",IF(_xlfn.XLOOKUP(A36,brands_unshaped[Brand],brands_unshaped[Addition],"TDS",0)="","-",_xlfn.XLOOKUP(A36,brands_unshaped[Brand],brands_unshaped[Addition],"TDS",0)))</f>
        <v>-</v>
      </c>
      <c r="F36" s="120" t="s">
        <v>16</v>
      </c>
      <c r="G36" s="121"/>
      <c r="H36" s="113" t="s">
        <v>2135</v>
      </c>
      <c r="I36" s="114">
        <f>IF(H36="","",VLOOKUP(H36,Tabela1[],2,0))</f>
        <v>6</v>
      </c>
      <c r="J36" s="120" t="s">
        <v>2</v>
      </c>
    </row>
    <row r="37" spans="1:10" customFormat="1" ht="14.4">
      <c r="A37" s="299"/>
      <c r="B37" s="126" t="str">
        <f>IF(A37="","",_xlfn.XLOOKUP(A37,brands_unshaped[Brand],brands_unshaped[Density '[g/cm3']],"TDS",0))</f>
        <v/>
      </c>
      <c r="C37" s="120">
        <v>25</v>
      </c>
      <c r="D37" s="120"/>
      <c r="E37" s="120" t="str">
        <f>IF(A37="","-",IF(_xlfn.XLOOKUP(A37,brands_unshaped[Brand],brands_unshaped[Addition],"TDS",0)="","-",_xlfn.XLOOKUP(A37,brands_unshaped[Brand],brands_unshaped[Addition],"TDS",0)))</f>
        <v>-</v>
      </c>
      <c r="F37" s="120" t="s">
        <v>16</v>
      </c>
      <c r="G37" s="121"/>
      <c r="H37" s="113" t="s">
        <v>2135</v>
      </c>
      <c r="I37" s="114">
        <f>IF(H37="","",VLOOKUP(H37,Tabela1[],2,0))</f>
        <v>6</v>
      </c>
      <c r="J37" s="120" t="s">
        <v>2</v>
      </c>
    </row>
    <row r="38" spans="1:10" customFormat="1" ht="14.4">
      <c r="A38" s="64"/>
      <c r="B38" s="64"/>
      <c r="C38" s="64"/>
      <c r="D38" s="64"/>
      <c r="E38" s="64"/>
      <c r="F38" s="64"/>
      <c r="G38" s="66"/>
      <c r="H38" s="65"/>
      <c r="I38" s="66"/>
      <c r="J38" s="64"/>
    </row>
    <row r="39" spans="1:10" customFormat="1" ht="14.4">
      <c r="A39" s="64"/>
      <c r="B39" s="64"/>
      <c r="C39" s="64"/>
      <c r="D39" s="64"/>
      <c r="E39" s="64"/>
      <c r="F39" s="64"/>
      <c r="G39" s="66"/>
      <c r="H39" s="65"/>
      <c r="I39" s="66"/>
      <c r="J39" s="64"/>
    </row>
    <row r="40" spans="1:10" s="112" customFormat="1" ht="25.8">
      <c r="A40" s="110" t="s">
        <v>2142</v>
      </c>
      <c r="B40" s="110"/>
      <c r="C40" s="110"/>
      <c r="D40" s="110"/>
      <c r="E40" s="110"/>
      <c r="F40" s="111"/>
      <c r="G40" s="110"/>
      <c r="H40" s="110"/>
      <c r="I40" s="111"/>
      <c r="J40" s="110"/>
    </row>
    <row r="41" spans="1:10" customFormat="1" ht="14.4">
      <c r="A41" s="299"/>
      <c r="B41" s="126" t="str">
        <f>IF(A41="","",_xlfn.XLOOKUP(A41,brands_unshaped[Brand],brands_unshaped[Density '[g/cm3']],"TDS",0))</f>
        <v/>
      </c>
      <c r="C41" s="120">
        <v>25</v>
      </c>
      <c r="D41" s="120"/>
      <c r="E41" s="120" t="str">
        <f>IF(A41="","-",IF(_xlfn.XLOOKUP(A41,brands_unshaped[Brand],brands_unshaped[Addition],"TDS",0)="","-",_xlfn.XLOOKUP(A41,brands_unshaped[Brand],brands_unshaped[Addition],"TDS",0)))</f>
        <v>-</v>
      </c>
      <c r="F41" s="120" t="s">
        <v>16</v>
      </c>
      <c r="G41" s="121"/>
      <c r="H41" s="113" t="s">
        <v>2136</v>
      </c>
      <c r="I41" s="114">
        <f>IF(H41="","",VLOOKUP(H41,Tabela1[],2,0))</f>
        <v>7</v>
      </c>
      <c r="J41" s="120" t="s">
        <v>2</v>
      </c>
    </row>
    <row r="42" spans="1:10" customFormat="1" ht="14.4">
      <c r="A42" s="299"/>
      <c r="B42" s="126" t="str">
        <f>IF(A42="","",_xlfn.XLOOKUP(A42,brands_unshaped[Brand],brands_unshaped[Density '[g/cm3']],"TDS",0))</f>
        <v/>
      </c>
      <c r="C42" s="120">
        <v>25</v>
      </c>
      <c r="D42" s="120"/>
      <c r="E42" s="120" t="str">
        <f>IF(A42="","-",IF(_xlfn.XLOOKUP(A42,brands_unshaped[Brand],brands_unshaped[Addition],"TDS",0)="","-",_xlfn.XLOOKUP(A42,brands_unshaped[Brand],brands_unshaped[Addition],"TDS",0)))</f>
        <v>-</v>
      </c>
      <c r="F42" s="120" t="s">
        <v>16</v>
      </c>
      <c r="G42" s="121"/>
      <c r="H42" s="113" t="s">
        <v>2136</v>
      </c>
      <c r="I42" s="114">
        <f>IF(H42="","",VLOOKUP(H42,Tabela1[],2,0))</f>
        <v>7</v>
      </c>
      <c r="J42" s="120" t="s">
        <v>2</v>
      </c>
    </row>
    <row r="43" spans="1:10" customFormat="1" ht="14.4">
      <c r="A43" s="299"/>
      <c r="B43" s="126" t="str">
        <f>IF(A43="","",_xlfn.XLOOKUP(A43,brands_unshaped[Brand],brands_unshaped[Density '[g/cm3']],"TDS",0))</f>
        <v/>
      </c>
      <c r="C43" s="120">
        <v>25</v>
      </c>
      <c r="D43" s="120"/>
      <c r="E43" s="120" t="str">
        <f>IF(A43="","-",IF(_xlfn.XLOOKUP(A43,brands_unshaped[Brand],brands_unshaped[Addition],"TDS",0)="","-",_xlfn.XLOOKUP(A43,brands_unshaped[Brand],brands_unshaped[Addition],"TDS",0)))</f>
        <v>-</v>
      </c>
      <c r="F43" s="120" t="s">
        <v>16</v>
      </c>
      <c r="G43" s="121"/>
      <c r="H43" s="113" t="s">
        <v>2136</v>
      </c>
      <c r="I43" s="114">
        <f>IF(H43="","",VLOOKUP(H43,Tabela1[],2,0))</f>
        <v>7</v>
      </c>
      <c r="J43" s="120" t="s">
        <v>2</v>
      </c>
    </row>
    <row r="44" spans="1:10" customFormat="1" ht="14.4">
      <c r="A44" s="299"/>
      <c r="B44" s="126" t="str">
        <f>IF(A44="","",_xlfn.XLOOKUP(A44,brands_unshaped[Brand],brands_unshaped[Density '[g/cm3']],"TDS",0))</f>
        <v/>
      </c>
      <c r="C44" s="120">
        <v>25</v>
      </c>
      <c r="D44" s="120"/>
      <c r="E44" s="120" t="str">
        <f>IF(A44="","-",IF(_xlfn.XLOOKUP(A44,brands_unshaped[Brand],brands_unshaped[Addition],"TDS",0)="","-",_xlfn.XLOOKUP(A44,brands_unshaped[Brand],brands_unshaped[Addition],"TDS",0)))</f>
        <v>-</v>
      </c>
      <c r="F44" s="120" t="s">
        <v>16</v>
      </c>
      <c r="G44" s="121"/>
      <c r="H44" s="113" t="s">
        <v>2136</v>
      </c>
      <c r="I44" s="114">
        <f>IF(H44="","",VLOOKUP(H44,Tabela1[],2,0))</f>
        <v>7</v>
      </c>
      <c r="J44" s="120" t="s">
        <v>2</v>
      </c>
    </row>
    <row r="45" spans="1:10" customFormat="1" ht="14.4">
      <c r="A45" s="299"/>
      <c r="B45" s="126" t="str">
        <f>IF(A45="","",_xlfn.XLOOKUP(A45,brands_unshaped[Brand],brands_unshaped[Density '[g/cm3']],"TDS",0))</f>
        <v/>
      </c>
      <c r="C45" s="120">
        <v>25</v>
      </c>
      <c r="D45" s="120"/>
      <c r="E45" s="120" t="str">
        <f>IF(A45="","-",IF(_xlfn.XLOOKUP(A45,brands_unshaped[Brand],brands_unshaped[Addition],"TDS",0)="","-",_xlfn.XLOOKUP(A45,brands_unshaped[Brand],brands_unshaped[Addition],"TDS",0)))</f>
        <v>-</v>
      </c>
      <c r="F45" s="120" t="s">
        <v>16</v>
      </c>
      <c r="G45" s="121"/>
      <c r="H45" s="113" t="s">
        <v>2136</v>
      </c>
      <c r="I45" s="114">
        <f>IF(H45="","",VLOOKUP(H45,Tabela1[],2,0))</f>
        <v>7</v>
      </c>
      <c r="J45" s="120" t="s">
        <v>2</v>
      </c>
    </row>
    <row r="46" spans="1:10" customFormat="1" ht="14.4">
      <c r="A46" s="299"/>
      <c r="B46" s="126" t="str">
        <f>IF(A46="","",_xlfn.XLOOKUP(A46,brands_unshaped[Brand],brands_unshaped[Density '[g/cm3']],"TDS",0))</f>
        <v/>
      </c>
      <c r="C46" s="120">
        <v>25</v>
      </c>
      <c r="D46" s="120"/>
      <c r="E46" s="120" t="str">
        <f>IF(A46="","-",IF(_xlfn.XLOOKUP(A46,brands_unshaped[Brand],brands_unshaped[Addition],"TDS",0)="","-",_xlfn.XLOOKUP(A46,brands_unshaped[Brand],brands_unshaped[Addition],"TDS",0)))</f>
        <v>-</v>
      </c>
      <c r="F46" s="120" t="s">
        <v>16</v>
      </c>
      <c r="G46" s="121"/>
      <c r="H46" s="113" t="s">
        <v>2136</v>
      </c>
      <c r="I46" s="114">
        <f>IF(H46="","",VLOOKUP(H46,Tabela1[],2,0))</f>
        <v>7</v>
      </c>
      <c r="J46" s="120" t="s">
        <v>2</v>
      </c>
    </row>
    <row r="47" spans="1:10" customFormat="1" ht="14.4">
      <c r="A47" s="299"/>
      <c r="B47" s="126" t="str">
        <f>IF(A47="","",_xlfn.XLOOKUP(A47,brands_unshaped[Brand],brands_unshaped[Density '[g/cm3']],"TDS",0))</f>
        <v/>
      </c>
      <c r="C47" s="120">
        <v>25</v>
      </c>
      <c r="D47" s="120"/>
      <c r="E47" s="120" t="str">
        <f>IF(A47="","-",IF(_xlfn.XLOOKUP(A47,brands_unshaped[Brand],brands_unshaped[Addition],"TDS",0)="","-",_xlfn.XLOOKUP(A47,brands_unshaped[Brand],brands_unshaped[Addition],"TDS",0)))</f>
        <v>-</v>
      </c>
      <c r="F47" s="120" t="s">
        <v>16</v>
      </c>
      <c r="G47" s="121"/>
      <c r="H47" s="113" t="s">
        <v>2136</v>
      </c>
      <c r="I47" s="114">
        <f>IF(H47="","",VLOOKUP(H47,Tabela1[],2,0))</f>
        <v>7</v>
      </c>
      <c r="J47" s="120" t="s">
        <v>2</v>
      </c>
    </row>
    <row r="48" spans="1:10" customFormat="1" ht="14.4">
      <c r="A48" s="299"/>
      <c r="B48" s="126" t="str">
        <f>IF(A48="","",_xlfn.XLOOKUP(A48,brands_unshaped[Brand],brands_unshaped[Density '[g/cm3']],"TDS",0))</f>
        <v/>
      </c>
      <c r="C48" s="120">
        <v>25</v>
      </c>
      <c r="D48" s="120"/>
      <c r="E48" s="120" t="str">
        <f>IF(A48="","-",IF(_xlfn.XLOOKUP(A48,brands_unshaped[Brand],brands_unshaped[Addition],"TDS",0)="","-",_xlfn.XLOOKUP(A48,brands_unshaped[Brand],brands_unshaped[Addition],"TDS",0)))</f>
        <v>-</v>
      </c>
      <c r="F48" s="120" t="s">
        <v>16</v>
      </c>
      <c r="G48" s="121"/>
      <c r="H48" s="113" t="s">
        <v>2136</v>
      </c>
      <c r="I48" s="114">
        <f>IF(H48="","",VLOOKUP(H48,Tabela1[],2,0))</f>
        <v>7</v>
      </c>
      <c r="J48" s="120" t="s">
        <v>2</v>
      </c>
    </row>
    <row r="49" spans="1:10" customFormat="1" ht="14.4">
      <c r="A49" s="299"/>
      <c r="B49" s="126" t="str">
        <f>IF(A49="","",_xlfn.XLOOKUP(A49,brands_unshaped[Brand],brands_unshaped[Density '[g/cm3']],"TDS",0))</f>
        <v/>
      </c>
      <c r="C49" s="120">
        <v>25</v>
      </c>
      <c r="D49" s="120"/>
      <c r="E49" s="120" t="str">
        <f>IF(A49="","-",IF(_xlfn.XLOOKUP(A49,brands_unshaped[Brand],brands_unshaped[Addition],"TDS",0)="","-",_xlfn.XLOOKUP(A49,brands_unshaped[Brand],brands_unshaped[Addition],"TDS",0)))</f>
        <v>-</v>
      </c>
      <c r="F49" s="120" t="s">
        <v>16</v>
      </c>
      <c r="G49" s="121"/>
      <c r="H49" s="113" t="s">
        <v>2136</v>
      </c>
      <c r="I49" s="114">
        <f>IF(H49="","",VLOOKUP(H49,Tabela1[],2,0))</f>
        <v>7</v>
      </c>
      <c r="J49" s="120" t="s">
        <v>2</v>
      </c>
    </row>
    <row r="50" spans="1:10" customFormat="1" ht="14.4">
      <c r="A50" s="64"/>
      <c r="B50" s="64"/>
      <c r="C50" s="64"/>
      <c r="D50" s="64"/>
      <c r="E50" s="64"/>
      <c r="F50" s="64"/>
      <c r="G50" s="66"/>
      <c r="H50" s="65"/>
      <c r="I50" s="66"/>
      <c r="J50" s="64"/>
    </row>
    <row r="51" spans="1:10" customFormat="1" ht="14.4">
      <c r="A51" s="64"/>
      <c r="B51" s="64"/>
      <c r="C51" s="64"/>
      <c r="D51" s="64"/>
      <c r="E51" s="64"/>
      <c r="F51" s="64"/>
      <c r="G51" s="66"/>
      <c r="H51" s="65"/>
      <c r="I51" s="66"/>
      <c r="J51" s="64"/>
    </row>
    <row r="52" spans="1:10" s="112" customFormat="1" ht="25.8">
      <c r="A52" s="110" t="s">
        <v>635</v>
      </c>
      <c r="B52" s="110"/>
      <c r="C52" s="110"/>
      <c r="D52" s="110"/>
      <c r="E52" s="110"/>
      <c r="F52" s="111"/>
      <c r="G52" s="110"/>
      <c r="H52" s="110"/>
      <c r="I52" s="111"/>
      <c r="J52" s="110"/>
    </row>
    <row r="53" spans="1:10" customFormat="1" ht="14.4">
      <c r="A53" s="299"/>
      <c r="B53" s="126" t="str">
        <f>IF(A53="","",_xlfn.XLOOKUP(A53,brands_unshaped[Brand],brands_unshaped[Density '[g/cm3']],"TDS",0))</f>
        <v/>
      </c>
      <c r="C53" s="120">
        <v>25</v>
      </c>
      <c r="D53" s="120"/>
      <c r="E53" s="120" t="str">
        <f>IF(A53="","-",IF(_xlfn.XLOOKUP(A53,brands_unshaped[Brand],brands_unshaped[Addition],"TDS",0)="","-",_xlfn.XLOOKUP(A53,brands_unshaped[Brand],brands_unshaped[Addition],"TDS",0)))</f>
        <v>-</v>
      </c>
      <c r="F53" s="120" t="s">
        <v>16</v>
      </c>
      <c r="G53" s="121" t="s">
        <v>16</v>
      </c>
      <c r="H53" s="113" t="s">
        <v>2134</v>
      </c>
      <c r="I53" s="114">
        <f>IF(H53="","",VLOOKUP(H53,Tabela1[],2,0))</f>
        <v>5</v>
      </c>
      <c r="J53" s="120" t="s">
        <v>2</v>
      </c>
    </row>
    <row r="54" spans="1:10" customFormat="1" ht="14.4">
      <c r="A54" s="299"/>
      <c r="B54" s="126" t="str">
        <f>IF(A54="","",_xlfn.XLOOKUP(A54,brands_unshaped[Brand],brands_unshaped[Density '[g/cm3']],"TDS",0))</f>
        <v/>
      </c>
      <c r="C54" s="120">
        <v>25</v>
      </c>
      <c r="D54" s="120"/>
      <c r="E54" s="120" t="str">
        <f>IF(A54="","-",IF(_xlfn.XLOOKUP(A54,brands_unshaped[Brand],brands_unshaped[Addition],"TDS",0)="","-",_xlfn.XLOOKUP(A54,brands_unshaped[Brand],brands_unshaped[Addition],"TDS",0)))</f>
        <v>-</v>
      </c>
      <c r="F54" s="120" t="s">
        <v>16</v>
      </c>
      <c r="G54" s="121" t="s">
        <v>16</v>
      </c>
      <c r="H54" s="113" t="s">
        <v>2134</v>
      </c>
      <c r="I54" s="114">
        <f>IF(H54="","",VLOOKUP(H54,Tabela1[],2,0))</f>
        <v>5</v>
      </c>
      <c r="J54" s="120" t="s">
        <v>2</v>
      </c>
    </row>
    <row r="55" spans="1:10" customFormat="1" ht="14.4">
      <c r="A55" s="299"/>
      <c r="B55" s="126" t="str">
        <f>IF(A55="","",_xlfn.XLOOKUP(A55,brands_unshaped[Brand],brands_unshaped[Density '[g/cm3']],"TDS",0))</f>
        <v/>
      </c>
      <c r="C55" s="120">
        <v>25</v>
      </c>
      <c r="D55" s="120"/>
      <c r="E55" s="120" t="str">
        <f>IF(A55="","-",IF(_xlfn.XLOOKUP(A55,brands_unshaped[Brand],brands_unshaped[Addition],"TDS",0)="","-",_xlfn.XLOOKUP(A55,brands_unshaped[Brand],brands_unshaped[Addition],"TDS",0)))</f>
        <v>-</v>
      </c>
      <c r="F55" s="120" t="s">
        <v>16</v>
      </c>
      <c r="G55" s="121" t="s">
        <v>16</v>
      </c>
      <c r="H55" s="113" t="s">
        <v>2134</v>
      </c>
      <c r="I55" s="114">
        <f>IF(H55="","",VLOOKUP(H55,Tabela1[],2,0))</f>
        <v>5</v>
      </c>
      <c r="J55" s="120" t="s">
        <v>2</v>
      </c>
    </row>
    <row r="56" spans="1:10" customFormat="1" ht="14.4">
      <c r="A56" s="299"/>
      <c r="B56" s="126" t="str">
        <f>IF(A56="","",_xlfn.XLOOKUP(A56,brands_unshaped[Brand],brands_unshaped[Density '[g/cm3']],"TDS",0))</f>
        <v/>
      </c>
      <c r="C56" s="120">
        <v>25</v>
      </c>
      <c r="D56" s="120"/>
      <c r="E56" s="120" t="str">
        <f>IF(A56="","-",IF(_xlfn.XLOOKUP(A56,brands_unshaped[Brand],brands_unshaped[Addition],"TDS",0)="","-",_xlfn.XLOOKUP(A56,brands_unshaped[Brand],brands_unshaped[Addition],"TDS",0)))</f>
        <v>-</v>
      </c>
      <c r="F56" s="120" t="s">
        <v>16</v>
      </c>
      <c r="G56" s="121" t="s">
        <v>16</v>
      </c>
      <c r="H56" s="113" t="s">
        <v>2134</v>
      </c>
      <c r="I56" s="114">
        <f>IF(H56="","",VLOOKUP(H56,Tabela1[],2,0))</f>
        <v>5</v>
      </c>
      <c r="J56" s="120" t="s">
        <v>2</v>
      </c>
    </row>
    <row r="57" spans="1:10" customFormat="1" ht="14.4">
      <c r="A57" s="299"/>
      <c r="B57" s="126" t="str">
        <f>IF(A57="","",_xlfn.XLOOKUP(A57,brands_unshaped[Brand],brands_unshaped[Density '[g/cm3']],"TDS",0))</f>
        <v/>
      </c>
      <c r="C57" s="120">
        <v>25</v>
      </c>
      <c r="D57" s="120"/>
      <c r="E57" s="120" t="str">
        <f>IF(A57="","-",IF(_xlfn.XLOOKUP(A57,brands_unshaped[Brand],brands_unshaped[Addition],"TDS",0)="","-",_xlfn.XLOOKUP(A57,brands_unshaped[Brand],brands_unshaped[Addition],"TDS",0)))</f>
        <v>-</v>
      </c>
      <c r="F57" s="120" t="s">
        <v>16</v>
      </c>
      <c r="G57" s="121" t="s">
        <v>16</v>
      </c>
      <c r="H57" s="113" t="s">
        <v>2134</v>
      </c>
      <c r="I57" s="114">
        <f>IF(H57="","",VLOOKUP(H57,Tabela1[],2,0))</f>
        <v>5</v>
      </c>
      <c r="J57" s="120" t="s">
        <v>2</v>
      </c>
    </row>
    <row r="58" spans="1:10" customFormat="1" ht="14.4">
      <c r="A58" s="299"/>
      <c r="B58" s="126" t="str">
        <f>IF(A58="","",_xlfn.XLOOKUP(A58,brands_unshaped[Brand],brands_unshaped[Density '[g/cm3']],"TDS",0))</f>
        <v/>
      </c>
      <c r="C58" s="120">
        <v>25</v>
      </c>
      <c r="D58" s="120"/>
      <c r="E58" s="120" t="str">
        <f>IF(A58="","-",IF(_xlfn.XLOOKUP(A58,brands_unshaped[Brand],brands_unshaped[Addition],"TDS",0)="","-",_xlfn.XLOOKUP(A58,brands_unshaped[Brand],brands_unshaped[Addition],"TDS",0)))</f>
        <v>-</v>
      </c>
      <c r="F58" s="120" t="s">
        <v>16</v>
      </c>
      <c r="G58" s="121" t="s">
        <v>16</v>
      </c>
      <c r="H58" s="113" t="s">
        <v>2134</v>
      </c>
      <c r="I58" s="114">
        <f>IF(H58="","",VLOOKUP(H58,Tabela1[],2,0))</f>
        <v>5</v>
      </c>
      <c r="J58" s="120" t="s">
        <v>2</v>
      </c>
    </row>
    <row r="59" spans="1:10" customFormat="1" ht="14.4">
      <c r="A59" s="64"/>
      <c r="B59" s="64"/>
      <c r="C59" s="64"/>
      <c r="D59" s="64"/>
      <c r="E59" s="64"/>
      <c r="F59" s="64"/>
      <c r="G59" s="66"/>
      <c r="H59" s="65"/>
      <c r="I59" s="66"/>
      <c r="J59" s="64"/>
    </row>
    <row r="60" spans="1:10" customFormat="1" ht="14.4">
      <c r="A60" s="64"/>
      <c r="B60" s="64"/>
      <c r="C60" s="64"/>
      <c r="D60" s="64"/>
      <c r="E60" s="64"/>
      <c r="F60" s="64"/>
      <c r="G60" s="66"/>
      <c r="H60" s="65"/>
      <c r="I60" s="66"/>
      <c r="J60" s="64"/>
    </row>
    <row r="61" spans="1:10" s="112" customFormat="1" ht="25.8">
      <c r="A61" s="116" t="s">
        <v>1738</v>
      </c>
      <c r="B61" s="116"/>
      <c r="C61" s="116"/>
      <c r="D61" s="116"/>
      <c r="E61" s="116"/>
      <c r="F61" s="117"/>
      <c r="G61" s="116"/>
      <c r="H61" s="116"/>
      <c r="I61" s="117"/>
      <c r="J61" s="116"/>
    </row>
    <row r="62" spans="1:10" ht="15" customHeight="1">
      <c r="A62" s="118" t="s">
        <v>1743</v>
      </c>
      <c r="B62" s="118">
        <v>7.85</v>
      </c>
      <c r="C62" s="118">
        <v>1</v>
      </c>
      <c r="D62" s="118"/>
      <c r="E62" s="118" t="s">
        <v>16</v>
      </c>
      <c r="F62" s="119" t="s">
        <v>16</v>
      </c>
      <c r="G62" s="118" t="s">
        <v>108</v>
      </c>
      <c r="H62" s="118" t="s">
        <v>2138</v>
      </c>
      <c r="I62" s="119">
        <f>IF(H62="","",VLOOKUP(H62,Tabela1[],2,0))</f>
        <v>9</v>
      </c>
      <c r="J62" s="118" t="s">
        <v>1</v>
      </c>
    </row>
    <row r="63" spans="1:10" ht="15" customHeight="1">
      <c r="A63" s="118" t="s">
        <v>21</v>
      </c>
      <c r="B63" s="118">
        <v>7.85</v>
      </c>
      <c r="C63" s="118">
        <v>1</v>
      </c>
      <c r="D63" s="118"/>
      <c r="E63" s="118" t="s">
        <v>16</v>
      </c>
      <c r="F63" s="119" t="s">
        <v>16</v>
      </c>
      <c r="G63" s="118" t="s">
        <v>108</v>
      </c>
      <c r="H63" s="118" t="s">
        <v>2138</v>
      </c>
      <c r="I63" s="119">
        <f>IF(H63="","",VLOOKUP(H63,Tabela1[],2,0))</f>
        <v>9</v>
      </c>
      <c r="J63" s="118" t="s">
        <v>1</v>
      </c>
    </row>
    <row r="64" spans="1:10" ht="15" customHeight="1">
      <c r="A64" s="118" t="s">
        <v>58</v>
      </c>
      <c r="B64" s="118">
        <v>7.85</v>
      </c>
      <c r="C64" s="118">
        <v>1</v>
      </c>
      <c r="D64" s="118"/>
      <c r="E64" s="118" t="s">
        <v>16</v>
      </c>
      <c r="F64" s="119" t="s">
        <v>16</v>
      </c>
      <c r="G64" s="118" t="s">
        <v>108</v>
      </c>
      <c r="H64" s="118" t="s">
        <v>2138</v>
      </c>
      <c r="I64" s="119">
        <f>IF(H64="","",VLOOKUP(H64,Tabela1[],2,0))</f>
        <v>9</v>
      </c>
      <c r="J64" s="118" t="s">
        <v>1</v>
      </c>
    </row>
    <row r="65" spans="1:10" ht="15" customHeight="1">
      <c r="A65" s="118" t="s">
        <v>1739</v>
      </c>
      <c r="B65" s="118">
        <v>8</v>
      </c>
      <c r="C65" s="118">
        <v>1</v>
      </c>
      <c r="D65" s="118"/>
      <c r="E65" s="118" t="s">
        <v>16</v>
      </c>
      <c r="F65" s="119" t="s">
        <v>16</v>
      </c>
      <c r="G65" s="118" t="s">
        <v>108</v>
      </c>
      <c r="H65" s="118" t="s">
        <v>2138</v>
      </c>
      <c r="I65" s="119">
        <f>IF(H65="","",VLOOKUP(H65,Tabela1[],2,0))</f>
        <v>9</v>
      </c>
      <c r="J65" s="118" t="s">
        <v>1</v>
      </c>
    </row>
    <row r="66" spans="1:10" ht="15" customHeight="1">
      <c r="A66" s="118" t="s">
        <v>1740</v>
      </c>
      <c r="B66" s="118">
        <v>8</v>
      </c>
      <c r="C66" s="118">
        <v>1</v>
      </c>
      <c r="D66" s="118"/>
      <c r="E66" s="118" t="s">
        <v>16</v>
      </c>
      <c r="F66" s="119" t="s">
        <v>16</v>
      </c>
      <c r="G66" s="118" t="s">
        <v>108</v>
      </c>
      <c r="H66" s="118" t="s">
        <v>2138</v>
      </c>
      <c r="I66" s="119">
        <f>IF(H66="","",VLOOKUP(H66,Tabela1[],2,0))</f>
        <v>9</v>
      </c>
      <c r="J66" s="118" t="s">
        <v>1</v>
      </c>
    </row>
    <row r="67" spans="1:10" ht="15" customHeight="1">
      <c r="A67" s="118" t="s">
        <v>1741</v>
      </c>
      <c r="B67" s="118">
        <v>8</v>
      </c>
      <c r="C67" s="118">
        <v>1</v>
      </c>
      <c r="D67" s="118"/>
      <c r="E67" s="118" t="s">
        <v>16</v>
      </c>
      <c r="F67" s="119" t="s">
        <v>16</v>
      </c>
      <c r="G67" s="118" t="s">
        <v>108</v>
      </c>
      <c r="H67" s="118" t="s">
        <v>2138</v>
      </c>
      <c r="I67" s="119">
        <f>IF(H67="","",VLOOKUP(H67,Tabela1[],2,0))</f>
        <v>9</v>
      </c>
      <c r="J67" s="118" t="s">
        <v>1</v>
      </c>
    </row>
    <row r="68" spans="1:10" ht="15" customHeight="1">
      <c r="A68" s="118" t="s">
        <v>1744</v>
      </c>
      <c r="B68" s="118">
        <v>8</v>
      </c>
      <c r="C68" s="118">
        <v>1</v>
      </c>
      <c r="D68" s="118"/>
      <c r="E68" s="118" t="s">
        <v>16</v>
      </c>
      <c r="F68" s="119" t="s">
        <v>16</v>
      </c>
      <c r="G68" s="118" t="s">
        <v>108</v>
      </c>
      <c r="H68" s="118" t="s">
        <v>2138</v>
      </c>
      <c r="I68" s="119">
        <f>IF(H68="","",VLOOKUP(H68,Tabela1[],2,0))</f>
        <v>9</v>
      </c>
      <c r="J68" s="118" t="s">
        <v>1</v>
      </c>
    </row>
    <row r="69" spans="1:10" ht="15" customHeight="1">
      <c r="A69" s="118" t="s">
        <v>1742</v>
      </c>
      <c r="B69" s="118">
        <v>8</v>
      </c>
      <c r="C69" s="118">
        <v>1</v>
      </c>
      <c r="D69" s="118"/>
      <c r="E69" s="118" t="s">
        <v>16</v>
      </c>
      <c r="F69" s="119" t="s">
        <v>16</v>
      </c>
      <c r="G69" s="118" t="s">
        <v>108</v>
      </c>
      <c r="H69" s="118" t="s">
        <v>2138</v>
      </c>
      <c r="I69" s="119">
        <f>IF(H69="","",VLOOKUP(H69,Tabela1[],2,0))</f>
        <v>9</v>
      </c>
      <c r="J69" s="118" t="s">
        <v>1</v>
      </c>
    </row>
    <row r="70" spans="1:10" ht="15" customHeight="1">
      <c r="A70" s="326" t="s">
        <v>1079</v>
      </c>
      <c r="B70" s="118">
        <v>1</v>
      </c>
      <c r="C70" s="118">
        <v>185</v>
      </c>
      <c r="D70" s="118"/>
      <c r="E70" s="118" t="s">
        <v>1087</v>
      </c>
      <c r="F70" s="119" t="s">
        <v>16</v>
      </c>
      <c r="G70" s="118" t="s">
        <v>108</v>
      </c>
      <c r="H70" s="118" t="s">
        <v>2138</v>
      </c>
      <c r="I70" s="119">
        <f>IF(H70="","",VLOOKUP(H70,Tabela1[],2,0))</f>
        <v>9</v>
      </c>
      <c r="J70" s="118" t="s">
        <v>1</v>
      </c>
    </row>
    <row r="71" spans="1:10" ht="15" customHeight="1">
      <c r="A71" s="326" t="s">
        <v>1080</v>
      </c>
      <c r="B71" s="118">
        <v>1</v>
      </c>
      <c r="C71" s="118">
        <v>140</v>
      </c>
      <c r="D71" s="118"/>
      <c r="E71" s="118" t="s">
        <v>1088</v>
      </c>
      <c r="F71" s="119" t="s">
        <v>16</v>
      </c>
      <c r="G71" s="118" t="s">
        <v>108</v>
      </c>
      <c r="H71" s="118" t="s">
        <v>2138</v>
      </c>
      <c r="I71" s="119">
        <f>IF(H71="","",VLOOKUP(H71,Tabela1[],2,0))</f>
        <v>9</v>
      </c>
      <c r="J71" s="118" t="s">
        <v>1</v>
      </c>
    </row>
    <row r="72" spans="1:10" ht="15" customHeight="1">
      <c r="A72" s="326" t="s">
        <v>1081</v>
      </c>
      <c r="B72" s="118">
        <v>1</v>
      </c>
      <c r="C72" s="118">
        <v>120</v>
      </c>
      <c r="D72" s="118"/>
      <c r="E72" s="118" t="s">
        <v>1089</v>
      </c>
      <c r="F72" s="119" t="s">
        <v>16</v>
      </c>
      <c r="G72" s="118" t="s">
        <v>108</v>
      </c>
      <c r="H72" s="118" t="s">
        <v>2138</v>
      </c>
      <c r="I72" s="119">
        <f>IF(H72="","",VLOOKUP(H72,Tabela1[],2,0))</f>
        <v>9</v>
      </c>
      <c r="J72" s="118" t="s">
        <v>1</v>
      </c>
    </row>
    <row r="73" spans="1:10" ht="15" customHeight="1">
      <c r="A73" s="326" t="s">
        <v>1082</v>
      </c>
      <c r="B73" s="118">
        <v>1</v>
      </c>
      <c r="C73" s="118">
        <v>180</v>
      </c>
      <c r="D73" s="118"/>
      <c r="E73" s="118" t="s">
        <v>1089</v>
      </c>
      <c r="F73" s="119" t="s">
        <v>16</v>
      </c>
      <c r="G73" s="118" t="s">
        <v>108</v>
      </c>
      <c r="H73" s="118" t="s">
        <v>2138</v>
      </c>
      <c r="I73" s="119">
        <f>IF(H73="","",VLOOKUP(H73,Tabela1[],2,0))</f>
        <v>9</v>
      </c>
      <c r="J73" s="118" t="s">
        <v>1</v>
      </c>
    </row>
    <row r="74" spans="1:10" ht="15" customHeight="1">
      <c r="A74" s="326" t="s">
        <v>1818</v>
      </c>
      <c r="B74" s="118">
        <v>1</v>
      </c>
      <c r="C74" s="118">
        <v>140</v>
      </c>
      <c r="D74" s="118"/>
      <c r="E74" s="326" t="s">
        <v>1820</v>
      </c>
      <c r="F74" s="119" t="s">
        <v>16</v>
      </c>
      <c r="G74" s="118" t="s">
        <v>108</v>
      </c>
      <c r="H74" s="118" t="s">
        <v>2138</v>
      </c>
      <c r="I74" s="119">
        <f>IF(H74="","",VLOOKUP(H74,Tabela1[],2,0))</f>
        <v>9</v>
      </c>
      <c r="J74" s="118" t="s">
        <v>1</v>
      </c>
    </row>
    <row r="75" spans="1:10" ht="15" customHeight="1">
      <c r="A75" s="326" t="s">
        <v>1819</v>
      </c>
      <c r="B75" s="118">
        <v>1</v>
      </c>
      <c r="C75" s="118">
        <v>140</v>
      </c>
      <c r="D75" s="118"/>
      <c r="E75" s="326" t="s">
        <v>1821</v>
      </c>
      <c r="F75" s="119" t="s">
        <v>16</v>
      </c>
      <c r="G75" s="118" t="s">
        <v>108</v>
      </c>
      <c r="H75" s="118" t="s">
        <v>2138</v>
      </c>
      <c r="I75" s="119">
        <f>IF(H75="","",VLOOKUP(H75,Tabela1[],2,0))</f>
        <v>9</v>
      </c>
      <c r="J75" s="118" t="s">
        <v>1</v>
      </c>
    </row>
    <row r="76" spans="1:10" customFormat="1" ht="14.4">
      <c r="A76" s="64"/>
      <c r="B76" s="64"/>
      <c r="C76" s="64"/>
      <c r="D76" s="64"/>
      <c r="E76" s="64"/>
      <c r="F76" s="64"/>
      <c r="G76" s="66"/>
      <c r="H76" s="65"/>
      <c r="I76" s="66"/>
      <c r="J76" s="64"/>
    </row>
    <row r="77" spans="1:10" customFormat="1" ht="14.4">
      <c r="A77" s="64"/>
      <c r="B77" s="64"/>
      <c r="C77" s="64"/>
      <c r="D77" s="64"/>
      <c r="E77" s="64"/>
      <c r="F77" s="64"/>
      <c r="G77" s="66"/>
      <c r="H77" s="65"/>
      <c r="I77" s="66"/>
      <c r="J77" s="64"/>
    </row>
    <row r="78" spans="1:10" s="112" customFormat="1" ht="25.8">
      <c r="A78" s="116" t="s">
        <v>636</v>
      </c>
      <c r="B78" s="116"/>
      <c r="C78" s="116"/>
      <c r="D78" s="116"/>
      <c r="E78" s="116"/>
      <c r="F78" s="117"/>
      <c r="G78" s="116"/>
      <c r="H78" s="116"/>
      <c r="I78" s="117"/>
      <c r="J78" s="116"/>
    </row>
    <row r="79" spans="1:10" ht="15" customHeight="1">
      <c r="A79" s="94" t="s">
        <v>74</v>
      </c>
      <c r="B79" s="94">
        <v>1.55</v>
      </c>
      <c r="C79" s="94">
        <v>35</v>
      </c>
      <c r="D79" s="94"/>
      <c r="E79" s="94" t="s">
        <v>505</v>
      </c>
      <c r="F79" s="95" t="s">
        <v>16</v>
      </c>
      <c r="G79" s="94">
        <v>22</v>
      </c>
      <c r="H79" s="64" t="s">
        <v>2134</v>
      </c>
      <c r="I79" s="65">
        <f>IF(H79="","",VLOOKUP(H79,Tabela1[],2,0))</f>
        <v>5</v>
      </c>
      <c r="J79" s="94" t="s">
        <v>2</v>
      </c>
    </row>
    <row r="80" spans="1:10" ht="15" customHeight="1">
      <c r="A80" s="64" t="s">
        <v>73</v>
      </c>
      <c r="B80" s="64">
        <v>0.8</v>
      </c>
      <c r="C80" s="64">
        <v>20</v>
      </c>
      <c r="D80" s="64"/>
      <c r="E80" s="64" t="s">
        <v>505</v>
      </c>
      <c r="F80" s="65" t="s">
        <v>16</v>
      </c>
      <c r="G80" s="64">
        <v>22</v>
      </c>
      <c r="H80" s="64" t="s">
        <v>2134</v>
      </c>
      <c r="I80" s="65">
        <f>IF(H80="","",VLOOKUP(H80,Tabela1[],2,0))</f>
        <v>5</v>
      </c>
      <c r="J80" s="64" t="s">
        <v>2</v>
      </c>
    </row>
    <row r="81" spans="1:10" ht="15" customHeight="1">
      <c r="A81" s="64" t="s">
        <v>518</v>
      </c>
      <c r="B81" s="64">
        <v>0.20200000000000001</v>
      </c>
      <c r="C81" s="64">
        <v>1</v>
      </c>
      <c r="D81" s="64"/>
      <c r="E81" s="64" t="s">
        <v>642</v>
      </c>
      <c r="F81" s="65" t="s">
        <v>506</v>
      </c>
      <c r="G81" s="64" t="s">
        <v>108</v>
      </c>
      <c r="H81" s="64" t="s">
        <v>2132</v>
      </c>
      <c r="I81" s="65">
        <f>IF(H81="","",VLOOKUP(H81,Tabela1[],2,0))</f>
        <v>3</v>
      </c>
      <c r="J81" s="64" t="s">
        <v>1</v>
      </c>
    </row>
    <row r="82" spans="1:10" ht="15" customHeight="1">
      <c r="A82" s="64" t="s">
        <v>517</v>
      </c>
      <c r="B82" s="64">
        <v>0.39200000000000002</v>
      </c>
      <c r="C82" s="64">
        <v>1</v>
      </c>
      <c r="D82" s="64"/>
      <c r="E82" s="64" t="s">
        <v>642</v>
      </c>
      <c r="F82" s="65" t="s">
        <v>506</v>
      </c>
      <c r="G82" s="64" t="s">
        <v>108</v>
      </c>
      <c r="H82" s="64" t="s">
        <v>2132</v>
      </c>
      <c r="I82" s="65">
        <f>IF(H82="","",VLOOKUP(H82,Tabela1[],2,0))</f>
        <v>3</v>
      </c>
      <c r="J82" s="64" t="s">
        <v>1</v>
      </c>
    </row>
    <row r="83" spans="1:10" ht="15" customHeight="1">
      <c r="A83" s="64" t="s">
        <v>507</v>
      </c>
      <c r="B83" s="64">
        <v>0.5</v>
      </c>
      <c r="C83" s="64">
        <v>1</v>
      </c>
      <c r="D83" s="64"/>
      <c r="E83" s="64" t="s">
        <v>16</v>
      </c>
      <c r="F83" s="65" t="s">
        <v>506</v>
      </c>
      <c r="G83" s="64" t="s">
        <v>108</v>
      </c>
      <c r="H83" s="64" t="s">
        <v>2131</v>
      </c>
      <c r="I83" s="65">
        <f>IF(H83="","",VLOOKUP(H83,Tabela1[],2,0))</f>
        <v>2</v>
      </c>
      <c r="J83" s="64" t="s">
        <v>1</v>
      </c>
    </row>
    <row r="84" spans="1:10" ht="15" customHeight="1">
      <c r="A84" s="64" t="s">
        <v>508</v>
      </c>
      <c r="B84" s="64">
        <v>0.6</v>
      </c>
      <c r="C84" s="64">
        <v>1</v>
      </c>
      <c r="D84" s="64"/>
      <c r="E84" s="64" t="s">
        <v>16</v>
      </c>
      <c r="F84" s="65" t="s">
        <v>506</v>
      </c>
      <c r="G84" s="64" t="s">
        <v>108</v>
      </c>
      <c r="H84" s="64" t="s">
        <v>2131</v>
      </c>
      <c r="I84" s="65">
        <f>IF(H84="","",VLOOKUP(H84,Tabela1[],2,0))</f>
        <v>2</v>
      </c>
      <c r="J84" s="64" t="s">
        <v>1</v>
      </c>
    </row>
    <row r="85" spans="1:10" ht="15" customHeight="1">
      <c r="A85" s="64" t="s">
        <v>509</v>
      </c>
      <c r="B85" s="64">
        <v>0.8</v>
      </c>
      <c r="C85" s="64">
        <v>1</v>
      </c>
      <c r="D85" s="64"/>
      <c r="E85" s="64" t="s">
        <v>16</v>
      </c>
      <c r="F85" s="65" t="s">
        <v>506</v>
      </c>
      <c r="G85" s="64" t="s">
        <v>108</v>
      </c>
      <c r="H85" s="64" t="s">
        <v>2131</v>
      </c>
      <c r="I85" s="65">
        <f>IF(H85="","",VLOOKUP(H85,Tabela1[],2,0))</f>
        <v>2</v>
      </c>
      <c r="J85" s="64" t="s">
        <v>1</v>
      </c>
    </row>
    <row r="86" spans="1:10" ht="15" customHeight="1">
      <c r="A86" s="64" t="s">
        <v>510</v>
      </c>
      <c r="B86" s="64">
        <v>0.9</v>
      </c>
      <c r="C86" s="64">
        <v>1</v>
      </c>
      <c r="D86" s="64"/>
      <c r="E86" s="64" t="s">
        <v>16</v>
      </c>
      <c r="F86" s="65" t="s">
        <v>506</v>
      </c>
      <c r="G86" s="64" t="s">
        <v>108</v>
      </c>
      <c r="H86" s="64" t="s">
        <v>2131</v>
      </c>
      <c r="I86" s="65">
        <f>IF(H86="","",VLOOKUP(H86,Tabela1[],2,0))</f>
        <v>2</v>
      </c>
      <c r="J86" s="64" t="s">
        <v>1</v>
      </c>
    </row>
    <row r="87" spans="1:10" ht="15" customHeight="1">
      <c r="A87" s="64" t="s">
        <v>511</v>
      </c>
      <c r="B87" s="64">
        <v>1</v>
      </c>
      <c r="C87" s="64">
        <v>1</v>
      </c>
      <c r="D87" s="64"/>
      <c r="E87" s="64" t="s">
        <v>16</v>
      </c>
      <c r="F87" s="65" t="s">
        <v>506</v>
      </c>
      <c r="G87" s="64" t="s">
        <v>108</v>
      </c>
      <c r="H87" s="64" t="s">
        <v>2131</v>
      </c>
      <c r="I87" s="65">
        <f>IF(H87="","",VLOOKUP(H87,Tabela1[],2,0))</f>
        <v>2</v>
      </c>
      <c r="J87" s="64" t="s">
        <v>1</v>
      </c>
    </row>
    <row r="88" spans="1:10" ht="15" customHeight="1">
      <c r="A88" s="64" t="s">
        <v>512</v>
      </c>
      <c r="B88" s="64">
        <v>1.2</v>
      </c>
      <c r="C88" s="64">
        <v>1</v>
      </c>
      <c r="D88" s="64"/>
      <c r="E88" s="64" t="s">
        <v>16</v>
      </c>
      <c r="F88" s="65" t="s">
        <v>506</v>
      </c>
      <c r="G88" s="64" t="s">
        <v>108</v>
      </c>
      <c r="H88" s="64" t="s">
        <v>2131</v>
      </c>
      <c r="I88" s="65">
        <f>IF(H88="","",VLOOKUP(H88,Tabela1[],2,0))</f>
        <v>2</v>
      </c>
      <c r="J88" s="64" t="s">
        <v>1</v>
      </c>
    </row>
    <row r="89" spans="1:10" ht="15" customHeight="1">
      <c r="A89" s="64" t="s">
        <v>513</v>
      </c>
      <c r="B89" s="64">
        <v>1.75</v>
      </c>
      <c r="C89" s="64">
        <v>1</v>
      </c>
      <c r="D89" s="64"/>
      <c r="E89" s="64" t="s">
        <v>16</v>
      </c>
      <c r="F89" s="65" t="s">
        <v>506</v>
      </c>
      <c r="G89" s="64" t="s">
        <v>108</v>
      </c>
      <c r="H89" s="64" t="s">
        <v>2131</v>
      </c>
      <c r="I89" s="65">
        <f>IF(H89="","",VLOOKUP(H89,Tabela1[],2,0))</f>
        <v>2</v>
      </c>
      <c r="J89" s="64" t="s">
        <v>1</v>
      </c>
    </row>
    <row r="90" spans="1:10" ht="15" customHeight="1">
      <c r="A90" s="64" t="s">
        <v>385</v>
      </c>
      <c r="B90" s="64">
        <v>1</v>
      </c>
      <c r="C90" s="64">
        <v>1</v>
      </c>
      <c r="D90" s="64"/>
      <c r="E90" s="64" t="s">
        <v>16</v>
      </c>
      <c r="F90" s="65" t="s">
        <v>506</v>
      </c>
      <c r="G90" s="64" t="s">
        <v>108</v>
      </c>
      <c r="H90" s="64" t="s">
        <v>2132</v>
      </c>
      <c r="I90" s="65">
        <f>IF(H90="","",VLOOKUP(H90,Tabela1[],2,0))</f>
        <v>3</v>
      </c>
      <c r="J90" s="64" t="s">
        <v>1</v>
      </c>
    </row>
    <row r="91" spans="1:10" ht="15" customHeight="1">
      <c r="A91" s="64" t="s">
        <v>72</v>
      </c>
      <c r="B91" s="64">
        <v>0.85</v>
      </c>
      <c r="C91" s="64">
        <v>1</v>
      </c>
      <c r="D91" s="64"/>
      <c r="E91" s="64" t="s">
        <v>16</v>
      </c>
      <c r="F91" s="65" t="s">
        <v>506</v>
      </c>
      <c r="G91" s="64" t="s">
        <v>108</v>
      </c>
      <c r="H91" s="64" t="s">
        <v>2132</v>
      </c>
      <c r="I91" s="65">
        <f>IF(H91="","",VLOOKUP(H91,Tabela1[],2,0))</f>
        <v>3</v>
      </c>
      <c r="J91" s="64" t="s">
        <v>1</v>
      </c>
    </row>
    <row r="92" spans="1:10" ht="15" customHeight="1">
      <c r="A92" s="64" t="s">
        <v>386</v>
      </c>
      <c r="B92" s="64">
        <v>0.85</v>
      </c>
      <c r="C92" s="64">
        <v>1</v>
      </c>
      <c r="D92" s="64"/>
      <c r="E92" s="64" t="s">
        <v>16</v>
      </c>
      <c r="F92" s="65" t="s">
        <v>506</v>
      </c>
      <c r="G92" s="64" t="s">
        <v>108</v>
      </c>
      <c r="H92" s="64" t="s">
        <v>2132</v>
      </c>
      <c r="I92" s="65">
        <f>IF(H92="","",VLOOKUP(H92,Tabela1[],2,0))</f>
        <v>3</v>
      </c>
      <c r="J92" s="64" t="s">
        <v>1</v>
      </c>
    </row>
    <row r="93" spans="1:10" ht="15" customHeight="1">
      <c r="A93" s="64" t="s">
        <v>387</v>
      </c>
      <c r="B93" s="64">
        <v>0.85</v>
      </c>
      <c r="C93" s="64">
        <v>1</v>
      </c>
      <c r="D93" s="64"/>
      <c r="E93" s="64" t="s">
        <v>16</v>
      </c>
      <c r="F93" s="65" t="s">
        <v>506</v>
      </c>
      <c r="G93" s="64" t="s">
        <v>108</v>
      </c>
      <c r="H93" s="64" t="s">
        <v>2132</v>
      </c>
      <c r="I93" s="65">
        <f>IF(H93="","",VLOOKUP(H93,Tabela1[],2,0))</f>
        <v>3</v>
      </c>
      <c r="J93" s="64" t="s">
        <v>1</v>
      </c>
    </row>
    <row r="94" spans="1:10" ht="15" customHeight="1">
      <c r="A94" s="335" t="s">
        <v>1786</v>
      </c>
      <c r="B94" s="64">
        <v>0.85</v>
      </c>
      <c r="C94" s="64">
        <v>1</v>
      </c>
      <c r="D94" s="64"/>
      <c r="E94" s="64" t="s">
        <v>16</v>
      </c>
      <c r="F94" s="65" t="s">
        <v>506</v>
      </c>
      <c r="G94" s="64" t="s">
        <v>108</v>
      </c>
      <c r="H94" s="64" t="s">
        <v>2132</v>
      </c>
      <c r="I94" s="65">
        <f>IF(H94="","",VLOOKUP(H94,Tabela1[],2,0))</f>
        <v>3</v>
      </c>
      <c r="J94" s="64" t="s">
        <v>1</v>
      </c>
    </row>
    <row r="95" spans="1:10" ht="15" customHeight="1">
      <c r="A95" s="64" t="s">
        <v>20</v>
      </c>
      <c r="B95" s="64">
        <v>0.245</v>
      </c>
      <c r="C95" s="64">
        <v>1</v>
      </c>
      <c r="D95" s="64"/>
      <c r="E95" s="64" t="s">
        <v>642</v>
      </c>
      <c r="F95" s="65" t="s">
        <v>506</v>
      </c>
      <c r="G95" s="64" t="s">
        <v>108</v>
      </c>
      <c r="H95" s="64" t="s">
        <v>2132</v>
      </c>
      <c r="I95" s="65">
        <f>IF(H95="","",VLOOKUP(H95,Tabela1[],2,0))</f>
        <v>3</v>
      </c>
      <c r="J95" s="64" t="s">
        <v>1</v>
      </c>
    </row>
    <row r="96" spans="1:10" ht="15" customHeight="1">
      <c r="A96" s="64" t="s">
        <v>114</v>
      </c>
      <c r="B96" s="64">
        <v>0.22500000000000001</v>
      </c>
      <c r="C96" s="64">
        <v>1</v>
      </c>
      <c r="D96" s="64"/>
      <c r="E96" s="64" t="s">
        <v>642</v>
      </c>
      <c r="F96" s="65" t="s">
        <v>506</v>
      </c>
      <c r="G96" s="64" t="s">
        <v>108</v>
      </c>
      <c r="H96" s="64" t="s">
        <v>2132</v>
      </c>
      <c r="I96" s="65">
        <f>IF(H96="","",VLOOKUP(H96,Tabela1[],2,0))</f>
        <v>3</v>
      </c>
      <c r="J96" s="64" t="s">
        <v>1</v>
      </c>
    </row>
    <row r="97" spans="1:10" ht="15" customHeight="1">
      <c r="A97" s="64" t="s">
        <v>659</v>
      </c>
      <c r="B97" s="64">
        <v>0.95</v>
      </c>
      <c r="C97" s="64">
        <v>1</v>
      </c>
      <c r="D97" s="64"/>
      <c r="E97" s="64" t="s">
        <v>642</v>
      </c>
      <c r="F97" s="65" t="s">
        <v>506</v>
      </c>
      <c r="G97" s="64" t="s">
        <v>108</v>
      </c>
      <c r="H97" s="64" t="s">
        <v>2131</v>
      </c>
      <c r="I97" s="65">
        <f>IF(H97="","",VLOOKUP(H97,Tabela1[],2,0))</f>
        <v>2</v>
      </c>
      <c r="J97" s="64" t="s">
        <v>1</v>
      </c>
    </row>
    <row r="98" spans="1:10" ht="15" customHeight="1">
      <c r="A98" s="64" t="s">
        <v>1745</v>
      </c>
      <c r="B98" s="64">
        <v>0.24</v>
      </c>
      <c r="C98" s="64">
        <v>1</v>
      </c>
      <c r="D98" s="64"/>
      <c r="E98" s="64" t="s">
        <v>16</v>
      </c>
      <c r="F98" s="65" t="s">
        <v>506</v>
      </c>
      <c r="G98" s="64" t="s">
        <v>108</v>
      </c>
      <c r="H98" s="64" t="s">
        <v>2132</v>
      </c>
      <c r="I98" s="65">
        <f>IF(H98="","",VLOOKUP(H98,Tabela1[],2,0))</f>
        <v>3</v>
      </c>
      <c r="J98" s="64" t="s">
        <v>1</v>
      </c>
    </row>
    <row r="99" spans="1:10" ht="15" customHeight="1">
      <c r="A99" s="64" t="s">
        <v>1746</v>
      </c>
      <c r="B99" s="64">
        <v>0.27</v>
      </c>
      <c r="C99" s="64">
        <v>1</v>
      </c>
      <c r="D99" s="64"/>
      <c r="E99" s="64" t="s">
        <v>16</v>
      </c>
      <c r="F99" s="65" t="s">
        <v>506</v>
      </c>
      <c r="G99" s="64" t="s">
        <v>108</v>
      </c>
      <c r="H99" s="64" t="s">
        <v>2132</v>
      </c>
      <c r="I99" s="65">
        <f>IF(H99="","",VLOOKUP(H99,Tabela1[],2,0))</f>
        <v>3</v>
      </c>
      <c r="J99" s="64" t="s">
        <v>1</v>
      </c>
    </row>
    <row r="100" spans="1:10" ht="15" customHeight="1">
      <c r="A100" s="64" t="s">
        <v>1806</v>
      </c>
      <c r="B100" s="64">
        <v>0.24</v>
      </c>
      <c r="C100" s="64">
        <v>1</v>
      </c>
      <c r="D100" s="64"/>
      <c r="E100" s="64" t="s">
        <v>16</v>
      </c>
      <c r="F100" s="65" t="s">
        <v>506</v>
      </c>
      <c r="G100" s="64" t="s">
        <v>108</v>
      </c>
      <c r="H100" s="64" t="s">
        <v>2132</v>
      </c>
      <c r="I100" s="65">
        <f>IF(H100="","",VLOOKUP(H100,Tabela1[],2,0))</f>
        <v>3</v>
      </c>
      <c r="J100" s="64" t="s">
        <v>1</v>
      </c>
    </row>
    <row r="101" spans="1:10" ht="15" customHeight="1">
      <c r="A101" s="64" t="s">
        <v>1807</v>
      </c>
      <c r="B101" s="64">
        <v>0.27</v>
      </c>
      <c r="C101" s="64">
        <v>1</v>
      </c>
      <c r="D101" s="64"/>
      <c r="E101" s="64" t="s">
        <v>16</v>
      </c>
      <c r="F101" s="65" t="s">
        <v>506</v>
      </c>
      <c r="G101" s="64" t="s">
        <v>108</v>
      </c>
      <c r="H101" s="64" t="s">
        <v>2132</v>
      </c>
      <c r="I101" s="65">
        <f>IF(H101="","",VLOOKUP(H101,Tabela1[],2,0))</f>
        <v>3</v>
      </c>
      <c r="J101" s="64" t="s">
        <v>1</v>
      </c>
    </row>
    <row r="102" spans="1:10" customFormat="1" ht="14.4">
      <c r="A102" s="64"/>
      <c r="B102" s="64"/>
      <c r="C102" s="64"/>
      <c r="D102" s="64"/>
      <c r="E102" s="64"/>
      <c r="F102" s="64"/>
      <c r="G102" s="66"/>
      <c r="H102" s="65"/>
      <c r="I102" s="66"/>
      <c r="J102" s="64"/>
    </row>
    <row r="103" spans="1:10" customFormat="1" ht="14.4">
      <c r="A103" s="64"/>
      <c r="B103" s="64"/>
      <c r="C103" s="64"/>
      <c r="D103" s="64"/>
      <c r="E103" s="64"/>
      <c r="F103" s="64"/>
      <c r="G103" s="66"/>
      <c r="H103" s="65"/>
      <c r="I103" s="66"/>
      <c r="J103" s="64"/>
    </row>
    <row r="104" spans="1:10" s="112" customFormat="1" ht="25.8">
      <c r="A104" s="116" t="s">
        <v>637</v>
      </c>
      <c r="B104" s="116"/>
      <c r="C104" s="116"/>
      <c r="D104" s="116"/>
      <c r="E104" s="116"/>
      <c r="F104" s="117"/>
      <c r="G104" s="116"/>
      <c r="H104" s="116"/>
      <c r="I104" s="117"/>
      <c r="J104" s="116"/>
    </row>
    <row r="105" spans="1:10" ht="15" customHeight="1">
      <c r="A105" s="576" t="s">
        <v>1787</v>
      </c>
      <c r="B105" s="474">
        <v>9.6000000000000002E-2</v>
      </c>
      <c r="C105" s="474">
        <v>1</v>
      </c>
      <c r="D105" s="474"/>
      <c r="E105" s="474" t="s">
        <v>16</v>
      </c>
      <c r="F105" s="379" t="s">
        <v>16</v>
      </c>
      <c r="G105" s="474" t="s">
        <v>108</v>
      </c>
      <c r="H105" s="576" t="s">
        <v>2133</v>
      </c>
      <c r="I105" s="577">
        <f>IF(H105="","",VLOOKUP(H105,Tabela1[],2,0))</f>
        <v>4</v>
      </c>
      <c r="J105" s="576" t="s">
        <v>1</v>
      </c>
    </row>
    <row r="106" spans="1:10" ht="15" customHeight="1">
      <c r="A106" s="474" t="s">
        <v>1788</v>
      </c>
      <c r="B106" s="474">
        <v>0.128</v>
      </c>
      <c r="C106" s="474">
        <v>1</v>
      </c>
      <c r="D106" s="474"/>
      <c r="E106" s="474" t="s">
        <v>16</v>
      </c>
      <c r="F106" s="379" t="s">
        <v>16</v>
      </c>
      <c r="G106" s="474" t="s">
        <v>108</v>
      </c>
      <c r="H106" s="576" t="s">
        <v>2133</v>
      </c>
      <c r="I106" s="577">
        <f>IF(H106="","",VLOOKUP(H106,Tabela1[],2,0))</f>
        <v>4</v>
      </c>
      <c r="J106" s="576" t="s">
        <v>1</v>
      </c>
    </row>
    <row r="107" spans="1:10" ht="15" customHeight="1">
      <c r="A107" s="474" t="s">
        <v>1789</v>
      </c>
      <c r="B107" s="474">
        <v>0.16</v>
      </c>
      <c r="C107" s="474">
        <v>1</v>
      </c>
      <c r="D107" s="474"/>
      <c r="E107" s="474" t="s">
        <v>16</v>
      </c>
      <c r="F107" s="379" t="s">
        <v>16</v>
      </c>
      <c r="G107" s="474" t="s">
        <v>108</v>
      </c>
      <c r="H107" s="576" t="s">
        <v>2133</v>
      </c>
      <c r="I107" s="577">
        <f>IF(H107="","",VLOOKUP(H107,Tabela1[],2,0))</f>
        <v>4</v>
      </c>
      <c r="J107" s="576" t="s">
        <v>1</v>
      </c>
    </row>
    <row r="108" spans="1:10" ht="15" customHeight="1">
      <c r="A108" s="474" t="s">
        <v>1790</v>
      </c>
      <c r="B108" s="474">
        <v>0.192</v>
      </c>
      <c r="C108" s="474">
        <v>1</v>
      </c>
      <c r="D108" s="474"/>
      <c r="E108" s="474" t="s">
        <v>16</v>
      </c>
      <c r="F108" s="379" t="s">
        <v>16</v>
      </c>
      <c r="G108" s="474" t="s">
        <v>108</v>
      </c>
      <c r="H108" s="576" t="s">
        <v>2133</v>
      </c>
      <c r="I108" s="577">
        <f>IF(H108="","",VLOOKUP(H108,Tabela1[],2,0))</f>
        <v>4</v>
      </c>
      <c r="J108" s="576" t="s">
        <v>1</v>
      </c>
    </row>
    <row r="109" spans="1:10" ht="15" customHeight="1">
      <c r="A109" s="474" t="s">
        <v>1791</v>
      </c>
      <c r="B109" s="474">
        <v>0.22</v>
      </c>
      <c r="C109" s="474">
        <v>1</v>
      </c>
      <c r="D109" s="474"/>
      <c r="E109" s="474" t="s">
        <v>16</v>
      </c>
      <c r="F109" s="379" t="s">
        <v>16</v>
      </c>
      <c r="G109" s="474" t="s">
        <v>108</v>
      </c>
      <c r="H109" s="576" t="s">
        <v>2133</v>
      </c>
      <c r="I109" s="577">
        <f>IF(H109="","",VLOOKUP(H109,Tabela1[],2,0))</f>
        <v>4</v>
      </c>
      <c r="J109" s="576" t="s">
        <v>1</v>
      </c>
    </row>
    <row r="110" spans="1:10" ht="15" customHeight="1">
      <c r="A110" s="474" t="s">
        <v>1792</v>
      </c>
      <c r="B110" s="474">
        <v>9.6000000000000002E-2</v>
      </c>
      <c r="C110" s="474">
        <v>1</v>
      </c>
      <c r="D110" s="474"/>
      <c r="E110" s="474" t="s">
        <v>16</v>
      </c>
      <c r="F110" s="379" t="s">
        <v>16</v>
      </c>
      <c r="G110" s="474" t="s">
        <v>108</v>
      </c>
      <c r="H110" s="576" t="s">
        <v>2133</v>
      </c>
      <c r="I110" s="577">
        <f>IF(H110="","",VLOOKUP(H110,Tabela1[],2,0))</f>
        <v>4</v>
      </c>
      <c r="J110" s="576" t="s">
        <v>2</v>
      </c>
    </row>
    <row r="111" spans="1:10" ht="15" customHeight="1">
      <c r="A111" s="474" t="s">
        <v>1793</v>
      </c>
      <c r="B111" s="474">
        <v>0.128</v>
      </c>
      <c r="C111" s="474">
        <v>1</v>
      </c>
      <c r="D111" s="474"/>
      <c r="E111" s="474" t="s">
        <v>16</v>
      </c>
      <c r="F111" s="379" t="s">
        <v>16</v>
      </c>
      <c r="G111" s="474" t="s">
        <v>108</v>
      </c>
      <c r="H111" s="576" t="s">
        <v>2133</v>
      </c>
      <c r="I111" s="577">
        <f>IF(H111="","",VLOOKUP(H111,Tabela1[],2,0))</f>
        <v>4</v>
      </c>
      <c r="J111" s="576" t="s">
        <v>2</v>
      </c>
    </row>
    <row r="112" spans="1:10" ht="15" customHeight="1">
      <c r="A112" s="474" t="s">
        <v>1794</v>
      </c>
      <c r="B112" s="474">
        <v>0.21</v>
      </c>
      <c r="C112" s="474">
        <v>1</v>
      </c>
      <c r="D112" s="474"/>
      <c r="E112" s="474" t="s">
        <v>16</v>
      </c>
      <c r="F112" s="379" t="s">
        <v>16</v>
      </c>
      <c r="G112" s="474" t="s">
        <v>108</v>
      </c>
      <c r="H112" s="576" t="s">
        <v>2133</v>
      </c>
      <c r="I112" s="577">
        <f>IF(H112="","",VLOOKUP(H112,Tabela1[],2,0))</f>
        <v>4</v>
      </c>
      <c r="J112" s="576" t="s">
        <v>1</v>
      </c>
    </row>
    <row r="113" spans="1:10" ht="15" customHeight="1">
      <c r="A113" s="474" t="s">
        <v>1795</v>
      </c>
      <c r="B113" s="474">
        <v>0.21</v>
      </c>
      <c r="C113" s="474">
        <v>1</v>
      </c>
      <c r="D113" s="474"/>
      <c r="E113" s="474" t="s">
        <v>16</v>
      </c>
      <c r="F113" s="379" t="s">
        <v>16</v>
      </c>
      <c r="G113" s="474" t="s">
        <v>108</v>
      </c>
      <c r="H113" s="576" t="s">
        <v>2133</v>
      </c>
      <c r="I113" s="577">
        <f>IF(H113="","",VLOOKUP(H113,Tabela1[],2,0))</f>
        <v>4</v>
      </c>
      <c r="J113" s="576" t="s">
        <v>1</v>
      </c>
    </row>
    <row r="114" spans="1:10" ht="15" customHeight="1">
      <c r="A114" s="474" t="s">
        <v>1797</v>
      </c>
      <c r="B114" s="474">
        <v>9.6000000000000002E-2</v>
      </c>
      <c r="C114" s="474">
        <v>1</v>
      </c>
      <c r="D114" s="474"/>
      <c r="E114" s="474" t="s">
        <v>16</v>
      </c>
      <c r="F114" s="379" t="s">
        <v>16</v>
      </c>
      <c r="G114" s="474" t="s">
        <v>108</v>
      </c>
      <c r="H114" s="576" t="s">
        <v>2133</v>
      </c>
      <c r="I114" s="577">
        <f>IF(H114="","",VLOOKUP(H114,Tabela1[],2,0))</f>
        <v>4</v>
      </c>
      <c r="J114" s="576" t="s">
        <v>1</v>
      </c>
    </row>
    <row r="115" spans="1:10" ht="15" customHeight="1">
      <c r="A115" s="474" t="s">
        <v>1796</v>
      </c>
      <c r="B115" s="474">
        <v>0.128</v>
      </c>
      <c r="C115" s="474">
        <v>1</v>
      </c>
      <c r="D115" s="474"/>
      <c r="E115" s="474" t="s">
        <v>16</v>
      </c>
      <c r="F115" s="379" t="s">
        <v>16</v>
      </c>
      <c r="G115" s="474" t="s">
        <v>108</v>
      </c>
      <c r="H115" s="576" t="s">
        <v>2133</v>
      </c>
      <c r="I115" s="577">
        <f>IF(H115="","",VLOOKUP(H115,Tabela1[],2,0))</f>
        <v>4</v>
      </c>
      <c r="J115" s="576" t="s">
        <v>1</v>
      </c>
    </row>
    <row r="116" spans="1:10" ht="15" customHeight="1">
      <c r="A116" s="474" t="s">
        <v>1798</v>
      </c>
      <c r="B116" s="474">
        <v>0.16</v>
      </c>
      <c r="C116" s="474">
        <v>1</v>
      </c>
      <c r="D116" s="474"/>
      <c r="E116" s="474" t="s">
        <v>16</v>
      </c>
      <c r="F116" s="379" t="s">
        <v>16</v>
      </c>
      <c r="G116" s="474" t="s">
        <v>108</v>
      </c>
      <c r="H116" s="576" t="s">
        <v>2133</v>
      </c>
      <c r="I116" s="577">
        <f>IF(H116="","",VLOOKUP(H116,Tabela1[],2,0))</f>
        <v>4</v>
      </c>
      <c r="J116" s="576" t="s">
        <v>1</v>
      </c>
    </row>
    <row r="117" spans="1:10" ht="15" customHeight="1">
      <c r="A117" s="474" t="s">
        <v>1799</v>
      </c>
      <c r="B117" s="474">
        <v>0.192</v>
      </c>
      <c r="C117" s="474">
        <v>1</v>
      </c>
      <c r="D117" s="474"/>
      <c r="E117" s="474" t="s">
        <v>16</v>
      </c>
      <c r="F117" s="379" t="s">
        <v>16</v>
      </c>
      <c r="G117" s="474" t="s">
        <v>108</v>
      </c>
      <c r="H117" s="576" t="s">
        <v>2133</v>
      </c>
      <c r="I117" s="577">
        <f>IF(H117="","",VLOOKUP(H117,Tabela1[],2,0))</f>
        <v>4</v>
      </c>
      <c r="J117" s="576" t="s">
        <v>1</v>
      </c>
    </row>
    <row r="118" spans="1:10" ht="15" customHeight="1">
      <c r="A118" s="474" t="s">
        <v>1800</v>
      </c>
      <c r="B118" s="474">
        <v>0.22</v>
      </c>
      <c r="C118" s="474">
        <v>1</v>
      </c>
      <c r="D118" s="474"/>
      <c r="E118" s="474" t="s">
        <v>16</v>
      </c>
      <c r="F118" s="379" t="s">
        <v>16</v>
      </c>
      <c r="G118" s="474" t="s">
        <v>108</v>
      </c>
      <c r="H118" s="576" t="s">
        <v>2133</v>
      </c>
      <c r="I118" s="577">
        <f>IF(H118="","",VLOOKUP(H118,Tabela1[],2,0))</f>
        <v>4</v>
      </c>
      <c r="J118" s="576" t="s">
        <v>1</v>
      </c>
    </row>
    <row r="119" spans="1:10" ht="15" customHeight="1">
      <c r="A119" s="474" t="s">
        <v>1801</v>
      </c>
      <c r="B119" s="474">
        <v>9.6000000000000002E-2</v>
      </c>
      <c r="C119" s="474">
        <v>1</v>
      </c>
      <c r="D119" s="474"/>
      <c r="E119" s="474" t="s">
        <v>16</v>
      </c>
      <c r="F119" s="379" t="s">
        <v>16</v>
      </c>
      <c r="G119" s="474" t="s">
        <v>108</v>
      </c>
      <c r="H119" s="576" t="s">
        <v>2133</v>
      </c>
      <c r="I119" s="577">
        <f>IF(H119="","",VLOOKUP(H119,Tabela1[],2,0))</f>
        <v>4</v>
      </c>
      <c r="J119" s="576" t="s">
        <v>2</v>
      </c>
    </row>
    <row r="120" spans="1:10" ht="15" customHeight="1">
      <c r="A120" s="474" t="s">
        <v>1802</v>
      </c>
      <c r="B120" s="474">
        <v>0.128</v>
      </c>
      <c r="C120" s="474">
        <v>1</v>
      </c>
      <c r="D120" s="474"/>
      <c r="E120" s="474" t="s">
        <v>16</v>
      </c>
      <c r="F120" s="379" t="s">
        <v>16</v>
      </c>
      <c r="G120" s="474" t="s">
        <v>108</v>
      </c>
      <c r="H120" s="576" t="s">
        <v>2133</v>
      </c>
      <c r="I120" s="577">
        <f>IF(H120="","",VLOOKUP(H120,Tabela1[],2,0))</f>
        <v>4</v>
      </c>
      <c r="J120" s="576" t="s">
        <v>2</v>
      </c>
    </row>
    <row r="121" spans="1:10" ht="15" customHeight="1">
      <c r="A121" s="474" t="s">
        <v>1803</v>
      </c>
      <c r="B121" s="474">
        <v>0.21</v>
      </c>
      <c r="C121" s="474">
        <v>1</v>
      </c>
      <c r="D121" s="474"/>
      <c r="E121" s="474" t="s">
        <v>16</v>
      </c>
      <c r="F121" s="379" t="s">
        <v>16</v>
      </c>
      <c r="G121" s="474" t="s">
        <v>108</v>
      </c>
      <c r="H121" s="576" t="s">
        <v>2133</v>
      </c>
      <c r="I121" s="577">
        <f>IF(H121="","",VLOOKUP(H121,Tabela1[],2,0))</f>
        <v>4</v>
      </c>
      <c r="J121" s="576" t="s">
        <v>1</v>
      </c>
    </row>
    <row r="122" spans="1:10" ht="15" customHeight="1">
      <c r="A122" s="474" t="s">
        <v>1804</v>
      </c>
      <c r="B122" s="474">
        <v>0.21</v>
      </c>
      <c r="C122" s="474">
        <v>1</v>
      </c>
      <c r="D122" s="474"/>
      <c r="E122" s="474" t="s">
        <v>16</v>
      </c>
      <c r="F122" s="379" t="s">
        <v>16</v>
      </c>
      <c r="G122" s="474" t="s">
        <v>108</v>
      </c>
      <c r="H122" s="576" t="s">
        <v>2133</v>
      </c>
      <c r="I122" s="577">
        <f>IF(H122="","",VLOOKUP(H122,Tabela1[],2,0))</f>
        <v>4</v>
      </c>
      <c r="J122" s="576" t="s">
        <v>1</v>
      </c>
    </row>
    <row r="123" spans="1:10" ht="15" customHeight="1">
      <c r="A123" s="475" t="s">
        <v>1747</v>
      </c>
      <c r="B123" s="475">
        <v>6.4000000000000001E-2</v>
      </c>
      <c r="C123" s="475">
        <v>1</v>
      </c>
      <c r="D123" s="475"/>
      <c r="E123" s="475" t="s">
        <v>16</v>
      </c>
      <c r="F123" s="476"/>
      <c r="G123" s="475" t="s">
        <v>108</v>
      </c>
      <c r="H123" s="578" t="s">
        <v>2133</v>
      </c>
      <c r="I123" s="579">
        <f>IF(H123="","",VLOOKUP(H123,Tabela1[],2,0))</f>
        <v>4</v>
      </c>
      <c r="J123" s="578" t="s">
        <v>1</v>
      </c>
    </row>
    <row r="124" spans="1:10" ht="15" customHeight="1">
      <c r="A124" s="475" t="s">
        <v>1748</v>
      </c>
      <c r="B124" s="475">
        <v>9.6000000000000002E-2</v>
      </c>
      <c r="C124" s="475">
        <v>1</v>
      </c>
      <c r="D124" s="475"/>
      <c r="E124" s="475" t="s">
        <v>16</v>
      </c>
      <c r="F124" s="476"/>
      <c r="G124" s="475" t="s">
        <v>108</v>
      </c>
      <c r="H124" s="578" t="s">
        <v>2133</v>
      </c>
      <c r="I124" s="579">
        <f>IF(H124="","",VLOOKUP(H124,Tabela1[],2,0))</f>
        <v>4</v>
      </c>
      <c r="J124" s="578" t="s">
        <v>1</v>
      </c>
    </row>
    <row r="125" spans="1:10" ht="15" customHeight="1">
      <c r="A125" s="475" t="s">
        <v>1749</v>
      </c>
      <c r="B125" s="475">
        <v>0.128</v>
      </c>
      <c r="C125" s="475">
        <v>1</v>
      </c>
      <c r="D125" s="475"/>
      <c r="E125" s="475" t="s">
        <v>16</v>
      </c>
      <c r="F125" s="476"/>
      <c r="G125" s="475" t="s">
        <v>108</v>
      </c>
      <c r="H125" s="578" t="s">
        <v>2133</v>
      </c>
      <c r="I125" s="579">
        <f>IF(H125="","",VLOOKUP(H125,Tabela1[],2,0))</f>
        <v>4</v>
      </c>
      <c r="J125" s="578" t="s">
        <v>1</v>
      </c>
    </row>
    <row r="126" spans="1:10" ht="15" customHeight="1">
      <c r="A126" s="475" t="s">
        <v>1750</v>
      </c>
      <c r="B126" s="475">
        <v>0.16</v>
      </c>
      <c r="C126" s="475">
        <v>1</v>
      </c>
      <c r="D126" s="475"/>
      <c r="E126" s="578" t="s">
        <v>16</v>
      </c>
      <c r="F126" s="476"/>
      <c r="G126" s="475" t="s">
        <v>108</v>
      </c>
      <c r="H126" s="578" t="s">
        <v>2133</v>
      </c>
      <c r="I126" s="579">
        <f>IF(H126="","",VLOOKUP(H126,Tabela1[],2,0))</f>
        <v>4</v>
      </c>
      <c r="J126" s="578" t="s">
        <v>1</v>
      </c>
    </row>
    <row r="127" spans="1:10" ht="15" customHeight="1">
      <c r="A127" s="475" t="s">
        <v>1751</v>
      </c>
      <c r="B127" s="475">
        <v>6.4000000000000001E-2</v>
      </c>
      <c r="C127" s="475">
        <v>1</v>
      </c>
      <c r="D127" s="475"/>
      <c r="E127" s="475" t="s">
        <v>16</v>
      </c>
      <c r="F127" s="476"/>
      <c r="G127" s="475" t="s">
        <v>108</v>
      </c>
      <c r="H127" s="578" t="s">
        <v>2133</v>
      </c>
      <c r="I127" s="579">
        <f>IF(H127="","",VLOOKUP(H127,Tabela1[],2,0))</f>
        <v>4</v>
      </c>
      <c r="J127" s="578" t="s">
        <v>1</v>
      </c>
    </row>
    <row r="128" spans="1:10" ht="15" customHeight="1">
      <c r="A128" s="475" t="s">
        <v>1752</v>
      </c>
      <c r="B128" s="475">
        <v>9.6000000000000002E-2</v>
      </c>
      <c r="C128" s="475">
        <v>1</v>
      </c>
      <c r="D128" s="475"/>
      <c r="E128" s="475" t="s">
        <v>16</v>
      </c>
      <c r="F128" s="476"/>
      <c r="G128" s="475" t="s">
        <v>108</v>
      </c>
      <c r="H128" s="578" t="s">
        <v>2133</v>
      </c>
      <c r="I128" s="579">
        <f>IF(H128="","",VLOOKUP(H128,Tabela1[],2,0))</f>
        <v>4</v>
      </c>
      <c r="J128" s="578" t="s">
        <v>1</v>
      </c>
    </row>
    <row r="129" spans="1:10" ht="15" customHeight="1">
      <c r="A129" s="475" t="s">
        <v>1753</v>
      </c>
      <c r="B129" s="475">
        <v>0.128</v>
      </c>
      <c r="C129" s="475">
        <v>1</v>
      </c>
      <c r="D129" s="475"/>
      <c r="E129" s="475" t="s">
        <v>16</v>
      </c>
      <c r="F129" s="476"/>
      <c r="G129" s="475" t="s">
        <v>108</v>
      </c>
      <c r="H129" s="578" t="s">
        <v>2133</v>
      </c>
      <c r="I129" s="579">
        <f>IF(H129="","",VLOOKUP(H129,Tabela1[],2,0))</f>
        <v>4</v>
      </c>
      <c r="J129" s="578" t="s">
        <v>1</v>
      </c>
    </row>
    <row r="130" spans="1:10" ht="15" customHeight="1">
      <c r="A130" s="475" t="s">
        <v>1754</v>
      </c>
      <c r="B130" s="475">
        <v>0.16</v>
      </c>
      <c r="C130" s="475">
        <v>1</v>
      </c>
      <c r="D130" s="475"/>
      <c r="E130" s="475" t="s">
        <v>16</v>
      </c>
      <c r="F130" s="476"/>
      <c r="G130" s="475" t="s">
        <v>108</v>
      </c>
      <c r="H130" s="578" t="s">
        <v>2133</v>
      </c>
      <c r="I130" s="579">
        <f>IF(H130="","",VLOOKUP(H130,Tabela1[],2,0))</f>
        <v>4</v>
      </c>
      <c r="J130" s="578" t="s">
        <v>1</v>
      </c>
    </row>
    <row r="131" spans="1:10" ht="15" customHeight="1">
      <c r="A131" s="475" t="s">
        <v>1755</v>
      </c>
      <c r="B131" s="475">
        <v>9.6000000000000002E-2</v>
      </c>
      <c r="C131" s="475">
        <v>1</v>
      </c>
      <c r="D131" s="475"/>
      <c r="E131" s="475" t="s">
        <v>16</v>
      </c>
      <c r="F131" s="476"/>
      <c r="G131" s="475" t="s">
        <v>108</v>
      </c>
      <c r="H131" s="578" t="s">
        <v>2133</v>
      </c>
      <c r="I131" s="579">
        <f>IF(H131="","",VLOOKUP(H131,Tabela1[],2,0))</f>
        <v>4</v>
      </c>
      <c r="J131" s="578" t="s">
        <v>1</v>
      </c>
    </row>
    <row r="132" spans="1:10" ht="15" customHeight="1">
      <c r="A132" s="475" t="s">
        <v>1756</v>
      </c>
      <c r="B132" s="475">
        <v>0.128</v>
      </c>
      <c r="C132" s="475">
        <v>1</v>
      </c>
      <c r="D132" s="475"/>
      <c r="E132" s="475" t="s">
        <v>16</v>
      </c>
      <c r="F132" s="476"/>
      <c r="G132" s="475" t="s">
        <v>108</v>
      </c>
      <c r="H132" s="578" t="s">
        <v>2133</v>
      </c>
      <c r="I132" s="579">
        <f>IF(H132="","",VLOOKUP(H132,Tabela1[],2,0))</f>
        <v>4</v>
      </c>
      <c r="J132" s="578" t="s">
        <v>1</v>
      </c>
    </row>
    <row r="133" spans="1:10" ht="15" customHeight="1">
      <c r="A133" s="475" t="s">
        <v>1757</v>
      </c>
      <c r="B133" s="475">
        <v>0.16</v>
      </c>
      <c r="C133" s="475">
        <v>1</v>
      </c>
      <c r="D133" s="475"/>
      <c r="E133" s="475" t="s">
        <v>16</v>
      </c>
      <c r="F133" s="476"/>
      <c r="G133" s="475" t="s">
        <v>108</v>
      </c>
      <c r="H133" s="578" t="s">
        <v>2133</v>
      </c>
      <c r="I133" s="579">
        <f>IF(H133="","",VLOOKUP(H133,Tabela1[],2,0))</f>
        <v>4</v>
      </c>
      <c r="J133" s="578" t="s">
        <v>1</v>
      </c>
    </row>
    <row r="134" spans="1:10" ht="15" customHeight="1">
      <c r="A134" s="475" t="s">
        <v>1758</v>
      </c>
      <c r="B134" s="475">
        <v>0.08</v>
      </c>
      <c r="C134" s="475">
        <v>1</v>
      </c>
      <c r="D134" s="475"/>
      <c r="E134" s="475" t="s">
        <v>16</v>
      </c>
      <c r="F134" s="476"/>
      <c r="G134" s="475" t="s">
        <v>108</v>
      </c>
      <c r="H134" s="578" t="s">
        <v>2133</v>
      </c>
      <c r="I134" s="579">
        <f>IF(H134="","",VLOOKUP(H134,Tabela1[],2,0))</f>
        <v>4</v>
      </c>
      <c r="J134" s="578" t="s">
        <v>1</v>
      </c>
    </row>
    <row r="135" spans="1:10" ht="15" customHeight="1">
      <c r="A135" s="475" t="s">
        <v>1759</v>
      </c>
      <c r="B135" s="475">
        <v>0.1</v>
      </c>
      <c r="C135" s="475">
        <v>1</v>
      </c>
      <c r="D135" s="475"/>
      <c r="E135" s="475" t="s">
        <v>16</v>
      </c>
      <c r="F135" s="476"/>
      <c r="G135" s="475" t="s">
        <v>108</v>
      </c>
      <c r="H135" s="578" t="s">
        <v>2133</v>
      </c>
      <c r="I135" s="579">
        <f>IF(H135="","",VLOOKUP(H135,Tabela1[],2,0))</f>
        <v>4</v>
      </c>
      <c r="J135" s="578" t="s">
        <v>1</v>
      </c>
    </row>
    <row r="136" spans="1:10" ht="15" customHeight="1">
      <c r="A136" s="475" t="s">
        <v>1760</v>
      </c>
      <c r="B136" s="475">
        <v>0.08</v>
      </c>
      <c r="C136" s="475">
        <v>1</v>
      </c>
      <c r="D136" s="475"/>
      <c r="E136" s="475" t="s">
        <v>16</v>
      </c>
      <c r="F136" s="476"/>
      <c r="G136" s="475" t="s">
        <v>108</v>
      </c>
      <c r="H136" s="578" t="s">
        <v>2133</v>
      </c>
      <c r="I136" s="579">
        <f>IF(H136="","",VLOOKUP(H136,Tabela1[],2,0))</f>
        <v>4</v>
      </c>
      <c r="J136" s="578" t="s">
        <v>1</v>
      </c>
    </row>
    <row r="137" spans="1:10" ht="15" customHeight="1">
      <c r="A137" s="477" t="s">
        <v>1761</v>
      </c>
      <c r="B137" s="478">
        <v>0.32</v>
      </c>
      <c r="C137" s="478">
        <v>1</v>
      </c>
      <c r="D137" s="478"/>
      <c r="E137" s="478" t="s">
        <v>16</v>
      </c>
      <c r="F137" s="359"/>
      <c r="G137" s="478" t="s">
        <v>108</v>
      </c>
      <c r="H137" s="581" t="s">
        <v>2132</v>
      </c>
      <c r="I137" s="580">
        <f>IF(H137="","",VLOOKUP(H137,Tabela1[],2,0))</f>
        <v>3</v>
      </c>
      <c r="J137" s="478" t="s">
        <v>1</v>
      </c>
    </row>
    <row r="138" spans="1:10" ht="15" customHeight="1">
      <c r="A138" s="477" t="s">
        <v>1762</v>
      </c>
      <c r="B138" s="478">
        <v>0.32</v>
      </c>
      <c r="C138" s="478">
        <v>1</v>
      </c>
      <c r="D138" s="478"/>
      <c r="E138" s="478" t="s">
        <v>16</v>
      </c>
      <c r="F138" s="580"/>
      <c r="G138" s="478" t="s">
        <v>108</v>
      </c>
      <c r="H138" s="581" t="s">
        <v>2132</v>
      </c>
      <c r="I138" s="580">
        <f>IF(H138="","",VLOOKUP(H138,Tabela1[],2,0))</f>
        <v>3</v>
      </c>
      <c r="J138" s="478" t="s">
        <v>1</v>
      </c>
    </row>
    <row r="139" spans="1:10" ht="15" customHeight="1">
      <c r="A139" s="478" t="s">
        <v>1763</v>
      </c>
      <c r="B139" s="478">
        <v>0.33300000000000002</v>
      </c>
      <c r="C139" s="478">
        <v>1</v>
      </c>
      <c r="D139" s="478"/>
      <c r="E139" s="478" t="s">
        <v>16</v>
      </c>
      <c r="F139" s="359"/>
      <c r="G139" s="478" t="s">
        <v>108</v>
      </c>
      <c r="H139" s="581" t="s">
        <v>2132</v>
      </c>
      <c r="I139" s="580">
        <f>IF(H139="","",VLOOKUP(H139,Tabela1[],2,0))</f>
        <v>3</v>
      </c>
      <c r="J139" s="478" t="s">
        <v>1</v>
      </c>
    </row>
    <row r="140" spans="1:10" ht="15" customHeight="1">
      <c r="A140" s="478" t="s">
        <v>1764</v>
      </c>
      <c r="B140" s="478">
        <v>0.30599999999999999</v>
      </c>
      <c r="C140" s="478">
        <v>1</v>
      </c>
      <c r="D140" s="478"/>
      <c r="E140" s="478" t="s">
        <v>16</v>
      </c>
      <c r="F140" s="359"/>
      <c r="G140" s="478" t="s">
        <v>108</v>
      </c>
      <c r="H140" s="581" t="s">
        <v>2132</v>
      </c>
      <c r="I140" s="580">
        <f>IF(H140="","",VLOOKUP(H140,Tabela1[],2,0))</f>
        <v>3</v>
      </c>
      <c r="J140" s="478" t="s">
        <v>1</v>
      </c>
    </row>
    <row r="141" spans="1:10" ht="15" customHeight="1">
      <c r="A141" s="478" t="s">
        <v>1766</v>
      </c>
      <c r="B141" s="478">
        <v>0.35</v>
      </c>
      <c r="C141" s="478">
        <v>1</v>
      </c>
      <c r="D141" s="478"/>
      <c r="E141" s="478" t="s">
        <v>16</v>
      </c>
      <c r="F141" s="359"/>
      <c r="G141" s="478" t="s">
        <v>108</v>
      </c>
      <c r="H141" s="581" t="s">
        <v>2132</v>
      </c>
      <c r="I141" s="580">
        <f>IF(H141="","",VLOOKUP(H141,Tabela1[],2,0))</f>
        <v>3</v>
      </c>
      <c r="J141" s="478" t="s">
        <v>1</v>
      </c>
    </row>
    <row r="142" spans="1:10" ht="15" customHeight="1">
      <c r="A142" s="478" t="s">
        <v>1765</v>
      </c>
      <c r="B142" s="478">
        <v>0.35</v>
      </c>
      <c r="C142" s="478">
        <v>1</v>
      </c>
      <c r="D142" s="478"/>
      <c r="E142" s="478" t="s">
        <v>16</v>
      </c>
      <c r="F142" s="359"/>
      <c r="G142" s="478" t="s">
        <v>108</v>
      </c>
      <c r="H142" s="581" t="s">
        <v>2132</v>
      </c>
      <c r="I142" s="580">
        <f>IF(H142="","",VLOOKUP(H142,Tabela1[],2,0))</f>
        <v>3</v>
      </c>
      <c r="J142" s="478" t="s">
        <v>1</v>
      </c>
    </row>
    <row r="143" spans="1:10" ht="15" customHeight="1">
      <c r="A143" s="479" t="s">
        <v>1767</v>
      </c>
      <c r="B143" s="480">
        <v>1</v>
      </c>
      <c r="C143" s="480">
        <v>1</v>
      </c>
      <c r="D143" s="480"/>
      <c r="E143" s="480" t="s">
        <v>16</v>
      </c>
      <c r="F143" s="360"/>
      <c r="G143" s="582" t="s">
        <v>108</v>
      </c>
      <c r="H143" s="582" t="s">
        <v>2133</v>
      </c>
      <c r="I143" s="583">
        <f>IF(H143="","",VLOOKUP(H143,Tabela1[],2,0))</f>
        <v>4</v>
      </c>
      <c r="J143" s="480" t="s">
        <v>1</v>
      </c>
    </row>
    <row r="144" spans="1:10" ht="15" customHeight="1">
      <c r="A144" s="480" t="s">
        <v>1768</v>
      </c>
      <c r="B144" s="480">
        <v>0.9</v>
      </c>
      <c r="C144" s="480">
        <v>1</v>
      </c>
      <c r="D144" s="480"/>
      <c r="E144" s="480" t="s">
        <v>16</v>
      </c>
      <c r="F144" s="360"/>
      <c r="G144" s="480" t="s">
        <v>108</v>
      </c>
      <c r="H144" s="582" t="s">
        <v>2133</v>
      </c>
      <c r="I144" s="583">
        <f>IF(H144="","",VLOOKUP(H144,Tabela1[],2,0))</f>
        <v>4</v>
      </c>
      <c r="J144" s="480" t="s">
        <v>1</v>
      </c>
    </row>
    <row r="145" spans="1:10" ht="15" customHeight="1">
      <c r="A145" s="480" t="s">
        <v>667</v>
      </c>
      <c r="B145" s="480">
        <v>0.435</v>
      </c>
      <c r="C145" s="480">
        <v>1</v>
      </c>
      <c r="D145" s="480"/>
      <c r="E145" s="480" t="s">
        <v>16</v>
      </c>
      <c r="F145" s="360"/>
      <c r="G145" s="480" t="s">
        <v>108</v>
      </c>
      <c r="H145" s="582" t="s">
        <v>2133</v>
      </c>
      <c r="I145" s="583">
        <f>IF(H145="","",VLOOKUP(H145,Tabela1[],2,0))</f>
        <v>4</v>
      </c>
      <c r="J145" s="480" t="s">
        <v>1</v>
      </c>
    </row>
    <row r="146" spans="1:10" ht="15" customHeight="1">
      <c r="A146" s="481" t="s">
        <v>1769</v>
      </c>
      <c r="B146" s="481">
        <v>9.6000000000000002E-2</v>
      </c>
      <c r="C146" s="481">
        <v>1</v>
      </c>
      <c r="D146" s="481"/>
      <c r="E146" s="481" t="s">
        <v>16</v>
      </c>
      <c r="F146" s="430"/>
      <c r="G146" s="481" t="s">
        <v>108</v>
      </c>
      <c r="H146" s="584" t="s">
        <v>2133</v>
      </c>
      <c r="I146" s="585">
        <f>IF(H146="","",VLOOKUP(H146,Tabela1[],2,0))</f>
        <v>4</v>
      </c>
      <c r="J146" s="481" t="s">
        <v>1</v>
      </c>
    </row>
    <row r="147" spans="1:10" ht="15" customHeight="1">
      <c r="A147" s="481" t="s">
        <v>1770</v>
      </c>
      <c r="B147" s="481">
        <v>0.128</v>
      </c>
      <c r="C147" s="481">
        <v>1</v>
      </c>
      <c r="D147" s="481"/>
      <c r="E147" s="481" t="s">
        <v>16</v>
      </c>
      <c r="F147" s="430"/>
      <c r="G147" s="481" t="s">
        <v>108</v>
      </c>
      <c r="H147" s="584" t="s">
        <v>2133</v>
      </c>
      <c r="I147" s="585">
        <f>IF(H147="","",VLOOKUP(H147,Tabela1[],2,0))</f>
        <v>4</v>
      </c>
      <c r="J147" s="481" t="s">
        <v>1</v>
      </c>
    </row>
    <row r="148" spans="1:10" ht="15" customHeight="1">
      <c r="A148" s="481" t="s">
        <v>1771</v>
      </c>
      <c r="B148" s="481">
        <v>0.16</v>
      </c>
      <c r="C148" s="481">
        <v>1</v>
      </c>
      <c r="D148" s="481"/>
      <c r="E148" s="481" t="s">
        <v>16</v>
      </c>
      <c r="F148" s="430"/>
      <c r="G148" s="481" t="s">
        <v>108</v>
      </c>
      <c r="H148" s="584" t="s">
        <v>2133</v>
      </c>
      <c r="I148" s="585">
        <f>IF(H148="","",VLOOKUP(H148,Tabela1[],2,0))</f>
        <v>4</v>
      </c>
      <c r="J148" s="481" t="s">
        <v>1</v>
      </c>
    </row>
    <row r="149" spans="1:10" ht="15" customHeight="1">
      <c r="A149" s="481" t="s">
        <v>1772</v>
      </c>
      <c r="B149" s="481">
        <v>0.192</v>
      </c>
      <c r="C149" s="481">
        <v>1</v>
      </c>
      <c r="D149" s="481"/>
      <c r="E149" s="481" t="s">
        <v>16</v>
      </c>
      <c r="F149" s="430"/>
      <c r="G149" s="481" t="s">
        <v>108</v>
      </c>
      <c r="H149" s="584" t="s">
        <v>2133</v>
      </c>
      <c r="I149" s="585">
        <f>IF(H149="","",VLOOKUP(H149,Tabela1[],2,0))</f>
        <v>4</v>
      </c>
      <c r="J149" s="481" t="s">
        <v>1</v>
      </c>
    </row>
    <row r="150" spans="1:10" ht="15" customHeight="1">
      <c r="A150" s="481" t="s">
        <v>1773</v>
      </c>
      <c r="B150" s="481">
        <v>0.28799999999999998</v>
      </c>
      <c r="C150" s="481">
        <v>1</v>
      </c>
      <c r="D150" s="481"/>
      <c r="E150" s="481" t="s">
        <v>16</v>
      </c>
      <c r="F150" s="430"/>
      <c r="G150" s="481" t="s">
        <v>108</v>
      </c>
      <c r="H150" s="584" t="s">
        <v>2133</v>
      </c>
      <c r="I150" s="585">
        <f>IF(H150="","",VLOOKUP(H150,Tabela1[],2,0))</f>
        <v>4</v>
      </c>
      <c r="J150" s="481" t="s">
        <v>1</v>
      </c>
    </row>
    <row r="151" spans="1:10" ht="15" customHeight="1">
      <c r="A151" s="481" t="s">
        <v>1774</v>
      </c>
      <c r="B151" s="481">
        <v>9.6000000000000002E-2</v>
      </c>
      <c r="C151" s="481">
        <v>1</v>
      </c>
      <c r="D151" s="481"/>
      <c r="E151" s="481" t="s">
        <v>16</v>
      </c>
      <c r="F151" s="430"/>
      <c r="G151" s="481" t="s">
        <v>108</v>
      </c>
      <c r="H151" s="584" t="s">
        <v>2133</v>
      </c>
      <c r="I151" s="585">
        <f>IF(H151="","",VLOOKUP(H151,Tabela1[],2,0))</f>
        <v>4</v>
      </c>
      <c r="J151" s="481" t="s">
        <v>1</v>
      </c>
    </row>
    <row r="152" spans="1:10" ht="15" customHeight="1">
      <c r="A152" s="481" t="s">
        <v>1775</v>
      </c>
      <c r="B152" s="481">
        <v>0.128</v>
      </c>
      <c r="C152" s="481">
        <v>1</v>
      </c>
      <c r="D152" s="481"/>
      <c r="E152" s="481" t="s">
        <v>16</v>
      </c>
      <c r="F152" s="430"/>
      <c r="G152" s="481" t="s">
        <v>108</v>
      </c>
      <c r="H152" s="584" t="s">
        <v>2133</v>
      </c>
      <c r="I152" s="585">
        <f>IF(H152="","",VLOOKUP(H152,Tabela1[],2,0))</f>
        <v>4</v>
      </c>
      <c r="J152" s="481" t="s">
        <v>1</v>
      </c>
    </row>
    <row r="153" spans="1:10" ht="15" customHeight="1">
      <c r="A153" s="481" t="s">
        <v>1776</v>
      </c>
      <c r="B153" s="481">
        <v>0.16</v>
      </c>
      <c r="C153" s="481">
        <v>1</v>
      </c>
      <c r="D153" s="481"/>
      <c r="E153" s="481" t="s">
        <v>16</v>
      </c>
      <c r="F153" s="430"/>
      <c r="G153" s="584" t="s">
        <v>108</v>
      </c>
      <c r="H153" s="584" t="s">
        <v>2133</v>
      </c>
      <c r="I153" s="585">
        <f>IF(H153="","",VLOOKUP(H153,Tabela1[],2,0))</f>
        <v>4</v>
      </c>
      <c r="J153" s="481" t="s">
        <v>1</v>
      </c>
    </row>
    <row r="154" spans="1:10" ht="15" customHeight="1">
      <c r="A154" s="481" t="s">
        <v>1777</v>
      </c>
      <c r="B154" s="481">
        <v>0.192</v>
      </c>
      <c r="C154" s="481">
        <v>1</v>
      </c>
      <c r="D154" s="481"/>
      <c r="E154" s="481" t="s">
        <v>16</v>
      </c>
      <c r="F154" s="430"/>
      <c r="G154" s="481" t="s">
        <v>108</v>
      </c>
      <c r="H154" s="584" t="s">
        <v>2133</v>
      </c>
      <c r="I154" s="585">
        <f>IF(H154="","",VLOOKUP(H154,Tabela1[],2,0))</f>
        <v>4</v>
      </c>
      <c r="J154" s="481" t="s">
        <v>1</v>
      </c>
    </row>
    <row r="155" spans="1:10" ht="15" customHeight="1">
      <c r="A155" s="481" t="s">
        <v>1778</v>
      </c>
      <c r="B155" s="481">
        <v>0.28799999999999998</v>
      </c>
      <c r="C155" s="481">
        <v>1</v>
      </c>
      <c r="D155" s="481"/>
      <c r="E155" s="481" t="s">
        <v>16</v>
      </c>
      <c r="F155" s="430"/>
      <c r="G155" s="481" t="s">
        <v>108</v>
      </c>
      <c r="H155" s="584" t="s">
        <v>2133</v>
      </c>
      <c r="I155" s="585">
        <f>IF(H155="","",VLOOKUP(H155,Tabela1[],2,0))</f>
        <v>4</v>
      </c>
      <c r="J155" s="481" t="s">
        <v>1</v>
      </c>
    </row>
    <row r="156" spans="1:10" ht="15" customHeight="1">
      <c r="A156" s="480" t="s">
        <v>1779</v>
      </c>
      <c r="B156" s="480">
        <v>0.25</v>
      </c>
      <c r="C156" s="480">
        <v>1</v>
      </c>
      <c r="D156" s="480"/>
      <c r="E156" s="480" t="s">
        <v>16</v>
      </c>
      <c r="F156" s="360"/>
      <c r="G156" s="480" t="s">
        <v>108</v>
      </c>
      <c r="H156" s="582" t="s">
        <v>2133</v>
      </c>
      <c r="I156" s="583">
        <f>IF(H156="","",VLOOKUP(H156,Tabela1[],2,0))</f>
        <v>4</v>
      </c>
      <c r="J156" s="582" t="s">
        <v>1</v>
      </c>
    </row>
    <row r="157" spans="1:10" ht="15" customHeight="1">
      <c r="A157" s="480" t="s">
        <v>1780</v>
      </c>
      <c r="B157" s="480">
        <v>0.25</v>
      </c>
      <c r="C157" s="480">
        <v>1</v>
      </c>
      <c r="D157" s="480"/>
      <c r="E157" s="480" t="s">
        <v>16</v>
      </c>
      <c r="F157" s="360"/>
      <c r="G157" s="480" t="s">
        <v>108</v>
      </c>
      <c r="H157" s="582" t="s">
        <v>2133</v>
      </c>
      <c r="I157" s="583">
        <f>IF(H157="","",VLOOKUP(H157,Tabela1[],2,0))</f>
        <v>4</v>
      </c>
      <c r="J157" s="582" t="s">
        <v>1</v>
      </c>
    </row>
    <row r="158" spans="1:10" ht="15" customHeight="1">
      <c r="A158" s="480" t="s">
        <v>1781</v>
      </c>
      <c r="B158" s="480">
        <v>0.16500000000000001</v>
      </c>
      <c r="C158" s="480">
        <v>1</v>
      </c>
      <c r="D158" s="480"/>
      <c r="E158" s="480" t="s">
        <v>16</v>
      </c>
      <c r="F158" s="360"/>
      <c r="G158" s="582" t="s">
        <v>108</v>
      </c>
      <c r="H158" s="582" t="s">
        <v>2133</v>
      </c>
      <c r="I158" s="583">
        <f>IF(H158="","",VLOOKUP(H158,Tabela1[],2,0))</f>
        <v>4</v>
      </c>
      <c r="J158" s="582" t="s">
        <v>1</v>
      </c>
    </row>
    <row r="159" spans="1:10" ht="15" customHeight="1">
      <c r="A159" s="480" t="s">
        <v>1782</v>
      </c>
      <c r="B159" s="480">
        <v>0.21</v>
      </c>
      <c r="C159" s="480">
        <v>1</v>
      </c>
      <c r="D159" s="480"/>
      <c r="E159" s="480" t="s">
        <v>16</v>
      </c>
      <c r="F159" s="360"/>
      <c r="G159" s="480" t="s">
        <v>108</v>
      </c>
      <c r="H159" s="582" t="s">
        <v>2133</v>
      </c>
      <c r="I159" s="583">
        <f>IF(H159="","",VLOOKUP(H159,Tabela1[],2,0))</f>
        <v>4</v>
      </c>
      <c r="J159" s="582" t="s">
        <v>1</v>
      </c>
    </row>
    <row r="160" spans="1:10" ht="15" customHeight="1">
      <c r="A160" s="482" t="s">
        <v>1783</v>
      </c>
      <c r="B160" s="482">
        <v>0.21</v>
      </c>
      <c r="C160" s="482">
        <v>1</v>
      </c>
      <c r="D160" s="482"/>
      <c r="E160" s="482" t="s">
        <v>16</v>
      </c>
      <c r="F160" s="432"/>
      <c r="G160" s="586" t="s">
        <v>108</v>
      </c>
      <c r="H160" s="586" t="s">
        <v>2133</v>
      </c>
      <c r="I160" s="587">
        <f>IF(H160="","",VLOOKUP(H160,Tabela1[],2,0))</f>
        <v>4</v>
      </c>
      <c r="J160" s="482" t="s">
        <v>1</v>
      </c>
    </row>
    <row r="161" spans="1:10" ht="15" customHeight="1">
      <c r="A161" s="482" t="s">
        <v>1784</v>
      </c>
      <c r="B161" s="482">
        <v>0.15</v>
      </c>
      <c r="C161" s="482">
        <v>1</v>
      </c>
      <c r="D161" s="482"/>
      <c r="E161" s="482" t="s">
        <v>16</v>
      </c>
      <c r="F161" s="432"/>
      <c r="G161" s="482" t="s">
        <v>108</v>
      </c>
      <c r="H161" s="586" t="s">
        <v>2133</v>
      </c>
      <c r="I161" s="587">
        <f>IF(H161="","",VLOOKUP(H161,Tabela1[],2,0))</f>
        <v>4</v>
      </c>
      <c r="J161" s="482" t="s">
        <v>1</v>
      </c>
    </row>
    <row r="162" spans="1:10" ht="15" customHeight="1">
      <c r="A162" s="482" t="s">
        <v>1785</v>
      </c>
      <c r="B162" s="482">
        <v>0.21</v>
      </c>
      <c r="C162" s="482">
        <v>1</v>
      </c>
      <c r="D162" s="482"/>
      <c r="E162" s="482" t="s">
        <v>16</v>
      </c>
      <c r="F162" s="432"/>
      <c r="G162" s="482" t="s">
        <v>108</v>
      </c>
      <c r="H162" s="586" t="s">
        <v>2133</v>
      </c>
      <c r="I162" s="587">
        <f>IF(H162="","",VLOOKUP(H162,Tabela1[],2,0))</f>
        <v>4</v>
      </c>
      <c r="J162" s="482" t="s">
        <v>1</v>
      </c>
    </row>
    <row r="163" spans="1:10" customFormat="1" ht="14.4">
      <c r="G163" s="115"/>
      <c r="H163" s="1"/>
      <c r="I163" s="115"/>
    </row>
    <row r="165" spans="1:10" s="112" customFormat="1" ht="25.8">
      <c r="A165" s="116" t="s">
        <v>1095</v>
      </c>
      <c r="B165" s="116"/>
      <c r="C165" s="116"/>
      <c r="D165" s="116"/>
      <c r="E165" s="116"/>
      <c r="F165" s="117"/>
      <c r="G165" s="116"/>
      <c r="H165" s="116"/>
      <c r="I165" s="117"/>
      <c r="J165" s="116"/>
    </row>
    <row r="166" spans="1:10" ht="15" customHeight="1">
      <c r="A166" s="64" t="s">
        <v>1099</v>
      </c>
      <c r="B166" s="64">
        <v>1</v>
      </c>
      <c r="C166" s="64">
        <v>25</v>
      </c>
      <c r="D166" s="64"/>
      <c r="E166" s="64" t="s">
        <v>1867</v>
      </c>
      <c r="F166" s="65" t="s">
        <v>16</v>
      </c>
      <c r="G166" s="64" t="s">
        <v>108</v>
      </c>
      <c r="H166" s="64" t="s">
        <v>2137</v>
      </c>
      <c r="I166" s="65">
        <f>IF(H166="","",VLOOKUP(H166,Tabela1[],2,0))</f>
        <v>8</v>
      </c>
      <c r="J166" s="64" t="s">
        <v>2</v>
      </c>
    </row>
    <row r="167" spans="1:10" ht="15" customHeight="1">
      <c r="A167" s="334" t="s">
        <v>1094</v>
      </c>
      <c r="B167" s="94">
        <v>1.3</v>
      </c>
      <c r="C167" s="94">
        <v>20</v>
      </c>
      <c r="D167" s="94"/>
      <c r="E167" s="334" t="s">
        <v>1097</v>
      </c>
      <c r="F167" s="95" t="s">
        <v>16</v>
      </c>
      <c r="G167" s="94"/>
      <c r="H167" s="64" t="s">
        <v>2137</v>
      </c>
      <c r="I167" s="65">
        <f>IF(H167="","",VLOOKUP(H167,Tabela1[],2,0))</f>
        <v>8</v>
      </c>
      <c r="J167" s="94" t="s">
        <v>2</v>
      </c>
    </row>
    <row r="168" spans="1:10" ht="15" customHeight="1">
      <c r="A168" s="335" t="s">
        <v>1096</v>
      </c>
      <c r="B168" s="64">
        <v>1.3</v>
      </c>
      <c r="C168" s="64">
        <v>20</v>
      </c>
      <c r="D168" s="64"/>
      <c r="E168" s="334" t="s">
        <v>1866</v>
      </c>
      <c r="F168" s="65" t="s">
        <v>16</v>
      </c>
      <c r="G168" s="64"/>
      <c r="H168" s="64" t="s">
        <v>2137</v>
      </c>
      <c r="I168" s="65">
        <f>IF(H168="","",VLOOKUP(H168,Tabela1[],2,0))</f>
        <v>8</v>
      </c>
      <c r="J168" s="64" t="s">
        <v>2</v>
      </c>
    </row>
    <row r="169" spans="1:10" ht="15" customHeight="1">
      <c r="A169" s="335" t="s">
        <v>1808</v>
      </c>
      <c r="B169" s="64">
        <v>1.53</v>
      </c>
      <c r="C169" s="64">
        <v>20</v>
      </c>
      <c r="D169" s="64"/>
      <c r="E169" s="64" t="s">
        <v>1868</v>
      </c>
      <c r="F169" s="65" t="s">
        <v>16</v>
      </c>
      <c r="G169" s="64"/>
      <c r="H169" s="64" t="s">
        <v>2137</v>
      </c>
      <c r="I169" s="65">
        <f>IF(H169="","",VLOOKUP(H169,Tabela1[],2,0))</f>
        <v>8</v>
      </c>
      <c r="J169" s="64" t="s">
        <v>2</v>
      </c>
    </row>
    <row r="170" spans="1:10" ht="15" customHeight="1">
      <c r="A170" s="492" t="s">
        <v>516</v>
      </c>
      <c r="B170" s="64">
        <v>1</v>
      </c>
      <c r="C170" s="64">
        <v>500</v>
      </c>
      <c r="D170" s="64"/>
      <c r="E170" s="64" t="s">
        <v>16</v>
      </c>
      <c r="F170" s="65" t="s">
        <v>16</v>
      </c>
      <c r="G170" s="64"/>
      <c r="H170" s="64" t="s">
        <v>2137</v>
      </c>
      <c r="I170" s="65">
        <f>IF(H170="","",VLOOKUP(H170,Tabela1[],2,0))</f>
        <v>8</v>
      </c>
      <c r="J170" s="64" t="s">
        <v>2</v>
      </c>
    </row>
    <row r="171" spans="1:10" ht="15" customHeight="1">
      <c r="A171" s="64" t="s">
        <v>105</v>
      </c>
      <c r="B171" s="64">
        <v>3</v>
      </c>
      <c r="C171" s="64">
        <v>1</v>
      </c>
      <c r="D171" s="64"/>
      <c r="E171" s="64" t="s">
        <v>76</v>
      </c>
      <c r="F171" s="65" t="s">
        <v>16</v>
      </c>
      <c r="G171" s="64">
        <v>23</v>
      </c>
      <c r="H171" s="64" t="s">
        <v>2137</v>
      </c>
      <c r="I171" s="65">
        <f>IF(H171="","",VLOOKUP(H171,Tabela1[],2,0))</f>
        <v>8</v>
      </c>
      <c r="J171" s="64" t="s">
        <v>2</v>
      </c>
    </row>
    <row r="172" spans="1:10" ht="15" customHeight="1">
      <c r="A172" s="64" t="s">
        <v>519</v>
      </c>
      <c r="B172" s="64">
        <v>1.5</v>
      </c>
      <c r="C172" s="64">
        <v>1</v>
      </c>
      <c r="D172" s="64"/>
      <c r="E172" s="64" t="s">
        <v>514</v>
      </c>
      <c r="F172" s="65" t="s">
        <v>16</v>
      </c>
      <c r="G172" s="64">
        <v>24</v>
      </c>
      <c r="H172" s="64" t="s">
        <v>2138</v>
      </c>
      <c r="I172" s="65">
        <f>IF(H172="","",VLOOKUP(H172,Tabela1[],2,0))</f>
        <v>9</v>
      </c>
      <c r="J172" s="64" t="s">
        <v>75</v>
      </c>
    </row>
    <row r="173" spans="1:10" ht="15" customHeight="1">
      <c r="A173" s="64" t="s">
        <v>515</v>
      </c>
      <c r="B173" s="64">
        <v>1</v>
      </c>
      <c r="C173" s="64">
        <v>1</v>
      </c>
      <c r="D173" s="64"/>
      <c r="E173" s="64" t="s">
        <v>16</v>
      </c>
      <c r="F173" s="65" t="s">
        <v>16</v>
      </c>
      <c r="G173" s="64" t="s">
        <v>108</v>
      </c>
      <c r="H173" s="64" t="s">
        <v>2138</v>
      </c>
      <c r="I173" s="65">
        <f>IF(H173="","",VLOOKUP(H173,Tabela1[],2,0))</f>
        <v>9</v>
      </c>
      <c r="J173" s="64" t="s">
        <v>1</v>
      </c>
    </row>
    <row r="174" spans="1:10" ht="15" customHeight="1">
      <c r="A174" s="64" t="s">
        <v>658</v>
      </c>
      <c r="B174" s="64">
        <v>0.625</v>
      </c>
      <c r="C174" s="64">
        <v>1</v>
      </c>
      <c r="D174" s="64"/>
      <c r="E174" s="64" t="s">
        <v>16</v>
      </c>
      <c r="F174" s="65" t="s">
        <v>16</v>
      </c>
      <c r="G174" s="64" t="s">
        <v>108</v>
      </c>
      <c r="H174" s="64" t="s">
        <v>2138</v>
      </c>
      <c r="I174" s="65">
        <f>IF(H174="","",VLOOKUP(H174,Tabela1[],2,0))</f>
        <v>9</v>
      </c>
      <c r="J174" s="64" t="s">
        <v>1</v>
      </c>
    </row>
  </sheetData>
  <autoFilter ref="A1:J99" xr:uid="{00000000-0009-0000-0000-000004000000}"/>
  <dataConsolidate/>
  <phoneticPr fontId="4" type="noConversion"/>
  <conditionalFormatting sqref="B69 B137:B144 B156:B162 B95:B97 B62:B67 B105:B126 B170:B174 B79:B93 B166:B168">
    <cfRule type="containsBlanks" dxfId="1115" priority="77" stopIfTrue="1">
      <formula>LEN(TRIM(B62))=0</formula>
    </cfRule>
  </conditionalFormatting>
  <conditionalFormatting sqref="B73">
    <cfRule type="containsBlanks" dxfId="1114" priority="52" stopIfTrue="1">
      <formula>LEN(TRIM(B73))=0</formula>
    </cfRule>
  </conditionalFormatting>
  <conditionalFormatting sqref="B72">
    <cfRule type="containsBlanks" dxfId="1113" priority="51" stopIfTrue="1">
      <formula>LEN(TRIM(B72))=0</formula>
    </cfRule>
  </conditionalFormatting>
  <conditionalFormatting sqref="B71">
    <cfRule type="containsBlanks" dxfId="1112" priority="50" stopIfTrue="1">
      <formula>LEN(TRIM(B71))=0</formula>
    </cfRule>
  </conditionalFormatting>
  <conditionalFormatting sqref="B70">
    <cfRule type="containsBlanks" dxfId="1111" priority="49" stopIfTrue="1">
      <formula>LEN(TRIM(B70))=0</formula>
    </cfRule>
  </conditionalFormatting>
  <conditionalFormatting sqref="B68">
    <cfRule type="containsBlanks" dxfId="1110" priority="46" stopIfTrue="1">
      <formula>LEN(TRIM(B68))=0</formula>
    </cfRule>
  </conditionalFormatting>
  <conditionalFormatting sqref="B134 B149:B150 B156:B162 B136:B145">
    <cfRule type="containsBlanks" dxfId="1109" priority="42" stopIfTrue="1">
      <formula>LEN(TRIM(B134))=0</formula>
    </cfRule>
  </conditionalFormatting>
  <conditionalFormatting sqref="B135">
    <cfRule type="containsBlanks" dxfId="1108" priority="41" stopIfTrue="1">
      <formula>LEN(TRIM(B135))=0</formula>
    </cfRule>
  </conditionalFormatting>
  <conditionalFormatting sqref="B149">
    <cfRule type="containsBlanks" dxfId="1107" priority="38" stopIfTrue="1">
      <formula>LEN(TRIM(B149))=0</formula>
    </cfRule>
  </conditionalFormatting>
  <conditionalFormatting sqref="B150">
    <cfRule type="containsBlanks" dxfId="1106" priority="37" stopIfTrue="1">
      <formula>LEN(TRIM(B150))=0</formula>
    </cfRule>
  </conditionalFormatting>
  <conditionalFormatting sqref="B94">
    <cfRule type="containsBlanks" dxfId="1105" priority="31" stopIfTrue="1">
      <formula>LEN(TRIM(B94))=0</formula>
    </cfRule>
  </conditionalFormatting>
  <conditionalFormatting sqref="B127:B130">
    <cfRule type="containsBlanks" dxfId="1104" priority="30" stopIfTrue="1">
      <formula>LEN(TRIM(B127))=0</formula>
    </cfRule>
  </conditionalFormatting>
  <conditionalFormatting sqref="B131:B133">
    <cfRule type="containsBlanks" dxfId="1103" priority="29" stopIfTrue="1">
      <formula>LEN(TRIM(B131))=0</formula>
    </cfRule>
  </conditionalFormatting>
  <conditionalFormatting sqref="B146:B148">
    <cfRule type="containsBlanks" dxfId="1102" priority="28" stopIfTrue="1">
      <formula>LEN(TRIM(B146))=0</formula>
    </cfRule>
  </conditionalFormatting>
  <conditionalFormatting sqref="B154:B155">
    <cfRule type="containsBlanks" dxfId="1101" priority="27" stopIfTrue="1">
      <formula>LEN(TRIM(B154))=0</formula>
    </cfRule>
  </conditionalFormatting>
  <conditionalFormatting sqref="B154">
    <cfRule type="containsBlanks" dxfId="1100" priority="26" stopIfTrue="1">
      <formula>LEN(TRIM(B154))=0</formula>
    </cfRule>
  </conditionalFormatting>
  <conditionalFormatting sqref="B155">
    <cfRule type="containsBlanks" dxfId="1099" priority="25" stopIfTrue="1">
      <formula>LEN(TRIM(B155))=0</formula>
    </cfRule>
  </conditionalFormatting>
  <conditionalFormatting sqref="B151:B153">
    <cfRule type="containsBlanks" dxfId="1098" priority="24" stopIfTrue="1">
      <formula>LEN(TRIM(B151))=0</formula>
    </cfRule>
  </conditionalFormatting>
  <conditionalFormatting sqref="B145">
    <cfRule type="containsBlanks" dxfId="1097" priority="23" stopIfTrue="1">
      <formula>LEN(TRIM(B145))=0</formula>
    </cfRule>
  </conditionalFormatting>
  <conditionalFormatting sqref="B169">
    <cfRule type="containsBlanks" dxfId="1096" priority="22" stopIfTrue="1">
      <formula>LEN(TRIM(B169))=0</formula>
    </cfRule>
  </conditionalFormatting>
  <conditionalFormatting sqref="B74">
    <cfRule type="containsBlanks" dxfId="1095" priority="21" stopIfTrue="1">
      <formula>LEN(TRIM(B74))=0</formula>
    </cfRule>
  </conditionalFormatting>
  <conditionalFormatting sqref="B75">
    <cfRule type="containsBlanks" dxfId="1094" priority="20" stopIfTrue="1">
      <formula>LEN(TRIM(B75))=0</formula>
    </cfRule>
  </conditionalFormatting>
  <conditionalFormatting sqref="H79:H101 H3:H12 H166:H174 H105:H162">
    <cfRule type="expression" dxfId="1093" priority="18">
      <formula>H3=""</formula>
    </cfRule>
  </conditionalFormatting>
  <conditionalFormatting sqref="H29:H37">
    <cfRule type="expression" dxfId="1092" priority="17">
      <formula>H29=""</formula>
    </cfRule>
  </conditionalFormatting>
  <conditionalFormatting sqref="H53:H58">
    <cfRule type="expression" dxfId="1091" priority="16">
      <formula>H53=""</formula>
    </cfRule>
  </conditionalFormatting>
  <conditionalFormatting sqref="H62:H75">
    <cfRule type="expression" dxfId="1090" priority="15">
      <formula>H62=""</formula>
    </cfRule>
  </conditionalFormatting>
  <conditionalFormatting sqref="H16:H25">
    <cfRule type="expression" dxfId="1089" priority="11">
      <formula>H16=""</formula>
    </cfRule>
  </conditionalFormatting>
  <conditionalFormatting sqref="H41:H49">
    <cfRule type="expression" dxfId="1088" priority="10">
      <formula>H41=""</formula>
    </cfRule>
  </conditionalFormatting>
  <conditionalFormatting sqref="A1:A1048576">
    <cfRule type="duplicateValues" dxfId="1087" priority="9"/>
  </conditionalFormatting>
  <conditionalFormatting sqref="E29:E37">
    <cfRule type="cellIs" dxfId="1086" priority="8" operator="notEqual">
      <formula>"-"</formula>
    </cfRule>
  </conditionalFormatting>
  <conditionalFormatting sqref="E41:E49">
    <cfRule type="cellIs" dxfId="1085" priority="7" operator="notEqual">
      <formula>"-"</formula>
    </cfRule>
  </conditionalFormatting>
  <conditionalFormatting sqref="E53:E58">
    <cfRule type="cellIs" dxfId="1084" priority="6" operator="notEqual">
      <formula>"-"</formula>
    </cfRule>
  </conditionalFormatting>
  <conditionalFormatting sqref="B3:B12">
    <cfRule type="expression" dxfId="1083" priority="5">
      <formula>NOT(_xlfn.ISFORMULA(B3))</formula>
    </cfRule>
  </conditionalFormatting>
  <conditionalFormatting sqref="B16:B25">
    <cfRule type="expression" dxfId="1082" priority="4">
      <formula>NOT(_xlfn.ISFORMULA(B16))</formula>
    </cfRule>
  </conditionalFormatting>
  <conditionalFormatting sqref="B29:B37">
    <cfRule type="expression" dxfId="1081" priority="3">
      <formula>NOT(_xlfn.ISFORMULA(B29))</formula>
    </cfRule>
  </conditionalFormatting>
  <conditionalFormatting sqref="B41:B49">
    <cfRule type="expression" dxfId="1080" priority="2">
      <formula>NOT(_xlfn.ISFORMULA(B41))</formula>
    </cfRule>
  </conditionalFormatting>
  <conditionalFormatting sqref="B53:B58">
    <cfRule type="expression" dxfId="1079" priority="1">
      <formula>NOT(_xlfn.ISFORMULA(B53))</formula>
    </cfRule>
  </conditionalFormatting>
  <dataValidations disablePrompts="1" count="1">
    <dataValidation type="list" allowBlank="1" showInputMessage="1" showErrorMessage="1" sqref="H41:H49 H16:H25 H62:H75 H53:H58 H79:H101 H3:H12 H29:H37 H166:H174 H105:H162" xr:uid="{3A1228F8-E503-4203-9868-5829AF8BB2DC}">
      <formula1>Classif_Descr</formula1>
    </dataValidation>
  </dataValidations>
  <pageMargins left="0.78740157499999996" right="0.78740157499999996" top="0.984251969" bottom="0.984251969" header="0.49212598499999999" footer="0.49212598499999999"/>
  <pageSetup paperSize="9" orientation="portrait" r:id="rId1"/>
  <headerFooter alignWithMargins="0">
    <oddFooter>&amp;L
&amp;K808080&amp;"Trebuchet MS"CLASSIFICAÇÃO DO DOCUMENTO: INTERNO</oddFooter>
  </headerFooter>
  <extLst>
    <ext xmlns:x14="http://schemas.microsoft.com/office/spreadsheetml/2009/9/main" uri="{CCE6A557-97BC-4b89-ADB6-D9C93CAAB3DF}">
      <x14:dataValidations xmlns:xm="http://schemas.microsoft.com/office/excel/2006/main" disablePrompts="1" count="2">
        <x14:dataValidation type="list" showInputMessage="1" xr:uid="{06B2C528-C8CE-4CF3-819C-683F8DD82716}">
          <x14:formula1>
            <xm:f>brands_shaped!$A:$A</xm:f>
          </x14:formula1>
          <xm:sqref>A3:A12 A16:A25</xm:sqref>
        </x14:dataValidation>
        <x14:dataValidation type="list" showInputMessage="1" xr:uid="{F03B075D-E6B6-45DD-9359-CE6AF0D22FCD}">
          <x14:formula1>
            <xm:f>brands_unshaped!$A:$A</xm:f>
          </x14:formula1>
          <xm:sqref>A29:A37 A53:A58 A41:A49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840E7-5555-4742-8992-A11BB789C602}">
  <sheetPr codeName="Planilha5"/>
  <dimension ref="A1:D1818"/>
  <sheetViews>
    <sheetView workbookViewId="0">
      <selection sqref="A1:D1739"/>
    </sheetView>
  </sheetViews>
  <sheetFormatPr defaultRowHeight="13.2"/>
  <cols>
    <col min="1" max="1" width="23" bestFit="1" customWidth="1"/>
    <col min="2" max="2" width="31.77734375" bestFit="1" customWidth="1"/>
    <col min="3" max="3" width="48.21875" bestFit="1" customWidth="1"/>
    <col min="4" max="4" width="19.21875" bestFit="1" customWidth="1"/>
  </cols>
  <sheetData>
    <row r="1" spans="1:4">
      <c r="A1" t="s">
        <v>2180</v>
      </c>
      <c r="B1" t="s">
        <v>499</v>
      </c>
      <c r="C1" t="s">
        <v>8183</v>
      </c>
      <c r="D1" t="s">
        <v>8184</v>
      </c>
    </row>
    <row r="2" spans="1:4">
      <c r="A2" t="s">
        <v>1731</v>
      </c>
      <c r="B2" t="s">
        <v>1749</v>
      </c>
      <c r="C2" t="s">
        <v>8185</v>
      </c>
      <c r="D2" t="s">
        <v>8186</v>
      </c>
    </row>
    <row r="3" spans="1:4">
      <c r="A3" t="s">
        <v>1732</v>
      </c>
      <c r="B3" t="s">
        <v>1749</v>
      </c>
      <c r="C3" t="s">
        <v>8187</v>
      </c>
      <c r="D3" t="s">
        <v>8188</v>
      </c>
    </row>
    <row r="4" spans="1:4">
      <c r="A4" t="s">
        <v>1075</v>
      </c>
      <c r="B4" t="s">
        <v>1080</v>
      </c>
      <c r="C4" t="s">
        <v>8189</v>
      </c>
      <c r="D4" t="s">
        <v>8190</v>
      </c>
    </row>
    <row r="5" spans="1:4">
      <c r="A5" t="s">
        <v>2175</v>
      </c>
      <c r="B5" t="s">
        <v>1749</v>
      </c>
      <c r="C5" t="s">
        <v>8191</v>
      </c>
      <c r="D5" t="s">
        <v>8192</v>
      </c>
    </row>
    <row r="6" spans="1:4">
      <c r="A6" t="s">
        <v>8193</v>
      </c>
      <c r="B6" t="s">
        <v>8194</v>
      </c>
      <c r="C6" t="s">
        <v>8195</v>
      </c>
      <c r="D6" t="s">
        <v>8196</v>
      </c>
    </row>
    <row r="7" spans="1:4">
      <c r="A7" t="s">
        <v>8197</v>
      </c>
      <c r="B7" t="s">
        <v>8194</v>
      </c>
      <c r="C7" t="s">
        <v>8198</v>
      </c>
      <c r="D7" t="s">
        <v>8199</v>
      </c>
    </row>
    <row r="8" spans="1:4">
      <c r="A8" t="s">
        <v>8200</v>
      </c>
      <c r="B8" t="s">
        <v>8194</v>
      </c>
      <c r="C8" t="s">
        <v>8201</v>
      </c>
      <c r="D8" t="s">
        <v>8202</v>
      </c>
    </row>
    <row r="9" spans="1:4">
      <c r="A9" t="s">
        <v>8203</v>
      </c>
      <c r="B9" t="s">
        <v>8204</v>
      </c>
      <c r="C9" t="s">
        <v>8205</v>
      </c>
      <c r="D9" t="s">
        <v>8206</v>
      </c>
    </row>
    <row r="10" spans="1:4">
      <c r="A10" t="s">
        <v>8207</v>
      </c>
      <c r="B10" t="s">
        <v>8194</v>
      </c>
      <c r="C10" t="s">
        <v>8208</v>
      </c>
      <c r="D10" t="s">
        <v>8209</v>
      </c>
    </row>
    <row r="11" spans="1:4">
      <c r="A11" t="s">
        <v>8210</v>
      </c>
      <c r="B11" t="s">
        <v>8194</v>
      </c>
      <c r="C11" t="s">
        <v>8211</v>
      </c>
      <c r="D11" t="s">
        <v>8212</v>
      </c>
    </row>
    <row r="12" spans="1:4">
      <c r="A12" t="s">
        <v>8213</v>
      </c>
      <c r="B12" t="s">
        <v>8194</v>
      </c>
      <c r="C12" t="s">
        <v>8214</v>
      </c>
      <c r="D12" t="s">
        <v>8215</v>
      </c>
    </row>
    <row r="13" spans="1:4">
      <c r="A13" t="s">
        <v>8216</v>
      </c>
      <c r="B13" t="s">
        <v>8217</v>
      </c>
      <c r="C13" t="s">
        <v>8218</v>
      </c>
      <c r="D13" t="s">
        <v>8219</v>
      </c>
    </row>
    <row r="14" spans="1:4">
      <c r="A14" t="s">
        <v>8220</v>
      </c>
      <c r="B14" t="s">
        <v>8221</v>
      </c>
      <c r="C14" t="s">
        <v>8222</v>
      </c>
      <c r="D14" t="s">
        <v>8223</v>
      </c>
    </row>
    <row r="15" spans="1:4">
      <c r="A15" t="s">
        <v>8224</v>
      </c>
      <c r="B15" t="s">
        <v>8225</v>
      </c>
      <c r="C15" t="s">
        <v>8226</v>
      </c>
      <c r="D15" t="s">
        <v>8227</v>
      </c>
    </row>
    <row r="16" spans="1:4">
      <c r="A16" t="s">
        <v>8228</v>
      </c>
      <c r="B16" t="s">
        <v>8225</v>
      </c>
      <c r="C16" t="s">
        <v>8229</v>
      </c>
      <c r="D16" t="s">
        <v>8230</v>
      </c>
    </row>
    <row r="17" spans="1:4">
      <c r="A17" t="s">
        <v>8231</v>
      </c>
      <c r="B17" t="s">
        <v>8225</v>
      </c>
      <c r="C17" t="s">
        <v>8232</v>
      </c>
      <c r="D17" t="s">
        <v>8233</v>
      </c>
    </row>
    <row r="18" spans="1:4">
      <c r="A18" t="s">
        <v>8234</v>
      </c>
      <c r="B18" t="s">
        <v>8225</v>
      </c>
      <c r="C18" t="s">
        <v>8235</v>
      </c>
      <c r="D18" t="s">
        <v>8236</v>
      </c>
    </row>
    <row r="19" spans="1:4">
      <c r="A19" t="s">
        <v>8237</v>
      </c>
      <c r="B19" t="s">
        <v>8225</v>
      </c>
      <c r="C19" t="s">
        <v>8238</v>
      </c>
      <c r="D19" t="s">
        <v>8239</v>
      </c>
    </row>
    <row r="20" spans="1:4">
      <c r="A20" t="s">
        <v>8224</v>
      </c>
      <c r="B20" t="s">
        <v>8240</v>
      </c>
      <c r="C20" t="s">
        <v>8241</v>
      </c>
      <c r="D20" t="s">
        <v>8242</v>
      </c>
    </row>
    <row r="21" spans="1:4">
      <c r="A21" t="s">
        <v>8228</v>
      </c>
      <c r="B21" t="s">
        <v>8240</v>
      </c>
      <c r="C21" t="s">
        <v>8243</v>
      </c>
      <c r="D21" t="s">
        <v>8244</v>
      </c>
    </row>
    <row r="22" spans="1:4">
      <c r="A22" t="s">
        <v>8231</v>
      </c>
      <c r="B22" t="s">
        <v>8240</v>
      </c>
      <c r="C22" t="s">
        <v>8245</v>
      </c>
      <c r="D22" t="s">
        <v>8246</v>
      </c>
    </row>
    <row r="23" spans="1:4">
      <c r="A23" t="s">
        <v>8234</v>
      </c>
      <c r="B23" t="s">
        <v>8240</v>
      </c>
      <c r="C23" t="s">
        <v>8247</v>
      </c>
      <c r="D23" t="s">
        <v>8248</v>
      </c>
    </row>
    <row r="24" spans="1:4">
      <c r="A24" t="s">
        <v>8237</v>
      </c>
      <c r="B24" t="s">
        <v>8240</v>
      </c>
      <c r="C24" t="s">
        <v>8249</v>
      </c>
      <c r="D24" t="s">
        <v>8250</v>
      </c>
    </row>
    <row r="25" spans="1:4">
      <c r="A25" t="s">
        <v>8224</v>
      </c>
      <c r="B25" t="s">
        <v>8251</v>
      </c>
      <c r="C25" t="s">
        <v>8252</v>
      </c>
      <c r="D25" t="s">
        <v>8253</v>
      </c>
    </row>
    <row r="26" spans="1:4">
      <c r="A26" t="s">
        <v>8228</v>
      </c>
      <c r="B26" t="s">
        <v>8251</v>
      </c>
      <c r="C26" t="s">
        <v>8254</v>
      </c>
      <c r="D26" t="s">
        <v>8255</v>
      </c>
    </row>
    <row r="27" spans="1:4">
      <c r="A27" t="s">
        <v>8231</v>
      </c>
      <c r="B27" t="s">
        <v>8251</v>
      </c>
      <c r="C27" t="s">
        <v>8256</v>
      </c>
      <c r="D27" t="s">
        <v>8257</v>
      </c>
    </row>
    <row r="28" spans="1:4">
      <c r="A28" t="s">
        <v>8234</v>
      </c>
      <c r="B28" t="s">
        <v>8251</v>
      </c>
      <c r="C28" t="s">
        <v>8258</v>
      </c>
      <c r="D28" t="s">
        <v>8259</v>
      </c>
    </row>
    <row r="29" spans="1:4">
      <c r="A29" t="s">
        <v>8237</v>
      </c>
      <c r="B29" t="s">
        <v>8251</v>
      </c>
      <c r="C29" t="s">
        <v>8260</v>
      </c>
      <c r="D29" t="s">
        <v>8261</v>
      </c>
    </row>
    <row r="30" spans="1:4">
      <c r="A30" t="s">
        <v>8224</v>
      </c>
      <c r="B30" t="s">
        <v>8262</v>
      </c>
      <c r="C30" t="s">
        <v>8263</v>
      </c>
      <c r="D30" t="s">
        <v>8264</v>
      </c>
    </row>
    <row r="31" spans="1:4">
      <c r="A31" t="s">
        <v>8228</v>
      </c>
      <c r="B31" t="s">
        <v>8262</v>
      </c>
      <c r="C31" t="s">
        <v>8265</v>
      </c>
      <c r="D31" t="s">
        <v>8266</v>
      </c>
    </row>
    <row r="32" spans="1:4">
      <c r="A32" t="s">
        <v>8231</v>
      </c>
      <c r="B32" t="s">
        <v>8262</v>
      </c>
      <c r="C32" t="s">
        <v>8267</v>
      </c>
      <c r="D32" t="s">
        <v>8268</v>
      </c>
    </row>
    <row r="33" spans="1:4">
      <c r="A33" t="s">
        <v>8234</v>
      </c>
      <c r="B33" t="s">
        <v>8262</v>
      </c>
      <c r="C33" t="s">
        <v>8269</v>
      </c>
      <c r="D33" t="s">
        <v>8270</v>
      </c>
    </row>
    <row r="34" spans="1:4">
      <c r="A34" t="s">
        <v>8237</v>
      </c>
      <c r="B34" t="s">
        <v>8262</v>
      </c>
      <c r="C34" t="s">
        <v>8271</v>
      </c>
      <c r="D34" t="s">
        <v>8272</v>
      </c>
    </row>
    <row r="35" spans="1:4">
      <c r="A35" t="s">
        <v>8224</v>
      </c>
      <c r="B35" t="s">
        <v>8273</v>
      </c>
      <c r="C35" t="s">
        <v>8274</v>
      </c>
      <c r="D35" t="s">
        <v>8275</v>
      </c>
    </row>
    <row r="36" spans="1:4">
      <c r="A36" t="s">
        <v>8228</v>
      </c>
      <c r="B36" t="s">
        <v>8273</v>
      </c>
      <c r="C36" t="s">
        <v>8276</v>
      </c>
      <c r="D36" t="s">
        <v>8277</v>
      </c>
    </row>
    <row r="37" spans="1:4">
      <c r="A37" t="s">
        <v>8231</v>
      </c>
      <c r="B37" t="s">
        <v>8273</v>
      </c>
      <c r="C37" t="s">
        <v>8278</v>
      </c>
      <c r="D37" t="s">
        <v>8279</v>
      </c>
    </row>
    <row r="38" spans="1:4">
      <c r="A38" t="s">
        <v>8234</v>
      </c>
      <c r="B38" t="s">
        <v>8273</v>
      </c>
      <c r="C38" t="s">
        <v>8280</v>
      </c>
      <c r="D38" t="s">
        <v>8281</v>
      </c>
    </row>
    <row r="39" spans="1:4">
      <c r="A39" t="s">
        <v>8237</v>
      </c>
      <c r="B39" t="s">
        <v>8273</v>
      </c>
      <c r="C39" t="s">
        <v>8282</v>
      </c>
      <c r="D39" t="s">
        <v>8283</v>
      </c>
    </row>
    <row r="40" spans="1:4">
      <c r="A40" t="s">
        <v>8224</v>
      </c>
      <c r="B40" t="s">
        <v>8284</v>
      </c>
      <c r="C40" t="s">
        <v>8285</v>
      </c>
      <c r="D40" t="s">
        <v>8286</v>
      </c>
    </row>
    <row r="41" spans="1:4">
      <c r="A41" t="s">
        <v>8228</v>
      </c>
      <c r="B41" t="s">
        <v>8284</v>
      </c>
      <c r="C41" t="s">
        <v>8287</v>
      </c>
      <c r="D41" t="s">
        <v>8288</v>
      </c>
    </row>
    <row r="42" spans="1:4">
      <c r="A42" t="s">
        <v>8231</v>
      </c>
      <c r="B42" t="s">
        <v>8284</v>
      </c>
      <c r="C42" t="s">
        <v>8289</v>
      </c>
      <c r="D42" t="s">
        <v>8290</v>
      </c>
    </row>
    <row r="43" spans="1:4">
      <c r="A43" t="s">
        <v>8234</v>
      </c>
      <c r="B43" t="s">
        <v>8284</v>
      </c>
      <c r="C43" t="s">
        <v>8291</v>
      </c>
      <c r="D43" t="s">
        <v>8292</v>
      </c>
    </row>
    <row r="44" spans="1:4">
      <c r="A44" t="s">
        <v>8237</v>
      </c>
      <c r="B44" t="s">
        <v>8284</v>
      </c>
      <c r="C44" t="s">
        <v>8293</v>
      </c>
      <c r="D44" t="s">
        <v>8294</v>
      </c>
    </row>
    <row r="45" spans="1:4">
      <c r="A45" t="s">
        <v>8224</v>
      </c>
      <c r="B45" t="s">
        <v>8295</v>
      </c>
      <c r="C45" t="s">
        <v>8296</v>
      </c>
      <c r="D45" t="s">
        <v>8297</v>
      </c>
    </row>
    <row r="46" spans="1:4">
      <c r="A46" t="s">
        <v>8228</v>
      </c>
      <c r="B46" t="s">
        <v>8295</v>
      </c>
      <c r="C46" t="s">
        <v>8298</v>
      </c>
      <c r="D46" t="s">
        <v>8299</v>
      </c>
    </row>
    <row r="47" spans="1:4">
      <c r="A47" t="s">
        <v>8231</v>
      </c>
      <c r="B47" t="s">
        <v>8295</v>
      </c>
      <c r="C47" t="s">
        <v>8300</v>
      </c>
      <c r="D47" t="s">
        <v>8301</v>
      </c>
    </row>
    <row r="48" spans="1:4">
      <c r="A48" t="s">
        <v>8234</v>
      </c>
      <c r="B48" t="s">
        <v>8295</v>
      </c>
      <c r="C48" t="s">
        <v>8302</v>
      </c>
      <c r="D48" t="s">
        <v>8303</v>
      </c>
    </row>
    <row r="49" spans="1:4">
      <c r="A49" t="s">
        <v>8237</v>
      </c>
      <c r="B49" t="s">
        <v>8295</v>
      </c>
      <c r="C49" t="s">
        <v>8304</v>
      </c>
      <c r="D49" t="s">
        <v>8305</v>
      </c>
    </row>
    <row r="50" spans="1:4">
      <c r="A50" t="s">
        <v>8224</v>
      </c>
      <c r="B50" t="s">
        <v>8306</v>
      </c>
      <c r="C50" t="s">
        <v>8307</v>
      </c>
      <c r="D50" t="s">
        <v>8308</v>
      </c>
    </row>
    <row r="51" spans="1:4">
      <c r="A51" t="s">
        <v>8228</v>
      </c>
      <c r="B51" t="s">
        <v>8306</v>
      </c>
      <c r="C51" t="s">
        <v>8309</v>
      </c>
      <c r="D51" t="s">
        <v>8310</v>
      </c>
    </row>
    <row r="52" spans="1:4">
      <c r="A52" t="s">
        <v>8231</v>
      </c>
      <c r="B52" t="s">
        <v>8306</v>
      </c>
      <c r="C52" t="s">
        <v>8311</v>
      </c>
      <c r="D52" t="s">
        <v>8312</v>
      </c>
    </row>
    <row r="53" spans="1:4">
      <c r="A53" t="s">
        <v>8234</v>
      </c>
      <c r="B53" t="s">
        <v>8306</v>
      </c>
      <c r="C53" t="s">
        <v>8313</v>
      </c>
      <c r="D53" t="s">
        <v>8314</v>
      </c>
    </row>
    <row r="54" spans="1:4">
      <c r="A54" t="s">
        <v>8237</v>
      </c>
      <c r="B54" t="s">
        <v>8306</v>
      </c>
      <c r="C54" t="s">
        <v>8315</v>
      </c>
      <c r="D54" t="s">
        <v>8316</v>
      </c>
    </row>
    <row r="55" spans="1:4">
      <c r="A55" t="s">
        <v>8317</v>
      </c>
      <c r="B55" t="s">
        <v>8318</v>
      </c>
      <c r="C55" t="s">
        <v>8319</v>
      </c>
      <c r="D55" t="s">
        <v>8320</v>
      </c>
    </row>
    <row r="56" spans="1:4">
      <c r="A56" t="s">
        <v>8224</v>
      </c>
      <c r="B56" t="s">
        <v>8318</v>
      </c>
      <c r="C56" t="s">
        <v>8321</v>
      </c>
      <c r="D56" t="s">
        <v>8322</v>
      </c>
    </row>
    <row r="57" spans="1:4">
      <c r="A57" t="s">
        <v>8228</v>
      </c>
      <c r="B57" t="s">
        <v>8318</v>
      </c>
      <c r="C57" t="s">
        <v>8323</v>
      </c>
      <c r="D57" t="s">
        <v>8324</v>
      </c>
    </row>
    <row r="58" spans="1:4">
      <c r="A58" t="s">
        <v>8231</v>
      </c>
      <c r="B58" t="s">
        <v>8318</v>
      </c>
      <c r="C58" t="s">
        <v>8325</v>
      </c>
      <c r="D58" t="s">
        <v>8326</v>
      </c>
    </row>
    <row r="59" spans="1:4">
      <c r="A59" t="s">
        <v>8234</v>
      </c>
      <c r="B59" t="s">
        <v>8318</v>
      </c>
      <c r="C59" t="s">
        <v>8327</v>
      </c>
      <c r="D59" t="s">
        <v>8328</v>
      </c>
    </row>
    <row r="60" spans="1:4">
      <c r="A60" t="s">
        <v>8237</v>
      </c>
      <c r="B60" t="s">
        <v>8318</v>
      </c>
      <c r="C60" t="s">
        <v>8329</v>
      </c>
      <c r="D60" t="s">
        <v>8330</v>
      </c>
    </row>
    <row r="61" spans="1:4">
      <c r="A61" t="s">
        <v>8224</v>
      </c>
      <c r="B61" t="s">
        <v>8331</v>
      </c>
      <c r="C61" t="s">
        <v>8332</v>
      </c>
      <c r="D61" t="s">
        <v>8333</v>
      </c>
    </row>
    <row r="62" spans="1:4">
      <c r="A62" t="s">
        <v>8228</v>
      </c>
      <c r="B62" t="s">
        <v>8331</v>
      </c>
      <c r="C62" t="s">
        <v>8334</v>
      </c>
      <c r="D62" t="s">
        <v>8335</v>
      </c>
    </row>
    <row r="63" spans="1:4">
      <c r="A63" t="s">
        <v>8231</v>
      </c>
      <c r="B63" t="s">
        <v>8331</v>
      </c>
      <c r="C63" t="s">
        <v>8336</v>
      </c>
      <c r="D63" t="s">
        <v>8337</v>
      </c>
    </row>
    <row r="64" spans="1:4">
      <c r="A64" t="s">
        <v>8234</v>
      </c>
      <c r="B64" t="s">
        <v>8331</v>
      </c>
      <c r="C64" t="s">
        <v>8338</v>
      </c>
      <c r="D64" t="s">
        <v>8339</v>
      </c>
    </row>
    <row r="65" spans="1:4">
      <c r="A65" t="s">
        <v>8237</v>
      </c>
      <c r="B65" t="s">
        <v>8331</v>
      </c>
      <c r="C65" t="s">
        <v>8340</v>
      </c>
      <c r="D65" t="s">
        <v>8341</v>
      </c>
    </row>
    <row r="66" spans="1:4">
      <c r="A66" t="s">
        <v>8224</v>
      </c>
      <c r="B66" t="s">
        <v>8342</v>
      </c>
      <c r="C66" t="s">
        <v>8343</v>
      </c>
      <c r="D66" t="s">
        <v>8344</v>
      </c>
    </row>
    <row r="67" spans="1:4">
      <c r="A67" t="s">
        <v>8345</v>
      </c>
      <c r="B67" t="s">
        <v>8342</v>
      </c>
      <c r="C67" t="s">
        <v>8346</v>
      </c>
      <c r="D67" t="s">
        <v>8344</v>
      </c>
    </row>
    <row r="68" spans="1:4">
      <c r="A68" t="s">
        <v>8228</v>
      </c>
      <c r="B68" t="s">
        <v>8342</v>
      </c>
      <c r="C68" t="s">
        <v>8347</v>
      </c>
      <c r="D68" t="s">
        <v>8348</v>
      </c>
    </row>
    <row r="69" spans="1:4">
      <c r="A69" t="s">
        <v>8231</v>
      </c>
      <c r="B69" t="s">
        <v>8342</v>
      </c>
      <c r="C69" t="s">
        <v>8349</v>
      </c>
      <c r="D69" t="s">
        <v>8350</v>
      </c>
    </row>
    <row r="70" spans="1:4">
      <c r="A70" t="s">
        <v>8351</v>
      </c>
      <c r="B70" t="s">
        <v>8342</v>
      </c>
      <c r="C70" t="s">
        <v>8352</v>
      </c>
      <c r="D70" t="s">
        <v>8353</v>
      </c>
    </row>
    <row r="71" spans="1:4">
      <c r="A71" t="s">
        <v>8234</v>
      </c>
      <c r="B71" t="s">
        <v>8342</v>
      </c>
      <c r="C71" t="s">
        <v>8354</v>
      </c>
      <c r="D71" t="s">
        <v>8355</v>
      </c>
    </row>
    <row r="72" spans="1:4">
      <c r="A72" t="s">
        <v>8237</v>
      </c>
      <c r="B72" t="s">
        <v>8342</v>
      </c>
      <c r="C72" t="s">
        <v>8356</v>
      </c>
      <c r="D72" t="s">
        <v>8357</v>
      </c>
    </row>
    <row r="73" spans="1:4">
      <c r="A73" t="s">
        <v>8224</v>
      </c>
      <c r="B73" t="s">
        <v>8358</v>
      </c>
      <c r="C73" t="s">
        <v>8359</v>
      </c>
      <c r="D73" t="s">
        <v>8360</v>
      </c>
    </row>
    <row r="74" spans="1:4">
      <c r="A74" t="s">
        <v>8228</v>
      </c>
      <c r="B74" t="s">
        <v>8358</v>
      </c>
      <c r="C74" t="s">
        <v>8361</v>
      </c>
      <c r="D74" t="s">
        <v>8362</v>
      </c>
    </row>
    <row r="75" spans="1:4">
      <c r="A75" t="s">
        <v>8231</v>
      </c>
      <c r="B75" t="s">
        <v>8358</v>
      </c>
      <c r="C75" t="s">
        <v>8363</v>
      </c>
      <c r="D75" t="s">
        <v>8364</v>
      </c>
    </row>
    <row r="76" spans="1:4">
      <c r="A76" t="s">
        <v>8365</v>
      </c>
      <c r="B76" t="s">
        <v>8358</v>
      </c>
      <c r="C76" t="s">
        <v>8366</v>
      </c>
      <c r="D76" t="s">
        <v>8367</v>
      </c>
    </row>
    <row r="77" spans="1:4">
      <c r="A77" t="s">
        <v>8234</v>
      </c>
      <c r="B77" t="s">
        <v>8358</v>
      </c>
      <c r="C77" t="s">
        <v>8368</v>
      </c>
      <c r="D77" t="s">
        <v>8369</v>
      </c>
    </row>
    <row r="78" spans="1:4">
      <c r="A78" t="s">
        <v>8237</v>
      </c>
      <c r="B78" t="s">
        <v>8358</v>
      </c>
      <c r="C78" t="s">
        <v>8370</v>
      </c>
      <c r="D78" t="s">
        <v>8371</v>
      </c>
    </row>
    <row r="79" spans="1:4">
      <c r="A79" t="s">
        <v>8224</v>
      </c>
      <c r="B79" t="s">
        <v>8372</v>
      </c>
      <c r="C79" t="s">
        <v>8373</v>
      </c>
      <c r="D79" t="s">
        <v>8374</v>
      </c>
    </row>
    <row r="80" spans="1:4">
      <c r="A80" t="s">
        <v>8228</v>
      </c>
      <c r="B80" t="s">
        <v>8372</v>
      </c>
      <c r="C80" t="s">
        <v>8375</v>
      </c>
      <c r="D80" t="s">
        <v>8376</v>
      </c>
    </row>
    <row r="81" spans="1:4">
      <c r="A81" t="s">
        <v>8231</v>
      </c>
      <c r="B81" t="s">
        <v>8372</v>
      </c>
      <c r="C81" t="s">
        <v>8377</v>
      </c>
      <c r="D81" t="s">
        <v>8378</v>
      </c>
    </row>
    <row r="82" spans="1:4">
      <c r="A82" t="s">
        <v>8234</v>
      </c>
      <c r="B82" t="s">
        <v>8372</v>
      </c>
      <c r="C82" t="s">
        <v>8379</v>
      </c>
      <c r="D82" t="s">
        <v>8380</v>
      </c>
    </row>
    <row r="83" spans="1:4">
      <c r="A83" t="s">
        <v>8237</v>
      </c>
      <c r="B83" t="s">
        <v>8372</v>
      </c>
      <c r="C83" t="s">
        <v>8381</v>
      </c>
      <c r="D83" t="s">
        <v>8382</v>
      </c>
    </row>
    <row r="84" spans="1:4">
      <c r="A84" t="s">
        <v>8224</v>
      </c>
      <c r="B84" t="s">
        <v>8383</v>
      </c>
      <c r="C84" t="s">
        <v>8384</v>
      </c>
      <c r="D84" t="s">
        <v>8385</v>
      </c>
    </row>
    <row r="85" spans="1:4">
      <c r="A85" t="s">
        <v>8228</v>
      </c>
      <c r="B85" t="s">
        <v>8383</v>
      </c>
      <c r="C85" t="s">
        <v>8386</v>
      </c>
      <c r="D85" t="s">
        <v>8387</v>
      </c>
    </row>
    <row r="86" spans="1:4">
      <c r="A86" t="s">
        <v>8231</v>
      </c>
      <c r="B86" t="s">
        <v>8383</v>
      </c>
      <c r="C86" t="s">
        <v>8388</v>
      </c>
      <c r="D86" t="s">
        <v>8389</v>
      </c>
    </row>
    <row r="87" spans="1:4">
      <c r="A87" t="s">
        <v>8234</v>
      </c>
      <c r="B87" t="s">
        <v>8383</v>
      </c>
      <c r="C87" t="s">
        <v>8390</v>
      </c>
      <c r="D87" t="s">
        <v>8391</v>
      </c>
    </row>
    <row r="88" spans="1:4">
      <c r="A88" t="s">
        <v>8237</v>
      </c>
      <c r="B88" t="s">
        <v>8383</v>
      </c>
      <c r="C88" t="s">
        <v>8392</v>
      </c>
      <c r="D88" t="s">
        <v>8393</v>
      </c>
    </row>
    <row r="89" spans="1:4">
      <c r="A89" t="s">
        <v>8224</v>
      </c>
      <c r="B89" t="s">
        <v>8394</v>
      </c>
      <c r="C89" t="s">
        <v>8395</v>
      </c>
      <c r="D89" t="s">
        <v>8396</v>
      </c>
    </row>
    <row r="90" spans="1:4">
      <c r="A90" t="s">
        <v>8228</v>
      </c>
      <c r="B90" t="s">
        <v>8394</v>
      </c>
      <c r="C90" t="s">
        <v>8397</v>
      </c>
      <c r="D90" t="s">
        <v>8398</v>
      </c>
    </row>
    <row r="91" spans="1:4">
      <c r="A91" t="s">
        <v>8231</v>
      </c>
      <c r="B91" t="s">
        <v>8394</v>
      </c>
      <c r="C91" t="s">
        <v>8399</v>
      </c>
      <c r="D91" t="s">
        <v>8400</v>
      </c>
    </row>
    <row r="92" spans="1:4">
      <c r="A92" t="s">
        <v>8234</v>
      </c>
      <c r="B92" t="s">
        <v>8394</v>
      </c>
      <c r="C92" t="s">
        <v>8401</v>
      </c>
      <c r="D92" t="s">
        <v>8402</v>
      </c>
    </row>
    <row r="93" spans="1:4">
      <c r="A93" t="s">
        <v>8237</v>
      </c>
      <c r="B93" t="s">
        <v>8394</v>
      </c>
      <c r="C93" t="s">
        <v>8403</v>
      </c>
      <c r="D93" t="s">
        <v>8404</v>
      </c>
    </row>
    <row r="94" spans="1:4">
      <c r="A94" t="s">
        <v>8224</v>
      </c>
      <c r="B94" t="s">
        <v>8405</v>
      </c>
      <c r="C94" t="s">
        <v>8406</v>
      </c>
      <c r="D94" t="s">
        <v>8407</v>
      </c>
    </row>
    <row r="95" spans="1:4">
      <c r="A95" t="s">
        <v>8228</v>
      </c>
      <c r="B95" t="s">
        <v>8405</v>
      </c>
      <c r="C95" t="s">
        <v>8408</v>
      </c>
      <c r="D95" t="s">
        <v>8409</v>
      </c>
    </row>
    <row r="96" spans="1:4">
      <c r="A96" t="s">
        <v>8231</v>
      </c>
      <c r="B96" t="s">
        <v>8405</v>
      </c>
      <c r="C96" t="s">
        <v>8410</v>
      </c>
      <c r="D96" t="s">
        <v>8402</v>
      </c>
    </row>
    <row r="97" spans="1:4">
      <c r="A97" t="s">
        <v>8234</v>
      </c>
      <c r="B97" t="s">
        <v>8405</v>
      </c>
      <c r="C97" t="s">
        <v>8411</v>
      </c>
      <c r="D97" t="s">
        <v>8412</v>
      </c>
    </row>
    <row r="98" spans="1:4">
      <c r="A98" t="s">
        <v>8237</v>
      </c>
      <c r="B98" t="s">
        <v>8405</v>
      </c>
      <c r="C98" t="s">
        <v>8413</v>
      </c>
      <c r="D98" t="s">
        <v>8360</v>
      </c>
    </row>
    <row r="99" spans="1:4">
      <c r="A99" t="s">
        <v>8224</v>
      </c>
      <c r="B99" t="s">
        <v>8414</v>
      </c>
      <c r="C99" t="s">
        <v>8415</v>
      </c>
      <c r="D99" t="s">
        <v>8416</v>
      </c>
    </row>
    <row r="100" spans="1:4">
      <c r="A100" t="s">
        <v>8228</v>
      </c>
      <c r="B100" t="s">
        <v>8414</v>
      </c>
      <c r="C100" t="s">
        <v>8417</v>
      </c>
      <c r="D100" t="s">
        <v>8418</v>
      </c>
    </row>
    <row r="101" spans="1:4">
      <c r="A101" t="s">
        <v>8231</v>
      </c>
      <c r="B101" t="s">
        <v>8414</v>
      </c>
      <c r="C101" t="s">
        <v>8419</v>
      </c>
      <c r="D101" t="s">
        <v>8420</v>
      </c>
    </row>
    <row r="102" spans="1:4">
      <c r="A102" t="s">
        <v>8234</v>
      </c>
      <c r="B102" t="s">
        <v>8414</v>
      </c>
      <c r="C102" t="s">
        <v>8421</v>
      </c>
      <c r="D102" t="s">
        <v>8422</v>
      </c>
    </row>
    <row r="103" spans="1:4">
      <c r="A103" t="s">
        <v>8237</v>
      </c>
      <c r="B103" t="s">
        <v>8414</v>
      </c>
      <c r="C103" t="s">
        <v>8423</v>
      </c>
      <c r="D103" t="s">
        <v>8424</v>
      </c>
    </row>
    <row r="104" spans="1:4">
      <c r="A104" t="s">
        <v>8224</v>
      </c>
      <c r="B104" t="s">
        <v>8425</v>
      </c>
      <c r="C104" t="s">
        <v>8426</v>
      </c>
      <c r="D104" t="s">
        <v>8427</v>
      </c>
    </row>
    <row r="105" spans="1:4">
      <c r="A105" t="s">
        <v>8228</v>
      </c>
      <c r="B105" t="s">
        <v>8425</v>
      </c>
      <c r="C105" t="s">
        <v>8428</v>
      </c>
      <c r="D105" t="s">
        <v>8429</v>
      </c>
    </row>
    <row r="106" spans="1:4">
      <c r="A106" t="s">
        <v>8231</v>
      </c>
      <c r="B106" t="s">
        <v>8425</v>
      </c>
      <c r="C106" t="s">
        <v>8430</v>
      </c>
      <c r="D106" t="s">
        <v>8431</v>
      </c>
    </row>
    <row r="107" spans="1:4">
      <c r="A107" t="s">
        <v>8234</v>
      </c>
      <c r="B107" t="s">
        <v>8425</v>
      </c>
      <c r="C107" t="s">
        <v>8432</v>
      </c>
      <c r="D107" t="s">
        <v>8433</v>
      </c>
    </row>
    <row r="108" spans="1:4">
      <c r="A108" t="s">
        <v>8237</v>
      </c>
      <c r="B108" t="s">
        <v>8425</v>
      </c>
      <c r="C108" t="s">
        <v>8434</v>
      </c>
      <c r="D108" t="s">
        <v>8435</v>
      </c>
    </row>
    <row r="109" spans="1:4">
      <c r="A109" t="s">
        <v>8224</v>
      </c>
      <c r="B109" t="s">
        <v>8436</v>
      </c>
      <c r="C109" t="s">
        <v>8437</v>
      </c>
      <c r="D109" t="s">
        <v>8438</v>
      </c>
    </row>
    <row r="110" spans="1:4">
      <c r="A110" t="s">
        <v>8228</v>
      </c>
      <c r="B110" t="s">
        <v>8436</v>
      </c>
      <c r="C110" t="s">
        <v>8439</v>
      </c>
      <c r="D110" t="s">
        <v>8440</v>
      </c>
    </row>
    <row r="111" spans="1:4">
      <c r="A111" t="s">
        <v>8231</v>
      </c>
      <c r="B111" t="s">
        <v>8436</v>
      </c>
      <c r="C111" t="s">
        <v>8441</v>
      </c>
      <c r="D111" t="s">
        <v>8442</v>
      </c>
    </row>
    <row r="112" spans="1:4">
      <c r="A112" t="s">
        <v>8234</v>
      </c>
      <c r="B112" t="s">
        <v>8436</v>
      </c>
      <c r="C112" t="s">
        <v>8443</v>
      </c>
      <c r="D112" t="s">
        <v>8444</v>
      </c>
    </row>
    <row r="113" spans="1:4">
      <c r="A113" t="s">
        <v>8237</v>
      </c>
      <c r="B113" t="s">
        <v>8436</v>
      </c>
      <c r="C113" t="s">
        <v>8445</v>
      </c>
      <c r="D113" t="s">
        <v>8446</v>
      </c>
    </row>
    <row r="114" spans="1:4">
      <c r="A114" t="s">
        <v>8224</v>
      </c>
      <c r="B114" t="s">
        <v>8447</v>
      </c>
      <c r="C114" t="s">
        <v>8448</v>
      </c>
      <c r="D114" t="s">
        <v>8449</v>
      </c>
    </row>
    <row r="115" spans="1:4">
      <c r="A115" t="s">
        <v>8228</v>
      </c>
      <c r="B115" t="s">
        <v>8447</v>
      </c>
      <c r="C115" t="s">
        <v>8450</v>
      </c>
      <c r="D115" t="s">
        <v>8451</v>
      </c>
    </row>
    <row r="116" spans="1:4">
      <c r="A116" t="s">
        <v>8231</v>
      </c>
      <c r="B116" t="s">
        <v>8447</v>
      </c>
      <c r="C116" t="s">
        <v>8452</v>
      </c>
      <c r="D116" t="s">
        <v>8453</v>
      </c>
    </row>
    <row r="117" spans="1:4">
      <c r="A117" t="s">
        <v>8234</v>
      </c>
      <c r="B117" t="s">
        <v>8447</v>
      </c>
      <c r="C117" t="s">
        <v>8454</v>
      </c>
      <c r="D117" t="s">
        <v>8455</v>
      </c>
    </row>
    <row r="118" spans="1:4">
      <c r="A118" t="s">
        <v>8237</v>
      </c>
      <c r="B118" t="s">
        <v>8447</v>
      </c>
      <c r="C118" t="s">
        <v>8456</v>
      </c>
      <c r="D118" t="s">
        <v>8457</v>
      </c>
    </row>
    <row r="119" spans="1:4">
      <c r="A119" t="s">
        <v>8224</v>
      </c>
      <c r="B119" t="s">
        <v>8458</v>
      </c>
      <c r="C119" t="s">
        <v>8459</v>
      </c>
      <c r="D119" t="s">
        <v>8460</v>
      </c>
    </row>
    <row r="120" spans="1:4">
      <c r="A120" t="s">
        <v>8228</v>
      </c>
      <c r="B120" t="s">
        <v>8458</v>
      </c>
      <c r="C120" t="s">
        <v>8461</v>
      </c>
      <c r="D120" t="s">
        <v>8462</v>
      </c>
    </row>
    <row r="121" spans="1:4">
      <c r="A121" t="s">
        <v>8231</v>
      </c>
      <c r="B121" t="s">
        <v>8458</v>
      </c>
      <c r="C121" t="s">
        <v>8463</v>
      </c>
      <c r="D121" t="s">
        <v>8464</v>
      </c>
    </row>
    <row r="122" spans="1:4">
      <c r="A122" t="s">
        <v>8234</v>
      </c>
      <c r="B122" t="s">
        <v>8458</v>
      </c>
      <c r="C122" t="s">
        <v>8465</v>
      </c>
      <c r="D122" t="s">
        <v>8466</v>
      </c>
    </row>
    <row r="123" spans="1:4">
      <c r="A123" t="s">
        <v>8467</v>
      </c>
      <c r="B123" t="s">
        <v>8458</v>
      </c>
      <c r="C123" t="s">
        <v>8468</v>
      </c>
      <c r="D123" t="s">
        <v>8469</v>
      </c>
    </row>
    <row r="124" spans="1:4">
      <c r="A124" t="s">
        <v>8237</v>
      </c>
      <c r="B124" t="s">
        <v>8458</v>
      </c>
      <c r="C124" t="s">
        <v>8470</v>
      </c>
      <c r="D124" t="s">
        <v>8471</v>
      </c>
    </row>
    <row r="125" spans="1:4">
      <c r="A125" t="s">
        <v>8224</v>
      </c>
      <c r="B125" t="s">
        <v>8472</v>
      </c>
      <c r="C125" t="s">
        <v>8473</v>
      </c>
      <c r="D125" t="s">
        <v>8474</v>
      </c>
    </row>
    <row r="126" spans="1:4">
      <c r="A126" t="s">
        <v>8228</v>
      </c>
      <c r="B126" t="s">
        <v>8472</v>
      </c>
      <c r="C126" t="s">
        <v>8475</v>
      </c>
      <c r="D126" t="s">
        <v>8476</v>
      </c>
    </row>
    <row r="127" spans="1:4">
      <c r="A127" t="s">
        <v>8231</v>
      </c>
      <c r="B127" t="s">
        <v>8472</v>
      </c>
      <c r="C127" t="s">
        <v>8477</v>
      </c>
      <c r="D127" t="s">
        <v>8478</v>
      </c>
    </row>
    <row r="128" spans="1:4">
      <c r="A128" t="s">
        <v>8234</v>
      </c>
      <c r="B128" t="s">
        <v>8472</v>
      </c>
      <c r="C128" t="s">
        <v>8479</v>
      </c>
      <c r="D128" t="s">
        <v>8480</v>
      </c>
    </row>
    <row r="129" spans="1:4">
      <c r="A129" t="s">
        <v>8237</v>
      </c>
      <c r="B129" t="s">
        <v>8472</v>
      </c>
      <c r="C129" t="s">
        <v>8481</v>
      </c>
      <c r="D129" t="s">
        <v>8482</v>
      </c>
    </row>
    <row r="130" spans="1:4">
      <c r="A130" t="s">
        <v>8224</v>
      </c>
      <c r="B130" t="s">
        <v>8483</v>
      </c>
      <c r="C130" t="s">
        <v>8484</v>
      </c>
      <c r="D130" t="s">
        <v>8485</v>
      </c>
    </row>
    <row r="131" spans="1:4">
      <c r="A131" t="s">
        <v>8228</v>
      </c>
      <c r="B131" t="s">
        <v>8483</v>
      </c>
      <c r="C131" t="s">
        <v>8486</v>
      </c>
      <c r="D131" t="s">
        <v>8487</v>
      </c>
    </row>
    <row r="132" spans="1:4">
      <c r="A132" t="s">
        <v>8231</v>
      </c>
      <c r="B132" t="s">
        <v>8483</v>
      </c>
      <c r="C132" t="s">
        <v>8488</v>
      </c>
      <c r="D132" t="s">
        <v>8489</v>
      </c>
    </row>
    <row r="133" spans="1:4">
      <c r="A133" t="s">
        <v>8234</v>
      </c>
      <c r="B133" t="s">
        <v>8483</v>
      </c>
      <c r="C133" t="s">
        <v>8490</v>
      </c>
      <c r="D133" t="s">
        <v>8491</v>
      </c>
    </row>
    <row r="134" spans="1:4">
      <c r="A134" t="s">
        <v>8237</v>
      </c>
      <c r="B134" t="s">
        <v>8483</v>
      </c>
      <c r="C134" t="s">
        <v>8492</v>
      </c>
      <c r="D134" t="s">
        <v>8493</v>
      </c>
    </row>
    <row r="135" spans="1:4">
      <c r="A135" t="s">
        <v>8224</v>
      </c>
      <c r="B135" t="s">
        <v>8494</v>
      </c>
      <c r="C135" t="s">
        <v>8495</v>
      </c>
      <c r="D135" t="s">
        <v>8496</v>
      </c>
    </row>
    <row r="136" spans="1:4">
      <c r="A136" t="s">
        <v>8228</v>
      </c>
      <c r="B136" t="s">
        <v>8494</v>
      </c>
      <c r="C136" t="s">
        <v>8497</v>
      </c>
      <c r="D136" t="s">
        <v>8498</v>
      </c>
    </row>
    <row r="137" spans="1:4">
      <c r="A137" t="s">
        <v>8231</v>
      </c>
      <c r="B137" t="s">
        <v>8494</v>
      </c>
      <c r="C137" t="s">
        <v>8499</v>
      </c>
      <c r="D137" t="s">
        <v>8500</v>
      </c>
    </row>
    <row r="138" spans="1:4">
      <c r="A138" t="s">
        <v>8234</v>
      </c>
      <c r="B138" t="s">
        <v>8494</v>
      </c>
      <c r="C138" t="s">
        <v>8501</v>
      </c>
      <c r="D138" t="s">
        <v>8502</v>
      </c>
    </row>
    <row r="139" spans="1:4">
      <c r="A139" t="s">
        <v>8237</v>
      </c>
      <c r="B139" t="s">
        <v>8494</v>
      </c>
      <c r="C139" t="s">
        <v>8503</v>
      </c>
      <c r="D139" t="s">
        <v>8504</v>
      </c>
    </row>
    <row r="140" spans="1:4">
      <c r="A140" t="s">
        <v>8505</v>
      </c>
      <c r="B140" t="s">
        <v>4458</v>
      </c>
      <c r="C140" t="s">
        <v>8506</v>
      </c>
      <c r="D140" t="s">
        <v>8507</v>
      </c>
    </row>
    <row r="141" spans="1:4">
      <c r="A141" t="s">
        <v>8508</v>
      </c>
      <c r="B141" t="s">
        <v>4458</v>
      </c>
      <c r="C141" t="s">
        <v>8509</v>
      </c>
      <c r="D141" t="s">
        <v>8510</v>
      </c>
    </row>
    <row r="142" spans="1:4">
      <c r="A142" t="s">
        <v>8511</v>
      </c>
      <c r="B142" t="s">
        <v>4458</v>
      </c>
      <c r="C142" t="s">
        <v>8512</v>
      </c>
      <c r="D142" t="s">
        <v>8513</v>
      </c>
    </row>
    <row r="143" spans="1:4">
      <c r="A143" t="s">
        <v>8514</v>
      </c>
      <c r="B143" t="s">
        <v>8515</v>
      </c>
      <c r="C143" t="s">
        <v>8516</v>
      </c>
      <c r="D143" t="s">
        <v>8517</v>
      </c>
    </row>
    <row r="144" spans="1:4">
      <c r="A144" t="s">
        <v>8518</v>
      </c>
      <c r="B144" t="s">
        <v>8515</v>
      </c>
      <c r="C144" t="s">
        <v>8519</v>
      </c>
      <c r="D144" t="s">
        <v>8520</v>
      </c>
    </row>
    <row r="145" spans="1:4">
      <c r="A145" t="s">
        <v>8521</v>
      </c>
      <c r="B145" t="s">
        <v>8515</v>
      </c>
      <c r="C145" t="s">
        <v>8522</v>
      </c>
      <c r="D145" t="s">
        <v>8523</v>
      </c>
    </row>
    <row r="146" spans="1:4">
      <c r="A146" t="s">
        <v>8524</v>
      </c>
      <c r="B146" t="s">
        <v>4573</v>
      </c>
      <c r="C146" t="s">
        <v>8525</v>
      </c>
      <c r="D146" t="s">
        <v>8526</v>
      </c>
    </row>
    <row r="147" spans="1:4">
      <c r="A147" t="s">
        <v>8527</v>
      </c>
      <c r="B147" t="s">
        <v>4573</v>
      </c>
      <c r="C147" t="s">
        <v>8528</v>
      </c>
      <c r="D147" t="s">
        <v>8529</v>
      </c>
    </row>
    <row r="148" spans="1:4">
      <c r="A148" t="s">
        <v>8524</v>
      </c>
      <c r="B148" t="s">
        <v>4575</v>
      </c>
      <c r="C148" t="s">
        <v>8530</v>
      </c>
      <c r="D148" t="s">
        <v>8531</v>
      </c>
    </row>
    <row r="149" spans="1:4">
      <c r="A149" t="s">
        <v>8532</v>
      </c>
      <c r="B149" t="s">
        <v>4575</v>
      </c>
      <c r="C149" t="s">
        <v>8533</v>
      </c>
      <c r="D149" t="s">
        <v>8534</v>
      </c>
    </row>
    <row r="150" spans="1:4">
      <c r="A150" t="s">
        <v>8535</v>
      </c>
      <c r="B150" t="s">
        <v>4575</v>
      </c>
      <c r="C150" t="s">
        <v>8536</v>
      </c>
      <c r="D150" t="s">
        <v>8537</v>
      </c>
    </row>
    <row r="151" spans="1:4">
      <c r="A151" t="s">
        <v>8524</v>
      </c>
      <c r="B151" t="s">
        <v>4576</v>
      </c>
      <c r="C151" t="s">
        <v>8538</v>
      </c>
      <c r="D151" t="s">
        <v>8539</v>
      </c>
    </row>
    <row r="152" spans="1:4">
      <c r="A152" t="s">
        <v>8527</v>
      </c>
      <c r="B152" t="s">
        <v>4576</v>
      </c>
      <c r="C152" t="s">
        <v>8540</v>
      </c>
      <c r="D152" t="s">
        <v>8541</v>
      </c>
    </row>
    <row r="153" spans="1:4">
      <c r="A153" t="s">
        <v>8532</v>
      </c>
      <c r="B153" t="s">
        <v>4576</v>
      </c>
      <c r="C153" t="s">
        <v>8542</v>
      </c>
      <c r="D153" t="s">
        <v>8543</v>
      </c>
    </row>
    <row r="154" spans="1:4">
      <c r="A154" t="s">
        <v>8535</v>
      </c>
      <c r="B154" t="s">
        <v>4576</v>
      </c>
      <c r="C154" t="s">
        <v>8544</v>
      </c>
      <c r="D154" t="s">
        <v>8545</v>
      </c>
    </row>
    <row r="155" spans="1:4">
      <c r="A155" t="s">
        <v>8546</v>
      </c>
      <c r="B155" t="s">
        <v>4576</v>
      </c>
      <c r="C155" t="s">
        <v>8547</v>
      </c>
      <c r="D155" t="s">
        <v>8548</v>
      </c>
    </row>
    <row r="156" spans="1:4">
      <c r="A156" t="s">
        <v>8549</v>
      </c>
      <c r="B156" t="s">
        <v>8550</v>
      </c>
      <c r="C156" t="s">
        <v>8551</v>
      </c>
      <c r="D156" t="s">
        <v>8552</v>
      </c>
    </row>
    <row r="157" spans="1:4">
      <c r="A157" t="s">
        <v>8553</v>
      </c>
      <c r="B157" t="s">
        <v>8550</v>
      </c>
      <c r="C157" t="s">
        <v>8554</v>
      </c>
      <c r="D157" t="s">
        <v>8555</v>
      </c>
    </row>
    <row r="158" spans="1:4">
      <c r="A158" t="s">
        <v>8556</v>
      </c>
      <c r="B158" t="s">
        <v>8550</v>
      </c>
      <c r="C158" t="s">
        <v>8557</v>
      </c>
      <c r="D158" t="s">
        <v>8558</v>
      </c>
    </row>
    <row r="159" spans="1:4">
      <c r="A159" t="s">
        <v>8559</v>
      </c>
      <c r="B159" t="s">
        <v>8550</v>
      </c>
      <c r="C159" t="s">
        <v>8560</v>
      </c>
      <c r="D159" t="s">
        <v>8561</v>
      </c>
    </row>
    <row r="160" spans="1:4">
      <c r="A160" t="s">
        <v>8562</v>
      </c>
      <c r="B160" t="s">
        <v>8550</v>
      </c>
      <c r="C160" t="s">
        <v>8563</v>
      </c>
      <c r="D160" t="s">
        <v>8564</v>
      </c>
    </row>
    <row r="161" spans="1:4">
      <c r="A161" t="s">
        <v>8565</v>
      </c>
      <c r="B161" t="s">
        <v>8550</v>
      </c>
      <c r="C161" t="s">
        <v>8566</v>
      </c>
      <c r="D161" t="s">
        <v>8567</v>
      </c>
    </row>
    <row r="162" spans="1:4">
      <c r="A162" t="s">
        <v>8568</v>
      </c>
      <c r="B162" t="s">
        <v>8550</v>
      </c>
      <c r="C162" t="s">
        <v>8569</v>
      </c>
      <c r="D162" t="s">
        <v>8570</v>
      </c>
    </row>
    <row r="163" spans="1:4">
      <c r="A163" t="s">
        <v>8571</v>
      </c>
      <c r="B163" t="s">
        <v>8550</v>
      </c>
      <c r="C163" t="s">
        <v>8572</v>
      </c>
      <c r="D163" t="s">
        <v>8573</v>
      </c>
    </row>
    <row r="164" spans="1:4">
      <c r="A164" t="s">
        <v>8505</v>
      </c>
      <c r="B164" t="s">
        <v>8574</v>
      </c>
      <c r="C164" t="s">
        <v>8575</v>
      </c>
      <c r="D164" t="s">
        <v>8576</v>
      </c>
    </row>
    <row r="165" spans="1:4">
      <c r="A165" t="s">
        <v>8508</v>
      </c>
      <c r="B165" t="s">
        <v>8574</v>
      </c>
      <c r="C165" t="s">
        <v>8577</v>
      </c>
      <c r="D165" t="s">
        <v>8578</v>
      </c>
    </row>
    <row r="166" spans="1:4">
      <c r="A166" t="s">
        <v>8511</v>
      </c>
      <c r="B166" t="s">
        <v>8574</v>
      </c>
      <c r="C166" t="s">
        <v>8579</v>
      </c>
      <c r="D166" t="s">
        <v>8580</v>
      </c>
    </row>
    <row r="167" spans="1:4">
      <c r="A167" t="s">
        <v>8581</v>
      </c>
      <c r="B167" t="s">
        <v>8582</v>
      </c>
      <c r="C167" t="s">
        <v>8583</v>
      </c>
      <c r="D167" t="s">
        <v>8584</v>
      </c>
    </row>
    <row r="168" spans="1:4">
      <c r="A168" t="s">
        <v>8585</v>
      </c>
      <c r="B168" t="s">
        <v>8582</v>
      </c>
      <c r="C168" t="s">
        <v>8586</v>
      </c>
      <c r="D168" t="s">
        <v>8587</v>
      </c>
    </row>
    <row r="169" spans="1:4">
      <c r="A169" t="s">
        <v>8588</v>
      </c>
      <c r="B169" t="s">
        <v>8582</v>
      </c>
      <c r="C169" t="s">
        <v>8589</v>
      </c>
      <c r="D169" t="s">
        <v>8590</v>
      </c>
    </row>
    <row r="170" spans="1:4">
      <c r="A170" t="s">
        <v>8591</v>
      </c>
      <c r="B170" t="s">
        <v>8592</v>
      </c>
      <c r="C170" t="s">
        <v>8593</v>
      </c>
      <c r="D170" t="s">
        <v>8594</v>
      </c>
    </row>
    <row r="171" spans="1:4">
      <c r="A171" t="s">
        <v>8595</v>
      </c>
      <c r="B171" t="s">
        <v>8592</v>
      </c>
      <c r="C171" t="s">
        <v>8596</v>
      </c>
      <c r="D171" t="s">
        <v>8597</v>
      </c>
    </row>
    <row r="172" spans="1:4">
      <c r="A172" t="s">
        <v>8598</v>
      </c>
      <c r="B172" t="s">
        <v>8599</v>
      </c>
      <c r="C172" t="s">
        <v>8600</v>
      </c>
      <c r="D172" t="s">
        <v>8601</v>
      </c>
    </row>
    <row r="173" spans="1:4">
      <c r="A173" t="s">
        <v>8602</v>
      </c>
      <c r="B173" t="s">
        <v>4632</v>
      </c>
      <c r="C173" t="s">
        <v>8603</v>
      </c>
      <c r="D173" t="s">
        <v>8604</v>
      </c>
    </row>
    <row r="174" spans="1:4">
      <c r="A174" t="s">
        <v>8605</v>
      </c>
      <c r="B174" t="s">
        <v>4632</v>
      </c>
      <c r="C174" t="s">
        <v>8606</v>
      </c>
      <c r="D174" t="s">
        <v>8607</v>
      </c>
    </row>
    <row r="175" spans="1:4">
      <c r="A175" t="s">
        <v>8608</v>
      </c>
      <c r="B175" t="s">
        <v>4632</v>
      </c>
      <c r="C175" t="s">
        <v>8609</v>
      </c>
      <c r="D175" t="s">
        <v>8610</v>
      </c>
    </row>
    <row r="176" spans="1:4">
      <c r="A176" t="s">
        <v>8611</v>
      </c>
      <c r="B176" t="s">
        <v>4632</v>
      </c>
      <c r="C176" t="s">
        <v>8612</v>
      </c>
      <c r="D176" t="s">
        <v>8604</v>
      </c>
    </row>
    <row r="177" spans="1:4">
      <c r="A177" t="s">
        <v>8605</v>
      </c>
      <c r="B177" t="s">
        <v>8613</v>
      </c>
      <c r="C177" t="s">
        <v>8614</v>
      </c>
      <c r="D177" t="s">
        <v>8615</v>
      </c>
    </row>
    <row r="178" spans="1:4">
      <c r="A178" t="s">
        <v>8616</v>
      </c>
      <c r="B178" t="s">
        <v>8613</v>
      </c>
      <c r="C178" t="s">
        <v>8617</v>
      </c>
      <c r="D178" t="s">
        <v>8618</v>
      </c>
    </row>
    <row r="179" spans="1:4">
      <c r="A179" t="s">
        <v>8619</v>
      </c>
      <c r="B179" t="s">
        <v>8620</v>
      </c>
      <c r="C179" t="s">
        <v>8621</v>
      </c>
      <c r="D179" t="s">
        <v>8622</v>
      </c>
    </row>
    <row r="180" spans="1:4">
      <c r="A180" t="s">
        <v>8623</v>
      </c>
      <c r="B180" t="s">
        <v>8620</v>
      </c>
      <c r="C180" t="s">
        <v>8624</v>
      </c>
      <c r="D180" t="s">
        <v>8625</v>
      </c>
    </row>
    <row r="181" spans="1:4">
      <c r="A181" t="s">
        <v>8626</v>
      </c>
      <c r="B181" t="s">
        <v>8620</v>
      </c>
      <c r="C181" t="s">
        <v>8627</v>
      </c>
      <c r="D181" t="s">
        <v>8628</v>
      </c>
    </row>
    <row r="182" spans="1:4">
      <c r="A182" t="s">
        <v>8629</v>
      </c>
      <c r="B182" t="s">
        <v>8620</v>
      </c>
      <c r="C182" t="s">
        <v>8630</v>
      </c>
      <c r="D182" t="s">
        <v>8631</v>
      </c>
    </row>
    <row r="183" spans="1:4">
      <c r="A183" t="s">
        <v>8632</v>
      </c>
      <c r="B183" t="s">
        <v>8620</v>
      </c>
      <c r="C183" t="s">
        <v>8633</v>
      </c>
      <c r="D183" t="s">
        <v>8634</v>
      </c>
    </row>
    <row r="184" spans="1:4">
      <c r="A184" t="s">
        <v>8635</v>
      </c>
      <c r="B184" t="s">
        <v>8620</v>
      </c>
      <c r="C184" t="s">
        <v>8636</v>
      </c>
      <c r="D184" t="s">
        <v>8637</v>
      </c>
    </row>
    <row r="185" spans="1:4">
      <c r="A185" t="s">
        <v>8638</v>
      </c>
      <c r="B185" t="s">
        <v>8620</v>
      </c>
      <c r="C185" t="s">
        <v>8639</v>
      </c>
      <c r="D185" t="s">
        <v>8640</v>
      </c>
    </row>
    <row r="186" spans="1:4">
      <c r="A186" t="s">
        <v>8641</v>
      </c>
      <c r="B186" t="s">
        <v>8620</v>
      </c>
      <c r="C186" t="s">
        <v>8642</v>
      </c>
      <c r="D186" t="s">
        <v>8643</v>
      </c>
    </row>
    <row r="187" spans="1:4">
      <c r="A187" t="s">
        <v>8644</v>
      </c>
      <c r="B187" t="s">
        <v>8620</v>
      </c>
      <c r="C187" t="s">
        <v>8645</v>
      </c>
      <c r="D187" t="s">
        <v>8646</v>
      </c>
    </row>
    <row r="188" spans="1:4">
      <c r="A188" t="s">
        <v>8647</v>
      </c>
      <c r="B188" t="s">
        <v>8620</v>
      </c>
      <c r="C188" t="s">
        <v>8648</v>
      </c>
      <c r="D188" t="s">
        <v>8649</v>
      </c>
    </row>
    <row r="189" spans="1:4">
      <c r="A189" t="s">
        <v>8650</v>
      </c>
      <c r="B189" t="s">
        <v>8620</v>
      </c>
      <c r="C189" t="s">
        <v>8651</v>
      </c>
      <c r="D189" t="s">
        <v>8652</v>
      </c>
    </row>
    <row r="190" spans="1:4">
      <c r="A190" t="s">
        <v>8653</v>
      </c>
      <c r="B190" t="s">
        <v>8654</v>
      </c>
      <c r="C190" t="s">
        <v>8655</v>
      </c>
      <c r="D190" t="s">
        <v>8656</v>
      </c>
    </row>
    <row r="191" spans="1:4">
      <c r="A191" t="s">
        <v>8657</v>
      </c>
      <c r="B191" t="s">
        <v>4656</v>
      </c>
      <c r="C191" t="s">
        <v>8658</v>
      </c>
      <c r="D191" t="s">
        <v>8659</v>
      </c>
    </row>
    <row r="192" spans="1:4">
      <c r="A192" t="s">
        <v>8660</v>
      </c>
      <c r="B192" t="s">
        <v>4656</v>
      </c>
      <c r="C192" t="s">
        <v>8661</v>
      </c>
      <c r="D192" t="s">
        <v>8662</v>
      </c>
    </row>
    <row r="193" spans="1:4">
      <c r="A193" t="s">
        <v>8663</v>
      </c>
      <c r="B193" t="s">
        <v>4656</v>
      </c>
      <c r="C193" t="s">
        <v>8664</v>
      </c>
      <c r="D193" t="s">
        <v>8665</v>
      </c>
    </row>
    <row r="194" spans="1:4">
      <c r="A194" t="s">
        <v>8666</v>
      </c>
      <c r="B194" t="s">
        <v>1759</v>
      </c>
      <c r="C194" t="s">
        <v>8667</v>
      </c>
      <c r="D194" t="s">
        <v>8668</v>
      </c>
    </row>
    <row r="195" spans="1:4">
      <c r="A195" t="s">
        <v>8669</v>
      </c>
      <c r="B195" t="s">
        <v>1759</v>
      </c>
      <c r="C195" t="s">
        <v>8670</v>
      </c>
      <c r="D195" t="s">
        <v>8671</v>
      </c>
    </row>
    <row r="196" spans="1:4">
      <c r="A196" t="s">
        <v>8672</v>
      </c>
      <c r="B196" t="s">
        <v>8673</v>
      </c>
      <c r="C196" t="s">
        <v>8674</v>
      </c>
      <c r="D196" t="s">
        <v>8675</v>
      </c>
    </row>
    <row r="197" spans="1:4">
      <c r="A197" t="s">
        <v>8676</v>
      </c>
      <c r="B197" t="s">
        <v>8673</v>
      </c>
      <c r="C197" t="s">
        <v>8677</v>
      </c>
      <c r="D197" t="s">
        <v>8678</v>
      </c>
    </row>
    <row r="198" spans="1:4">
      <c r="A198" t="s">
        <v>8679</v>
      </c>
      <c r="B198" t="s">
        <v>8673</v>
      </c>
      <c r="C198" t="s">
        <v>8680</v>
      </c>
      <c r="D198" t="s">
        <v>8681</v>
      </c>
    </row>
    <row r="199" spans="1:4">
      <c r="A199" t="s">
        <v>8682</v>
      </c>
      <c r="B199" t="s">
        <v>8673</v>
      </c>
      <c r="C199" t="s">
        <v>8683</v>
      </c>
      <c r="D199" t="s">
        <v>8684</v>
      </c>
    </row>
    <row r="200" spans="1:4">
      <c r="A200" t="s">
        <v>8685</v>
      </c>
      <c r="B200" t="s">
        <v>8673</v>
      </c>
      <c r="C200" t="s">
        <v>8686</v>
      </c>
      <c r="D200" t="s">
        <v>8687</v>
      </c>
    </row>
    <row r="201" spans="1:4">
      <c r="A201" t="s">
        <v>8688</v>
      </c>
      <c r="B201" t="s">
        <v>8673</v>
      </c>
      <c r="C201" t="s">
        <v>8689</v>
      </c>
      <c r="D201" t="s">
        <v>8690</v>
      </c>
    </row>
    <row r="202" spans="1:4">
      <c r="A202" t="s">
        <v>8672</v>
      </c>
      <c r="B202" t="s">
        <v>1749</v>
      </c>
      <c r="C202" t="s">
        <v>8691</v>
      </c>
      <c r="D202" t="s">
        <v>8192</v>
      </c>
    </row>
    <row r="203" spans="1:4">
      <c r="A203" t="s">
        <v>8676</v>
      </c>
      <c r="B203" t="s">
        <v>1749</v>
      </c>
      <c r="C203" t="s">
        <v>8692</v>
      </c>
      <c r="D203" t="s">
        <v>8186</v>
      </c>
    </row>
    <row r="204" spans="1:4">
      <c r="A204" t="s">
        <v>8679</v>
      </c>
      <c r="B204" t="s">
        <v>1749</v>
      </c>
      <c r="C204" t="s">
        <v>8693</v>
      </c>
      <c r="D204" t="s">
        <v>8694</v>
      </c>
    </row>
    <row r="205" spans="1:4">
      <c r="A205" t="s">
        <v>8682</v>
      </c>
      <c r="B205" t="s">
        <v>1749</v>
      </c>
      <c r="C205" t="s">
        <v>8695</v>
      </c>
      <c r="D205" t="s">
        <v>8188</v>
      </c>
    </row>
    <row r="206" spans="1:4">
      <c r="A206" t="s">
        <v>8685</v>
      </c>
      <c r="B206" t="s">
        <v>1749</v>
      </c>
      <c r="C206" t="s">
        <v>8696</v>
      </c>
      <c r="D206" t="s">
        <v>8697</v>
      </c>
    </row>
    <row r="207" spans="1:4">
      <c r="A207" t="s">
        <v>8688</v>
      </c>
      <c r="B207" t="s">
        <v>1749</v>
      </c>
      <c r="C207" t="s">
        <v>8698</v>
      </c>
      <c r="D207" t="s">
        <v>8699</v>
      </c>
    </row>
    <row r="208" spans="1:4">
      <c r="A208" t="s">
        <v>8700</v>
      </c>
      <c r="B208" t="s">
        <v>4659</v>
      </c>
      <c r="C208" t="s">
        <v>8701</v>
      </c>
      <c r="D208" t="s">
        <v>8702</v>
      </c>
    </row>
    <row r="209" spans="1:4">
      <c r="A209" t="s">
        <v>8676</v>
      </c>
      <c r="B209" t="s">
        <v>4659</v>
      </c>
      <c r="C209" t="s">
        <v>8703</v>
      </c>
      <c r="D209" t="s">
        <v>8704</v>
      </c>
    </row>
    <row r="210" spans="1:4">
      <c r="A210" t="s">
        <v>8679</v>
      </c>
      <c r="B210" t="s">
        <v>4659</v>
      </c>
      <c r="C210" t="s">
        <v>8705</v>
      </c>
      <c r="D210" t="s">
        <v>8706</v>
      </c>
    </row>
    <row r="211" spans="1:4">
      <c r="A211" t="s">
        <v>8682</v>
      </c>
      <c r="B211" t="s">
        <v>4659</v>
      </c>
      <c r="C211" t="s">
        <v>8707</v>
      </c>
      <c r="D211" t="s">
        <v>8708</v>
      </c>
    </row>
    <row r="212" spans="1:4">
      <c r="A212" t="s">
        <v>8688</v>
      </c>
      <c r="B212" t="s">
        <v>4659</v>
      </c>
      <c r="C212" t="s">
        <v>8709</v>
      </c>
      <c r="D212" t="s">
        <v>8710</v>
      </c>
    </row>
    <row r="213" spans="1:4">
      <c r="A213" t="s">
        <v>8711</v>
      </c>
      <c r="B213" t="s">
        <v>1753</v>
      </c>
      <c r="C213" t="s">
        <v>8712</v>
      </c>
      <c r="D213" t="s">
        <v>8713</v>
      </c>
    </row>
    <row r="214" spans="1:4">
      <c r="A214" t="s">
        <v>8676</v>
      </c>
      <c r="B214" t="s">
        <v>1753</v>
      </c>
      <c r="C214" t="s">
        <v>8714</v>
      </c>
      <c r="D214" t="s">
        <v>8715</v>
      </c>
    </row>
    <row r="215" spans="1:4">
      <c r="A215" t="s">
        <v>8679</v>
      </c>
      <c r="B215" t="s">
        <v>1753</v>
      </c>
      <c r="C215" t="s">
        <v>8716</v>
      </c>
      <c r="D215" t="s">
        <v>8717</v>
      </c>
    </row>
    <row r="216" spans="1:4">
      <c r="A216" t="s">
        <v>8682</v>
      </c>
      <c r="B216" t="s">
        <v>1753</v>
      </c>
      <c r="C216" t="s">
        <v>8718</v>
      </c>
      <c r="D216" t="s">
        <v>8719</v>
      </c>
    </row>
    <row r="217" spans="1:4">
      <c r="A217" t="s">
        <v>8685</v>
      </c>
      <c r="B217" t="s">
        <v>1753</v>
      </c>
      <c r="C217" t="s">
        <v>8720</v>
      </c>
      <c r="D217" t="s">
        <v>8721</v>
      </c>
    </row>
    <row r="218" spans="1:4">
      <c r="A218" t="s">
        <v>8688</v>
      </c>
      <c r="B218" t="s">
        <v>1753</v>
      </c>
      <c r="C218" t="s">
        <v>8722</v>
      </c>
      <c r="D218" t="s">
        <v>8723</v>
      </c>
    </row>
    <row r="219" spans="1:4">
      <c r="A219" t="s">
        <v>8676</v>
      </c>
      <c r="B219" t="s">
        <v>4660</v>
      </c>
      <c r="C219" t="s">
        <v>8724</v>
      </c>
      <c r="D219" t="s">
        <v>8725</v>
      </c>
    </row>
    <row r="220" spans="1:4">
      <c r="A220" t="s">
        <v>8679</v>
      </c>
      <c r="B220" t="s">
        <v>4660</v>
      </c>
      <c r="C220" t="s">
        <v>8726</v>
      </c>
      <c r="D220" t="s">
        <v>8727</v>
      </c>
    </row>
    <row r="221" spans="1:4">
      <c r="A221" t="s">
        <v>8682</v>
      </c>
      <c r="B221" t="s">
        <v>4660</v>
      </c>
      <c r="C221" t="s">
        <v>8728</v>
      </c>
      <c r="D221" t="s">
        <v>8729</v>
      </c>
    </row>
    <row r="222" spans="1:4">
      <c r="A222" t="s">
        <v>8688</v>
      </c>
      <c r="B222" t="s">
        <v>4660</v>
      </c>
      <c r="C222" t="s">
        <v>8730</v>
      </c>
      <c r="D222" t="s">
        <v>8731</v>
      </c>
    </row>
    <row r="223" spans="1:4">
      <c r="A223" t="s">
        <v>8676</v>
      </c>
      <c r="B223" t="s">
        <v>4663</v>
      </c>
      <c r="C223" t="s">
        <v>8732</v>
      </c>
      <c r="D223" t="s">
        <v>8733</v>
      </c>
    </row>
    <row r="224" spans="1:4">
      <c r="A224" t="s">
        <v>8682</v>
      </c>
      <c r="B224" t="s">
        <v>4663</v>
      </c>
      <c r="C224" t="s">
        <v>8734</v>
      </c>
      <c r="D224" t="s">
        <v>8735</v>
      </c>
    </row>
    <row r="225" spans="1:4">
      <c r="A225" t="s">
        <v>8685</v>
      </c>
      <c r="B225" t="s">
        <v>4663</v>
      </c>
      <c r="C225" t="s">
        <v>8736</v>
      </c>
      <c r="D225" t="s">
        <v>8737</v>
      </c>
    </row>
    <row r="226" spans="1:4">
      <c r="A226" t="s">
        <v>8676</v>
      </c>
      <c r="B226" t="s">
        <v>1750</v>
      </c>
      <c r="C226" t="s">
        <v>8738</v>
      </c>
      <c r="D226" t="s">
        <v>8739</v>
      </c>
    </row>
    <row r="227" spans="1:4">
      <c r="A227" t="s">
        <v>8682</v>
      </c>
      <c r="B227" t="s">
        <v>1750</v>
      </c>
      <c r="C227" t="s">
        <v>8740</v>
      </c>
      <c r="D227" t="s">
        <v>8741</v>
      </c>
    </row>
    <row r="228" spans="1:4">
      <c r="A228" t="s">
        <v>8685</v>
      </c>
      <c r="B228" t="s">
        <v>1750</v>
      </c>
      <c r="C228" t="s">
        <v>8742</v>
      </c>
      <c r="D228" t="s">
        <v>8743</v>
      </c>
    </row>
    <row r="229" spans="1:4">
      <c r="A229" t="s">
        <v>8682</v>
      </c>
      <c r="B229" t="s">
        <v>4664</v>
      </c>
      <c r="C229" t="s">
        <v>8744</v>
      </c>
      <c r="D229" t="s">
        <v>8745</v>
      </c>
    </row>
    <row r="230" spans="1:4">
      <c r="A230" t="s">
        <v>8711</v>
      </c>
      <c r="B230" t="s">
        <v>1754</v>
      </c>
      <c r="C230" t="s">
        <v>8746</v>
      </c>
      <c r="D230" t="s">
        <v>8747</v>
      </c>
    </row>
    <row r="231" spans="1:4">
      <c r="A231" t="s">
        <v>8676</v>
      </c>
      <c r="B231" t="s">
        <v>1754</v>
      </c>
      <c r="C231" t="s">
        <v>8748</v>
      </c>
      <c r="D231" t="s">
        <v>8749</v>
      </c>
    </row>
    <row r="232" spans="1:4">
      <c r="A232" t="s">
        <v>8682</v>
      </c>
      <c r="B232" t="s">
        <v>1754</v>
      </c>
      <c r="C232" t="s">
        <v>8750</v>
      </c>
      <c r="D232" t="s">
        <v>8751</v>
      </c>
    </row>
    <row r="233" spans="1:4">
      <c r="A233" t="s">
        <v>8685</v>
      </c>
      <c r="B233" t="s">
        <v>1754</v>
      </c>
      <c r="C233" t="s">
        <v>8752</v>
      </c>
      <c r="D233" t="s">
        <v>8753</v>
      </c>
    </row>
    <row r="234" spans="1:4">
      <c r="A234" t="s">
        <v>8754</v>
      </c>
      <c r="B234" t="s">
        <v>4665</v>
      </c>
      <c r="C234" t="s">
        <v>8755</v>
      </c>
      <c r="D234" t="s">
        <v>8756</v>
      </c>
    </row>
    <row r="235" spans="1:4">
      <c r="A235" t="s">
        <v>8676</v>
      </c>
      <c r="B235" t="s">
        <v>4668</v>
      </c>
      <c r="C235" t="s">
        <v>8757</v>
      </c>
      <c r="D235" t="s">
        <v>8758</v>
      </c>
    </row>
    <row r="236" spans="1:4">
      <c r="A236" t="s">
        <v>8682</v>
      </c>
      <c r="B236" t="s">
        <v>4668</v>
      </c>
      <c r="C236" t="s">
        <v>8759</v>
      </c>
      <c r="D236" t="s">
        <v>8760</v>
      </c>
    </row>
    <row r="237" spans="1:4">
      <c r="A237" t="s">
        <v>8676</v>
      </c>
      <c r="B237" t="s">
        <v>4669</v>
      </c>
      <c r="C237" t="s">
        <v>8761</v>
      </c>
      <c r="D237" t="s">
        <v>8762</v>
      </c>
    </row>
    <row r="238" spans="1:4">
      <c r="A238" t="s">
        <v>8682</v>
      </c>
      <c r="B238" t="s">
        <v>4669</v>
      </c>
      <c r="C238" t="s">
        <v>8763</v>
      </c>
      <c r="D238" t="s">
        <v>8764</v>
      </c>
    </row>
    <row r="239" spans="1:4">
      <c r="A239" t="s">
        <v>8676</v>
      </c>
      <c r="B239" t="s">
        <v>1747</v>
      </c>
      <c r="C239" t="s">
        <v>8765</v>
      </c>
      <c r="D239" t="s">
        <v>8766</v>
      </c>
    </row>
    <row r="240" spans="1:4">
      <c r="A240" t="s">
        <v>8679</v>
      </c>
      <c r="B240" t="s">
        <v>1747</v>
      </c>
      <c r="C240" t="s">
        <v>8767</v>
      </c>
      <c r="D240" t="s">
        <v>8768</v>
      </c>
    </row>
    <row r="241" spans="1:4">
      <c r="A241" t="s">
        <v>8682</v>
      </c>
      <c r="B241" t="s">
        <v>1747</v>
      </c>
      <c r="C241" t="s">
        <v>8769</v>
      </c>
      <c r="D241" t="s">
        <v>8770</v>
      </c>
    </row>
    <row r="242" spans="1:4">
      <c r="A242" t="s">
        <v>8685</v>
      </c>
      <c r="B242" t="s">
        <v>1747</v>
      </c>
      <c r="C242" t="s">
        <v>8771</v>
      </c>
      <c r="D242" t="s">
        <v>8772</v>
      </c>
    </row>
    <row r="243" spans="1:4">
      <c r="A243" t="s">
        <v>8688</v>
      </c>
      <c r="B243" t="s">
        <v>1747</v>
      </c>
      <c r="C243" t="s">
        <v>8773</v>
      </c>
      <c r="D243" t="s">
        <v>8774</v>
      </c>
    </row>
    <row r="244" spans="1:4">
      <c r="A244" t="s">
        <v>8682</v>
      </c>
      <c r="B244" t="s">
        <v>1751</v>
      </c>
      <c r="C244" t="s">
        <v>8775</v>
      </c>
      <c r="D244" t="s">
        <v>8776</v>
      </c>
    </row>
    <row r="245" spans="1:4">
      <c r="A245" t="s">
        <v>8685</v>
      </c>
      <c r="B245" t="s">
        <v>1751</v>
      </c>
      <c r="C245" t="s">
        <v>8777</v>
      </c>
      <c r="D245" t="s">
        <v>8778</v>
      </c>
    </row>
    <row r="246" spans="1:4">
      <c r="A246" t="s">
        <v>8688</v>
      </c>
      <c r="B246" t="s">
        <v>1751</v>
      </c>
      <c r="C246" t="s">
        <v>8779</v>
      </c>
      <c r="D246" t="s">
        <v>8780</v>
      </c>
    </row>
    <row r="247" spans="1:4">
      <c r="A247" t="s">
        <v>8666</v>
      </c>
      <c r="B247" t="s">
        <v>8781</v>
      </c>
      <c r="C247" t="s">
        <v>8782</v>
      </c>
      <c r="D247" t="s">
        <v>8783</v>
      </c>
    </row>
    <row r="248" spans="1:4">
      <c r="A248" t="s">
        <v>8669</v>
      </c>
      <c r="B248" t="s">
        <v>8781</v>
      </c>
      <c r="C248" t="s">
        <v>8784</v>
      </c>
      <c r="D248" t="s">
        <v>8785</v>
      </c>
    </row>
    <row r="249" spans="1:4">
      <c r="A249" t="s">
        <v>8666</v>
      </c>
      <c r="B249" t="s">
        <v>1758</v>
      </c>
      <c r="C249" t="s">
        <v>8786</v>
      </c>
      <c r="D249" t="s">
        <v>8783</v>
      </c>
    </row>
    <row r="250" spans="1:4">
      <c r="A250" t="s">
        <v>8669</v>
      </c>
      <c r="B250" t="s">
        <v>1758</v>
      </c>
      <c r="C250" t="s">
        <v>8787</v>
      </c>
      <c r="D250" t="s">
        <v>8785</v>
      </c>
    </row>
    <row r="251" spans="1:4">
      <c r="A251" t="s">
        <v>8672</v>
      </c>
      <c r="B251" t="s">
        <v>4670</v>
      </c>
      <c r="C251" t="s">
        <v>8788</v>
      </c>
      <c r="D251" t="s">
        <v>8789</v>
      </c>
    </row>
    <row r="252" spans="1:4">
      <c r="A252" t="s">
        <v>8676</v>
      </c>
      <c r="B252" t="s">
        <v>4670</v>
      </c>
      <c r="C252" t="s">
        <v>8790</v>
      </c>
      <c r="D252" t="s">
        <v>8791</v>
      </c>
    </row>
    <row r="253" spans="1:4">
      <c r="A253" t="s">
        <v>8679</v>
      </c>
      <c r="B253" t="s">
        <v>4670</v>
      </c>
      <c r="C253" t="s">
        <v>8792</v>
      </c>
      <c r="D253" t="s">
        <v>8793</v>
      </c>
    </row>
    <row r="254" spans="1:4">
      <c r="A254" t="s">
        <v>8682</v>
      </c>
      <c r="B254" t="s">
        <v>4670</v>
      </c>
      <c r="C254" t="s">
        <v>8794</v>
      </c>
      <c r="D254" t="s">
        <v>8795</v>
      </c>
    </row>
    <row r="255" spans="1:4">
      <c r="A255" t="s">
        <v>8685</v>
      </c>
      <c r="B255" t="s">
        <v>4670</v>
      </c>
      <c r="C255" t="s">
        <v>8796</v>
      </c>
      <c r="D255" t="s">
        <v>8797</v>
      </c>
    </row>
    <row r="256" spans="1:4">
      <c r="A256" t="s">
        <v>8688</v>
      </c>
      <c r="B256" t="s">
        <v>4670</v>
      </c>
      <c r="C256" t="s">
        <v>8798</v>
      </c>
      <c r="D256" t="s">
        <v>8799</v>
      </c>
    </row>
    <row r="257" spans="1:4">
      <c r="A257" t="s">
        <v>8676</v>
      </c>
      <c r="B257" t="s">
        <v>1748</v>
      </c>
      <c r="C257" t="s">
        <v>8800</v>
      </c>
      <c r="D257" t="s">
        <v>8801</v>
      </c>
    </row>
    <row r="258" spans="1:4">
      <c r="A258" t="s">
        <v>8679</v>
      </c>
      <c r="B258" t="s">
        <v>1748</v>
      </c>
      <c r="C258" t="s">
        <v>8802</v>
      </c>
      <c r="D258" t="s">
        <v>8803</v>
      </c>
    </row>
    <row r="259" spans="1:4">
      <c r="A259" t="s">
        <v>8682</v>
      </c>
      <c r="B259" t="s">
        <v>1748</v>
      </c>
      <c r="C259" t="s">
        <v>8804</v>
      </c>
      <c r="D259" t="s">
        <v>8805</v>
      </c>
    </row>
    <row r="260" spans="1:4">
      <c r="A260" t="s">
        <v>8685</v>
      </c>
      <c r="B260" t="s">
        <v>1748</v>
      </c>
      <c r="C260" t="s">
        <v>8806</v>
      </c>
      <c r="D260" t="s">
        <v>8807</v>
      </c>
    </row>
    <row r="261" spans="1:4">
      <c r="A261" t="s">
        <v>8688</v>
      </c>
      <c r="B261" t="s">
        <v>1748</v>
      </c>
      <c r="C261" t="s">
        <v>8808</v>
      </c>
      <c r="D261" t="s">
        <v>8809</v>
      </c>
    </row>
    <row r="262" spans="1:4">
      <c r="A262" t="s">
        <v>8676</v>
      </c>
      <c r="B262" t="s">
        <v>4671</v>
      </c>
      <c r="C262" t="s">
        <v>8810</v>
      </c>
      <c r="D262" t="s">
        <v>8811</v>
      </c>
    </row>
    <row r="263" spans="1:4">
      <c r="A263" t="s">
        <v>8679</v>
      </c>
      <c r="B263" t="s">
        <v>4671</v>
      </c>
      <c r="C263" t="s">
        <v>8812</v>
      </c>
      <c r="D263" t="s">
        <v>8813</v>
      </c>
    </row>
    <row r="264" spans="1:4">
      <c r="A264" t="s">
        <v>8682</v>
      </c>
      <c r="B264" t="s">
        <v>4671</v>
      </c>
      <c r="C264" t="s">
        <v>8814</v>
      </c>
      <c r="D264" t="s">
        <v>8815</v>
      </c>
    </row>
    <row r="265" spans="1:4">
      <c r="A265" t="s">
        <v>8685</v>
      </c>
      <c r="B265" t="s">
        <v>4671</v>
      </c>
      <c r="C265" t="s">
        <v>8816</v>
      </c>
      <c r="D265" t="s">
        <v>8817</v>
      </c>
    </row>
    <row r="266" spans="1:4">
      <c r="A266" t="s">
        <v>8688</v>
      </c>
      <c r="B266" t="s">
        <v>4671</v>
      </c>
      <c r="C266" t="s">
        <v>8818</v>
      </c>
      <c r="D266" t="s">
        <v>8819</v>
      </c>
    </row>
    <row r="267" spans="1:4">
      <c r="A267" t="s">
        <v>8676</v>
      </c>
      <c r="B267" t="s">
        <v>1752</v>
      </c>
      <c r="C267" t="s">
        <v>8820</v>
      </c>
      <c r="D267" t="s">
        <v>8821</v>
      </c>
    </row>
    <row r="268" spans="1:4">
      <c r="A268" t="s">
        <v>8679</v>
      </c>
      <c r="B268" t="s">
        <v>1752</v>
      </c>
      <c r="C268" t="s">
        <v>8822</v>
      </c>
      <c r="D268" t="s">
        <v>8823</v>
      </c>
    </row>
    <row r="269" spans="1:4">
      <c r="A269" t="s">
        <v>8682</v>
      </c>
      <c r="B269" t="s">
        <v>1752</v>
      </c>
      <c r="C269" t="s">
        <v>8824</v>
      </c>
      <c r="D269" t="s">
        <v>8825</v>
      </c>
    </row>
    <row r="270" spans="1:4">
      <c r="A270" t="s">
        <v>8685</v>
      </c>
      <c r="B270" t="s">
        <v>1752</v>
      </c>
      <c r="C270" t="s">
        <v>8826</v>
      </c>
      <c r="D270" t="s">
        <v>8827</v>
      </c>
    </row>
    <row r="271" spans="1:4">
      <c r="A271" t="s">
        <v>8688</v>
      </c>
      <c r="B271" t="s">
        <v>1752</v>
      </c>
      <c r="C271" t="s">
        <v>8828</v>
      </c>
      <c r="D271" t="s">
        <v>8829</v>
      </c>
    </row>
    <row r="272" spans="1:4">
      <c r="A272" t="s">
        <v>8666</v>
      </c>
      <c r="B272" t="s">
        <v>1760</v>
      </c>
      <c r="C272" t="s">
        <v>8830</v>
      </c>
      <c r="D272" t="s">
        <v>8831</v>
      </c>
    </row>
    <row r="273" spans="1:4">
      <c r="A273" t="s">
        <v>8669</v>
      </c>
      <c r="B273" t="s">
        <v>1760</v>
      </c>
      <c r="C273" t="s">
        <v>8832</v>
      </c>
      <c r="D273" t="s">
        <v>8833</v>
      </c>
    </row>
    <row r="274" spans="1:4">
      <c r="A274" t="s">
        <v>8672</v>
      </c>
      <c r="B274" t="s">
        <v>1756</v>
      </c>
      <c r="C274" t="s">
        <v>8834</v>
      </c>
      <c r="D274" t="s">
        <v>8835</v>
      </c>
    </row>
    <row r="275" spans="1:4">
      <c r="A275" t="s">
        <v>8676</v>
      </c>
      <c r="B275" t="s">
        <v>1756</v>
      </c>
      <c r="C275" t="s">
        <v>8836</v>
      </c>
      <c r="D275" t="s">
        <v>8837</v>
      </c>
    </row>
    <row r="276" spans="1:4">
      <c r="A276" t="s">
        <v>8679</v>
      </c>
      <c r="B276" t="s">
        <v>1756</v>
      </c>
      <c r="C276" t="s">
        <v>8838</v>
      </c>
      <c r="D276" t="s">
        <v>8839</v>
      </c>
    </row>
    <row r="277" spans="1:4">
      <c r="A277" t="s">
        <v>8682</v>
      </c>
      <c r="B277" t="s">
        <v>1756</v>
      </c>
      <c r="C277" t="s">
        <v>8840</v>
      </c>
      <c r="D277" t="s">
        <v>8841</v>
      </c>
    </row>
    <row r="278" spans="1:4">
      <c r="A278" t="s">
        <v>8685</v>
      </c>
      <c r="B278" t="s">
        <v>1756</v>
      </c>
      <c r="C278" t="s">
        <v>8842</v>
      </c>
      <c r="D278" t="s">
        <v>8843</v>
      </c>
    </row>
    <row r="279" spans="1:4">
      <c r="A279" t="s">
        <v>8688</v>
      </c>
      <c r="B279" t="s">
        <v>1756</v>
      </c>
      <c r="C279" t="s">
        <v>8844</v>
      </c>
      <c r="D279" t="s">
        <v>8845</v>
      </c>
    </row>
    <row r="280" spans="1:4">
      <c r="A280" t="s">
        <v>8846</v>
      </c>
      <c r="B280" t="s">
        <v>4675</v>
      </c>
      <c r="C280" t="s">
        <v>8847</v>
      </c>
      <c r="D280" t="s">
        <v>8848</v>
      </c>
    </row>
    <row r="281" spans="1:4">
      <c r="A281" t="s">
        <v>8682</v>
      </c>
      <c r="B281" t="s">
        <v>4675</v>
      </c>
      <c r="C281" t="s">
        <v>8849</v>
      </c>
      <c r="D281" t="s">
        <v>8850</v>
      </c>
    </row>
    <row r="282" spans="1:4">
      <c r="A282" t="s">
        <v>8851</v>
      </c>
      <c r="B282" t="s">
        <v>4675</v>
      </c>
      <c r="C282" t="s">
        <v>8852</v>
      </c>
      <c r="D282" t="s">
        <v>8853</v>
      </c>
    </row>
    <row r="283" spans="1:4">
      <c r="A283" t="s">
        <v>8688</v>
      </c>
      <c r="B283" t="s">
        <v>4675</v>
      </c>
      <c r="C283" t="s">
        <v>8854</v>
      </c>
      <c r="D283" t="s">
        <v>8855</v>
      </c>
    </row>
    <row r="284" spans="1:4">
      <c r="A284" t="s">
        <v>8672</v>
      </c>
      <c r="B284" t="s">
        <v>1755</v>
      </c>
      <c r="C284" t="s">
        <v>8856</v>
      </c>
      <c r="D284" t="s">
        <v>8857</v>
      </c>
    </row>
    <row r="285" spans="1:4">
      <c r="A285" t="s">
        <v>8676</v>
      </c>
      <c r="B285" t="s">
        <v>1755</v>
      </c>
      <c r="C285" t="s">
        <v>8858</v>
      </c>
      <c r="D285" t="s">
        <v>8859</v>
      </c>
    </row>
    <row r="286" spans="1:4">
      <c r="A286" t="s">
        <v>8679</v>
      </c>
      <c r="B286" t="s">
        <v>1755</v>
      </c>
      <c r="C286" t="s">
        <v>8860</v>
      </c>
      <c r="D286" t="s">
        <v>8861</v>
      </c>
    </row>
    <row r="287" spans="1:4">
      <c r="A287" t="s">
        <v>8682</v>
      </c>
      <c r="B287" t="s">
        <v>1755</v>
      </c>
      <c r="C287" t="s">
        <v>8862</v>
      </c>
      <c r="D287" t="s">
        <v>8863</v>
      </c>
    </row>
    <row r="288" spans="1:4">
      <c r="A288" t="s">
        <v>8685</v>
      </c>
      <c r="B288" t="s">
        <v>1755</v>
      </c>
      <c r="C288" t="s">
        <v>8864</v>
      </c>
      <c r="D288" t="s">
        <v>8865</v>
      </c>
    </row>
    <row r="289" spans="1:4">
      <c r="A289" t="s">
        <v>8688</v>
      </c>
      <c r="B289" t="s">
        <v>1755</v>
      </c>
      <c r="C289" t="s">
        <v>8866</v>
      </c>
      <c r="D289" t="s">
        <v>8867</v>
      </c>
    </row>
    <row r="290" spans="1:4">
      <c r="A290" t="s">
        <v>8868</v>
      </c>
      <c r="B290" t="s">
        <v>1763</v>
      </c>
      <c r="C290" t="s">
        <v>8869</v>
      </c>
      <c r="D290" t="s">
        <v>8870</v>
      </c>
    </row>
    <row r="291" spans="1:4">
      <c r="A291" t="s">
        <v>8871</v>
      </c>
      <c r="B291" t="s">
        <v>1763</v>
      </c>
      <c r="C291" t="s">
        <v>8872</v>
      </c>
      <c r="D291" t="s">
        <v>8873</v>
      </c>
    </row>
    <row r="292" spans="1:4">
      <c r="A292" t="s">
        <v>8874</v>
      </c>
      <c r="B292" t="s">
        <v>1763</v>
      </c>
      <c r="C292" t="s">
        <v>8875</v>
      </c>
      <c r="D292" t="s">
        <v>8876</v>
      </c>
    </row>
    <row r="293" spans="1:4">
      <c r="A293" t="s">
        <v>8877</v>
      </c>
      <c r="B293" t="s">
        <v>1763</v>
      </c>
      <c r="C293" t="s">
        <v>8878</v>
      </c>
      <c r="D293" t="s">
        <v>8879</v>
      </c>
    </row>
    <row r="294" spans="1:4">
      <c r="A294" t="s">
        <v>8880</v>
      </c>
      <c r="B294" t="s">
        <v>1763</v>
      </c>
      <c r="C294" t="s">
        <v>8881</v>
      </c>
      <c r="D294" t="s">
        <v>8882</v>
      </c>
    </row>
    <row r="295" spans="1:4">
      <c r="A295" t="s">
        <v>8883</v>
      </c>
      <c r="B295" t="s">
        <v>1763</v>
      </c>
      <c r="C295" t="s">
        <v>8884</v>
      </c>
      <c r="D295" t="s">
        <v>8885</v>
      </c>
    </row>
    <row r="296" spans="1:4">
      <c r="A296" t="s">
        <v>8886</v>
      </c>
      <c r="B296" t="s">
        <v>4680</v>
      </c>
      <c r="C296" t="s">
        <v>8887</v>
      </c>
      <c r="D296" t="s">
        <v>8888</v>
      </c>
    </row>
    <row r="297" spans="1:4">
      <c r="A297" t="s">
        <v>8889</v>
      </c>
      <c r="B297" t="s">
        <v>4680</v>
      </c>
      <c r="C297" t="s">
        <v>8890</v>
      </c>
      <c r="D297" t="s">
        <v>8891</v>
      </c>
    </row>
    <row r="298" spans="1:4">
      <c r="A298" t="s">
        <v>8892</v>
      </c>
      <c r="B298" t="s">
        <v>4680</v>
      </c>
      <c r="C298" t="s">
        <v>8893</v>
      </c>
      <c r="D298" t="s">
        <v>8894</v>
      </c>
    </row>
    <row r="299" spans="1:4">
      <c r="A299" t="s">
        <v>8895</v>
      </c>
      <c r="B299" t="s">
        <v>4680</v>
      </c>
      <c r="C299" t="s">
        <v>8896</v>
      </c>
      <c r="D299" t="s">
        <v>8897</v>
      </c>
    </row>
    <row r="300" spans="1:4">
      <c r="A300" t="s">
        <v>8898</v>
      </c>
      <c r="B300" t="s">
        <v>4680</v>
      </c>
      <c r="C300" t="s">
        <v>8899</v>
      </c>
      <c r="D300" t="s">
        <v>8900</v>
      </c>
    </row>
    <row r="301" spans="1:4">
      <c r="A301" t="s">
        <v>8901</v>
      </c>
      <c r="B301" t="s">
        <v>4680</v>
      </c>
      <c r="C301" t="s">
        <v>8902</v>
      </c>
      <c r="D301" t="s">
        <v>8903</v>
      </c>
    </row>
    <row r="302" spans="1:4">
      <c r="A302" t="s">
        <v>8904</v>
      </c>
      <c r="B302" t="s">
        <v>4680</v>
      </c>
      <c r="C302" t="s">
        <v>8905</v>
      </c>
      <c r="D302" t="s">
        <v>8906</v>
      </c>
    </row>
    <row r="303" spans="1:4">
      <c r="A303" t="s">
        <v>8907</v>
      </c>
      <c r="B303" t="s">
        <v>4680</v>
      </c>
      <c r="C303" t="s">
        <v>8908</v>
      </c>
      <c r="D303" t="s">
        <v>8909</v>
      </c>
    </row>
    <row r="304" spans="1:4">
      <c r="A304" t="s">
        <v>8910</v>
      </c>
      <c r="B304" t="s">
        <v>4680</v>
      </c>
      <c r="C304" t="s">
        <v>8911</v>
      </c>
      <c r="D304" t="s">
        <v>8912</v>
      </c>
    </row>
    <row r="305" spans="1:4">
      <c r="A305" t="s">
        <v>8868</v>
      </c>
      <c r="B305" t="s">
        <v>1764</v>
      </c>
      <c r="C305" t="s">
        <v>8913</v>
      </c>
      <c r="D305" t="s">
        <v>8914</v>
      </c>
    </row>
    <row r="306" spans="1:4">
      <c r="A306" t="s">
        <v>8915</v>
      </c>
      <c r="B306" t="s">
        <v>1764</v>
      </c>
      <c r="C306" t="s">
        <v>8916</v>
      </c>
      <c r="D306" t="s">
        <v>8917</v>
      </c>
    </row>
    <row r="307" spans="1:4">
      <c r="A307" t="s">
        <v>8918</v>
      </c>
      <c r="B307" t="s">
        <v>1764</v>
      </c>
      <c r="C307" t="s">
        <v>8919</v>
      </c>
      <c r="D307" t="s">
        <v>8920</v>
      </c>
    </row>
    <row r="308" spans="1:4">
      <c r="A308" t="s">
        <v>8871</v>
      </c>
      <c r="B308" t="s">
        <v>1764</v>
      </c>
      <c r="C308" t="s">
        <v>8921</v>
      </c>
      <c r="D308" t="s">
        <v>8922</v>
      </c>
    </row>
    <row r="309" spans="1:4">
      <c r="A309" t="s">
        <v>8874</v>
      </c>
      <c r="B309" t="s">
        <v>1764</v>
      </c>
      <c r="C309" t="s">
        <v>8923</v>
      </c>
      <c r="D309" t="s">
        <v>8924</v>
      </c>
    </row>
    <row r="310" spans="1:4">
      <c r="A310" t="s">
        <v>8877</v>
      </c>
      <c r="B310" t="s">
        <v>1764</v>
      </c>
      <c r="C310" t="s">
        <v>8925</v>
      </c>
      <c r="D310" t="s">
        <v>8926</v>
      </c>
    </row>
    <row r="311" spans="1:4">
      <c r="A311" t="s">
        <v>8927</v>
      </c>
      <c r="B311" t="s">
        <v>1764</v>
      </c>
      <c r="C311" t="s">
        <v>8928</v>
      </c>
      <c r="D311" t="s">
        <v>8929</v>
      </c>
    </row>
    <row r="312" spans="1:4">
      <c r="A312" t="s">
        <v>8930</v>
      </c>
      <c r="B312" t="s">
        <v>1764</v>
      </c>
      <c r="C312" t="s">
        <v>8931</v>
      </c>
      <c r="D312" t="s">
        <v>8932</v>
      </c>
    </row>
    <row r="313" spans="1:4">
      <c r="A313" t="s">
        <v>8883</v>
      </c>
      <c r="B313" t="s">
        <v>1764</v>
      </c>
      <c r="C313" t="s">
        <v>8933</v>
      </c>
      <c r="D313" t="s">
        <v>8934</v>
      </c>
    </row>
    <row r="314" spans="1:4">
      <c r="A314" t="s">
        <v>8886</v>
      </c>
      <c r="B314" t="s">
        <v>4681</v>
      </c>
      <c r="C314" t="s">
        <v>8935</v>
      </c>
      <c r="D314" t="s">
        <v>8936</v>
      </c>
    </row>
    <row r="315" spans="1:4">
      <c r="A315" t="s">
        <v>8889</v>
      </c>
      <c r="B315" t="s">
        <v>4681</v>
      </c>
      <c r="C315" t="s">
        <v>8937</v>
      </c>
      <c r="D315" t="s">
        <v>8938</v>
      </c>
    </row>
    <row r="316" spans="1:4">
      <c r="A316" t="s">
        <v>8892</v>
      </c>
      <c r="B316" t="s">
        <v>4681</v>
      </c>
      <c r="C316" t="s">
        <v>8939</v>
      </c>
      <c r="D316" t="s">
        <v>8940</v>
      </c>
    </row>
    <row r="317" spans="1:4">
      <c r="A317" t="s">
        <v>8895</v>
      </c>
      <c r="B317" t="s">
        <v>4681</v>
      </c>
      <c r="C317" t="s">
        <v>8941</v>
      </c>
      <c r="D317" t="s">
        <v>8942</v>
      </c>
    </row>
    <row r="318" spans="1:4">
      <c r="A318" t="s">
        <v>8898</v>
      </c>
      <c r="B318" t="s">
        <v>4681</v>
      </c>
      <c r="C318" t="s">
        <v>8943</v>
      </c>
      <c r="D318" t="s">
        <v>8944</v>
      </c>
    </row>
    <row r="319" spans="1:4">
      <c r="A319" t="s">
        <v>8901</v>
      </c>
      <c r="B319" t="s">
        <v>4682</v>
      </c>
      <c r="C319" t="s">
        <v>8945</v>
      </c>
      <c r="D319" t="s">
        <v>8946</v>
      </c>
    </row>
    <row r="320" spans="1:4">
      <c r="A320" t="s">
        <v>8947</v>
      </c>
      <c r="B320" t="s">
        <v>4682</v>
      </c>
      <c r="C320" t="s">
        <v>8948</v>
      </c>
      <c r="D320" t="s">
        <v>8949</v>
      </c>
    </row>
    <row r="321" spans="1:4">
      <c r="A321" t="s">
        <v>8950</v>
      </c>
      <c r="B321" t="s">
        <v>4683</v>
      </c>
      <c r="C321" t="s">
        <v>8951</v>
      </c>
      <c r="D321" t="s">
        <v>8952</v>
      </c>
    </row>
    <row r="322" spans="1:4">
      <c r="A322" t="s">
        <v>8953</v>
      </c>
      <c r="B322" t="s">
        <v>4683</v>
      </c>
      <c r="C322" t="s">
        <v>8954</v>
      </c>
      <c r="D322" t="s">
        <v>8955</v>
      </c>
    </row>
    <row r="323" spans="1:4">
      <c r="A323" t="s">
        <v>8956</v>
      </c>
      <c r="B323" t="s">
        <v>4683</v>
      </c>
      <c r="C323" t="s">
        <v>8957</v>
      </c>
      <c r="D323" t="s">
        <v>8958</v>
      </c>
    </row>
    <row r="324" spans="1:4">
      <c r="A324" t="s">
        <v>8754</v>
      </c>
      <c r="B324" t="s">
        <v>4683</v>
      </c>
      <c r="C324" t="s">
        <v>8959</v>
      </c>
      <c r="D324" t="s">
        <v>8960</v>
      </c>
    </row>
    <row r="325" spans="1:4">
      <c r="A325" t="s">
        <v>8961</v>
      </c>
      <c r="B325" t="s">
        <v>4683</v>
      </c>
      <c r="C325" t="s">
        <v>8962</v>
      </c>
      <c r="D325" t="s">
        <v>8963</v>
      </c>
    </row>
    <row r="326" spans="1:4">
      <c r="A326" t="s">
        <v>8964</v>
      </c>
      <c r="B326" t="s">
        <v>4683</v>
      </c>
      <c r="C326" t="s">
        <v>8965</v>
      </c>
      <c r="D326" t="s">
        <v>8966</v>
      </c>
    </row>
    <row r="327" spans="1:4">
      <c r="A327" t="s">
        <v>8967</v>
      </c>
      <c r="B327" t="s">
        <v>1766</v>
      </c>
      <c r="C327" t="s">
        <v>8968</v>
      </c>
      <c r="D327" t="s">
        <v>8969</v>
      </c>
    </row>
    <row r="328" spans="1:4">
      <c r="A328" t="s">
        <v>8953</v>
      </c>
      <c r="B328" t="s">
        <v>1766</v>
      </c>
      <c r="C328" t="s">
        <v>8970</v>
      </c>
      <c r="D328" t="s">
        <v>8971</v>
      </c>
    </row>
    <row r="329" spans="1:4">
      <c r="A329" t="s">
        <v>8956</v>
      </c>
      <c r="B329" t="s">
        <v>1766</v>
      </c>
      <c r="C329" t="s">
        <v>8972</v>
      </c>
      <c r="D329" t="s">
        <v>8973</v>
      </c>
    </row>
    <row r="330" spans="1:4">
      <c r="A330" t="s">
        <v>8974</v>
      </c>
      <c r="B330" t="s">
        <v>1766</v>
      </c>
      <c r="C330" t="s">
        <v>8975</v>
      </c>
      <c r="D330" t="s">
        <v>8976</v>
      </c>
    </row>
    <row r="331" spans="1:4">
      <c r="A331" t="s">
        <v>8754</v>
      </c>
      <c r="B331" t="s">
        <v>1766</v>
      </c>
      <c r="C331" t="s">
        <v>8977</v>
      </c>
      <c r="D331" t="s">
        <v>8978</v>
      </c>
    </row>
    <row r="332" spans="1:4">
      <c r="A332" t="s">
        <v>8961</v>
      </c>
      <c r="B332" t="s">
        <v>1766</v>
      </c>
      <c r="C332" t="s">
        <v>8979</v>
      </c>
      <c r="D332" t="s">
        <v>8980</v>
      </c>
    </row>
    <row r="333" spans="1:4">
      <c r="A333" t="s">
        <v>8964</v>
      </c>
      <c r="B333" t="s">
        <v>1766</v>
      </c>
      <c r="C333" t="s">
        <v>8981</v>
      </c>
      <c r="D333" t="s">
        <v>8982</v>
      </c>
    </row>
    <row r="334" spans="1:4">
      <c r="A334" t="s">
        <v>8901</v>
      </c>
      <c r="B334" t="s">
        <v>4684</v>
      </c>
      <c r="C334" t="s">
        <v>8983</v>
      </c>
      <c r="D334" t="s">
        <v>8984</v>
      </c>
    </row>
    <row r="335" spans="1:4">
      <c r="A335" t="s">
        <v>8907</v>
      </c>
      <c r="B335" t="s">
        <v>4684</v>
      </c>
      <c r="C335" t="s">
        <v>8985</v>
      </c>
      <c r="D335" t="s">
        <v>8986</v>
      </c>
    </row>
    <row r="336" spans="1:4">
      <c r="A336" t="s">
        <v>8910</v>
      </c>
      <c r="B336" t="s">
        <v>4684</v>
      </c>
      <c r="C336" t="s">
        <v>8987</v>
      </c>
      <c r="D336" t="s">
        <v>8988</v>
      </c>
    </row>
    <row r="337" spans="1:4">
      <c r="A337" t="s">
        <v>8898</v>
      </c>
      <c r="B337" t="s">
        <v>4685</v>
      </c>
      <c r="C337" t="s">
        <v>8989</v>
      </c>
      <c r="D337" t="s">
        <v>8990</v>
      </c>
    </row>
    <row r="338" spans="1:4">
      <c r="A338" t="s">
        <v>8901</v>
      </c>
      <c r="B338" t="s">
        <v>4685</v>
      </c>
      <c r="C338" t="s">
        <v>8991</v>
      </c>
      <c r="D338" t="s">
        <v>8992</v>
      </c>
    </row>
    <row r="339" spans="1:4">
      <c r="A339" t="s">
        <v>8907</v>
      </c>
      <c r="B339" t="s">
        <v>4685</v>
      </c>
      <c r="C339" t="s">
        <v>8993</v>
      </c>
      <c r="D339" t="s">
        <v>8994</v>
      </c>
    </row>
    <row r="340" spans="1:4">
      <c r="A340" t="s">
        <v>8910</v>
      </c>
      <c r="B340" t="s">
        <v>4685</v>
      </c>
      <c r="C340" t="s">
        <v>8995</v>
      </c>
      <c r="D340" t="s">
        <v>8996</v>
      </c>
    </row>
    <row r="341" spans="1:4">
      <c r="A341" t="s">
        <v>8997</v>
      </c>
      <c r="B341" t="s">
        <v>1762</v>
      </c>
      <c r="C341" t="s">
        <v>8998</v>
      </c>
      <c r="D341" t="s">
        <v>8999</v>
      </c>
    </row>
    <row r="342" spans="1:4">
      <c r="A342" t="s">
        <v>9000</v>
      </c>
      <c r="B342" t="s">
        <v>1762</v>
      </c>
      <c r="C342" t="s">
        <v>9001</v>
      </c>
      <c r="D342" t="s">
        <v>9002</v>
      </c>
    </row>
    <row r="343" spans="1:4">
      <c r="A343" t="s">
        <v>9003</v>
      </c>
      <c r="B343" t="s">
        <v>1762</v>
      </c>
      <c r="C343" t="s">
        <v>9004</v>
      </c>
      <c r="D343" t="s">
        <v>9005</v>
      </c>
    </row>
    <row r="344" spans="1:4">
      <c r="A344" t="s">
        <v>9006</v>
      </c>
      <c r="B344" t="s">
        <v>1762</v>
      </c>
      <c r="C344" t="s">
        <v>9007</v>
      </c>
      <c r="D344" t="s">
        <v>9008</v>
      </c>
    </row>
    <row r="345" spans="1:4">
      <c r="A345" t="s">
        <v>9009</v>
      </c>
      <c r="B345" t="s">
        <v>1762</v>
      </c>
      <c r="C345" t="s">
        <v>9010</v>
      </c>
      <c r="D345" t="s">
        <v>9011</v>
      </c>
    </row>
    <row r="346" spans="1:4">
      <c r="A346" t="s">
        <v>9012</v>
      </c>
      <c r="B346" t="s">
        <v>1762</v>
      </c>
      <c r="C346" t="s">
        <v>9013</v>
      </c>
      <c r="D346" t="s">
        <v>9014</v>
      </c>
    </row>
    <row r="347" spans="1:4">
      <c r="A347" t="s">
        <v>9015</v>
      </c>
      <c r="B347" t="s">
        <v>1762</v>
      </c>
      <c r="C347" t="s">
        <v>9016</v>
      </c>
      <c r="D347" t="s">
        <v>9017</v>
      </c>
    </row>
    <row r="348" spans="1:4">
      <c r="A348" t="s">
        <v>9018</v>
      </c>
      <c r="B348" t="s">
        <v>1762</v>
      </c>
      <c r="C348" t="s">
        <v>9019</v>
      </c>
      <c r="D348" t="s">
        <v>9020</v>
      </c>
    </row>
    <row r="349" spans="1:4">
      <c r="A349" t="s">
        <v>9021</v>
      </c>
      <c r="B349" t="s">
        <v>1762</v>
      </c>
      <c r="C349" t="s">
        <v>9022</v>
      </c>
      <c r="D349" t="s">
        <v>9023</v>
      </c>
    </row>
    <row r="350" spans="1:4">
      <c r="A350" t="s">
        <v>9024</v>
      </c>
      <c r="B350" t="s">
        <v>1762</v>
      </c>
      <c r="C350" t="s">
        <v>9025</v>
      </c>
      <c r="D350" t="s">
        <v>9026</v>
      </c>
    </row>
    <row r="351" spans="1:4">
      <c r="A351" t="s">
        <v>8619</v>
      </c>
      <c r="B351" t="s">
        <v>9027</v>
      </c>
      <c r="C351" t="s">
        <v>9028</v>
      </c>
      <c r="D351" t="s">
        <v>8622</v>
      </c>
    </row>
    <row r="352" spans="1:4">
      <c r="A352" t="s">
        <v>8623</v>
      </c>
      <c r="B352" t="s">
        <v>9027</v>
      </c>
      <c r="C352" t="s">
        <v>9029</v>
      </c>
      <c r="D352" t="s">
        <v>8625</v>
      </c>
    </row>
    <row r="353" spans="1:4">
      <c r="A353" t="s">
        <v>8626</v>
      </c>
      <c r="B353" t="s">
        <v>9027</v>
      </c>
      <c r="C353" t="s">
        <v>9030</v>
      </c>
      <c r="D353" t="s">
        <v>8628</v>
      </c>
    </row>
    <row r="354" spans="1:4">
      <c r="A354" t="s">
        <v>8629</v>
      </c>
      <c r="B354" t="s">
        <v>9027</v>
      </c>
      <c r="C354" t="s">
        <v>9031</v>
      </c>
      <c r="D354" t="s">
        <v>8631</v>
      </c>
    </row>
    <row r="355" spans="1:4">
      <c r="A355" t="s">
        <v>8632</v>
      </c>
      <c r="B355" t="s">
        <v>9027</v>
      </c>
      <c r="C355" t="s">
        <v>9032</v>
      </c>
      <c r="D355" t="s">
        <v>8634</v>
      </c>
    </row>
    <row r="356" spans="1:4">
      <c r="A356" t="s">
        <v>8635</v>
      </c>
      <c r="B356" t="s">
        <v>9027</v>
      </c>
      <c r="C356" t="s">
        <v>9033</v>
      </c>
      <c r="D356" t="s">
        <v>8637</v>
      </c>
    </row>
    <row r="357" spans="1:4">
      <c r="A357" t="s">
        <v>8638</v>
      </c>
      <c r="B357" t="s">
        <v>9027</v>
      </c>
      <c r="C357" t="s">
        <v>9034</v>
      </c>
      <c r="D357" t="s">
        <v>8640</v>
      </c>
    </row>
    <row r="358" spans="1:4">
      <c r="A358" t="s">
        <v>8641</v>
      </c>
      <c r="B358" t="s">
        <v>9027</v>
      </c>
      <c r="C358" t="s">
        <v>9035</v>
      </c>
      <c r="D358" t="s">
        <v>8643</v>
      </c>
    </row>
    <row r="359" spans="1:4">
      <c r="A359" t="s">
        <v>8644</v>
      </c>
      <c r="B359" t="s">
        <v>9027</v>
      </c>
      <c r="C359" t="s">
        <v>9036</v>
      </c>
      <c r="D359" t="s">
        <v>8646</v>
      </c>
    </row>
    <row r="360" spans="1:4">
      <c r="A360" t="s">
        <v>8647</v>
      </c>
      <c r="B360" t="s">
        <v>9027</v>
      </c>
      <c r="C360" t="s">
        <v>9037</v>
      </c>
      <c r="D360" t="s">
        <v>8649</v>
      </c>
    </row>
    <row r="361" spans="1:4">
      <c r="A361" t="s">
        <v>8650</v>
      </c>
      <c r="B361" t="s">
        <v>9027</v>
      </c>
      <c r="C361" t="s">
        <v>9038</v>
      </c>
      <c r="D361" t="s">
        <v>8652</v>
      </c>
    </row>
    <row r="362" spans="1:4">
      <c r="A362" t="s">
        <v>8997</v>
      </c>
      <c r="B362" t="s">
        <v>1761</v>
      </c>
      <c r="C362" t="s">
        <v>9039</v>
      </c>
      <c r="D362" t="s">
        <v>9040</v>
      </c>
    </row>
    <row r="363" spans="1:4">
      <c r="A363" t="s">
        <v>9000</v>
      </c>
      <c r="B363" t="s">
        <v>1761</v>
      </c>
      <c r="C363" t="s">
        <v>9041</v>
      </c>
      <c r="D363" t="s">
        <v>9042</v>
      </c>
    </row>
    <row r="364" spans="1:4">
      <c r="A364" t="s">
        <v>9003</v>
      </c>
      <c r="B364" t="s">
        <v>1761</v>
      </c>
      <c r="C364" t="s">
        <v>9043</v>
      </c>
      <c r="D364" t="s">
        <v>9044</v>
      </c>
    </row>
    <row r="365" spans="1:4">
      <c r="A365" t="s">
        <v>9006</v>
      </c>
      <c r="B365" t="s">
        <v>1761</v>
      </c>
      <c r="C365" t="s">
        <v>9045</v>
      </c>
      <c r="D365" t="s">
        <v>9046</v>
      </c>
    </row>
    <row r="366" spans="1:4">
      <c r="A366" t="s">
        <v>9009</v>
      </c>
      <c r="B366" t="s">
        <v>1761</v>
      </c>
      <c r="C366" t="s">
        <v>9047</v>
      </c>
      <c r="D366" t="s">
        <v>9048</v>
      </c>
    </row>
    <row r="367" spans="1:4">
      <c r="A367" t="s">
        <v>9012</v>
      </c>
      <c r="B367" t="s">
        <v>1761</v>
      </c>
      <c r="C367" t="s">
        <v>9049</v>
      </c>
      <c r="D367" t="s">
        <v>9050</v>
      </c>
    </row>
    <row r="368" spans="1:4">
      <c r="A368" t="s">
        <v>9018</v>
      </c>
      <c r="B368" t="s">
        <v>1761</v>
      </c>
      <c r="C368" t="s">
        <v>9051</v>
      </c>
      <c r="D368" t="s">
        <v>9052</v>
      </c>
    </row>
    <row r="369" spans="1:4">
      <c r="A369" t="s">
        <v>9021</v>
      </c>
      <c r="B369" t="s">
        <v>1761</v>
      </c>
      <c r="C369" t="s">
        <v>9053</v>
      </c>
      <c r="D369" t="s">
        <v>9054</v>
      </c>
    </row>
    <row r="370" spans="1:4">
      <c r="A370" t="s">
        <v>9024</v>
      </c>
      <c r="B370" t="s">
        <v>1761</v>
      </c>
      <c r="C370" t="s">
        <v>9055</v>
      </c>
      <c r="D370" t="s">
        <v>9056</v>
      </c>
    </row>
    <row r="371" spans="1:4">
      <c r="A371" t="s">
        <v>9000</v>
      </c>
      <c r="B371" t="s">
        <v>4694</v>
      </c>
      <c r="C371" t="s">
        <v>9057</v>
      </c>
      <c r="D371" t="s">
        <v>9058</v>
      </c>
    </row>
    <row r="372" spans="1:4">
      <c r="A372" t="s">
        <v>9059</v>
      </c>
      <c r="B372" t="s">
        <v>4695</v>
      </c>
      <c r="C372" t="s">
        <v>9060</v>
      </c>
      <c r="D372" t="s">
        <v>9061</v>
      </c>
    </row>
    <row r="373" spans="1:4">
      <c r="A373" t="s">
        <v>9062</v>
      </c>
      <c r="B373" t="s">
        <v>4695</v>
      </c>
      <c r="C373" t="s">
        <v>9063</v>
      </c>
      <c r="D373" t="s">
        <v>9064</v>
      </c>
    </row>
    <row r="374" spans="1:4">
      <c r="A374" t="s">
        <v>9065</v>
      </c>
      <c r="B374" t="s">
        <v>4695</v>
      </c>
      <c r="C374" t="s">
        <v>9066</v>
      </c>
      <c r="D374" t="s">
        <v>9067</v>
      </c>
    </row>
    <row r="375" spans="1:4">
      <c r="A375" t="s">
        <v>9068</v>
      </c>
      <c r="B375" t="s">
        <v>4695</v>
      </c>
      <c r="C375" t="s">
        <v>9069</v>
      </c>
      <c r="D375" t="s">
        <v>9070</v>
      </c>
    </row>
    <row r="376" spans="1:4">
      <c r="A376" t="s">
        <v>9071</v>
      </c>
      <c r="B376" t="s">
        <v>4695</v>
      </c>
      <c r="C376" t="s">
        <v>9072</v>
      </c>
      <c r="D376" t="s">
        <v>9073</v>
      </c>
    </row>
    <row r="377" spans="1:4">
      <c r="A377" t="s">
        <v>9074</v>
      </c>
      <c r="B377" t="s">
        <v>4695</v>
      </c>
      <c r="C377" t="s">
        <v>9075</v>
      </c>
      <c r="D377" t="s">
        <v>9076</v>
      </c>
    </row>
    <row r="378" spans="1:4">
      <c r="A378" t="s">
        <v>9077</v>
      </c>
      <c r="B378" t="s">
        <v>4695</v>
      </c>
      <c r="C378" t="s">
        <v>9078</v>
      </c>
      <c r="D378" t="s">
        <v>9079</v>
      </c>
    </row>
    <row r="379" spans="1:4">
      <c r="A379" t="s">
        <v>8961</v>
      </c>
      <c r="B379" t="s">
        <v>4695</v>
      </c>
      <c r="C379" t="s">
        <v>9080</v>
      </c>
      <c r="D379" t="s">
        <v>9081</v>
      </c>
    </row>
    <row r="380" spans="1:4">
      <c r="A380" t="s">
        <v>8964</v>
      </c>
      <c r="B380" t="s">
        <v>4695</v>
      </c>
      <c r="C380" t="s">
        <v>9082</v>
      </c>
      <c r="D380" t="s">
        <v>9083</v>
      </c>
    </row>
    <row r="381" spans="1:4">
      <c r="A381" t="s">
        <v>8889</v>
      </c>
      <c r="B381" t="s">
        <v>1765</v>
      </c>
      <c r="C381" t="s">
        <v>9084</v>
      </c>
      <c r="D381" t="s">
        <v>9085</v>
      </c>
    </row>
    <row r="382" spans="1:4">
      <c r="A382" t="s">
        <v>8901</v>
      </c>
      <c r="B382" t="s">
        <v>1765</v>
      </c>
      <c r="C382" t="s">
        <v>9086</v>
      </c>
      <c r="D382" t="s">
        <v>9087</v>
      </c>
    </row>
    <row r="383" spans="1:4">
      <c r="A383" t="s">
        <v>8904</v>
      </c>
      <c r="B383" t="s">
        <v>1765</v>
      </c>
      <c r="C383" t="s">
        <v>9088</v>
      </c>
      <c r="D383" t="s">
        <v>9089</v>
      </c>
    </row>
    <row r="384" spans="1:4">
      <c r="A384" t="s">
        <v>8907</v>
      </c>
      <c r="B384" t="s">
        <v>1765</v>
      </c>
      <c r="C384" t="s">
        <v>9090</v>
      </c>
      <c r="D384" t="s">
        <v>9091</v>
      </c>
    </row>
    <row r="385" spans="1:4">
      <c r="A385" t="s">
        <v>8910</v>
      </c>
      <c r="B385" t="s">
        <v>1765</v>
      </c>
      <c r="C385" t="s">
        <v>9092</v>
      </c>
      <c r="D385" t="s">
        <v>9093</v>
      </c>
    </row>
    <row r="386" spans="1:4">
      <c r="A386" t="s">
        <v>9094</v>
      </c>
      <c r="B386" t="s">
        <v>1768</v>
      </c>
      <c r="C386" t="s">
        <v>9095</v>
      </c>
      <c r="D386" t="s">
        <v>9096</v>
      </c>
    </row>
    <row r="387" spans="1:4">
      <c r="A387" t="s">
        <v>9097</v>
      </c>
      <c r="B387" t="s">
        <v>1768</v>
      </c>
      <c r="C387" t="s">
        <v>9098</v>
      </c>
      <c r="D387" t="s">
        <v>9099</v>
      </c>
    </row>
    <row r="388" spans="1:4">
      <c r="A388" t="s">
        <v>9100</v>
      </c>
      <c r="B388" t="s">
        <v>1768</v>
      </c>
      <c r="C388" t="s">
        <v>9101</v>
      </c>
      <c r="D388" t="s">
        <v>9102</v>
      </c>
    </row>
    <row r="389" spans="1:4">
      <c r="A389" t="s">
        <v>9103</v>
      </c>
      <c r="B389" t="s">
        <v>1768</v>
      </c>
      <c r="C389" t="s">
        <v>9104</v>
      </c>
      <c r="D389" t="s">
        <v>9105</v>
      </c>
    </row>
    <row r="390" spans="1:4">
      <c r="A390" t="s">
        <v>8868</v>
      </c>
      <c r="B390" t="s">
        <v>1768</v>
      </c>
      <c r="C390" t="s">
        <v>9106</v>
      </c>
      <c r="D390" t="s">
        <v>9107</v>
      </c>
    </row>
    <row r="391" spans="1:4">
      <c r="A391" t="s">
        <v>9108</v>
      </c>
      <c r="B391" t="s">
        <v>1768</v>
      </c>
      <c r="C391" t="s">
        <v>9109</v>
      </c>
      <c r="D391" t="s">
        <v>9110</v>
      </c>
    </row>
    <row r="392" spans="1:4">
      <c r="A392" t="s">
        <v>8915</v>
      </c>
      <c r="B392" t="s">
        <v>1768</v>
      </c>
      <c r="C392" t="s">
        <v>9111</v>
      </c>
      <c r="D392" t="s">
        <v>9112</v>
      </c>
    </row>
    <row r="393" spans="1:4">
      <c r="A393" t="s">
        <v>9094</v>
      </c>
      <c r="B393" t="s">
        <v>4697</v>
      </c>
      <c r="C393" t="s">
        <v>9113</v>
      </c>
      <c r="D393" t="s">
        <v>9114</v>
      </c>
    </row>
    <row r="394" spans="1:4">
      <c r="A394" t="s">
        <v>9097</v>
      </c>
      <c r="B394" t="s">
        <v>4697</v>
      </c>
      <c r="C394" t="s">
        <v>9115</v>
      </c>
      <c r="D394" t="s">
        <v>9116</v>
      </c>
    </row>
    <row r="395" spans="1:4">
      <c r="A395" t="s">
        <v>9100</v>
      </c>
      <c r="B395" t="s">
        <v>4697</v>
      </c>
      <c r="C395" t="s">
        <v>9117</v>
      </c>
      <c r="D395" t="s">
        <v>9118</v>
      </c>
    </row>
    <row r="396" spans="1:4">
      <c r="A396" t="s">
        <v>9103</v>
      </c>
      <c r="B396" t="s">
        <v>4697</v>
      </c>
      <c r="C396" t="s">
        <v>9119</v>
      </c>
      <c r="D396" t="s">
        <v>9120</v>
      </c>
    </row>
    <row r="397" spans="1:4">
      <c r="A397" t="s">
        <v>8868</v>
      </c>
      <c r="B397" t="s">
        <v>4697</v>
      </c>
      <c r="C397" t="s">
        <v>9121</v>
      </c>
      <c r="D397" t="s">
        <v>9122</v>
      </c>
    </row>
    <row r="398" spans="1:4">
      <c r="A398" t="s">
        <v>9108</v>
      </c>
      <c r="B398" t="s">
        <v>4697</v>
      </c>
      <c r="C398" t="s">
        <v>9123</v>
      </c>
      <c r="D398" t="s">
        <v>9124</v>
      </c>
    </row>
    <row r="399" spans="1:4">
      <c r="A399" t="s">
        <v>8915</v>
      </c>
      <c r="B399" t="s">
        <v>4697</v>
      </c>
      <c r="C399" t="s">
        <v>9125</v>
      </c>
      <c r="D399" t="s">
        <v>9126</v>
      </c>
    </row>
    <row r="400" spans="1:4">
      <c r="A400" t="s">
        <v>9097</v>
      </c>
      <c r="B400" t="s">
        <v>667</v>
      </c>
      <c r="C400" t="s">
        <v>9127</v>
      </c>
      <c r="D400" t="s">
        <v>9128</v>
      </c>
    </row>
    <row r="401" spans="1:4">
      <c r="A401" t="s">
        <v>9103</v>
      </c>
      <c r="B401" t="s">
        <v>667</v>
      </c>
      <c r="C401" t="s">
        <v>9129</v>
      </c>
      <c r="D401" t="s">
        <v>9130</v>
      </c>
    </row>
    <row r="402" spans="1:4">
      <c r="A402" t="s">
        <v>9131</v>
      </c>
      <c r="B402" t="s">
        <v>667</v>
      </c>
      <c r="C402" t="s">
        <v>9132</v>
      </c>
      <c r="D402" t="s">
        <v>9133</v>
      </c>
    </row>
    <row r="403" spans="1:4">
      <c r="A403" t="s">
        <v>9134</v>
      </c>
      <c r="B403" t="s">
        <v>667</v>
      </c>
      <c r="C403" t="s">
        <v>9135</v>
      </c>
      <c r="D403" t="s">
        <v>9136</v>
      </c>
    </row>
    <row r="404" spans="1:4">
      <c r="A404" t="s">
        <v>9094</v>
      </c>
      <c r="B404" t="s">
        <v>1767</v>
      </c>
      <c r="C404" t="s">
        <v>9137</v>
      </c>
      <c r="D404" t="s">
        <v>9138</v>
      </c>
    </row>
    <row r="405" spans="1:4">
      <c r="A405" t="s">
        <v>9097</v>
      </c>
      <c r="B405" t="s">
        <v>1767</v>
      </c>
      <c r="C405" t="s">
        <v>9139</v>
      </c>
      <c r="D405" t="s">
        <v>9140</v>
      </c>
    </row>
    <row r="406" spans="1:4">
      <c r="A406" t="s">
        <v>9100</v>
      </c>
      <c r="B406" t="s">
        <v>1767</v>
      </c>
      <c r="C406" t="s">
        <v>9141</v>
      </c>
      <c r="D406" t="s">
        <v>9142</v>
      </c>
    </row>
    <row r="407" spans="1:4">
      <c r="A407" t="s">
        <v>9103</v>
      </c>
      <c r="B407" t="s">
        <v>1767</v>
      </c>
      <c r="C407" t="s">
        <v>9143</v>
      </c>
      <c r="D407" t="s">
        <v>9144</v>
      </c>
    </row>
    <row r="408" spans="1:4">
      <c r="A408" t="s">
        <v>8868</v>
      </c>
      <c r="B408" t="s">
        <v>1767</v>
      </c>
      <c r="C408" t="s">
        <v>9145</v>
      </c>
      <c r="D408" t="s">
        <v>9146</v>
      </c>
    </row>
    <row r="409" spans="1:4">
      <c r="A409" t="s">
        <v>9108</v>
      </c>
      <c r="B409" t="s">
        <v>1767</v>
      </c>
      <c r="C409" t="s">
        <v>9147</v>
      </c>
      <c r="D409" t="s">
        <v>9148</v>
      </c>
    </row>
    <row r="410" spans="1:4">
      <c r="A410" t="s">
        <v>8915</v>
      </c>
      <c r="B410" t="s">
        <v>1767</v>
      </c>
      <c r="C410" t="s">
        <v>9149</v>
      </c>
      <c r="D410" t="s">
        <v>9150</v>
      </c>
    </row>
    <row r="411" spans="1:4">
      <c r="A411" t="s">
        <v>9094</v>
      </c>
      <c r="B411" t="s">
        <v>4698</v>
      </c>
      <c r="C411" t="s">
        <v>9151</v>
      </c>
      <c r="D411" t="s">
        <v>9152</v>
      </c>
    </row>
    <row r="412" spans="1:4">
      <c r="A412" t="s">
        <v>9097</v>
      </c>
      <c r="B412" t="s">
        <v>4698</v>
      </c>
      <c r="C412" t="s">
        <v>9153</v>
      </c>
      <c r="D412" t="s">
        <v>9154</v>
      </c>
    </row>
    <row r="413" spans="1:4">
      <c r="A413" t="s">
        <v>9100</v>
      </c>
      <c r="B413" t="s">
        <v>4698</v>
      </c>
      <c r="C413" t="s">
        <v>9155</v>
      </c>
      <c r="D413" t="s">
        <v>9156</v>
      </c>
    </row>
    <row r="414" spans="1:4">
      <c r="A414" t="s">
        <v>9103</v>
      </c>
      <c r="B414" t="s">
        <v>4698</v>
      </c>
      <c r="C414" t="s">
        <v>9157</v>
      </c>
      <c r="D414" t="s">
        <v>9158</v>
      </c>
    </row>
    <row r="415" spans="1:4">
      <c r="A415" t="s">
        <v>8868</v>
      </c>
      <c r="B415" t="s">
        <v>4698</v>
      </c>
      <c r="C415" t="s">
        <v>9159</v>
      </c>
      <c r="D415" t="s">
        <v>9160</v>
      </c>
    </row>
    <row r="416" spans="1:4">
      <c r="A416" t="s">
        <v>9108</v>
      </c>
      <c r="B416" t="s">
        <v>4698</v>
      </c>
      <c r="C416" t="s">
        <v>9161</v>
      </c>
      <c r="D416" t="s">
        <v>9162</v>
      </c>
    </row>
    <row r="417" spans="1:4">
      <c r="A417" t="s">
        <v>8915</v>
      </c>
      <c r="B417" t="s">
        <v>4698</v>
      </c>
      <c r="C417" t="s">
        <v>9163</v>
      </c>
      <c r="D417" t="s">
        <v>9164</v>
      </c>
    </row>
    <row r="418" spans="1:4">
      <c r="A418" t="s">
        <v>9165</v>
      </c>
      <c r="B418" t="s">
        <v>1770</v>
      </c>
      <c r="C418" t="s">
        <v>9166</v>
      </c>
      <c r="D418" t="s">
        <v>9167</v>
      </c>
    </row>
    <row r="419" spans="1:4">
      <c r="A419" t="s">
        <v>9168</v>
      </c>
      <c r="B419" t="s">
        <v>1771</v>
      </c>
      <c r="C419" t="s">
        <v>9169</v>
      </c>
      <c r="D419" t="s">
        <v>9170</v>
      </c>
    </row>
    <row r="420" spans="1:4">
      <c r="A420" t="s">
        <v>9171</v>
      </c>
      <c r="B420" t="s">
        <v>1771</v>
      </c>
      <c r="C420" t="s">
        <v>9172</v>
      </c>
      <c r="D420" t="s">
        <v>9173</v>
      </c>
    </row>
    <row r="421" spans="1:4">
      <c r="A421" t="s">
        <v>9174</v>
      </c>
      <c r="B421" t="s">
        <v>1771</v>
      </c>
      <c r="C421" t="s">
        <v>9175</v>
      </c>
      <c r="D421" t="s">
        <v>9176</v>
      </c>
    </row>
    <row r="422" spans="1:4">
      <c r="A422" t="s">
        <v>9177</v>
      </c>
      <c r="B422" t="s">
        <v>1771</v>
      </c>
      <c r="C422" t="s">
        <v>9178</v>
      </c>
      <c r="D422" t="s">
        <v>9179</v>
      </c>
    </row>
    <row r="423" spans="1:4">
      <c r="A423" t="s">
        <v>9180</v>
      </c>
      <c r="B423" t="s">
        <v>1771</v>
      </c>
      <c r="C423" t="s">
        <v>9181</v>
      </c>
      <c r="D423" t="s">
        <v>9182</v>
      </c>
    </row>
    <row r="424" spans="1:4">
      <c r="A424" t="s">
        <v>9165</v>
      </c>
      <c r="B424" t="s">
        <v>1772</v>
      </c>
      <c r="C424" t="s">
        <v>9183</v>
      </c>
      <c r="D424" t="s">
        <v>9184</v>
      </c>
    </row>
    <row r="425" spans="1:4">
      <c r="A425" t="s">
        <v>9168</v>
      </c>
      <c r="B425" t="s">
        <v>1772</v>
      </c>
      <c r="C425" t="s">
        <v>9185</v>
      </c>
      <c r="D425" t="s">
        <v>9186</v>
      </c>
    </row>
    <row r="426" spans="1:4">
      <c r="A426" t="s">
        <v>9171</v>
      </c>
      <c r="B426" t="s">
        <v>1772</v>
      </c>
      <c r="C426" t="s">
        <v>9187</v>
      </c>
      <c r="D426" t="s">
        <v>9188</v>
      </c>
    </row>
    <row r="427" spans="1:4">
      <c r="A427" t="s">
        <v>9174</v>
      </c>
      <c r="B427" t="s">
        <v>1772</v>
      </c>
      <c r="C427" t="s">
        <v>9189</v>
      </c>
      <c r="D427" t="s">
        <v>9190</v>
      </c>
    </row>
    <row r="428" spans="1:4">
      <c r="A428" t="s">
        <v>9177</v>
      </c>
      <c r="B428" t="s">
        <v>1772</v>
      </c>
      <c r="C428" t="s">
        <v>9191</v>
      </c>
      <c r="D428" t="s">
        <v>9192</v>
      </c>
    </row>
    <row r="429" spans="1:4">
      <c r="A429" t="s">
        <v>9180</v>
      </c>
      <c r="B429" t="s">
        <v>1772</v>
      </c>
      <c r="C429" t="s">
        <v>9193</v>
      </c>
      <c r="D429" t="s">
        <v>9194</v>
      </c>
    </row>
    <row r="430" spans="1:4">
      <c r="A430" t="s">
        <v>9168</v>
      </c>
      <c r="B430" t="s">
        <v>1773</v>
      </c>
      <c r="C430" t="s">
        <v>9195</v>
      </c>
      <c r="D430" t="s">
        <v>9196</v>
      </c>
    </row>
    <row r="431" spans="1:4">
      <c r="A431" t="s">
        <v>9174</v>
      </c>
      <c r="B431" t="s">
        <v>1773</v>
      </c>
      <c r="C431" t="s">
        <v>9197</v>
      </c>
      <c r="D431" t="s">
        <v>9198</v>
      </c>
    </row>
    <row r="432" spans="1:4">
      <c r="A432" t="s">
        <v>9199</v>
      </c>
      <c r="B432" t="s">
        <v>4710</v>
      </c>
      <c r="C432" t="s">
        <v>9200</v>
      </c>
      <c r="D432" t="s">
        <v>9201</v>
      </c>
    </row>
    <row r="433" spans="1:4">
      <c r="A433" t="s">
        <v>9202</v>
      </c>
      <c r="B433" t="s">
        <v>4710</v>
      </c>
      <c r="C433" t="s">
        <v>9203</v>
      </c>
      <c r="D433" t="s">
        <v>9204</v>
      </c>
    </row>
    <row r="434" spans="1:4">
      <c r="A434" t="s">
        <v>9205</v>
      </c>
      <c r="B434" t="s">
        <v>9206</v>
      </c>
      <c r="C434" t="s">
        <v>9207</v>
      </c>
      <c r="D434" t="s">
        <v>9208</v>
      </c>
    </row>
    <row r="435" spans="1:4">
      <c r="A435" t="s">
        <v>9209</v>
      </c>
      <c r="B435" t="s">
        <v>9206</v>
      </c>
      <c r="C435" t="s">
        <v>9210</v>
      </c>
      <c r="D435" t="s">
        <v>9211</v>
      </c>
    </row>
    <row r="436" spans="1:4">
      <c r="A436" t="s">
        <v>9202</v>
      </c>
      <c r="B436" t="s">
        <v>9212</v>
      </c>
      <c r="C436" t="s">
        <v>9213</v>
      </c>
      <c r="D436" t="s">
        <v>9214</v>
      </c>
    </row>
    <row r="437" spans="1:4">
      <c r="A437" t="s">
        <v>9215</v>
      </c>
      <c r="B437" t="s">
        <v>9212</v>
      </c>
      <c r="C437" t="s">
        <v>9216</v>
      </c>
      <c r="D437" t="s">
        <v>9217</v>
      </c>
    </row>
    <row r="438" spans="1:4">
      <c r="A438" t="s">
        <v>9168</v>
      </c>
      <c r="B438" t="s">
        <v>1769</v>
      </c>
      <c r="C438" t="s">
        <v>9218</v>
      </c>
      <c r="D438" t="s">
        <v>9219</v>
      </c>
    </row>
    <row r="439" spans="1:4">
      <c r="A439" t="s">
        <v>9171</v>
      </c>
      <c r="B439" t="s">
        <v>1769</v>
      </c>
      <c r="C439" t="s">
        <v>9220</v>
      </c>
      <c r="D439" t="s">
        <v>9221</v>
      </c>
    </row>
    <row r="440" spans="1:4">
      <c r="A440" t="s">
        <v>9174</v>
      </c>
      <c r="B440" t="s">
        <v>1769</v>
      </c>
      <c r="C440" t="s">
        <v>9222</v>
      </c>
      <c r="D440" t="s">
        <v>9223</v>
      </c>
    </row>
    <row r="441" spans="1:4">
      <c r="A441" t="s">
        <v>9177</v>
      </c>
      <c r="B441" t="s">
        <v>1769</v>
      </c>
      <c r="C441" t="s">
        <v>9224</v>
      </c>
      <c r="D441" t="s">
        <v>9225</v>
      </c>
    </row>
    <row r="442" spans="1:4">
      <c r="A442" t="s">
        <v>9180</v>
      </c>
      <c r="B442" t="s">
        <v>1769</v>
      </c>
      <c r="C442" t="s">
        <v>9226</v>
      </c>
      <c r="D442" t="s">
        <v>9227</v>
      </c>
    </row>
    <row r="443" spans="1:4">
      <c r="A443" t="s">
        <v>9228</v>
      </c>
      <c r="B443" t="s">
        <v>1769</v>
      </c>
      <c r="C443" t="s">
        <v>9229</v>
      </c>
      <c r="D443" t="s">
        <v>9230</v>
      </c>
    </row>
    <row r="444" spans="1:4">
      <c r="A444" t="s">
        <v>9202</v>
      </c>
      <c r="B444" t="s">
        <v>9231</v>
      </c>
      <c r="C444" t="s">
        <v>9232</v>
      </c>
      <c r="D444" t="s">
        <v>9233</v>
      </c>
    </row>
    <row r="445" spans="1:4">
      <c r="A445" t="s">
        <v>9205</v>
      </c>
      <c r="B445" t="s">
        <v>9231</v>
      </c>
      <c r="C445" t="s">
        <v>9234</v>
      </c>
      <c r="D445" t="s">
        <v>9235</v>
      </c>
    </row>
    <row r="446" spans="1:4">
      <c r="A446" t="s">
        <v>9215</v>
      </c>
      <c r="B446" t="s">
        <v>9231</v>
      </c>
      <c r="C446" t="s">
        <v>9236</v>
      </c>
      <c r="D446" t="s">
        <v>9237</v>
      </c>
    </row>
    <row r="447" spans="1:4">
      <c r="A447" t="s">
        <v>9209</v>
      </c>
      <c r="B447" t="s">
        <v>9231</v>
      </c>
      <c r="C447" t="s">
        <v>9238</v>
      </c>
      <c r="D447" t="s">
        <v>9239</v>
      </c>
    </row>
    <row r="448" spans="1:4">
      <c r="A448" t="s">
        <v>9168</v>
      </c>
      <c r="B448" t="s">
        <v>4715</v>
      </c>
      <c r="C448" t="s">
        <v>9240</v>
      </c>
      <c r="D448" t="s">
        <v>9241</v>
      </c>
    </row>
    <row r="449" spans="1:4">
      <c r="A449" t="s">
        <v>9174</v>
      </c>
      <c r="B449" t="s">
        <v>4715</v>
      </c>
      <c r="C449" t="s">
        <v>9242</v>
      </c>
      <c r="D449" t="s">
        <v>9235</v>
      </c>
    </row>
    <row r="450" spans="1:4">
      <c r="A450" t="s">
        <v>9177</v>
      </c>
      <c r="B450" t="s">
        <v>4715</v>
      </c>
      <c r="C450" t="s">
        <v>9243</v>
      </c>
      <c r="D450" t="s">
        <v>9237</v>
      </c>
    </row>
    <row r="451" spans="1:4">
      <c r="A451" t="s">
        <v>9180</v>
      </c>
      <c r="B451" t="s">
        <v>4715</v>
      </c>
      <c r="C451" t="s">
        <v>9244</v>
      </c>
      <c r="D451" t="s">
        <v>9239</v>
      </c>
    </row>
    <row r="452" spans="1:4">
      <c r="A452" t="s">
        <v>9168</v>
      </c>
      <c r="B452" t="s">
        <v>9245</v>
      </c>
      <c r="C452" t="s">
        <v>9246</v>
      </c>
      <c r="D452" t="s">
        <v>9247</v>
      </c>
    </row>
    <row r="453" spans="1:4">
      <c r="A453" t="s">
        <v>9171</v>
      </c>
      <c r="B453" t="s">
        <v>9245</v>
      </c>
      <c r="C453" t="s">
        <v>9248</v>
      </c>
      <c r="D453" t="s">
        <v>9249</v>
      </c>
    </row>
    <row r="454" spans="1:4">
      <c r="A454" t="s">
        <v>9174</v>
      </c>
      <c r="B454" t="s">
        <v>9245</v>
      </c>
      <c r="C454" t="s">
        <v>9250</v>
      </c>
      <c r="D454" t="s">
        <v>9251</v>
      </c>
    </row>
    <row r="455" spans="1:4">
      <c r="A455" t="s">
        <v>9177</v>
      </c>
      <c r="B455" t="s">
        <v>9245</v>
      </c>
      <c r="C455" t="s">
        <v>9252</v>
      </c>
      <c r="D455" t="s">
        <v>9253</v>
      </c>
    </row>
    <row r="456" spans="1:4">
      <c r="A456" t="s">
        <v>9180</v>
      </c>
      <c r="B456" t="s">
        <v>9245</v>
      </c>
      <c r="C456" t="s">
        <v>9254</v>
      </c>
      <c r="D456" t="s">
        <v>9255</v>
      </c>
    </row>
    <row r="457" spans="1:4">
      <c r="A457" t="s">
        <v>9256</v>
      </c>
      <c r="B457" t="s">
        <v>4717</v>
      </c>
      <c r="C457" t="s">
        <v>9257</v>
      </c>
      <c r="D457" t="s">
        <v>9258</v>
      </c>
    </row>
    <row r="458" spans="1:4">
      <c r="A458" t="s">
        <v>9168</v>
      </c>
      <c r="B458" t="s">
        <v>4718</v>
      </c>
      <c r="C458" t="s">
        <v>9259</v>
      </c>
      <c r="D458" t="s">
        <v>9260</v>
      </c>
    </row>
    <row r="459" spans="1:4">
      <c r="A459" t="s">
        <v>9174</v>
      </c>
      <c r="B459" t="s">
        <v>4718</v>
      </c>
      <c r="C459" t="s">
        <v>9261</v>
      </c>
      <c r="D459" t="s">
        <v>9262</v>
      </c>
    </row>
    <row r="460" spans="1:4">
      <c r="A460" t="s">
        <v>9177</v>
      </c>
      <c r="B460" t="s">
        <v>4718</v>
      </c>
      <c r="C460" t="s">
        <v>9263</v>
      </c>
      <c r="D460" t="s">
        <v>9264</v>
      </c>
    </row>
    <row r="461" spans="1:4">
      <c r="A461" t="s">
        <v>9180</v>
      </c>
      <c r="B461" t="s">
        <v>4718</v>
      </c>
      <c r="C461" t="s">
        <v>9265</v>
      </c>
      <c r="D461" t="s">
        <v>9266</v>
      </c>
    </row>
    <row r="462" spans="1:4">
      <c r="A462" t="s">
        <v>9267</v>
      </c>
      <c r="B462" t="s">
        <v>4751</v>
      </c>
      <c r="C462" t="s">
        <v>9268</v>
      </c>
      <c r="D462" t="s">
        <v>9269</v>
      </c>
    </row>
    <row r="463" spans="1:4">
      <c r="A463" t="s">
        <v>9270</v>
      </c>
      <c r="B463" t="s">
        <v>1782</v>
      </c>
      <c r="C463" t="s">
        <v>9271</v>
      </c>
      <c r="D463" t="s">
        <v>9272</v>
      </c>
    </row>
    <row r="464" spans="1:4">
      <c r="A464" t="s">
        <v>9273</v>
      </c>
      <c r="B464" t="s">
        <v>1782</v>
      </c>
      <c r="C464" t="s">
        <v>9274</v>
      </c>
      <c r="D464" t="s">
        <v>9275</v>
      </c>
    </row>
    <row r="465" spans="1:4">
      <c r="A465" t="s">
        <v>9276</v>
      </c>
      <c r="B465" t="s">
        <v>1782</v>
      </c>
      <c r="C465" t="s">
        <v>9277</v>
      </c>
      <c r="D465" t="s">
        <v>9278</v>
      </c>
    </row>
    <row r="466" spans="1:4">
      <c r="A466" t="s">
        <v>9279</v>
      </c>
      <c r="B466" t="s">
        <v>1782</v>
      </c>
      <c r="C466" t="s">
        <v>9280</v>
      </c>
      <c r="D466" t="s">
        <v>9281</v>
      </c>
    </row>
    <row r="467" spans="1:4">
      <c r="A467" t="s">
        <v>9282</v>
      </c>
      <c r="B467" t="s">
        <v>1782</v>
      </c>
      <c r="C467" t="s">
        <v>9283</v>
      </c>
      <c r="D467" t="s">
        <v>9284</v>
      </c>
    </row>
    <row r="468" spans="1:4">
      <c r="A468" t="s">
        <v>9285</v>
      </c>
      <c r="B468" t="s">
        <v>1782</v>
      </c>
      <c r="C468" t="s">
        <v>9286</v>
      </c>
      <c r="D468" t="s">
        <v>9287</v>
      </c>
    </row>
    <row r="469" spans="1:4">
      <c r="A469" t="s">
        <v>9288</v>
      </c>
      <c r="B469" t="s">
        <v>1782</v>
      </c>
      <c r="C469" t="s">
        <v>9289</v>
      </c>
      <c r="D469" t="s">
        <v>9290</v>
      </c>
    </row>
    <row r="470" spans="1:4">
      <c r="A470" t="s">
        <v>9291</v>
      </c>
      <c r="B470" t="s">
        <v>4753</v>
      </c>
      <c r="C470" t="s">
        <v>9292</v>
      </c>
      <c r="D470" t="s">
        <v>9293</v>
      </c>
    </row>
    <row r="471" spans="1:4">
      <c r="A471" t="s">
        <v>9276</v>
      </c>
      <c r="B471" t="s">
        <v>4753</v>
      </c>
      <c r="C471" t="s">
        <v>9294</v>
      </c>
      <c r="D471" t="s">
        <v>9295</v>
      </c>
    </row>
    <row r="472" spans="1:4">
      <c r="A472" t="s">
        <v>9296</v>
      </c>
      <c r="B472" t="s">
        <v>4753</v>
      </c>
      <c r="C472" t="s">
        <v>9297</v>
      </c>
      <c r="D472" t="s">
        <v>9298</v>
      </c>
    </row>
    <row r="473" spans="1:4">
      <c r="A473" t="s">
        <v>9299</v>
      </c>
      <c r="B473" t="s">
        <v>4753</v>
      </c>
      <c r="C473" t="s">
        <v>9300</v>
      </c>
      <c r="D473" t="s">
        <v>9301</v>
      </c>
    </row>
    <row r="474" spans="1:4">
      <c r="A474" t="s">
        <v>9270</v>
      </c>
      <c r="B474" t="s">
        <v>1783</v>
      </c>
      <c r="C474" t="s">
        <v>9302</v>
      </c>
      <c r="D474" t="s">
        <v>9303</v>
      </c>
    </row>
    <row r="475" spans="1:4">
      <c r="A475" t="s">
        <v>9273</v>
      </c>
      <c r="B475" t="s">
        <v>1783</v>
      </c>
      <c r="C475" t="s">
        <v>9304</v>
      </c>
      <c r="D475" t="s">
        <v>9305</v>
      </c>
    </row>
    <row r="476" spans="1:4">
      <c r="A476" t="s">
        <v>9276</v>
      </c>
      <c r="B476" t="s">
        <v>1783</v>
      </c>
      <c r="C476" t="s">
        <v>9306</v>
      </c>
      <c r="D476" t="s">
        <v>9307</v>
      </c>
    </row>
    <row r="477" spans="1:4">
      <c r="A477" t="s">
        <v>9279</v>
      </c>
      <c r="B477" t="s">
        <v>1783</v>
      </c>
      <c r="C477" t="s">
        <v>9308</v>
      </c>
      <c r="D477" t="s">
        <v>9309</v>
      </c>
    </row>
    <row r="478" spans="1:4">
      <c r="A478" t="s">
        <v>9285</v>
      </c>
      <c r="B478" t="s">
        <v>1783</v>
      </c>
      <c r="C478" t="s">
        <v>9310</v>
      </c>
      <c r="D478" t="s">
        <v>9311</v>
      </c>
    </row>
    <row r="479" spans="1:4">
      <c r="A479" t="s">
        <v>9288</v>
      </c>
      <c r="B479" t="s">
        <v>1783</v>
      </c>
      <c r="C479" t="s">
        <v>9312</v>
      </c>
      <c r="D479" t="s">
        <v>9313</v>
      </c>
    </row>
    <row r="480" spans="1:4">
      <c r="A480" t="s">
        <v>9314</v>
      </c>
      <c r="B480" t="s">
        <v>4756</v>
      </c>
      <c r="C480" t="s">
        <v>9315</v>
      </c>
      <c r="D480" t="s">
        <v>9316</v>
      </c>
    </row>
    <row r="481" spans="1:4">
      <c r="A481" t="s">
        <v>9317</v>
      </c>
      <c r="B481" t="s">
        <v>4756</v>
      </c>
      <c r="C481" t="s">
        <v>9318</v>
      </c>
      <c r="D481" t="s">
        <v>9319</v>
      </c>
    </row>
    <row r="482" spans="1:4">
      <c r="A482" t="s">
        <v>9273</v>
      </c>
      <c r="B482" t="s">
        <v>1784</v>
      </c>
      <c r="C482" t="s">
        <v>9320</v>
      </c>
      <c r="D482" t="s">
        <v>9321</v>
      </c>
    </row>
    <row r="483" spans="1:4">
      <c r="A483" t="s">
        <v>9322</v>
      </c>
      <c r="B483" t="s">
        <v>1784</v>
      </c>
      <c r="C483" t="s">
        <v>9323</v>
      </c>
      <c r="D483" t="s">
        <v>9324</v>
      </c>
    </row>
    <row r="484" spans="1:4">
      <c r="A484" t="s">
        <v>9279</v>
      </c>
      <c r="B484" t="s">
        <v>1784</v>
      </c>
      <c r="C484" t="s">
        <v>9325</v>
      </c>
      <c r="D484" t="s">
        <v>9326</v>
      </c>
    </row>
    <row r="485" spans="1:4">
      <c r="A485" t="s">
        <v>9327</v>
      </c>
      <c r="B485" t="s">
        <v>4763</v>
      </c>
      <c r="C485" t="s">
        <v>9328</v>
      </c>
      <c r="D485" t="s">
        <v>9329</v>
      </c>
    </row>
    <row r="486" spans="1:4">
      <c r="A486" t="s">
        <v>9276</v>
      </c>
      <c r="B486" t="s">
        <v>4763</v>
      </c>
      <c r="C486" t="s">
        <v>9330</v>
      </c>
      <c r="D486" t="s">
        <v>9331</v>
      </c>
    </row>
    <row r="487" spans="1:4">
      <c r="A487" t="s">
        <v>9332</v>
      </c>
      <c r="B487" t="s">
        <v>4763</v>
      </c>
      <c r="C487" t="s">
        <v>9333</v>
      </c>
      <c r="D487" t="s">
        <v>9334</v>
      </c>
    </row>
    <row r="488" spans="1:4">
      <c r="A488" t="s">
        <v>9282</v>
      </c>
      <c r="B488" t="s">
        <v>4763</v>
      </c>
      <c r="C488" t="s">
        <v>9335</v>
      </c>
      <c r="D488" t="s">
        <v>9336</v>
      </c>
    </row>
    <row r="489" spans="1:4">
      <c r="A489" t="s">
        <v>9285</v>
      </c>
      <c r="B489" t="s">
        <v>4763</v>
      </c>
      <c r="C489" t="s">
        <v>9337</v>
      </c>
      <c r="D489" t="s">
        <v>9338</v>
      </c>
    </row>
    <row r="490" spans="1:4">
      <c r="A490" t="s">
        <v>9288</v>
      </c>
      <c r="B490" t="s">
        <v>4763</v>
      </c>
      <c r="C490" t="s">
        <v>9339</v>
      </c>
      <c r="D490" t="s">
        <v>9340</v>
      </c>
    </row>
    <row r="491" spans="1:4">
      <c r="A491" t="s">
        <v>9341</v>
      </c>
      <c r="B491" t="s">
        <v>4767</v>
      </c>
      <c r="C491" t="s">
        <v>9342</v>
      </c>
      <c r="D491" t="s">
        <v>9343</v>
      </c>
    </row>
    <row r="492" spans="1:4">
      <c r="A492" t="s">
        <v>9344</v>
      </c>
      <c r="B492" t="s">
        <v>4767</v>
      </c>
      <c r="C492" t="s">
        <v>9345</v>
      </c>
      <c r="D492" t="s">
        <v>9346</v>
      </c>
    </row>
    <row r="493" spans="1:4">
      <c r="A493" t="s">
        <v>9347</v>
      </c>
      <c r="B493" t="s">
        <v>4767</v>
      </c>
      <c r="C493" t="s">
        <v>9348</v>
      </c>
      <c r="D493" t="s">
        <v>9349</v>
      </c>
    </row>
    <row r="494" spans="1:4">
      <c r="A494" t="s">
        <v>9350</v>
      </c>
      <c r="B494" t="s">
        <v>4767</v>
      </c>
      <c r="C494" t="s">
        <v>9351</v>
      </c>
      <c r="D494" t="s">
        <v>9352</v>
      </c>
    </row>
    <row r="495" spans="1:4">
      <c r="A495" t="s">
        <v>9353</v>
      </c>
      <c r="B495" t="s">
        <v>4767</v>
      </c>
      <c r="C495" t="s">
        <v>9354</v>
      </c>
      <c r="D495" t="s">
        <v>9355</v>
      </c>
    </row>
    <row r="496" spans="1:4">
      <c r="A496" t="s">
        <v>9356</v>
      </c>
      <c r="B496" t="s">
        <v>4767</v>
      </c>
      <c r="C496" t="s">
        <v>9357</v>
      </c>
      <c r="D496" t="s">
        <v>9358</v>
      </c>
    </row>
    <row r="497" spans="1:4">
      <c r="A497" t="s">
        <v>9359</v>
      </c>
      <c r="B497" t="s">
        <v>4767</v>
      </c>
      <c r="C497" t="s">
        <v>9360</v>
      </c>
      <c r="D497" t="s">
        <v>9361</v>
      </c>
    </row>
    <row r="498" spans="1:4">
      <c r="A498" t="s">
        <v>9362</v>
      </c>
      <c r="B498" t="s">
        <v>4767</v>
      </c>
      <c r="C498" t="s">
        <v>9363</v>
      </c>
      <c r="D498" t="s">
        <v>9364</v>
      </c>
    </row>
    <row r="499" spans="1:4">
      <c r="A499" t="s">
        <v>9365</v>
      </c>
      <c r="B499" t="s">
        <v>4767</v>
      </c>
      <c r="C499" t="s">
        <v>9366</v>
      </c>
      <c r="D499" t="s">
        <v>9367</v>
      </c>
    </row>
    <row r="500" spans="1:4">
      <c r="A500" t="s">
        <v>9368</v>
      </c>
      <c r="B500" t="s">
        <v>4767</v>
      </c>
      <c r="C500" t="s">
        <v>9369</v>
      </c>
      <c r="D500" t="s">
        <v>9370</v>
      </c>
    </row>
    <row r="501" spans="1:4">
      <c r="A501" t="s">
        <v>9371</v>
      </c>
      <c r="B501" t="s">
        <v>4767</v>
      </c>
      <c r="C501" t="s">
        <v>9372</v>
      </c>
      <c r="D501" t="s">
        <v>9373</v>
      </c>
    </row>
    <row r="502" spans="1:4">
      <c r="A502" t="s">
        <v>9374</v>
      </c>
      <c r="B502" t="s">
        <v>4767</v>
      </c>
      <c r="C502" t="s">
        <v>9375</v>
      </c>
      <c r="D502" t="s">
        <v>9376</v>
      </c>
    </row>
    <row r="503" spans="1:4">
      <c r="A503" t="s">
        <v>9377</v>
      </c>
      <c r="B503" t="s">
        <v>4767</v>
      </c>
      <c r="C503" t="s">
        <v>9378</v>
      </c>
      <c r="D503" t="s">
        <v>9379</v>
      </c>
    </row>
    <row r="504" spans="1:4">
      <c r="A504" t="s">
        <v>9380</v>
      </c>
      <c r="B504" t="s">
        <v>9381</v>
      </c>
      <c r="C504" t="s">
        <v>9382</v>
      </c>
      <c r="D504" t="s">
        <v>9383</v>
      </c>
    </row>
    <row r="505" spans="1:4">
      <c r="A505" t="s">
        <v>9384</v>
      </c>
      <c r="B505" t="s">
        <v>9381</v>
      </c>
      <c r="C505" t="s">
        <v>9385</v>
      </c>
      <c r="D505" t="s">
        <v>9386</v>
      </c>
    </row>
    <row r="506" spans="1:4">
      <c r="A506" t="s">
        <v>9387</v>
      </c>
      <c r="B506" t="s">
        <v>9381</v>
      </c>
      <c r="C506" t="s">
        <v>9388</v>
      </c>
      <c r="D506" t="s">
        <v>9389</v>
      </c>
    </row>
    <row r="507" spans="1:4">
      <c r="A507" t="s">
        <v>9390</v>
      </c>
      <c r="B507" t="s">
        <v>9381</v>
      </c>
      <c r="C507" t="s">
        <v>9391</v>
      </c>
      <c r="D507" t="s">
        <v>9392</v>
      </c>
    </row>
    <row r="508" spans="1:4">
      <c r="A508" t="s">
        <v>9393</v>
      </c>
      <c r="B508" t="s">
        <v>9381</v>
      </c>
      <c r="C508" t="s">
        <v>9394</v>
      </c>
      <c r="D508" t="s">
        <v>9395</v>
      </c>
    </row>
    <row r="509" spans="1:4">
      <c r="A509" t="s">
        <v>9396</v>
      </c>
      <c r="B509" t="s">
        <v>9381</v>
      </c>
      <c r="C509" t="s">
        <v>9397</v>
      </c>
      <c r="D509" t="s">
        <v>9398</v>
      </c>
    </row>
    <row r="510" spans="1:4">
      <c r="A510" t="s">
        <v>9399</v>
      </c>
      <c r="B510" t="s">
        <v>9381</v>
      </c>
      <c r="C510" t="s">
        <v>9400</v>
      </c>
      <c r="D510" t="s">
        <v>9401</v>
      </c>
    </row>
    <row r="511" spans="1:4">
      <c r="A511" t="s">
        <v>9402</v>
      </c>
      <c r="B511" t="s">
        <v>9381</v>
      </c>
      <c r="C511" t="s">
        <v>9403</v>
      </c>
      <c r="D511" t="s">
        <v>9404</v>
      </c>
    </row>
    <row r="512" spans="1:4">
      <c r="A512" t="s">
        <v>9405</v>
      </c>
      <c r="B512" t="s">
        <v>9381</v>
      </c>
      <c r="C512" t="s">
        <v>9406</v>
      </c>
      <c r="D512" t="s">
        <v>9407</v>
      </c>
    </row>
    <row r="513" spans="1:4">
      <c r="A513" t="s">
        <v>9408</v>
      </c>
      <c r="B513" t="s">
        <v>9381</v>
      </c>
      <c r="C513" t="s">
        <v>9409</v>
      </c>
      <c r="D513" t="s">
        <v>9410</v>
      </c>
    </row>
    <row r="514" spans="1:4">
      <c r="A514" t="s">
        <v>9411</v>
      </c>
      <c r="B514" t="s">
        <v>9381</v>
      </c>
      <c r="C514" t="s">
        <v>9412</v>
      </c>
      <c r="D514" t="s">
        <v>9413</v>
      </c>
    </row>
    <row r="515" spans="1:4">
      <c r="A515" t="s">
        <v>9414</v>
      </c>
      <c r="B515" t="s">
        <v>9381</v>
      </c>
      <c r="C515" t="s">
        <v>9415</v>
      </c>
      <c r="D515" t="s">
        <v>9416</v>
      </c>
    </row>
    <row r="516" spans="1:4">
      <c r="A516" t="s">
        <v>9417</v>
      </c>
      <c r="B516" t="s">
        <v>9381</v>
      </c>
      <c r="C516" t="s">
        <v>9418</v>
      </c>
      <c r="D516" t="s">
        <v>9419</v>
      </c>
    </row>
    <row r="517" spans="1:4">
      <c r="A517" t="s">
        <v>9420</v>
      </c>
      <c r="B517" t="s">
        <v>4771</v>
      </c>
      <c r="C517" t="s">
        <v>9421</v>
      </c>
      <c r="D517" t="s">
        <v>9422</v>
      </c>
    </row>
    <row r="518" spans="1:4">
      <c r="A518" t="s">
        <v>9423</v>
      </c>
      <c r="B518" t="s">
        <v>4771</v>
      </c>
      <c r="C518" t="s">
        <v>9424</v>
      </c>
      <c r="D518" t="s">
        <v>9425</v>
      </c>
    </row>
    <row r="519" spans="1:4">
      <c r="A519" t="s">
        <v>9426</v>
      </c>
      <c r="B519" t="s">
        <v>4771</v>
      </c>
      <c r="C519" t="s">
        <v>9427</v>
      </c>
      <c r="D519" t="s">
        <v>9428</v>
      </c>
    </row>
    <row r="520" spans="1:4">
      <c r="A520" t="s">
        <v>9429</v>
      </c>
      <c r="B520" t="s">
        <v>4771</v>
      </c>
      <c r="C520" t="s">
        <v>9430</v>
      </c>
      <c r="D520" t="s">
        <v>9431</v>
      </c>
    </row>
    <row r="521" spans="1:4">
      <c r="A521" t="s">
        <v>9432</v>
      </c>
      <c r="B521" t="s">
        <v>4771</v>
      </c>
      <c r="C521" t="s">
        <v>9433</v>
      </c>
      <c r="D521" t="s">
        <v>9434</v>
      </c>
    </row>
    <row r="522" spans="1:4">
      <c r="A522" t="s">
        <v>9435</v>
      </c>
      <c r="B522" t="s">
        <v>4771</v>
      </c>
      <c r="C522" t="s">
        <v>9436</v>
      </c>
      <c r="D522" t="s">
        <v>9437</v>
      </c>
    </row>
    <row r="523" spans="1:4">
      <c r="A523" t="s">
        <v>9438</v>
      </c>
      <c r="B523" t="s">
        <v>4771</v>
      </c>
      <c r="C523" t="s">
        <v>9439</v>
      </c>
      <c r="D523" t="s">
        <v>9440</v>
      </c>
    </row>
    <row r="524" spans="1:4">
      <c r="A524" t="s">
        <v>9441</v>
      </c>
      <c r="B524" t="s">
        <v>4772</v>
      </c>
      <c r="C524" t="s">
        <v>9442</v>
      </c>
      <c r="D524" t="s">
        <v>9443</v>
      </c>
    </row>
    <row r="525" spans="1:4">
      <c r="A525" t="s">
        <v>9341</v>
      </c>
      <c r="B525" t="s">
        <v>4772</v>
      </c>
      <c r="C525" t="s">
        <v>9444</v>
      </c>
      <c r="D525" t="s">
        <v>9445</v>
      </c>
    </row>
    <row r="526" spans="1:4">
      <c r="A526" t="s">
        <v>9446</v>
      </c>
      <c r="B526" t="s">
        <v>4772</v>
      </c>
      <c r="C526" t="s">
        <v>9447</v>
      </c>
      <c r="D526" t="s">
        <v>9448</v>
      </c>
    </row>
    <row r="527" spans="1:4">
      <c r="A527" t="s">
        <v>9344</v>
      </c>
      <c r="B527" t="s">
        <v>4772</v>
      </c>
      <c r="C527" t="s">
        <v>9449</v>
      </c>
      <c r="D527" t="s">
        <v>9450</v>
      </c>
    </row>
    <row r="528" spans="1:4">
      <c r="A528" t="s">
        <v>9451</v>
      </c>
      <c r="B528" t="s">
        <v>4772</v>
      </c>
      <c r="C528" t="s">
        <v>9452</v>
      </c>
      <c r="D528" t="s">
        <v>9453</v>
      </c>
    </row>
    <row r="529" spans="1:4">
      <c r="A529" t="s">
        <v>9454</v>
      </c>
      <c r="B529" t="s">
        <v>4772</v>
      </c>
      <c r="C529" t="s">
        <v>9455</v>
      </c>
      <c r="D529" t="s">
        <v>9456</v>
      </c>
    </row>
    <row r="530" spans="1:4">
      <c r="A530" t="s">
        <v>9457</v>
      </c>
      <c r="B530" t="s">
        <v>4772</v>
      </c>
      <c r="C530" t="s">
        <v>9458</v>
      </c>
      <c r="D530" t="s">
        <v>9459</v>
      </c>
    </row>
    <row r="531" spans="1:4">
      <c r="A531" t="s">
        <v>9423</v>
      </c>
      <c r="B531" t="s">
        <v>4772</v>
      </c>
      <c r="C531" t="s">
        <v>9460</v>
      </c>
      <c r="D531" t="s">
        <v>9461</v>
      </c>
    </row>
    <row r="532" spans="1:4">
      <c r="A532" t="s">
        <v>9426</v>
      </c>
      <c r="B532" t="s">
        <v>4772</v>
      </c>
      <c r="C532" t="s">
        <v>9462</v>
      </c>
      <c r="D532" t="s">
        <v>9463</v>
      </c>
    </row>
    <row r="533" spans="1:4">
      <c r="A533" t="s">
        <v>9464</v>
      </c>
      <c r="B533" t="s">
        <v>4772</v>
      </c>
      <c r="C533" t="s">
        <v>9465</v>
      </c>
      <c r="D533" t="s">
        <v>9466</v>
      </c>
    </row>
    <row r="534" spans="1:4">
      <c r="A534" t="s">
        <v>9429</v>
      </c>
      <c r="B534" t="s">
        <v>4772</v>
      </c>
      <c r="C534" t="s">
        <v>9467</v>
      </c>
      <c r="D534" t="s">
        <v>9468</v>
      </c>
    </row>
    <row r="535" spans="1:4">
      <c r="A535" t="s">
        <v>9432</v>
      </c>
      <c r="B535" t="s">
        <v>4772</v>
      </c>
      <c r="C535" t="s">
        <v>9469</v>
      </c>
      <c r="D535" t="s">
        <v>9470</v>
      </c>
    </row>
    <row r="536" spans="1:4">
      <c r="A536" t="s">
        <v>9435</v>
      </c>
      <c r="B536" t="s">
        <v>4772</v>
      </c>
      <c r="C536" t="s">
        <v>9471</v>
      </c>
      <c r="D536" t="s">
        <v>9472</v>
      </c>
    </row>
    <row r="537" spans="1:4">
      <c r="A537" t="s">
        <v>9438</v>
      </c>
      <c r="B537" t="s">
        <v>4772</v>
      </c>
      <c r="C537" t="s">
        <v>9473</v>
      </c>
      <c r="D537" t="s">
        <v>9474</v>
      </c>
    </row>
    <row r="538" spans="1:4">
      <c r="A538" t="s">
        <v>9475</v>
      </c>
      <c r="B538" t="s">
        <v>4773</v>
      </c>
      <c r="C538" t="s">
        <v>9476</v>
      </c>
      <c r="D538" t="s">
        <v>9477</v>
      </c>
    </row>
    <row r="539" spans="1:4">
      <c r="A539" t="s">
        <v>9478</v>
      </c>
      <c r="B539" t="s">
        <v>4773</v>
      </c>
      <c r="C539" t="s">
        <v>9479</v>
      </c>
      <c r="D539" t="s">
        <v>9480</v>
      </c>
    </row>
    <row r="540" spans="1:4">
      <c r="A540" t="s">
        <v>9481</v>
      </c>
      <c r="B540" t="s">
        <v>4773</v>
      </c>
      <c r="C540" t="s">
        <v>9482</v>
      </c>
      <c r="D540" t="s">
        <v>9483</v>
      </c>
    </row>
    <row r="541" spans="1:4">
      <c r="A541" t="s">
        <v>9341</v>
      </c>
      <c r="B541" t="s">
        <v>4773</v>
      </c>
      <c r="C541" t="s">
        <v>9484</v>
      </c>
      <c r="D541" t="s">
        <v>9485</v>
      </c>
    </row>
    <row r="542" spans="1:4">
      <c r="A542" t="s">
        <v>9486</v>
      </c>
      <c r="B542" t="s">
        <v>4773</v>
      </c>
      <c r="C542" t="s">
        <v>9487</v>
      </c>
      <c r="D542" t="s">
        <v>9488</v>
      </c>
    </row>
    <row r="543" spans="1:4">
      <c r="A543" t="s">
        <v>9489</v>
      </c>
      <c r="B543" t="s">
        <v>4773</v>
      </c>
      <c r="C543" t="s">
        <v>9490</v>
      </c>
      <c r="D543" t="s">
        <v>9491</v>
      </c>
    </row>
    <row r="544" spans="1:4">
      <c r="A544" t="s">
        <v>9492</v>
      </c>
      <c r="B544" t="s">
        <v>4773</v>
      </c>
      <c r="C544" t="s">
        <v>9493</v>
      </c>
      <c r="D544" t="s">
        <v>9494</v>
      </c>
    </row>
    <row r="545" spans="1:4">
      <c r="A545" t="s">
        <v>9495</v>
      </c>
      <c r="B545" t="s">
        <v>4773</v>
      </c>
      <c r="C545" t="s">
        <v>9496</v>
      </c>
      <c r="D545" t="s">
        <v>9497</v>
      </c>
    </row>
    <row r="546" spans="1:4">
      <c r="A546" t="s">
        <v>9498</v>
      </c>
      <c r="B546" t="s">
        <v>4773</v>
      </c>
      <c r="C546" t="s">
        <v>9499</v>
      </c>
      <c r="D546" t="s">
        <v>9500</v>
      </c>
    </row>
    <row r="547" spans="1:4">
      <c r="A547" t="s">
        <v>9501</v>
      </c>
      <c r="B547" t="s">
        <v>4773</v>
      </c>
      <c r="C547" t="s">
        <v>9502</v>
      </c>
      <c r="D547" t="s">
        <v>9503</v>
      </c>
    </row>
    <row r="548" spans="1:4">
      <c r="A548" t="s">
        <v>9504</v>
      </c>
      <c r="B548" t="s">
        <v>4773</v>
      </c>
      <c r="C548" t="s">
        <v>9505</v>
      </c>
      <c r="D548" t="s">
        <v>9506</v>
      </c>
    </row>
    <row r="549" spans="1:4">
      <c r="A549" t="s">
        <v>9426</v>
      </c>
      <c r="B549" t="s">
        <v>4773</v>
      </c>
      <c r="C549" t="s">
        <v>9507</v>
      </c>
      <c r="D549" t="s">
        <v>9508</v>
      </c>
    </row>
    <row r="550" spans="1:4">
      <c r="A550" t="s">
        <v>9464</v>
      </c>
      <c r="B550" t="s">
        <v>4773</v>
      </c>
      <c r="C550" t="s">
        <v>9509</v>
      </c>
      <c r="D550" t="s">
        <v>9510</v>
      </c>
    </row>
    <row r="551" spans="1:4">
      <c r="A551" t="s">
        <v>9429</v>
      </c>
      <c r="B551" t="s">
        <v>4773</v>
      </c>
      <c r="C551" t="s">
        <v>9511</v>
      </c>
      <c r="D551" t="s">
        <v>9512</v>
      </c>
    </row>
    <row r="552" spans="1:4">
      <c r="A552" t="s">
        <v>9513</v>
      </c>
      <c r="B552" t="s">
        <v>4773</v>
      </c>
      <c r="C552" t="s">
        <v>9514</v>
      </c>
      <c r="D552" t="s">
        <v>9515</v>
      </c>
    </row>
    <row r="553" spans="1:4">
      <c r="A553" t="s">
        <v>9516</v>
      </c>
      <c r="B553" t="s">
        <v>4773</v>
      </c>
      <c r="C553" t="s">
        <v>9517</v>
      </c>
      <c r="D553" t="s">
        <v>9518</v>
      </c>
    </row>
    <row r="554" spans="1:4">
      <c r="A554" t="s">
        <v>9475</v>
      </c>
      <c r="B554" t="s">
        <v>4774</v>
      </c>
      <c r="C554" t="s">
        <v>9519</v>
      </c>
      <c r="D554" t="s">
        <v>9520</v>
      </c>
    </row>
    <row r="555" spans="1:4">
      <c r="A555" t="s">
        <v>9478</v>
      </c>
      <c r="B555" t="s">
        <v>4774</v>
      </c>
      <c r="C555" t="s">
        <v>9521</v>
      </c>
      <c r="D555" t="s">
        <v>9522</v>
      </c>
    </row>
    <row r="556" spans="1:4">
      <c r="A556" t="s">
        <v>9481</v>
      </c>
      <c r="B556" t="s">
        <v>4774</v>
      </c>
      <c r="C556" t="s">
        <v>9523</v>
      </c>
      <c r="D556" t="s">
        <v>9524</v>
      </c>
    </row>
    <row r="557" spans="1:4">
      <c r="A557" t="s">
        <v>9341</v>
      </c>
      <c r="B557" t="s">
        <v>4774</v>
      </c>
      <c r="C557" t="s">
        <v>9525</v>
      </c>
      <c r="D557" t="s">
        <v>9526</v>
      </c>
    </row>
    <row r="558" spans="1:4">
      <c r="A558" t="s">
        <v>9486</v>
      </c>
      <c r="B558" t="s">
        <v>4774</v>
      </c>
      <c r="C558" t="s">
        <v>9527</v>
      </c>
      <c r="D558" t="s">
        <v>9528</v>
      </c>
    </row>
    <row r="559" spans="1:4">
      <c r="A559" t="s">
        <v>9489</v>
      </c>
      <c r="B559" t="s">
        <v>4774</v>
      </c>
      <c r="C559" t="s">
        <v>9529</v>
      </c>
      <c r="D559" t="s">
        <v>9530</v>
      </c>
    </row>
    <row r="560" spans="1:4">
      <c r="A560" t="s">
        <v>9492</v>
      </c>
      <c r="B560" t="s">
        <v>4774</v>
      </c>
      <c r="C560" t="s">
        <v>9531</v>
      </c>
      <c r="D560" t="s">
        <v>9532</v>
      </c>
    </row>
    <row r="561" spans="1:4">
      <c r="A561" t="s">
        <v>9495</v>
      </c>
      <c r="B561" t="s">
        <v>4774</v>
      </c>
      <c r="C561" t="s">
        <v>9533</v>
      </c>
      <c r="D561" t="s">
        <v>9534</v>
      </c>
    </row>
    <row r="562" spans="1:4">
      <c r="A562" t="s">
        <v>9498</v>
      </c>
      <c r="B562" t="s">
        <v>4774</v>
      </c>
      <c r="C562" t="s">
        <v>9535</v>
      </c>
      <c r="D562" t="s">
        <v>9536</v>
      </c>
    </row>
    <row r="563" spans="1:4">
      <c r="A563" t="s">
        <v>9501</v>
      </c>
      <c r="B563" t="s">
        <v>4774</v>
      </c>
      <c r="C563" t="s">
        <v>9537</v>
      </c>
      <c r="D563" t="s">
        <v>9538</v>
      </c>
    </row>
    <row r="564" spans="1:4">
      <c r="A564" t="s">
        <v>9504</v>
      </c>
      <c r="B564" t="s">
        <v>4774</v>
      </c>
      <c r="C564" t="s">
        <v>9539</v>
      </c>
      <c r="D564" t="s">
        <v>9540</v>
      </c>
    </row>
    <row r="565" spans="1:4">
      <c r="A565" t="s">
        <v>9426</v>
      </c>
      <c r="B565" t="s">
        <v>4774</v>
      </c>
      <c r="C565" t="s">
        <v>9541</v>
      </c>
      <c r="D565" t="s">
        <v>9542</v>
      </c>
    </row>
    <row r="566" spans="1:4">
      <c r="A566" t="s">
        <v>9464</v>
      </c>
      <c r="B566" t="s">
        <v>4774</v>
      </c>
      <c r="C566" t="s">
        <v>9543</v>
      </c>
      <c r="D566" t="s">
        <v>9544</v>
      </c>
    </row>
    <row r="567" spans="1:4">
      <c r="A567" t="s">
        <v>9429</v>
      </c>
      <c r="B567" t="s">
        <v>4774</v>
      </c>
      <c r="C567" t="s">
        <v>9545</v>
      </c>
      <c r="D567" t="s">
        <v>9546</v>
      </c>
    </row>
    <row r="568" spans="1:4">
      <c r="A568" t="s">
        <v>9513</v>
      </c>
      <c r="B568" t="s">
        <v>4774</v>
      </c>
      <c r="C568" t="s">
        <v>9547</v>
      </c>
      <c r="D568" t="s">
        <v>9548</v>
      </c>
    </row>
    <row r="569" spans="1:4">
      <c r="A569" t="s">
        <v>9516</v>
      </c>
      <c r="B569" t="s">
        <v>4774</v>
      </c>
      <c r="C569" t="s">
        <v>9549</v>
      </c>
      <c r="D569" t="s">
        <v>9550</v>
      </c>
    </row>
    <row r="570" spans="1:4">
      <c r="A570" t="s">
        <v>9341</v>
      </c>
      <c r="B570" t="s">
        <v>9551</v>
      </c>
      <c r="C570" t="s">
        <v>9552</v>
      </c>
      <c r="D570" t="s">
        <v>9553</v>
      </c>
    </row>
    <row r="571" spans="1:4">
      <c r="A571" t="s">
        <v>9495</v>
      </c>
      <c r="B571" t="s">
        <v>9554</v>
      </c>
      <c r="C571" t="s">
        <v>9555</v>
      </c>
      <c r="D571" t="s">
        <v>9556</v>
      </c>
    </row>
    <row r="572" spans="1:4">
      <c r="A572" t="s">
        <v>9498</v>
      </c>
      <c r="B572" t="s">
        <v>9554</v>
      </c>
      <c r="C572" t="s">
        <v>9557</v>
      </c>
      <c r="D572" t="s">
        <v>9558</v>
      </c>
    </row>
    <row r="573" spans="1:4">
      <c r="A573" t="s">
        <v>9344</v>
      </c>
      <c r="B573" t="s">
        <v>4775</v>
      </c>
      <c r="C573" t="s">
        <v>9559</v>
      </c>
      <c r="D573" t="s">
        <v>9560</v>
      </c>
    </row>
    <row r="574" spans="1:4">
      <c r="A574" t="s">
        <v>9561</v>
      </c>
      <c r="B574" t="s">
        <v>4775</v>
      </c>
      <c r="C574" t="s">
        <v>9562</v>
      </c>
      <c r="D574" t="s">
        <v>9563</v>
      </c>
    </row>
    <row r="575" spans="1:4">
      <c r="A575" t="s">
        <v>9564</v>
      </c>
      <c r="B575" t="s">
        <v>4775</v>
      </c>
      <c r="C575" t="s">
        <v>9565</v>
      </c>
      <c r="D575" t="s">
        <v>9566</v>
      </c>
    </row>
    <row r="576" spans="1:4">
      <c r="A576" t="s">
        <v>9567</v>
      </c>
      <c r="B576" t="s">
        <v>4775</v>
      </c>
      <c r="C576" t="s">
        <v>9568</v>
      </c>
      <c r="D576" t="s">
        <v>9569</v>
      </c>
    </row>
    <row r="577" spans="1:4">
      <c r="A577" t="s">
        <v>9377</v>
      </c>
      <c r="B577" t="s">
        <v>4775</v>
      </c>
      <c r="C577" t="s">
        <v>9570</v>
      </c>
      <c r="D577" t="s">
        <v>9571</v>
      </c>
    </row>
    <row r="578" spans="1:4">
      <c r="A578" t="s">
        <v>9567</v>
      </c>
      <c r="B578" t="s">
        <v>4778</v>
      </c>
      <c r="C578" t="s">
        <v>9572</v>
      </c>
      <c r="D578" t="s">
        <v>9573</v>
      </c>
    </row>
    <row r="579" spans="1:4">
      <c r="A579" t="s">
        <v>9574</v>
      </c>
      <c r="B579" t="s">
        <v>4778</v>
      </c>
      <c r="C579" t="s">
        <v>9575</v>
      </c>
      <c r="D579" t="s">
        <v>9576</v>
      </c>
    </row>
    <row r="580" spans="1:4">
      <c r="A580" t="s">
        <v>9577</v>
      </c>
      <c r="B580" t="s">
        <v>4778</v>
      </c>
      <c r="C580" t="s">
        <v>9578</v>
      </c>
      <c r="D580" t="s">
        <v>9579</v>
      </c>
    </row>
    <row r="581" spans="1:4">
      <c r="A581" t="s">
        <v>9580</v>
      </c>
      <c r="B581" t="s">
        <v>4778</v>
      </c>
      <c r="C581" t="s">
        <v>9581</v>
      </c>
      <c r="D581" t="s">
        <v>9582</v>
      </c>
    </row>
    <row r="582" spans="1:4">
      <c r="A582" t="s">
        <v>9583</v>
      </c>
      <c r="B582" t="s">
        <v>1779</v>
      </c>
      <c r="C582" t="s">
        <v>9584</v>
      </c>
      <c r="D582" t="s">
        <v>9585</v>
      </c>
    </row>
    <row r="583" spans="1:4">
      <c r="A583" t="s">
        <v>9586</v>
      </c>
      <c r="B583" t="s">
        <v>1779</v>
      </c>
      <c r="C583" t="s">
        <v>9587</v>
      </c>
      <c r="D583" t="s">
        <v>9588</v>
      </c>
    </row>
    <row r="584" spans="1:4">
      <c r="A584" t="s">
        <v>9589</v>
      </c>
      <c r="B584" t="s">
        <v>1779</v>
      </c>
      <c r="C584" t="s">
        <v>9590</v>
      </c>
      <c r="D584" t="s">
        <v>9591</v>
      </c>
    </row>
    <row r="585" spans="1:4">
      <c r="A585" t="s">
        <v>9592</v>
      </c>
      <c r="B585" t="s">
        <v>1779</v>
      </c>
      <c r="C585" t="s">
        <v>9593</v>
      </c>
      <c r="D585" t="s">
        <v>9594</v>
      </c>
    </row>
    <row r="586" spans="1:4">
      <c r="A586" t="s">
        <v>9595</v>
      </c>
      <c r="B586" t="s">
        <v>1779</v>
      </c>
      <c r="C586" t="s">
        <v>9596</v>
      </c>
      <c r="D586" t="s">
        <v>9597</v>
      </c>
    </row>
    <row r="587" spans="1:4">
      <c r="A587" t="s">
        <v>9583</v>
      </c>
      <c r="B587" t="s">
        <v>1780</v>
      </c>
      <c r="C587" t="s">
        <v>9598</v>
      </c>
      <c r="D587" t="s">
        <v>9599</v>
      </c>
    </row>
    <row r="588" spans="1:4">
      <c r="A588" t="s">
        <v>9600</v>
      </c>
      <c r="B588" t="s">
        <v>1780</v>
      </c>
      <c r="C588" t="s">
        <v>9601</v>
      </c>
      <c r="D588" t="s">
        <v>9602</v>
      </c>
    </row>
    <row r="589" spans="1:4">
      <c r="A589" t="s">
        <v>9586</v>
      </c>
      <c r="B589" t="s">
        <v>1780</v>
      </c>
      <c r="C589" t="s">
        <v>9603</v>
      </c>
      <c r="D589" t="s">
        <v>9604</v>
      </c>
    </row>
    <row r="590" spans="1:4">
      <c r="A590" t="s">
        <v>9589</v>
      </c>
      <c r="B590" t="s">
        <v>1780</v>
      </c>
      <c r="C590" t="s">
        <v>9605</v>
      </c>
      <c r="D590" t="s">
        <v>9606</v>
      </c>
    </row>
    <row r="591" spans="1:4">
      <c r="A591" t="s">
        <v>9592</v>
      </c>
      <c r="B591" t="s">
        <v>1780</v>
      </c>
      <c r="C591" t="s">
        <v>9607</v>
      </c>
      <c r="D591" t="s">
        <v>9608</v>
      </c>
    </row>
    <row r="592" spans="1:4">
      <c r="A592" t="s">
        <v>9595</v>
      </c>
      <c r="B592" t="s">
        <v>1780</v>
      </c>
      <c r="C592" t="s">
        <v>9609</v>
      </c>
      <c r="D592" t="s">
        <v>9610</v>
      </c>
    </row>
    <row r="593" spans="1:4">
      <c r="A593" t="s">
        <v>9611</v>
      </c>
      <c r="B593" t="s">
        <v>4781</v>
      </c>
      <c r="C593" t="s">
        <v>9612</v>
      </c>
      <c r="D593" t="s">
        <v>9613</v>
      </c>
    </row>
    <row r="594" spans="1:4">
      <c r="A594" t="s">
        <v>8953</v>
      </c>
      <c r="B594" t="s">
        <v>4781</v>
      </c>
      <c r="C594" t="s">
        <v>9614</v>
      </c>
      <c r="D594" t="s">
        <v>9615</v>
      </c>
    </row>
    <row r="595" spans="1:4">
      <c r="A595" t="s">
        <v>8956</v>
      </c>
      <c r="B595" t="s">
        <v>4781</v>
      </c>
      <c r="C595" t="s">
        <v>9616</v>
      </c>
      <c r="D595" t="s">
        <v>9617</v>
      </c>
    </row>
    <row r="596" spans="1:4">
      <c r="A596" t="s">
        <v>8974</v>
      </c>
      <c r="B596" t="s">
        <v>4781</v>
      </c>
      <c r="C596" t="s">
        <v>9618</v>
      </c>
      <c r="D596" t="s">
        <v>9619</v>
      </c>
    </row>
    <row r="597" spans="1:4">
      <c r="A597" t="s">
        <v>8754</v>
      </c>
      <c r="B597" t="s">
        <v>4781</v>
      </c>
      <c r="C597" t="s">
        <v>9620</v>
      </c>
      <c r="D597" t="s">
        <v>9621</v>
      </c>
    </row>
    <row r="598" spans="1:4">
      <c r="A598" t="s">
        <v>9622</v>
      </c>
      <c r="B598" t="s">
        <v>1781</v>
      </c>
      <c r="C598" t="s">
        <v>9623</v>
      </c>
      <c r="D598" t="s">
        <v>9624</v>
      </c>
    </row>
    <row r="599" spans="1:4">
      <c r="A599" t="s">
        <v>9583</v>
      </c>
      <c r="B599" t="s">
        <v>1781</v>
      </c>
      <c r="C599" t="s">
        <v>9625</v>
      </c>
      <c r="D599" t="s">
        <v>9626</v>
      </c>
    </row>
    <row r="600" spans="1:4">
      <c r="A600" t="s">
        <v>9627</v>
      </c>
      <c r="B600" t="s">
        <v>1781</v>
      </c>
      <c r="C600" t="s">
        <v>9628</v>
      </c>
      <c r="D600" t="s">
        <v>9629</v>
      </c>
    </row>
    <row r="601" spans="1:4">
      <c r="A601" t="s">
        <v>9600</v>
      </c>
      <c r="B601" t="s">
        <v>1781</v>
      </c>
      <c r="C601" t="s">
        <v>9630</v>
      </c>
      <c r="D601" t="s">
        <v>9631</v>
      </c>
    </row>
    <row r="602" spans="1:4">
      <c r="A602" t="s">
        <v>9586</v>
      </c>
      <c r="B602" t="s">
        <v>1781</v>
      </c>
      <c r="C602" t="s">
        <v>9632</v>
      </c>
      <c r="D602" t="s">
        <v>9633</v>
      </c>
    </row>
    <row r="603" spans="1:4">
      <c r="A603" t="s">
        <v>9592</v>
      </c>
      <c r="B603" t="s">
        <v>1781</v>
      </c>
      <c r="C603" t="s">
        <v>9634</v>
      </c>
      <c r="D603" t="s">
        <v>9635</v>
      </c>
    </row>
    <row r="604" spans="1:4">
      <c r="A604" t="s">
        <v>9595</v>
      </c>
      <c r="B604" t="s">
        <v>1781</v>
      </c>
      <c r="C604" t="s">
        <v>9636</v>
      </c>
      <c r="D604" t="s">
        <v>9637</v>
      </c>
    </row>
    <row r="605" spans="1:4">
      <c r="A605" t="s">
        <v>8953</v>
      </c>
      <c r="B605" t="s">
        <v>4786</v>
      </c>
      <c r="C605" t="s">
        <v>9638</v>
      </c>
      <c r="D605" t="s">
        <v>9639</v>
      </c>
    </row>
    <row r="606" spans="1:4">
      <c r="A606" t="s">
        <v>8956</v>
      </c>
      <c r="B606" t="s">
        <v>4786</v>
      </c>
      <c r="C606" t="s">
        <v>9640</v>
      </c>
      <c r="D606" t="s">
        <v>9641</v>
      </c>
    </row>
    <row r="607" spans="1:4">
      <c r="A607" t="s">
        <v>8754</v>
      </c>
      <c r="B607" t="s">
        <v>4786</v>
      </c>
      <c r="C607" t="s">
        <v>9642</v>
      </c>
      <c r="D607" t="s">
        <v>9643</v>
      </c>
    </row>
    <row r="608" spans="1:4">
      <c r="A608" t="s">
        <v>9644</v>
      </c>
      <c r="B608" t="s">
        <v>4788</v>
      </c>
      <c r="C608" t="s">
        <v>9645</v>
      </c>
      <c r="D608" t="s">
        <v>9646</v>
      </c>
    </row>
    <row r="609" spans="1:4">
      <c r="A609" t="s">
        <v>9647</v>
      </c>
      <c r="B609" t="s">
        <v>4788</v>
      </c>
      <c r="C609" t="s">
        <v>9648</v>
      </c>
      <c r="D609" t="s">
        <v>9649</v>
      </c>
    </row>
    <row r="610" spans="1:4">
      <c r="A610" t="s">
        <v>9650</v>
      </c>
      <c r="B610" t="s">
        <v>4788</v>
      </c>
      <c r="C610" t="s">
        <v>9651</v>
      </c>
      <c r="D610" t="s">
        <v>9652</v>
      </c>
    </row>
    <row r="611" spans="1:4">
      <c r="A611" t="s">
        <v>9653</v>
      </c>
      <c r="B611" t="s">
        <v>4788</v>
      </c>
      <c r="C611" t="s">
        <v>9654</v>
      </c>
      <c r="D611" t="s">
        <v>9655</v>
      </c>
    </row>
    <row r="612" spans="1:4">
      <c r="A612" t="s">
        <v>8754</v>
      </c>
      <c r="B612" t="s">
        <v>4797</v>
      </c>
      <c r="C612" t="s">
        <v>9656</v>
      </c>
      <c r="D612" t="s">
        <v>9657</v>
      </c>
    </row>
    <row r="613" spans="1:4">
      <c r="A613" t="s">
        <v>9658</v>
      </c>
      <c r="B613" t="s">
        <v>9659</v>
      </c>
      <c r="C613" t="s">
        <v>9660</v>
      </c>
      <c r="D613" t="s">
        <v>9661</v>
      </c>
    </row>
    <row r="614" spans="1:4">
      <c r="A614" t="s">
        <v>9662</v>
      </c>
      <c r="B614" t="s">
        <v>9659</v>
      </c>
      <c r="C614" t="s">
        <v>9663</v>
      </c>
      <c r="D614" t="s">
        <v>9664</v>
      </c>
    </row>
    <row r="615" spans="1:4">
      <c r="A615" t="s">
        <v>9665</v>
      </c>
      <c r="B615" t="s">
        <v>9666</v>
      </c>
      <c r="C615" t="s">
        <v>9667</v>
      </c>
      <c r="D615" t="s">
        <v>9668</v>
      </c>
    </row>
    <row r="616" spans="1:4">
      <c r="A616" t="s">
        <v>8967</v>
      </c>
      <c r="B616" t="s">
        <v>9666</v>
      </c>
      <c r="C616" t="s">
        <v>9669</v>
      </c>
      <c r="D616" t="s">
        <v>9670</v>
      </c>
    </row>
    <row r="617" spans="1:4">
      <c r="A617" t="s">
        <v>8953</v>
      </c>
      <c r="B617" t="s">
        <v>9666</v>
      </c>
      <c r="C617" t="s">
        <v>9671</v>
      </c>
      <c r="D617" t="s">
        <v>9672</v>
      </c>
    </row>
    <row r="618" spans="1:4">
      <c r="A618" t="s">
        <v>8521</v>
      </c>
      <c r="B618" t="s">
        <v>9666</v>
      </c>
      <c r="C618" t="s">
        <v>9673</v>
      </c>
      <c r="D618" t="s">
        <v>9674</v>
      </c>
    </row>
    <row r="619" spans="1:4">
      <c r="A619" t="s">
        <v>8974</v>
      </c>
      <c r="B619" t="s">
        <v>9666</v>
      </c>
      <c r="C619" t="s">
        <v>9675</v>
      </c>
      <c r="D619" t="s">
        <v>9676</v>
      </c>
    </row>
    <row r="620" spans="1:4">
      <c r="A620" t="s">
        <v>9677</v>
      </c>
      <c r="B620" t="s">
        <v>9678</v>
      </c>
      <c r="C620" t="s">
        <v>9679</v>
      </c>
      <c r="D620" t="s">
        <v>9680</v>
      </c>
    </row>
    <row r="621" spans="1:4">
      <c r="A621" t="s">
        <v>9681</v>
      </c>
      <c r="B621" t="s">
        <v>9678</v>
      </c>
      <c r="C621" t="s">
        <v>9682</v>
      </c>
      <c r="D621" t="s">
        <v>9683</v>
      </c>
    </row>
    <row r="622" spans="1:4">
      <c r="A622" t="s">
        <v>8974</v>
      </c>
      <c r="B622" t="s">
        <v>1745</v>
      </c>
      <c r="C622" t="s">
        <v>9684</v>
      </c>
      <c r="D622" t="s">
        <v>9685</v>
      </c>
    </row>
    <row r="623" spans="1:4">
      <c r="A623" t="s">
        <v>8754</v>
      </c>
      <c r="B623" t="s">
        <v>1745</v>
      </c>
      <c r="C623" t="s">
        <v>9686</v>
      </c>
      <c r="D623" t="s">
        <v>9687</v>
      </c>
    </row>
    <row r="624" spans="1:4">
      <c r="A624" t="s">
        <v>9077</v>
      </c>
      <c r="B624" t="s">
        <v>1745</v>
      </c>
      <c r="C624" t="s">
        <v>9688</v>
      </c>
      <c r="D624" t="s">
        <v>9689</v>
      </c>
    </row>
    <row r="625" spans="1:4">
      <c r="A625" t="s">
        <v>8961</v>
      </c>
      <c r="B625" t="s">
        <v>1745</v>
      </c>
      <c r="C625" t="s">
        <v>9690</v>
      </c>
      <c r="D625" t="s">
        <v>9691</v>
      </c>
    </row>
    <row r="626" spans="1:4">
      <c r="A626" t="s">
        <v>8964</v>
      </c>
      <c r="B626" t="s">
        <v>1745</v>
      </c>
      <c r="C626" t="s">
        <v>9692</v>
      </c>
      <c r="D626" t="s">
        <v>9693</v>
      </c>
    </row>
    <row r="627" spans="1:4">
      <c r="A627" t="s">
        <v>9694</v>
      </c>
      <c r="B627" t="s">
        <v>1745</v>
      </c>
      <c r="C627" t="s">
        <v>9695</v>
      </c>
      <c r="D627" t="s">
        <v>9696</v>
      </c>
    </row>
    <row r="628" spans="1:4">
      <c r="A628" t="s">
        <v>9697</v>
      </c>
      <c r="B628" t="s">
        <v>1745</v>
      </c>
      <c r="C628" t="s">
        <v>9698</v>
      </c>
      <c r="D628" t="s">
        <v>9699</v>
      </c>
    </row>
    <row r="629" spans="1:4">
      <c r="A629" t="s">
        <v>9700</v>
      </c>
      <c r="B629" t="s">
        <v>1745</v>
      </c>
      <c r="C629" t="s">
        <v>9701</v>
      </c>
      <c r="D629" t="s">
        <v>9702</v>
      </c>
    </row>
    <row r="630" spans="1:4">
      <c r="A630" t="s">
        <v>9703</v>
      </c>
      <c r="B630" t="s">
        <v>1745</v>
      </c>
      <c r="C630" t="s">
        <v>9704</v>
      </c>
      <c r="D630" t="s">
        <v>9705</v>
      </c>
    </row>
    <row r="631" spans="1:4">
      <c r="A631" t="s">
        <v>9706</v>
      </c>
      <c r="B631" t="s">
        <v>1745</v>
      </c>
      <c r="C631" t="s">
        <v>9707</v>
      </c>
      <c r="D631" t="s">
        <v>9708</v>
      </c>
    </row>
    <row r="632" spans="1:4">
      <c r="A632" t="s">
        <v>9709</v>
      </c>
      <c r="B632" t="s">
        <v>1745</v>
      </c>
      <c r="C632" t="s">
        <v>9710</v>
      </c>
      <c r="D632" t="s">
        <v>9711</v>
      </c>
    </row>
    <row r="633" spans="1:4">
      <c r="A633" t="s">
        <v>9712</v>
      </c>
      <c r="B633" t="s">
        <v>5252</v>
      </c>
      <c r="C633" t="s">
        <v>9713</v>
      </c>
      <c r="D633" t="s">
        <v>9714</v>
      </c>
    </row>
    <row r="634" spans="1:4">
      <c r="A634" t="s">
        <v>9715</v>
      </c>
      <c r="B634" t="s">
        <v>5252</v>
      </c>
      <c r="C634" t="s">
        <v>9716</v>
      </c>
      <c r="D634" t="s">
        <v>9717</v>
      </c>
    </row>
    <row r="635" spans="1:4">
      <c r="A635" t="s">
        <v>9694</v>
      </c>
      <c r="B635" t="s">
        <v>5252</v>
      </c>
      <c r="C635" t="s">
        <v>9718</v>
      </c>
      <c r="D635" t="s">
        <v>9719</v>
      </c>
    </row>
    <row r="636" spans="1:4">
      <c r="A636" t="s">
        <v>9720</v>
      </c>
      <c r="B636" t="s">
        <v>5252</v>
      </c>
      <c r="C636" t="s">
        <v>9721</v>
      </c>
      <c r="D636" t="s">
        <v>9722</v>
      </c>
    </row>
    <row r="637" spans="1:4">
      <c r="A637" t="s">
        <v>9703</v>
      </c>
      <c r="B637" t="s">
        <v>5252</v>
      </c>
      <c r="C637" t="s">
        <v>9723</v>
      </c>
      <c r="D637" t="s">
        <v>9724</v>
      </c>
    </row>
    <row r="638" spans="1:4">
      <c r="A638" t="s">
        <v>9725</v>
      </c>
      <c r="B638" t="s">
        <v>9726</v>
      </c>
      <c r="C638" t="s">
        <v>9727</v>
      </c>
      <c r="D638" t="s">
        <v>9728</v>
      </c>
    </row>
    <row r="639" spans="1:4">
      <c r="A639" t="s">
        <v>9653</v>
      </c>
      <c r="B639" t="s">
        <v>9726</v>
      </c>
      <c r="C639" t="s">
        <v>9729</v>
      </c>
      <c r="D639" t="s">
        <v>9730</v>
      </c>
    </row>
    <row r="640" spans="1:4">
      <c r="A640" t="s">
        <v>9731</v>
      </c>
      <c r="B640" t="s">
        <v>9726</v>
      </c>
      <c r="C640" t="s">
        <v>9732</v>
      </c>
      <c r="D640" t="s">
        <v>9733</v>
      </c>
    </row>
    <row r="641" spans="1:4">
      <c r="A641" t="s">
        <v>9734</v>
      </c>
      <c r="B641" t="s">
        <v>9726</v>
      </c>
      <c r="C641" t="s">
        <v>9735</v>
      </c>
      <c r="D641" t="s">
        <v>9736</v>
      </c>
    </row>
    <row r="642" spans="1:4">
      <c r="A642" t="s">
        <v>9677</v>
      </c>
      <c r="B642" t="s">
        <v>9726</v>
      </c>
      <c r="C642" t="s">
        <v>9737</v>
      </c>
      <c r="D642" t="s">
        <v>9738</v>
      </c>
    </row>
    <row r="643" spans="1:4">
      <c r="A643" t="s">
        <v>9739</v>
      </c>
      <c r="B643" t="s">
        <v>9726</v>
      </c>
      <c r="C643" t="s">
        <v>9740</v>
      </c>
      <c r="D643" t="s">
        <v>9741</v>
      </c>
    </row>
    <row r="644" spans="1:4">
      <c r="A644" t="s">
        <v>9742</v>
      </c>
      <c r="B644" t="s">
        <v>9726</v>
      </c>
      <c r="C644" t="s">
        <v>9743</v>
      </c>
      <c r="D644" t="s">
        <v>9744</v>
      </c>
    </row>
    <row r="645" spans="1:4">
      <c r="A645" t="s">
        <v>9745</v>
      </c>
      <c r="B645" t="s">
        <v>9726</v>
      </c>
      <c r="C645" t="s">
        <v>9746</v>
      </c>
      <c r="D645" t="s">
        <v>9747</v>
      </c>
    </row>
    <row r="646" spans="1:4">
      <c r="A646" t="s">
        <v>9681</v>
      </c>
      <c r="B646" t="s">
        <v>9726</v>
      </c>
      <c r="C646" t="s">
        <v>9748</v>
      </c>
      <c r="D646" t="s">
        <v>9749</v>
      </c>
    </row>
    <row r="647" spans="1:4">
      <c r="A647" t="s">
        <v>9750</v>
      </c>
      <c r="B647" t="s">
        <v>9726</v>
      </c>
      <c r="C647" t="s">
        <v>9751</v>
      </c>
      <c r="D647" t="s">
        <v>9752</v>
      </c>
    </row>
    <row r="648" spans="1:4">
      <c r="A648" t="s">
        <v>9753</v>
      </c>
      <c r="B648" t="s">
        <v>9726</v>
      </c>
      <c r="C648" t="s">
        <v>9754</v>
      </c>
      <c r="D648" t="s">
        <v>9755</v>
      </c>
    </row>
    <row r="649" spans="1:4">
      <c r="A649" t="s">
        <v>8754</v>
      </c>
      <c r="B649" t="s">
        <v>1746</v>
      </c>
      <c r="C649" t="s">
        <v>9756</v>
      </c>
      <c r="D649" t="s">
        <v>9757</v>
      </c>
    </row>
    <row r="650" spans="1:4">
      <c r="A650" t="s">
        <v>9077</v>
      </c>
      <c r="B650" t="s">
        <v>1746</v>
      </c>
      <c r="C650" t="s">
        <v>9758</v>
      </c>
      <c r="D650" t="s">
        <v>9759</v>
      </c>
    </row>
    <row r="651" spans="1:4">
      <c r="A651" t="s">
        <v>8961</v>
      </c>
      <c r="B651" t="s">
        <v>1746</v>
      </c>
      <c r="C651" t="s">
        <v>9760</v>
      </c>
      <c r="D651" t="s">
        <v>9761</v>
      </c>
    </row>
    <row r="652" spans="1:4">
      <c r="A652" t="s">
        <v>8964</v>
      </c>
      <c r="B652" t="s">
        <v>1746</v>
      </c>
      <c r="C652" t="s">
        <v>9762</v>
      </c>
      <c r="D652" t="s">
        <v>9763</v>
      </c>
    </row>
    <row r="653" spans="1:4">
      <c r="A653" t="s">
        <v>9694</v>
      </c>
      <c r="B653" t="s">
        <v>1746</v>
      </c>
      <c r="C653" t="s">
        <v>9764</v>
      </c>
      <c r="D653" t="s">
        <v>9765</v>
      </c>
    </row>
    <row r="654" spans="1:4">
      <c r="A654" t="s">
        <v>9697</v>
      </c>
      <c r="B654" t="s">
        <v>1746</v>
      </c>
      <c r="C654" t="s">
        <v>9766</v>
      </c>
      <c r="D654" t="s">
        <v>9767</v>
      </c>
    </row>
    <row r="655" spans="1:4">
      <c r="A655" t="s">
        <v>9700</v>
      </c>
      <c r="B655" t="s">
        <v>1746</v>
      </c>
      <c r="C655" t="s">
        <v>9768</v>
      </c>
      <c r="D655" t="s">
        <v>9769</v>
      </c>
    </row>
    <row r="656" spans="1:4">
      <c r="A656" t="s">
        <v>9703</v>
      </c>
      <c r="B656" t="s">
        <v>1746</v>
      </c>
      <c r="C656" t="s">
        <v>9770</v>
      </c>
      <c r="D656" t="s">
        <v>9771</v>
      </c>
    </row>
    <row r="657" spans="1:4">
      <c r="A657" t="s">
        <v>9706</v>
      </c>
      <c r="B657" t="s">
        <v>1746</v>
      </c>
      <c r="C657" t="s">
        <v>9772</v>
      </c>
      <c r="D657" t="s">
        <v>9773</v>
      </c>
    </row>
    <row r="658" spans="1:4">
      <c r="A658" t="s">
        <v>9774</v>
      </c>
      <c r="B658" t="s">
        <v>1746</v>
      </c>
      <c r="C658" t="s">
        <v>9775</v>
      </c>
      <c r="D658" t="s">
        <v>9776</v>
      </c>
    </row>
    <row r="659" spans="1:4">
      <c r="A659" t="s">
        <v>9709</v>
      </c>
      <c r="B659" t="s">
        <v>1746</v>
      </c>
      <c r="C659" t="s">
        <v>9777</v>
      </c>
      <c r="D659" t="s">
        <v>9778</v>
      </c>
    </row>
    <row r="660" spans="1:4">
      <c r="A660" t="s">
        <v>9653</v>
      </c>
      <c r="B660" t="s">
        <v>9779</v>
      </c>
      <c r="C660" t="s">
        <v>9780</v>
      </c>
      <c r="D660" t="s">
        <v>9781</v>
      </c>
    </row>
    <row r="661" spans="1:4">
      <c r="A661" t="s">
        <v>9731</v>
      </c>
      <c r="B661" t="s">
        <v>9779</v>
      </c>
      <c r="C661" t="s">
        <v>9782</v>
      </c>
      <c r="D661" t="s">
        <v>9783</v>
      </c>
    </row>
    <row r="662" spans="1:4">
      <c r="A662" t="s">
        <v>9734</v>
      </c>
      <c r="B662" t="s">
        <v>9779</v>
      </c>
      <c r="C662" t="s">
        <v>9784</v>
      </c>
      <c r="D662" t="s">
        <v>9785</v>
      </c>
    </row>
    <row r="663" spans="1:4">
      <c r="A663" t="s">
        <v>9677</v>
      </c>
      <c r="B663" t="s">
        <v>9779</v>
      </c>
      <c r="C663" t="s">
        <v>9786</v>
      </c>
      <c r="D663" t="s">
        <v>9787</v>
      </c>
    </row>
    <row r="664" spans="1:4">
      <c r="A664" t="s">
        <v>9739</v>
      </c>
      <c r="B664" t="s">
        <v>9779</v>
      </c>
      <c r="C664" t="s">
        <v>9788</v>
      </c>
      <c r="D664" t="s">
        <v>9789</v>
      </c>
    </row>
    <row r="665" spans="1:4">
      <c r="A665" t="s">
        <v>9742</v>
      </c>
      <c r="B665" t="s">
        <v>9779</v>
      </c>
      <c r="C665" t="s">
        <v>9790</v>
      </c>
      <c r="D665" t="s">
        <v>9791</v>
      </c>
    </row>
    <row r="666" spans="1:4">
      <c r="A666" t="s">
        <v>9745</v>
      </c>
      <c r="B666" t="s">
        <v>9779</v>
      </c>
      <c r="C666" t="s">
        <v>9792</v>
      </c>
      <c r="D666" t="s">
        <v>9793</v>
      </c>
    </row>
    <row r="667" spans="1:4">
      <c r="A667" t="s">
        <v>9681</v>
      </c>
      <c r="B667" t="s">
        <v>9779</v>
      </c>
      <c r="C667" t="s">
        <v>9794</v>
      </c>
      <c r="D667" t="s">
        <v>9683</v>
      </c>
    </row>
    <row r="668" spans="1:4">
      <c r="A668" t="s">
        <v>9750</v>
      </c>
      <c r="B668" t="s">
        <v>9779</v>
      </c>
      <c r="C668" t="s">
        <v>9795</v>
      </c>
      <c r="D668" t="s">
        <v>9796</v>
      </c>
    </row>
    <row r="669" spans="1:4">
      <c r="A669" t="s">
        <v>9797</v>
      </c>
      <c r="B669" t="s">
        <v>9779</v>
      </c>
      <c r="C669" t="s">
        <v>9798</v>
      </c>
      <c r="D669" t="s">
        <v>9799</v>
      </c>
    </row>
    <row r="670" spans="1:4">
      <c r="A670" t="s">
        <v>9753</v>
      </c>
      <c r="B670" t="s">
        <v>9779</v>
      </c>
      <c r="C670" t="s">
        <v>9800</v>
      </c>
      <c r="D670" t="s">
        <v>9801</v>
      </c>
    </row>
    <row r="671" spans="1:4">
      <c r="A671" t="s">
        <v>9802</v>
      </c>
      <c r="B671" t="s">
        <v>9803</v>
      </c>
      <c r="C671" t="s">
        <v>9804</v>
      </c>
      <c r="D671" t="s">
        <v>9805</v>
      </c>
    </row>
    <row r="672" spans="1:4">
      <c r="A672" t="s">
        <v>8508</v>
      </c>
      <c r="B672" t="s">
        <v>9803</v>
      </c>
      <c r="C672" t="s">
        <v>9806</v>
      </c>
      <c r="D672" t="s">
        <v>9807</v>
      </c>
    </row>
    <row r="673" spans="1:4">
      <c r="A673" t="s">
        <v>8511</v>
      </c>
      <c r="B673" t="s">
        <v>9803</v>
      </c>
      <c r="C673" t="s">
        <v>9808</v>
      </c>
      <c r="D673" t="s">
        <v>9809</v>
      </c>
    </row>
    <row r="674" spans="1:4">
      <c r="A674" t="s">
        <v>9810</v>
      </c>
      <c r="B674" t="s">
        <v>9803</v>
      </c>
      <c r="C674" t="s">
        <v>9811</v>
      </c>
      <c r="D674" t="s">
        <v>9812</v>
      </c>
    </row>
    <row r="675" spans="1:4">
      <c r="A675" t="s">
        <v>9813</v>
      </c>
      <c r="B675" t="s">
        <v>9803</v>
      </c>
      <c r="C675" t="s">
        <v>9814</v>
      </c>
      <c r="D675" t="s">
        <v>9815</v>
      </c>
    </row>
    <row r="676" spans="1:4">
      <c r="A676" t="s">
        <v>9065</v>
      </c>
      <c r="B676" t="s">
        <v>9816</v>
      </c>
      <c r="C676" t="s">
        <v>9817</v>
      </c>
      <c r="D676" t="s">
        <v>9818</v>
      </c>
    </row>
    <row r="677" spans="1:4">
      <c r="A677" t="s">
        <v>9819</v>
      </c>
      <c r="B677" t="s">
        <v>9816</v>
      </c>
      <c r="C677" t="s">
        <v>9820</v>
      </c>
      <c r="D677" t="s">
        <v>9821</v>
      </c>
    </row>
    <row r="678" spans="1:4">
      <c r="A678" t="s">
        <v>9074</v>
      </c>
      <c r="B678" t="s">
        <v>9816</v>
      </c>
      <c r="C678" t="s">
        <v>9822</v>
      </c>
      <c r="D678" t="s">
        <v>9823</v>
      </c>
    </row>
    <row r="679" spans="1:4">
      <c r="A679" t="s">
        <v>9824</v>
      </c>
      <c r="B679" t="s">
        <v>9816</v>
      </c>
      <c r="C679" t="s">
        <v>9825</v>
      </c>
      <c r="D679" t="s">
        <v>9826</v>
      </c>
    </row>
    <row r="680" spans="1:4">
      <c r="A680" t="s">
        <v>9827</v>
      </c>
      <c r="B680" t="s">
        <v>5258</v>
      </c>
      <c r="C680" t="s">
        <v>9828</v>
      </c>
      <c r="D680" t="s">
        <v>9829</v>
      </c>
    </row>
    <row r="681" spans="1:4">
      <c r="A681" t="s">
        <v>9830</v>
      </c>
      <c r="B681" t="s">
        <v>5258</v>
      </c>
      <c r="C681" t="s">
        <v>9831</v>
      </c>
      <c r="D681" t="s">
        <v>9832</v>
      </c>
    </row>
    <row r="682" spans="1:4">
      <c r="A682" t="s">
        <v>9725</v>
      </c>
      <c r="B682" t="s">
        <v>5258</v>
      </c>
      <c r="C682" t="s">
        <v>9833</v>
      </c>
      <c r="D682" t="s">
        <v>9834</v>
      </c>
    </row>
    <row r="683" spans="1:4">
      <c r="A683" t="s">
        <v>9653</v>
      </c>
      <c r="B683" t="s">
        <v>5258</v>
      </c>
      <c r="C683" t="s">
        <v>9835</v>
      </c>
      <c r="D683" t="s">
        <v>9836</v>
      </c>
    </row>
    <row r="684" spans="1:4">
      <c r="A684" t="s">
        <v>9734</v>
      </c>
      <c r="B684" t="s">
        <v>5258</v>
      </c>
      <c r="C684" t="s">
        <v>9837</v>
      </c>
      <c r="D684" t="s">
        <v>9838</v>
      </c>
    </row>
    <row r="685" spans="1:4">
      <c r="A685" t="s">
        <v>9677</v>
      </c>
      <c r="B685" t="s">
        <v>5258</v>
      </c>
      <c r="C685" t="s">
        <v>9839</v>
      </c>
      <c r="D685" t="s">
        <v>9840</v>
      </c>
    </row>
    <row r="686" spans="1:4">
      <c r="A686" t="s">
        <v>9841</v>
      </c>
      <c r="B686" t="s">
        <v>5260</v>
      </c>
      <c r="C686" t="s">
        <v>9842</v>
      </c>
      <c r="D686" t="s">
        <v>9843</v>
      </c>
    </row>
    <row r="687" spans="1:4">
      <c r="A687" t="s">
        <v>8518</v>
      </c>
      <c r="B687" t="s">
        <v>5260</v>
      </c>
      <c r="C687" t="s">
        <v>9844</v>
      </c>
      <c r="D687" t="s">
        <v>8520</v>
      </c>
    </row>
    <row r="688" spans="1:4">
      <c r="A688" t="s">
        <v>8521</v>
      </c>
      <c r="B688" t="s">
        <v>5260</v>
      </c>
      <c r="C688" t="s">
        <v>9845</v>
      </c>
      <c r="D688" t="s">
        <v>8523</v>
      </c>
    </row>
    <row r="689" spans="1:4">
      <c r="A689" t="s">
        <v>8974</v>
      </c>
      <c r="B689" t="s">
        <v>5260</v>
      </c>
      <c r="C689" t="s">
        <v>9846</v>
      </c>
      <c r="D689" t="s">
        <v>9847</v>
      </c>
    </row>
    <row r="690" spans="1:4">
      <c r="A690" t="s">
        <v>9848</v>
      </c>
      <c r="B690" t="s">
        <v>5261</v>
      </c>
      <c r="C690" t="s">
        <v>9849</v>
      </c>
      <c r="D690" t="s">
        <v>9850</v>
      </c>
    </row>
    <row r="691" spans="1:4">
      <c r="A691" t="s">
        <v>8514</v>
      </c>
      <c r="B691" t="s">
        <v>5261</v>
      </c>
      <c r="C691" t="s">
        <v>9851</v>
      </c>
      <c r="D691" t="s">
        <v>9852</v>
      </c>
    </row>
    <row r="692" spans="1:4">
      <c r="A692" t="s">
        <v>8518</v>
      </c>
      <c r="B692" t="s">
        <v>5261</v>
      </c>
      <c r="C692" t="s">
        <v>9853</v>
      </c>
      <c r="D692" t="s">
        <v>9854</v>
      </c>
    </row>
    <row r="693" spans="1:4">
      <c r="A693" t="s">
        <v>9855</v>
      </c>
      <c r="B693" t="s">
        <v>5261</v>
      </c>
      <c r="C693" t="s">
        <v>9856</v>
      </c>
      <c r="D693" t="s">
        <v>9857</v>
      </c>
    </row>
    <row r="694" spans="1:4">
      <c r="A694" t="s">
        <v>8974</v>
      </c>
      <c r="B694" t="s">
        <v>5261</v>
      </c>
      <c r="C694" t="s">
        <v>9858</v>
      </c>
      <c r="D694" t="s">
        <v>9859</v>
      </c>
    </row>
    <row r="695" spans="1:4">
      <c r="A695" t="s">
        <v>8754</v>
      </c>
      <c r="B695" t="s">
        <v>5261</v>
      </c>
      <c r="C695" t="s">
        <v>9860</v>
      </c>
      <c r="D695" t="s">
        <v>9861</v>
      </c>
    </row>
    <row r="696" spans="1:4">
      <c r="A696" t="s">
        <v>9827</v>
      </c>
      <c r="B696" t="s">
        <v>5265</v>
      </c>
      <c r="C696" t="s">
        <v>9862</v>
      </c>
      <c r="D696" t="s">
        <v>9863</v>
      </c>
    </row>
    <row r="697" spans="1:4">
      <c r="A697" t="s">
        <v>9725</v>
      </c>
      <c r="B697" t="s">
        <v>5265</v>
      </c>
      <c r="C697" t="s">
        <v>9864</v>
      </c>
      <c r="D697" t="s">
        <v>9865</v>
      </c>
    </row>
    <row r="698" spans="1:4">
      <c r="A698" t="s">
        <v>9653</v>
      </c>
      <c r="B698" t="s">
        <v>5265</v>
      </c>
      <c r="C698" t="s">
        <v>9866</v>
      </c>
      <c r="D698" t="s">
        <v>9867</v>
      </c>
    </row>
    <row r="699" spans="1:4">
      <c r="A699" t="s">
        <v>9830</v>
      </c>
      <c r="B699" t="s">
        <v>9868</v>
      </c>
      <c r="C699" t="s">
        <v>9869</v>
      </c>
      <c r="D699" t="s">
        <v>9870</v>
      </c>
    </row>
    <row r="700" spans="1:4">
      <c r="A700" t="s">
        <v>9725</v>
      </c>
      <c r="B700" t="s">
        <v>9868</v>
      </c>
      <c r="C700" t="s">
        <v>9871</v>
      </c>
      <c r="D700" t="s">
        <v>9872</v>
      </c>
    </row>
    <row r="701" spans="1:4">
      <c r="A701" t="s">
        <v>9074</v>
      </c>
      <c r="B701" t="s">
        <v>5267</v>
      </c>
      <c r="C701" t="s">
        <v>9873</v>
      </c>
      <c r="D701" t="s">
        <v>9874</v>
      </c>
    </row>
    <row r="702" spans="1:4">
      <c r="A702" t="s">
        <v>9875</v>
      </c>
      <c r="B702" t="s">
        <v>5267</v>
      </c>
      <c r="C702" t="s">
        <v>9876</v>
      </c>
      <c r="D702" t="s">
        <v>9877</v>
      </c>
    </row>
    <row r="703" spans="1:4">
      <c r="A703" t="s">
        <v>8964</v>
      </c>
      <c r="B703" t="s">
        <v>5267</v>
      </c>
      <c r="C703" t="s">
        <v>9878</v>
      </c>
      <c r="D703" t="s">
        <v>9879</v>
      </c>
    </row>
    <row r="704" spans="1:4">
      <c r="A704" t="s">
        <v>9653</v>
      </c>
      <c r="B704" t="s">
        <v>9880</v>
      </c>
      <c r="C704" t="s">
        <v>9881</v>
      </c>
      <c r="D704" t="s">
        <v>9882</v>
      </c>
    </row>
    <row r="705" spans="1:4">
      <c r="A705" t="s">
        <v>9734</v>
      </c>
      <c r="B705" t="s">
        <v>9880</v>
      </c>
      <c r="C705" t="s">
        <v>9883</v>
      </c>
      <c r="D705" t="s">
        <v>9884</v>
      </c>
    </row>
    <row r="706" spans="1:4">
      <c r="A706" t="s">
        <v>9677</v>
      </c>
      <c r="B706" t="s">
        <v>9880</v>
      </c>
      <c r="C706" t="s">
        <v>9885</v>
      </c>
      <c r="D706" t="s">
        <v>9886</v>
      </c>
    </row>
    <row r="707" spans="1:4">
      <c r="A707" t="s">
        <v>9739</v>
      </c>
      <c r="B707" t="s">
        <v>9880</v>
      </c>
      <c r="C707" t="s">
        <v>9887</v>
      </c>
      <c r="D707" t="s">
        <v>9888</v>
      </c>
    </row>
    <row r="708" spans="1:4">
      <c r="A708" t="s">
        <v>9889</v>
      </c>
      <c r="B708" t="s">
        <v>1739</v>
      </c>
      <c r="C708" t="s">
        <v>9890</v>
      </c>
      <c r="D708" t="s">
        <v>9891</v>
      </c>
    </row>
    <row r="709" spans="1:4">
      <c r="A709" t="s">
        <v>9892</v>
      </c>
      <c r="B709" t="s">
        <v>1739</v>
      </c>
      <c r="C709" t="s">
        <v>9893</v>
      </c>
      <c r="D709" t="s">
        <v>9894</v>
      </c>
    </row>
    <row r="710" spans="1:4">
      <c r="A710" t="s">
        <v>9895</v>
      </c>
      <c r="B710" t="s">
        <v>1739</v>
      </c>
      <c r="C710" t="s">
        <v>9896</v>
      </c>
      <c r="D710" t="s">
        <v>9897</v>
      </c>
    </row>
    <row r="711" spans="1:4">
      <c r="A711" t="s">
        <v>9898</v>
      </c>
      <c r="B711" t="s">
        <v>1739</v>
      </c>
      <c r="C711" t="s">
        <v>9899</v>
      </c>
      <c r="D711" t="s">
        <v>9900</v>
      </c>
    </row>
    <row r="712" spans="1:4">
      <c r="A712" t="s">
        <v>9901</v>
      </c>
      <c r="B712" t="s">
        <v>1739</v>
      </c>
      <c r="C712" t="s">
        <v>9902</v>
      </c>
      <c r="D712" t="s">
        <v>9903</v>
      </c>
    </row>
    <row r="713" spans="1:4">
      <c r="A713" t="s">
        <v>9904</v>
      </c>
      <c r="B713" t="s">
        <v>1739</v>
      </c>
      <c r="C713" t="s">
        <v>9905</v>
      </c>
      <c r="D713" t="s">
        <v>9906</v>
      </c>
    </row>
    <row r="714" spans="1:4">
      <c r="A714" t="s">
        <v>9907</v>
      </c>
      <c r="B714" t="s">
        <v>1739</v>
      </c>
      <c r="C714" t="s">
        <v>9908</v>
      </c>
      <c r="D714" t="s">
        <v>9909</v>
      </c>
    </row>
    <row r="715" spans="1:4">
      <c r="A715" t="s">
        <v>9910</v>
      </c>
      <c r="B715" t="s">
        <v>1739</v>
      </c>
      <c r="C715" t="s">
        <v>9911</v>
      </c>
      <c r="D715" t="s">
        <v>9912</v>
      </c>
    </row>
    <row r="716" spans="1:4">
      <c r="A716" t="s">
        <v>9913</v>
      </c>
      <c r="B716" t="s">
        <v>1740</v>
      </c>
      <c r="C716" t="s">
        <v>9914</v>
      </c>
      <c r="D716" t="s">
        <v>9915</v>
      </c>
    </row>
    <row r="717" spans="1:4">
      <c r="A717" t="s">
        <v>9916</v>
      </c>
      <c r="B717" t="s">
        <v>1741</v>
      </c>
      <c r="C717" t="s">
        <v>9917</v>
      </c>
      <c r="D717" t="s">
        <v>9918</v>
      </c>
    </row>
    <row r="718" spans="1:4">
      <c r="A718" t="s">
        <v>9919</v>
      </c>
      <c r="B718" t="s">
        <v>1741</v>
      </c>
      <c r="C718" t="s">
        <v>9920</v>
      </c>
      <c r="D718" t="s">
        <v>9921</v>
      </c>
    </row>
    <row r="719" spans="1:4">
      <c r="A719" t="s">
        <v>9922</v>
      </c>
      <c r="B719" t="s">
        <v>1741</v>
      </c>
      <c r="C719" t="s">
        <v>9923</v>
      </c>
      <c r="D719" t="s">
        <v>9924</v>
      </c>
    </row>
    <row r="720" spans="1:4">
      <c r="A720" t="s">
        <v>9925</v>
      </c>
      <c r="B720" t="s">
        <v>1741</v>
      </c>
      <c r="C720" t="s">
        <v>9926</v>
      </c>
      <c r="D720" t="s">
        <v>9927</v>
      </c>
    </row>
    <row r="721" spans="1:4">
      <c r="A721" t="s">
        <v>9928</v>
      </c>
      <c r="B721" t="s">
        <v>1741</v>
      </c>
      <c r="C721" t="s">
        <v>9929</v>
      </c>
      <c r="D721" t="s">
        <v>9930</v>
      </c>
    </row>
    <row r="722" spans="1:4">
      <c r="A722" t="s">
        <v>9931</v>
      </c>
      <c r="B722" t="s">
        <v>1741</v>
      </c>
      <c r="C722" t="s">
        <v>9932</v>
      </c>
      <c r="D722" t="s">
        <v>9933</v>
      </c>
    </row>
    <row r="723" spans="1:4">
      <c r="A723" t="s">
        <v>9934</v>
      </c>
      <c r="B723" t="s">
        <v>1741</v>
      </c>
      <c r="C723" t="s">
        <v>9935</v>
      </c>
      <c r="D723" t="s">
        <v>9936</v>
      </c>
    </row>
    <row r="724" spans="1:4">
      <c r="A724" t="s">
        <v>9937</v>
      </c>
      <c r="B724" t="s">
        <v>1741</v>
      </c>
      <c r="C724" t="s">
        <v>9938</v>
      </c>
      <c r="D724" t="s">
        <v>9939</v>
      </c>
    </row>
    <row r="725" spans="1:4">
      <c r="A725" t="s">
        <v>9940</v>
      </c>
      <c r="B725" t="s">
        <v>1741</v>
      </c>
      <c r="C725" t="s">
        <v>9941</v>
      </c>
      <c r="D725" t="s">
        <v>9942</v>
      </c>
    </row>
    <row r="726" spans="1:4">
      <c r="A726" t="s">
        <v>9943</v>
      </c>
      <c r="B726" t="s">
        <v>1741</v>
      </c>
      <c r="C726" t="s">
        <v>9944</v>
      </c>
      <c r="D726" t="s">
        <v>9945</v>
      </c>
    </row>
    <row r="727" spans="1:4">
      <c r="A727" t="s">
        <v>9946</v>
      </c>
      <c r="B727" t="s">
        <v>1741</v>
      </c>
      <c r="C727" t="s">
        <v>9947</v>
      </c>
      <c r="D727" t="s">
        <v>9948</v>
      </c>
    </row>
    <row r="728" spans="1:4">
      <c r="A728" t="s">
        <v>9949</v>
      </c>
      <c r="B728" t="s">
        <v>1741</v>
      </c>
      <c r="C728" t="s">
        <v>9950</v>
      </c>
      <c r="D728" t="s">
        <v>9951</v>
      </c>
    </row>
    <row r="729" spans="1:4">
      <c r="A729" t="s">
        <v>9952</v>
      </c>
      <c r="B729" t="s">
        <v>1741</v>
      </c>
      <c r="C729" t="s">
        <v>9953</v>
      </c>
      <c r="D729" t="s">
        <v>9954</v>
      </c>
    </row>
    <row r="730" spans="1:4">
      <c r="A730" t="s">
        <v>9955</v>
      </c>
      <c r="B730" t="s">
        <v>1741</v>
      </c>
      <c r="C730" t="s">
        <v>9956</v>
      </c>
      <c r="D730" t="s">
        <v>9957</v>
      </c>
    </row>
    <row r="731" spans="1:4">
      <c r="A731" t="s">
        <v>9958</v>
      </c>
      <c r="B731" t="s">
        <v>1741</v>
      </c>
      <c r="C731" t="s">
        <v>9959</v>
      </c>
      <c r="D731" t="s">
        <v>9960</v>
      </c>
    </row>
    <row r="732" spans="1:4">
      <c r="A732" t="s">
        <v>9961</v>
      </c>
      <c r="B732" t="s">
        <v>1741</v>
      </c>
      <c r="C732" t="s">
        <v>9962</v>
      </c>
      <c r="D732" t="s">
        <v>9963</v>
      </c>
    </row>
    <row r="733" spans="1:4">
      <c r="A733" t="s">
        <v>9964</v>
      </c>
      <c r="B733" t="s">
        <v>1741</v>
      </c>
      <c r="C733" t="s">
        <v>9965</v>
      </c>
      <c r="D733" t="s">
        <v>9966</v>
      </c>
    </row>
    <row r="734" spans="1:4">
      <c r="A734" t="s">
        <v>9967</v>
      </c>
      <c r="B734" t="s">
        <v>1741</v>
      </c>
      <c r="C734" t="s">
        <v>9968</v>
      </c>
      <c r="D734" t="s">
        <v>9969</v>
      </c>
    </row>
    <row r="735" spans="1:4">
      <c r="A735" t="s">
        <v>9970</v>
      </c>
      <c r="B735" t="s">
        <v>1741</v>
      </c>
      <c r="C735" t="s">
        <v>9971</v>
      </c>
      <c r="D735" t="s">
        <v>9972</v>
      </c>
    </row>
    <row r="736" spans="1:4">
      <c r="A736" t="s">
        <v>9973</v>
      </c>
      <c r="B736" t="s">
        <v>1741</v>
      </c>
      <c r="C736" t="s">
        <v>9974</v>
      </c>
      <c r="D736" t="s">
        <v>9975</v>
      </c>
    </row>
    <row r="737" spans="1:4">
      <c r="A737" t="s">
        <v>9976</v>
      </c>
      <c r="B737" t="s">
        <v>1741</v>
      </c>
      <c r="C737" t="s">
        <v>9977</v>
      </c>
      <c r="D737" t="s">
        <v>9978</v>
      </c>
    </row>
    <row r="738" spans="1:4">
      <c r="A738" t="s">
        <v>9979</v>
      </c>
      <c r="B738" t="s">
        <v>1741</v>
      </c>
      <c r="C738" t="s">
        <v>9980</v>
      </c>
      <c r="D738" t="s">
        <v>9981</v>
      </c>
    </row>
    <row r="739" spans="1:4">
      <c r="A739" t="s">
        <v>9982</v>
      </c>
      <c r="B739" t="s">
        <v>1741</v>
      </c>
      <c r="C739" t="s">
        <v>9983</v>
      </c>
      <c r="D739" t="s">
        <v>9984</v>
      </c>
    </row>
    <row r="740" spans="1:4">
      <c r="A740" t="s">
        <v>9985</v>
      </c>
      <c r="B740" t="s">
        <v>1741</v>
      </c>
      <c r="C740" t="s">
        <v>9986</v>
      </c>
      <c r="D740" t="s">
        <v>9987</v>
      </c>
    </row>
    <row r="741" spans="1:4">
      <c r="A741" t="s">
        <v>9988</v>
      </c>
      <c r="B741" t="s">
        <v>1741</v>
      </c>
      <c r="C741" t="s">
        <v>9989</v>
      </c>
      <c r="D741" t="s">
        <v>9990</v>
      </c>
    </row>
    <row r="742" spans="1:4">
      <c r="A742" t="s">
        <v>9991</v>
      </c>
      <c r="B742" t="s">
        <v>1741</v>
      </c>
      <c r="C742" t="s">
        <v>9992</v>
      </c>
      <c r="D742" t="s">
        <v>9993</v>
      </c>
    </row>
    <row r="743" spans="1:4">
      <c r="A743" t="s">
        <v>9994</v>
      </c>
      <c r="B743" t="s">
        <v>1741</v>
      </c>
      <c r="C743" t="s">
        <v>9995</v>
      </c>
      <c r="D743" t="s">
        <v>9996</v>
      </c>
    </row>
    <row r="744" spans="1:4">
      <c r="A744" t="s">
        <v>9997</v>
      </c>
      <c r="B744" t="s">
        <v>1744</v>
      </c>
      <c r="C744" t="s">
        <v>9998</v>
      </c>
      <c r="D744" t="s">
        <v>9999</v>
      </c>
    </row>
    <row r="745" spans="1:4">
      <c r="A745" t="s">
        <v>10000</v>
      </c>
      <c r="B745" t="s">
        <v>1744</v>
      </c>
      <c r="C745" t="s">
        <v>10001</v>
      </c>
      <c r="D745" t="s">
        <v>10002</v>
      </c>
    </row>
    <row r="746" spans="1:4">
      <c r="A746" t="s">
        <v>10003</v>
      </c>
      <c r="B746" t="s">
        <v>1744</v>
      </c>
      <c r="C746" t="s">
        <v>10004</v>
      </c>
      <c r="D746" t="s">
        <v>10005</v>
      </c>
    </row>
    <row r="747" spans="1:4">
      <c r="A747" t="s">
        <v>10006</v>
      </c>
      <c r="B747" t="s">
        <v>1744</v>
      </c>
      <c r="C747" t="s">
        <v>10007</v>
      </c>
      <c r="D747" t="s">
        <v>10008</v>
      </c>
    </row>
    <row r="748" spans="1:4">
      <c r="A748" t="s">
        <v>10009</v>
      </c>
      <c r="B748" t="s">
        <v>1744</v>
      </c>
      <c r="C748" t="s">
        <v>10010</v>
      </c>
      <c r="D748" t="s">
        <v>10011</v>
      </c>
    </row>
    <row r="749" spans="1:4">
      <c r="A749" t="s">
        <v>10012</v>
      </c>
      <c r="B749" t="s">
        <v>1744</v>
      </c>
      <c r="C749" t="s">
        <v>10013</v>
      </c>
      <c r="D749" t="s">
        <v>10014</v>
      </c>
    </row>
    <row r="750" spans="1:4">
      <c r="A750" t="s">
        <v>10015</v>
      </c>
      <c r="B750" t="s">
        <v>1744</v>
      </c>
      <c r="C750" t="s">
        <v>10016</v>
      </c>
      <c r="D750" t="s">
        <v>10017</v>
      </c>
    </row>
    <row r="751" spans="1:4">
      <c r="A751" t="s">
        <v>10018</v>
      </c>
      <c r="B751" t="s">
        <v>1744</v>
      </c>
      <c r="C751" t="s">
        <v>10019</v>
      </c>
      <c r="D751" t="s">
        <v>10020</v>
      </c>
    </row>
    <row r="752" spans="1:4">
      <c r="A752" t="s">
        <v>10021</v>
      </c>
      <c r="B752" t="s">
        <v>1741</v>
      </c>
      <c r="C752" t="s">
        <v>10022</v>
      </c>
      <c r="D752" t="s">
        <v>10023</v>
      </c>
    </row>
    <row r="753" spans="1:4">
      <c r="A753" t="s">
        <v>10024</v>
      </c>
      <c r="B753" t="s">
        <v>1740</v>
      </c>
      <c r="C753" t="s">
        <v>10025</v>
      </c>
      <c r="D753" t="s">
        <v>10026</v>
      </c>
    </row>
    <row r="754" spans="1:4">
      <c r="A754" t="s">
        <v>10027</v>
      </c>
      <c r="B754" t="s">
        <v>1741</v>
      </c>
      <c r="C754" t="s">
        <v>10028</v>
      </c>
      <c r="D754" t="s">
        <v>10029</v>
      </c>
    </row>
    <row r="755" spans="1:4">
      <c r="A755" t="s">
        <v>10030</v>
      </c>
      <c r="B755" t="s">
        <v>1741</v>
      </c>
      <c r="C755" t="s">
        <v>10031</v>
      </c>
      <c r="D755" t="s">
        <v>10032</v>
      </c>
    </row>
    <row r="756" spans="1:4">
      <c r="A756" t="s">
        <v>10033</v>
      </c>
      <c r="B756" t="s">
        <v>1741</v>
      </c>
      <c r="C756" t="s">
        <v>10034</v>
      </c>
      <c r="D756" t="s">
        <v>10035</v>
      </c>
    </row>
    <row r="757" spans="1:4">
      <c r="A757" t="s">
        <v>10036</v>
      </c>
      <c r="B757" t="s">
        <v>1741</v>
      </c>
      <c r="C757" t="s">
        <v>10037</v>
      </c>
      <c r="D757" t="s">
        <v>10038</v>
      </c>
    </row>
    <row r="758" spans="1:4">
      <c r="A758" t="s">
        <v>10039</v>
      </c>
      <c r="B758" t="s">
        <v>1741</v>
      </c>
      <c r="C758" t="s">
        <v>10040</v>
      </c>
      <c r="D758" t="s">
        <v>10041</v>
      </c>
    </row>
    <row r="759" spans="1:4">
      <c r="A759" t="s">
        <v>10042</v>
      </c>
      <c r="B759" t="s">
        <v>1741</v>
      </c>
      <c r="C759" t="s">
        <v>10043</v>
      </c>
      <c r="D759" t="s">
        <v>10044</v>
      </c>
    </row>
    <row r="760" spans="1:4">
      <c r="A760" t="s">
        <v>10045</v>
      </c>
      <c r="B760" t="s">
        <v>1741</v>
      </c>
      <c r="C760" t="s">
        <v>10046</v>
      </c>
      <c r="D760" t="s">
        <v>10047</v>
      </c>
    </row>
    <row r="761" spans="1:4">
      <c r="A761" t="s">
        <v>10048</v>
      </c>
      <c r="B761" t="s">
        <v>1740</v>
      </c>
      <c r="C761" t="s">
        <v>10049</v>
      </c>
      <c r="D761" t="s">
        <v>10050</v>
      </c>
    </row>
    <row r="762" spans="1:4">
      <c r="A762" t="s">
        <v>10051</v>
      </c>
      <c r="B762" t="s">
        <v>1741</v>
      </c>
      <c r="C762" t="s">
        <v>10052</v>
      </c>
      <c r="D762" t="s">
        <v>10053</v>
      </c>
    </row>
    <row r="763" spans="1:4">
      <c r="A763" t="s">
        <v>10054</v>
      </c>
      <c r="B763" t="s">
        <v>1744</v>
      </c>
      <c r="C763" t="s">
        <v>10055</v>
      </c>
      <c r="D763" t="s">
        <v>10056</v>
      </c>
    </row>
    <row r="764" spans="1:4">
      <c r="A764" t="s">
        <v>10057</v>
      </c>
      <c r="B764" t="s">
        <v>1741</v>
      </c>
      <c r="C764" t="s">
        <v>10058</v>
      </c>
      <c r="D764" t="s">
        <v>10059</v>
      </c>
    </row>
    <row r="765" spans="1:4">
      <c r="A765" t="s">
        <v>10060</v>
      </c>
      <c r="B765" t="s">
        <v>1739</v>
      </c>
      <c r="C765" t="s">
        <v>10061</v>
      </c>
      <c r="D765" t="s">
        <v>10062</v>
      </c>
    </row>
    <row r="766" spans="1:4">
      <c r="A766" t="s">
        <v>10063</v>
      </c>
      <c r="B766" t="s">
        <v>1740</v>
      </c>
      <c r="C766" t="s">
        <v>10064</v>
      </c>
      <c r="D766" t="s">
        <v>10065</v>
      </c>
    </row>
    <row r="767" spans="1:4">
      <c r="A767" t="s">
        <v>10066</v>
      </c>
      <c r="B767" t="s">
        <v>1741</v>
      </c>
      <c r="C767" t="s">
        <v>10067</v>
      </c>
      <c r="D767" t="s">
        <v>10068</v>
      </c>
    </row>
    <row r="768" spans="1:4">
      <c r="A768" t="s">
        <v>10069</v>
      </c>
      <c r="B768" t="s">
        <v>1741</v>
      </c>
      <c r="C768" t="s">
        <v>10070</v>
      </c>
      <c r="D768" t="s">
        <v>10071</v>
      </c>
    </row>
    <row r="769" spans="1:4">
      <c r="A769" t="s">
        <v>10072</v>
      </c>
      <c r="B769" t="s">
        <v>1739</v>
      </c>
      <c r="C769" t="s">
        <v>10073</v>
      </c>
      <c r="D769" t="s">
        <v>10074</v>
      </c>
    </row>
    <row r="770" spans="1:4">
      <c r="A770" t="s">
        <v>10075</v>
      </c>
      <c r="B770" t="s">
        <v>1740</v>
      </c>
      <c r="C770" t="s">
        <v>10076</v>
      </c>
      <c r="D770" t="s">
        <v>10077</v>
      </c>
    </row>
    <row r="771" spans="1:4">
      <c r="A771" t="s">
        <v>10078</v>
      </c>
      <c r="B771" t="s">
        <v>1741</v>
      </c>
      <c r="C771" t="s">
        <v>10079</v>
      </c>
      <c r="D771" t="s">
        <v>10080</v>
      </c>
    </row>
    <row r="772" spans="1:4">
      <c r="A772" t="s">
        <v>10081</v>
      </c>
      <c r="B772" t="s">
        <v>1744</v>
      </c>
      <c r="C772" t="s">
        <v>10082</v>
      </c>
      <c r="D772" t="s">
        <v>10083</v>
      </c>
    </row>
    <row r="773" spans="1:4">
      <c r="A773" t="s">
        <v>10084</v>
      </c>
      <c r="B773" t="s">
        <v>1741</v>
      </c>
      <c r="C773" t="s">
        <v>10085</v>
      </c>
      <c r="D773" t="s">
        <v>10086</v>
      </c>
    </row>
    <row r="774" spans="1:4">
      <c r="A774" t="s">
        <v>10087</v>
      </c>
      <c r="B774" t="s">
        <v>1739</v>
      </c>
      <c r="C774" t="s">
        <v>10088</v>
      </c>
      <c r="D774" t="s">
        <v>10089</v>
      </c>
    </row>
    <row r="775" spans="1:4">
      <c r="A775" t="s">
        <v>10090</v>
      </c>
      <c r="B775" t="s">
        <v>1740</v>
      </c>
      <c r="C775" t="s">
        <v>10091</v>
      </c>
      <c r="D775" t="s">
        <v>10092</v>
      </c>
    </row>
    <row r="776" spans="1:4">
      <c r="A776" t="s">
        <v>10093</v>
      </c>
      <c r="B776" t="s">
        <v>1741</v>
      </c>
      <c r="C776" t="s">
        <v>10094</v>
      </c>
      <c r="D776" t="s">
        <v>10095</v>
      </c>
    </row>
    <row r="777" spans="1:4">
      <c r="A777" t="s">
        <v>10096</v>
      </c>
      <c r="B777" t="s">
        <v>1740</v>
      </c>
      <c r="C777" t="s">
        <v>10097</v>
      </c>
      <c r="D777" t="s">
        <v>10098</v>
      </c>
    </row>
    <row r="778" spans="1:4">
      <c r="A778" t="s">
        <v>10099</v>
      </c>
      <c r="B778" t="s">
        <v>1741</v>
      </c>
      <c r="C778" t="s">
        <v>10100</v>
      </c>
      <c r="D778" t="s">
        <v>10101</v>
      </c>
    </row>
    <row r="779" spans="1:4">
      <c r="A779" t="s">
        <v>10102</v>
      </c>
      <c r="B779" t="s">
        <v>1744</v>
      </c>
      <c r="C779" t="s">
        <v>10103</v>
      </c>
      <c r="D779" t="s">
        <v>10104</v>
      </c>
    </row>
    <row r="780" spans="1:4">
      <c r="A780" t="s">
        <v>10105</v>
      </c>
      <c r="B780" t="s">
        <v>1741</v>
      </c>
      <c r="C780" t="s">
        <v>10106</v>
      </c>
      <c r="D780" t="s">
        <v>10107</v>
      </c>
    </row>
    <row r="781" spans="1:4">
      <c r="A781" t="s">
        <v>10108</v>
      </c>
      <c r="B781" t="s">
        <v>1740</v>
      </c>
      <c r="C781" t="s">
        <v>10109</v>
      </c>
      <c r="D781" t="s">
        <v>10110</v>
      </c>
    </row>
    <row r="782" spans="1:4">
      <c r="A782" t="s">
        <v>10111</v>
      </c>
      <c r="B782" t="s">
        <v>1741</v>
      </c>
      <c r="C782" t="s">
        <v>10112</v>
      </c>
      <c r="D782" t="s">
        <v>10113</v>
      </c>
    </row>
    <row r="783" spans="1:4">
      <c r="A783" t="s">
        <v>10114</v>
      </c>
      <c r="B783" t="s">
        <v>1744</v>
      </c>
      <c r="C783" t="s">
        <v>10115</v>
      </c>
      <c r="D783" t="s">
        <v>10116</v>
      </c>
    </row>
    <row r="784" spans="1:4">
      <c r="A784" t="s">
        <v>10117</v>
      </c>
      <c r="B784" t="s">
        <v>1740</v>
      </c>
      <c r="C784" t="s">
        <v>10118</v>
      </c>
      <c r="D784" t="s">
        <v>10119</v>
      </c>
    </row>
    <row r="785" spans="1:4">
      <c r="A785" t="s">
        <v>10120</v>
      </c>
      <c r="B785" t="s">
        <v>1741</v>
      </c>
      <c r="C785" t="s">
        <v>10121</v>
      </c>
      <c r="D785" t="s">
        <v>10122</v>
      </c>
    </row>
    <row r="786" spans="1:4">
      <c r="A786" t="s">
        <v>10123</v>
      </c>
      <c r="B786" t="s">
        <v>1741</v>
      </c>
      <c r="C786" t="s">
        <v>10124</v>
      </c>
      <c r="D786" t="s">
        <v>10125</v>
      </c>
    </row>
    <row r="787" spans="1:4">
      <c r="A787" t="s">
        <v>10126</v>
      </c>
      <c r="B787" t="s">
        <v>1741</v>
      </c>
      <c r="C787" t="s">
        <v>10127</v>
      </c>
      <c r="D787" t="s">
        <v>10128</v>
      </c>
    </row>
    <row r="788" spans="1:4">
      <c r="A788" t="s">
        <v>10129</v>
      </c>
      <c r="B788" t="s">
        <v>1744</v>
      </c>
      <c r="C788" t="s">
        <v>10130</v>
      </c>
      <c r="D788" t="s">
        <v>10131</v>
      </c>
    </row>
    <row r="789" spans="1:4">
      <c r="A789" t="s">
        <v>10132</v>
      </c>
      <c r="B789" t="s">
        <v>1739</v>
      </c>
      <c r="C789" t="s">
        <v>10133</v>
      </c>
      <c r="D789" t="s">
        <v>10134</v>
      </c>
    </row>
    <row r="790" spans="1:4">
      <c r="A790" t="s">
        <v>10135</v>
      </c>
      <c r="B790" t="s">
        <v>1741</v>
      </c>
      <c r="C790" t="s">
        <v>10136</v>
      </c>
      <c r="D790" t="s">
        <v>10137</v>
      </c>
    </row>
    <row r="791" spans="1:4">
      <c r="A791" t="s">
        <v>10138</v>
      </c>
      <c r="B791" t="s">
        <v>1744</v>
      </c>
      <c r="C791" t="s">
        <v>10139</v>
      </c>
      <c r="D791" t="s">
        <v>10140</v>
      </c>
    </row>
    <row r="792" spans="1:4">
      <c r="A792" t="s">
        <v>10141</v>
      </c>
      <c r="B792" t="s">
        <v>1741</v>
      </c>
      <c r="C792" t="s">
        <v>10142</v>
      </c>
      <c r="D792" t="s">
        <v>10143</v>
      </c>
    </row>
    <row r="793" spans="1:4">
      <c r="A793" t="s">
        <v>10144</v>
      </c>
      <c r="B793" t="s">
        <v>1741</v>
      </c>
      <c r="C793" t="s">
        <v>10145</v>
      </c>
      <c r="D793" t="s">
        <v>10146</v>
      </c>
    </row>
    <row r="794" spans="1:4">
      <c r="A794" t="s">
        <v>10147</v>
      </c>
      <c r="B794" t="s">
        <v>1741</v>
      </c>
      <c r="C794" t="s">
        <v>10148</v>
      </c>
      <c r="D794" t="s">
        <v>10149</v>
      </c>
    </row>
    <row r="795" spans="1:4">
      <c r="A795" t="s">
        <v>10150</v>
      </c>
      <c r="B795" t="s">
        <v>1741</v>
      </c>
      <c r="C795" t="s">
        <v>10151</v>
      </c>
      <c r="D795" t="s">
        <v>10152</v>
      </c>
    </row>
    <row r="796" spans="1:4">
      <c r="A796" t="s">
        <v>10153</v>
      </c>
      <c r="B796" t="s">
        <v>1739</v>
      </c>
      <c r="C796" t="s">
        <v>10154</v>
      </c>
      <c r="D796" t="s">
        <v>10155</v>
      </c>
    </row>
    <row r="797" spans="1:4">
      <c r="A797" t="s">
        <v>10156</v>
      </c>
      <c r="B797" t="s">
        <v>1741</v>
      </c>
      <c r="C797" t="s">
        <v>10157</v>
      </c>
      <c r="D797" t="s">
        <v>10158</v>
      </c>
    </row>
    <row r="798" spans="1:4">
      <c r="A798" t="s">
        <v>10159</v>
      </c>
      <c r="B798" t="s">
        <v>1741</v>
      </c>
      <c r="C798" t="s">
        <v>10160</v>
      </c>
      <c r="D798" t="s">
        <v>10161</v>
      </c>
    </row>
    <row r="799" spans="1:4">
      <c r="A799" t="s">
        <v>10162</v>
      </c>
      <c r="B799" t="s">
        <v>1741</v>
      </c>
      <c r="C799" t="s">
        <v>10163</v>
      </c>
      <c r="D799" t="s">
        <v>10164</v>
      </c>
    </row>
    <row r="800" spans="1:4">
      <c r="A800" t="s">
        <v>10165</v>
      </c>
      <c r="B800" t="s">
        <v>1741</v>
      </c>
      <c r="C800" t="s">
        <v>10166</v>
      </c>
      <c r="D800" t="s">
        <v>10167</v>
      </c>
    </row>
    <row r="801" spans="1:4">
      <c r="A801" t="s">
        <v>10168</v>
      </c>
      <c r="B801" t="s">
        <v>1739</v>
      </c>
      <c r="C801" t="s">
        <v>10169</v>
      </c>
      <c r="D801" t="s">
        <v>10170</v>
      </c>
    </row>
    <row r="802" spans="1:4">
      <c r="A802" t="s">
        <v>10171</v>
      </c>
      <c r="B802" t="s">
        <v>1741</v>
      </c>
      <c r="C802" t="s">
        <v>10172</v>
      </c>
      <c r="D802" t="s">
        <v>10173</v>
      </c>
    </row>
    <row r="803" spans="1:4">
      <c r="A803" t="s">
        <v>10174</v>
      </c>
      <c r="B803" t="s">
        <v>1741</v>
      </c>
      <c r="C803" t="s">
        <v>10175</v>
      </c>
      <c r="D803" t="s">
        <v>10176</v>
      </c>
    </row>
    <row r="804" spans="1:4">
      <c r="A804" t="s">
        <v>10177</v>
      </c>
      <c r="B804" t="s">
        <v>1741</v>
      </c>
      <c r="C804" t="s">
        <v>10178</v>
      </c>
      <c r="D804" t="s">
        <v>10179</v>
      </c>
    </row>
    <row r="805" spans="1:4">
      <c r="A805" t="s">
        <v>10180</v>
      </c>
      <c r="B805" t="s">
        <v>1741</v>
      </c>
      <c r="C805" t="s">
        <v>10181</v>
      </c>
      <c r="D805" t="s">
        <v>10182</v>
      </c>
    </row>
    <row r="806" spans="1:4">
      <c r="A806" t="s">
        <v>10183</v>
      </c>
      <c r="B806" t="s">
        <v>1739</v>
      </c>
      <c r="C806" t="s">
        <v>10184</v>
      </c>
      <c r="D806" t="s">
        <v>10185</v>
      </c>
    </row>
    <row r="807" spans="1:4">
      <c r="A807" t="s">
        <v>10186</v>
      </c>
      <c r="B807" t="s">
        <v>1741</v>
      </c>
      <c r="C807" t="s">
        <v>10187</v>
      </c>
      <c r="D807" t="s">
        <v>10188</v>
      </c>
    </row>
    <row r="808" spans="1:4">
      <c r="A808" t="s">
        <v>10189</v>
      </c>
      <c r="B808" t="s">
        <v>1740</v>
      </c>
      <c r="C808" t="s">
        <v>10190</v>
      </c>
      <c r="D808" t="s">
        <v>10191</v>
      </c>
    </row>
    <row r="809" spans="1:4">
      <c r="A809" t="s">
        <v>10192</v>
      </c>
      <c r="B809" t="s">
        <v>1741</v>
      </c>
      <c r="C809" t="s">
        <v>10193</v>
      </c>
      <c r="D809" t="s">
        <v>10194</v>
      </c>
    </row>
    <row r="810" spans="1:4">
      <c r="A810" t="s">
        <v>10195</v>
      </c>
      <c r="B810" t="s">
        <v>1741</v>
      </c>
      <c r="C810" t="s">
        <v>10196</v>
      </c>
      <c r="D810" t="s">
        <v>10197</v>
      </c>
    </row>
    <row r="811" spans="1:4">
      <c r="A811" t="s">
        <v>10198</v>
      </c>
      <c r="B811" t="s">
        <v>1740</v>
      </c>
      <c r="C811" t="s">
        <v>10199</v>
      </c>
      <c r="D811" t="s">
        <v>10200</v>
      </c>
    </row>
    <row r="812" spans="1:4">
      <c r="A812" t="s">
        <v>10201</v>
      </c>
      <c r="B812" t="s">
        <v>1741</v>
      </c>
      <c r="C812" t="s">
        <v>10202</v>
      </c>
      <c r="D812" t="s">
        <v>10203</v>
      </c>
    </row>
    <row r="813" spans="1:4">
      <c r="A813" t="s">
        <v>10204</v>
      </c>
      <c r="B813" t="s">
        <v>1744</v>
      </c>
      <c r="C813" t="s">
        <v>10205</v>
      </c>
      <c r="D813" t="s">
        <v>10206</v>
      </c>
    </row>
    <row r="814" spans="1:4">
      <c r="A814" t="s">
        <v>10207</v>
      </c>
      <c r="B814" t="s">
        <v>1739</v>
      </c>
      <c r="C814" t="s">
        <v>10208</v>
      </c>
      <c r="D814" t="s">
        <v>10209</v>
      </c>
    </row>
    <row r="815" spans="1:4">
      <c r="A815" t="s">
        <v>10210</v>
      </c>
      <c r="B815" t="s">
        <v>1740</v>
      </c>
      <c r="C815" t="s">
        <v>10211</v>
      </c>
      <c r="D815" t="s">
        <v>10212</v>
      </c>
    </row>
    <row r="816" spans="1:4">
      <c r="A816" t="s">
        <v>10213</v>
      </c>
      <c r="B816" t="s">
        <v>1741</v>
      </c>
      <c r="C816" t="s">
        <v>10214</v>
      </c>
      <c r="D816" t="s">
        <v>10215</v>
      </c>
    </row>
    <row r="817" spans="1:4">
      <c r="A817" t="s">
        <v>10216</v>
      </c>
      <c r="B817" t="s">
        <v>1744</v>
      </c>
      <c r="C817" t="s">
        <v>10217</v>
      </c>
      <c r="D817" t="s">
        <v>10218</v>
      </c>
    </row>
    <row r="818" spans="1:4">
      <c r="A818" t="s">
        <v>10219</v>
      </c>
      <c r="B818" t="s">
        <v>1739</v>
      </c>
      <c r="C818" t="s">
        <v>10220</v>
      </c>
      <c r="D818" t="s">
        <v>10221</v>
      </c>
    </row>
    <row r="819" spans="1:4">
      <c r="A819" t="s">
        <v>10222</v>
      </c>
      <c r="B819" t="s">
        <v>1740</v>
      </c>
      <c r="C819" t="s">
        <v>10223</v>
      </c>
      <c r="D819" t="s">
        <v>10224</v>
      </c>
    </row>
    <row r="820" spans="1:4">
      <c r="A820" t="s">
        <v>10225</v>
      </c>
      <c r="B820" t="s">
        <v>1741</v>
      </c>
      <c r="C820" t="s">
        <v>10226</v>
      </c>
      <c r="D820" t="s">
        <v>10227</v>
      </c>
    </row>
    <row r="821" spans="1:4">
      <c r="A821" t="s">
        <v>10228</v>
      </c>
      <c r="B821" t="s">
        <v>1744</v>
      </c>
      <c r="C821" t="s">
        <v>10229</v>
      </c>
      <c r="D821" t="s">
        <v>10230</v>
      </c>
    </row>
    <row r="822" spans="1:4">
      <c r="A822" t="s">
        <v>10231</v>
      </c>
      <c r="B822" t="s">
        <v>1739</v>
      </c>
      <c r="C822" t="s">
        <v>10232</v>
      </c>
      <c r="D822" t="s">
        <v>10233</v>
      </c>
    </row>
    <row r="823" spans="1:4">
      <c r="A823" t="s">
        <v>10234</v>
      </c>
      <c r="B823" t="s">
        <v>1741</v>
      </c>
      <c r="C823" t="s">
        <v>10235</v>
      </c>
      <c r="D823" t="s">
        <v>10236</v>
      </c>
    </row>
    <row r="824" spans="1:4">
      <c r="A824" t="s">
        <v>10237</v>
      </c>
      <c r="B824" t="s">
        <v>1739</v>
      </c>
      <c r="C824" t="s">
        <v>10238</v>
      </c>
      <c r="D824" t="s">
        <v>10239</v>
      </c>
    </row>
    <row r="825" spans="1:4">
      <c r="A825" t="s">
        <v>10240</v>
      </c>
      <c r="B825" t="s">
        <v>1740</v>
      </c>
      <c r="C825" t="s">
        <v>10241</v>
      </c>
      <c r="D825" t="s">
        <v>10242</v>
      </c>
    </row>
    <row r="826" spans="1:4">
      <c r="A826" t="s">
        <v>10243</v>
      </c>
      <c r="B826" t="s">
        <v>1741</v>
      </c>
      <c r="C826" t="s">
        <v>10244</v>
      </c>
      <c r="D826" t="s">
        <v>10245</v>
      </c>
    </row>
    <row r="827" spans="1:4">
      <c r="A827" t="s">
        <v>10246</v>
      </c>
      <c r="B827" t="s">
        <v>1744</v>
      </c>
      <c r="C827" t="s">
        <v>10247</v>
      </c>
      <c r="D827" t="s">
        <v>10248</v>
      </c>
    </row>
    <row r="828" spans="1:4">
      <c r="A828" t="s">
        <v>10249</v>
      </c>
      <c r="B828" t="s">
        <v>1739</v>
      </c>
      <c r="C828" t="s">
        <v>10250</v>
      </c>
      <c r="D828" t="s">
        <v>10251</v>
      </c>
    </row>
    <row r="829" spans="1:4">
      <c r="A829" t="s">
        <v>10252</v>
      </c>
      <c r="B829" t="s">
        <v>1740</v>
      </c>
      <c r="C829" t="s">
        <v>10253</v>
      </c>
      <c r="D829" t="s">
        <v>10254</v>
      </c>
    </row>
    <row r="830" spans="1:4">
      <c r="A830" t="s">
        <v>10255</v>
      </c>
      <c r="B830" t="s">
        <v>1741</v>
      </c>
      <c r="C830" t="s">
        <v>10256</v>
      </c>
      <c r="D830" t="s">
        <v>10257</v>
      </c>
    </row>
    <row r="831" spans="1:4">
      <c r="A831" t="s">
        <v>10258</v>
      </c>
      <c r="B831" t="s">
        <v>1744</v>
      </c>
      <c r="C831" t="s">
        <v>10259</v>
      </c>
      <c r="D831" t="s">
        <v>10260</v>
      </c>
    </row>
    <row r="832" spans="1:4">
      <c r="A832" t="s">
        <v>10261</v>
      </c>
      <c r="B832" t="s">
        <v>1739</v>
      </c>
      <c r="C832" t="s">
        <v>10262</v>
      </c>
      <c r="D832" t="s">
        <v>10263</v>
      </c>
    </row>
    <row r="833" spans="1:4">
      <c r="A833" t="s">
        <v>10264</v>
      </c>
      <c r="B833" t="s">
        <v>1740</v>
      </c>
      <c r="C833" t="s">
        <v>10265</v>
      </c>
      <c r="D833" t="s">
        <v>10266</v>
      </c>
    </row>
    <row r="834" spans="1:4">
      <c r="A834" t="s">
        <v>10267</v>
      </c>
      <c r="B834" t="s">
        <v>1741</v>
      </c>
      <c r="C834" t="s">
        <v>10268</v>
      </c>
      <c r="D834" t="s">
        <v>10269</v>
      </c>
    </row>
    <row r="835" spans="1:4">
      <c r="A835" t="s">
        <v>10270</v>
      </c>
      <c r="B835" t="s">
        <v>1744</v>
      </c>
      <c r="C835" t="s">
        <v>10271</v>
      </c>
      <c r="D835" t="s">
        <v>10272</v>
      </c>
    </row>
    <row r="836" spans="1:4">
      <c r="A836" t="s">
        <v>10273</v>
      </c>
      <c r="B836" t="s">
        <v>1739</v>
      </c>
      <c r="C836" t="s">
        <v>10274</v>
      </c>
      <c r="D836" t="s">
        <v>10275</v>
      </c>
    </row>
    <row r="837" spans="1:4">
      <c r="A837" t="s">
        <v>10276</v>
      </c>
      <c r="B837" t="s">
        <v>1741</v>
      </c>
      <c r="C837" t="s">
        <v>10277</v>
      </c>
      <c r="D837" t="s">
        <v>10278</v>
      </c>
    </row>
    <row r="838" spans="1:4">
      <c r="A838" t="s">
        <v>10279</v>
      </c>
      <c r="B838" t="s">
        <v>1739</v>
      </c>
      <c r="C838" t="s">
        <v>10280</v>
      </c>
      <c r="D838" t="s">
        <v>10281</v>
      </c>
    </row>
    <row r="839" spans="1:4">
      <c r="A839" t="s">
        <v>10282</v>
      </c>
      <c r="B839" t="s">
        <v>1740</v>
      </c>
      <c r="C839" t="s">
        <v>10283</v>
      </c>
      <c r="D839" t="s">
        <v>10284</v>
      </c>
    </row>
    <row r="840" spans="1:4">
      <c r="A840" t="s">
        <v>10285</v>
      </c>
      <c r="B840" t="s">
        <v>1741</v>
      </c>
      <c r="C840" t="s">
        <v>10286</v>
      </c>
      <c r="D840" t="s">
        <v>10287</v>
      </c>
    </row>
    <row r="841" spans="1:4">
      <c r="A841" t="s">
        <v>10288</v>
      </c>
      <c r="B841" t="s">
        <v>1744</v>
      </c>
      <c r="C841" t="s">
        <v>10289</v>
      </c>
      <c r="D841" t="s">
        <v>10290</v>
      </c>
    </row>
    <row r="842" spans="1:4">
      <c r="A842" t="s">
        <v>10291</v>
      </c>
      <c r="B842" t="s">
        <v>1739</v>
      </c>
      <c r="C842" t="s">
        <v>10292</v>
      </c>
      <c r="D842" t="s">
        <v>10293</v>
      </c>
    </row>
    <row r="843" spans="1:4">
      <c r="A843" t="s">
        <v>10294</v>
      </c>
      <c r="B843" t="s">
        <v>1740</v>
      </c>
      <c r="C843" t="s">
        <v>10295</v>
      </c>
      <c r="D843" t="s">
        <v>10296</v>
      </c>
    </row>
    <row r="844" spans="1:4">
      <c r="A844" t="s">
        <v>10297</v>
      </c>
      <c r="B844" t="s">
        <v>1741</v>
      </c>
      <c r="C844" t="s">
        <v>10298</v>
      </c>
      <c r="D844" t="s">
        <v>10299</v>
      </c>
    </row>
    <row r="845" spans="1:4">
      <c r="A845" t="s">
        <v>10300</v>
      </c>
      <c r="B845" t="s">
        <v>1744</v>
      </c>
      <c r="C845" t="s">
        <v>10301</v>
      </c>
      <c r="D845" t="s">
        <v>10302</v>
      </c>
    </row>
    <row r="846" spans="1:4">
      <c r="A846" t="s">
        <v>10303</v>
      </c>
      <c r="B846" t="s">
        <v>1739</v>
      </c>
      <c r="C846" t="s">
        <v>10304</v>
      </c>
      <c r="D846" t="s">
        <v>10305</v>
      </c>
    </row>
    <row r="847" spans="1:4">
      <c r="A847" t="s">
        <v>10306</v>
      </c>
      <c r="B847" t="s">
        <v>1741</v>
      </c>
      <c r="C847" t="s">
        <v>10307</v>
      </c>
      <c r="D847" t="s">
        <v>10308</v>
      </c>
    </row>
    <row r="848" spans="1:4">
      <c r="A848" t="s">
        <v>10309</v>
      </c>
      <c r="B848" t="s">
        <v>1744</v>
      </c>
      <c r="C848" t="s">
        <v>10310</v>
      </c>
      <c r="D848" t="s">
        <v>10311</v>
      </c>
    </row>
    <row r="849" spans="1:4">
      <c r="A849" t="s">
        <v>10312</v>
      </c>
      <c r="B849" t="s">
        <v>1739</v>
      </c>
      <c r="C849" t="s">
        <v>10313</v>
      </c>
      <c r="D849" t="s">
        <v>10314</v>
      </c>
    </row>
    <row r="850" spans="1:4">
      <c r="A850" t="s">
        <v>10315</v>
      </c>
      <c r="B850" t="s">
        <v>1740</v>
      </c>
      <c r="C850" t="s">
        <v>10316</v>
      </c>
      <c r="D850" t="s">
        <v>10317</v>
      </c>
    </row>
    <row r="851" spans="1:4">
      <c r="A851" t="s">
        <v>10318</v>
      </c>
      <c r="B851" t="s">
        <v>1741</v>
      </c>
      <c r="C851" t="s">
        <v>10319</v>
      </c>
      <c r="D851" t="s">
        <v>10320</v>
      </c>
    </row>
    <row r="852" spans="1:4">
      <c r="A852" t="s">
        <v>10321</v>
      </c>
      <c r="B852" t="s">
        <v>1744</v>
      </c>
      <c r="C852" t="s">
        <v>10322</v>
      </c>
      <c r="D852" t="s">
        <v>10323</v>
      </c>
    </row>
    <row r="853" spans="1:4">
      <c r="A853" t="s">
        <v>10324</v>
      </c>
      <c r="B853" t="s">
        <v>1739</v>
      </c>
      <c r="C853" t="s">
        <v>10325</v>
      </c>
      <c r="D853" t="s">
        <v>10326</v>
      </c>
    </row>
    <row r="854" spans="1:4">
      <c r="A854" t="s">
        <v>10327</v>
      </c>
      <c r="B854" t="s">
        <v>1741</v>
      </c>
      <c r="C854" t="s">
        <v>10328</v>
      </c>
      <c r="D854" t="s">
        <v>10329</v>
      </c>
    </row>
    <row r="855" spans="1:4">
      <c r="A855" t="s">
        <v>10330</v>
      </c>
      <c r="B855" t="s">
        <v>1739</v>
      </c>
      <c r="C855" t="s">
        <v>10331</v>
      </c>
      <c r="D855" t="s">
        <v>10332</v>
      </c>
    </row>
    <row r="856" spans="1:4">
      <c r="A856" t="s">
        <v>10333</v>
      </c>
      <c r="B856" t="s">
        <v>1741</v>
      </c>
      <c r="C856" t="s">
        <v>10334</v>
      </c>
      <c r="D856" t="s">
        <v>10335</v>
      </c>
    </row>
    <row r="857" spans="1:4">
      <c r="A857" t="s">
        <v>10336</v>
      </c>
      <c r="B857" t="s">
        <v>1744</v>
      </c>
      <c r="C857" t="s">
        <v>10337</v>
      </c>
      <c r="D857" t="s">
        <v>10338</v>
      </c>
    </row>
    <row r="858" spans="1:4">
      <c r="A858" t="s">
        <v>10339</v>
      </c>
      <c r="B858" t="s">
        <v>1739</v>
      </c>
      <c r="C858" t="s">
        <v>10340</v>
      </c>
      <c r="D858" t="s">
        <v>10341</v>
      </c>
    </row>
    <row r="859" spans="1:4">
      <c r="A859" t="s">
        <v>10342</v>
      </c>
      <c r="B859" t="s">
        <v>1741</v>
      </c>
      <c r="C859" t="s">
        <v>10343</v>
      </c>
      <c r="D859" t="s">
        <v>10344</v>
      </c>
    </row>
    <row r="860" spans="1:4">
      <c r="A860" t="s">
        <v>10345</v>
      </c>
      <c r="B860" t="s">
        <v>1744</v>
      </c>
      <c r="C860" t="s">
        <v>10346</v>
      </c>
      <c r="D860" t="s">
        <v>10347</v>
      </c>
    </row>
    <row r="861" spans="1:4">
      <c r="A861" t="s">
        <v>10348</v>
      </c>
      <c r="B861" t="s">
        <v>1739</v>
      </c>
      <c r="C861" t="s">
        <v>10349</v>
      </c>
      <c r="D861" t="s">
        <v>10350</v>
      </c>
    </row>
    <row r="862" spans="1:4">
      <c r="A862" t="s">
        <v>10351</v>
      </c>
      <c r="B862" t="s">
        <v>1740</v>
      </c>
      <c r="C862" t="s">
        <v>10352</v>
      </c>
      <c r="D862" t="s">
        <v>10353</v>
      </c>
    </row>
    <row r="863" spans="1:4">
      <c r="A863" t="s">
        <v>10354</v>
      </c>
      <c r="B863" t="s">
        <v>1741</v>
      </c>
      <c r="C863" t="s">
        <v>10355</v>
      </c>
      <c r="D863" t="s">
        <v>10356</v>
      </c>
    </row>
    <row r="864" spans="1:4">
      <c r="A864" t="s">
        <v>10357</v>
      </c>
      <c r="B864" t="s">
        <v>1741</v>
      </c>
      <c r="C864" t="s">
        <v>10358</v>
      </c>
      <c r="D864" t="s">
        <v>10359</v>
      </c>
    </row>
    <row r="865" spans="1:4">
      <c r="A865" t="s">
        <v>10360</v>
      </c>
      <c r="B865" t="s">
        <v>1741</v>
      </c>
      <c r="C865" t="s">
        <v>10361</v>
      </c>
      <c r="D865" t="s">
        <v>10362</v>
      </c>
    </row>
    <row r="866" spans="1:4">
      <c r="A866" t="s">
        <v>10363</v>
      </c>
      <c r="B866" t="s">
        <v>1740</v>
      </c>
      <c r="C866" t="s">
        <v>10364</v>
      </c>
      <c r="D866" t="s">
        <v>10365</v>
      </c>
    </row>
    <row r="867" spans="1:4">
      <c r="A867" t="s">
        <v>10366</v>
      </c>
      <c r="B867" t="s">
        <v>1739</v>
      </c>
      <c r="C867" t="s">
        <v>10367</v>
      </c>
      <c r="D867" t="s">
        <v>10368</v>
      </c>
    </row>
    <row r="868" spans="1:4">
      <c r="A868" t="s">
        <v>10369</v>
      </c>
      <c r="B868" t="s">
        <v>1741</v>
      </c>
      <c r="C868" t="s">
        <v>10370</v>
      </c>
      <c r="D868" t="s">
        <v>10371</v>
      </c>
    </row>
    <row r="869" spans="1:4">
      <c r="A869" t="s">
        <v>10372</v>
      </c>
      <c r="B869" t="s">
        <v>1739</v>
      </c>
      <c r="C869" t="s">
        <v>10373</v>
      </c>
      <c r="D869" t="s">
        <v>10374</v>
      </c>
    </row>
    <row r="870" spans="1:4">
      <c r="A870" t="s">
        <v>10375</v>
      </c>
      <c r="B870" t="s">
        <v>1744</v>
      </c>
      <c r="C870" t="s">
        <v>10376</v>
      </c>
      <c r="D870" t="s">
        <v>10377</v>
      </c>
    </row>
    <row r="871" spans="1:4">
      <c r="A871" t="s">
        <v>10378</v>
      </c>
      <c r="B871" t="s">
        <v>1741</v>
      </c>
      <c r="C871" t="s">
        <v>10379</v>
      </c>
      <c r="D871" t="s">
        <v>10380</v>
      </c>
    </row>
    <row r="872" spans="1:4">
      <c r="A872" t="s">
        <v>10381</v>
      </c>
      <c r="B872" t="s">
        <v>1744</v>
      </c>
      <c r="C872" t="s">
        <v>10382</v>
      </c>
      <c r="D872" t="s">
        <v>10383</v>
      </c>
    </row>
    <row r="873" spans="1:4">
      <c r="A873" t="s">
        <v>10384</v>
      </c>
      <c r="B873" t="s">
        <v>1741</v>
      </c>
      <c r="C873" t="s">
        <v>10385</v>
      </c>
      <c r="D873" t="s">
        <v>10386</v>
      </c>
    </row>
    <row r="874" spans="1:4">
      <c r="A874" t="s">
        <v>10387</v>
      </c>
      <c r="B874" t="s">
        <v>1741</v>
      </c>
      <c r="C874" t="s">
        <v>10388</v>
      </c>
      <c r="D874" t="s">
        <v>10389</v>
      </c>
    </row>
    <row r="875" spans="1:4">
      <c r="A875" t="s">
        <v>10390</v>
      </c>
      <c r="B875" t="s">
        <v>1741</v>
      </c>
      <c r="C875" t="s">
        <v>10391</v>
      </c>
      <c r="D875" t="s">
        <v>10392</v>
      </c>
    </row>
    <row r="876" spans="1:4">
      <c r="A876" t="s">
        <v>10393</v>
      </c>
      <c r="B876" t="s">
        <v>1741</v>
      </c>
      <c r="C876" t="s">
        <v>10394</v>
      </c>
      <c r="D876" t="s">
        <v>10395</v>
      </c>
    </row>
    <row r="877" spans="1:4">
      <c r="A877" t="s">
        <v>10396</v>
      </c>
      <c r="B877" t="s">
        <v>1741</v>
      </c>
      <c r="C877" t="s">
        <v>10397</v>
      </c>
      <c r="D877" t="s">
        <v>10398</v>
      </c>
    </row>
    <row r="878" spans="1:4">
      <c r="A878" t="s">
        <v>10399</v>
      </c>
      <c r="B878" t="s">
        <v>1741</v>
      </c>
      <c r="C878" t="s">
        <v>10400</v>
      </c>
      <c r="D878" t="s">
        <v>10401</v>
      </c>
    </row>
    <row r="879" spans="1:4">
      <c r="A879" t="s">
        <v>10402</v>
      </c>
      <c r="B879" t="s">
        <v>1741</v>
      </c>
      <c r="C879" t="s">
        <v>10403</v>
      </c>
      <c r="D879" t="s">
        <v>10404</v>
      </c>
    </row>
    <row r="880" spans="1:4">
      <c r="A880" t="s">
        <v>10405</v>
      </c>
      <c r="B880" t="s">
        <v>1741</v>
      </c>
      <c r="C880" t="s">
        <v>10406</v>
      </c>
      <c r="D880" t="s">
        <v>10407</v>
      </c>
    </row>
    <row r="881" spans="1:4">
      <c r="A881" t="s">
        <v>10408</v>
      </c>
      <c r="B881" t="s">
        <v>1741</v>
      </c>
      <c r="C881" t="s">
        <v>10409</v>
      </c>
      <c r="D881" t="s">
        <v>10410</v>
      </c>
    </row>
    <row r="882" spans="1:4">
      <c r="A882" t="s">
        <v>10411</v>
      </c>
      <c r="B882" t="s">
        <v>1739</v>
      </c>
      <c r="C882" t="s">
        <v>10412</v>
      </c>
      <c r="D882" t="s">
        <v>10413</v>
      </c>
    </row>
    <row r="883" spans="1:4">
      <c r="A883" t="s">
        <v>10414</v>
      </c>
      <c r="B883" t="s">
        <v>1740</v>
      </c>
      <c r="C883" t="s">
        <v>10415</v>
      </c>
      <c r="D883" t="s">
        <v>10416</v>
      </c>
    </row>
    <row r="884" spans="1:4">
      <c r="A884" t="s">
        <v>10417</v>
      </c>
      <c r="B884" t="s">
        <v>1741</v>
      </c>
      <c r="C884" t="s">
        <v>10418</v>
      </c>
      <c r="D884" t="s">
        <v>10419</v>
      </c>
    </row>
    <row r="885" spans="1:4">
      <c r="A885" t="s">
        <v>10420</v>
      </c>
      <c r="B885" t="s">
        <v>1739</v>
      </c>
      <c r="C885" t="s">
        <v>10421</v>
      </c>
      <c r="D885" t="s">
        <v>10422</v>
      </c>
    </row>
    <row r="886" spans="1:4">
      <c r="A886" t="s">
        <v>10423</v>
      </c>
      <c r="B886" t="s">
        <v>1741</v>
      </c>
      <c r="C886" t="s">
        <v>10424</v>
      </c>
      <c r="D886" t="s">
        <v>10425</v>
      </c>
    </row>
    <row r="887" spans="1:4">
      <c r="A887" t="s">
        <v>10426</v>
      </c>
      <c r="B887" t="s">
        <v>1744</v>
      </c>
      <c r="C887" t="s">
        <v>10427</v>
      </c>
      <c r="D887" t="s">
        <v>10428</v>
      </c>
    </row>
    <row r="888" spans="1:4">
      <c r="A888" t="s">
        <v>10429</v>
      </c>
      <c r="B888" t="s">
        <v>1739</v>
      </c>
      <c r="C888" t="s">
        <v>10430</v>
      </c>
      <c r="D888" t="s">
        <v>10431</v>
      </c>
    </row>
    <row r="889" spans="1:4">
      <c r="A889" t="s">
        <v>10432</v>
      </c>
      <c r="B889" t="s">
        <v>1740</v>
      </c>
      <c r="C889" t="s">
        <v>10433</v>
      </c>
      <c r="D889" t="s">
        <v>10434</v>
      </c>
    </row>
    <row r="890" spans="1:4">
      <c r="A890" t="s">
        <v>10435</v>
      </c>
      <c r="B890" t="s">
        <v>1741</v>
      </c>
      <c r="C890" t="s">
        <v>10436</v>
      </c>
      <c r="D890" t="s">
        <v>10437</v>
      </c>
    </row>
    <row r="891" spans="1:4">
      <c r="A891" t="s">
        <v>10438</v>
      </c>
      <c r="B891" t="s">
        <v>1744</v>
      </c>
      <c r="C891" t="s">
        <v>10439</v>
      </c>
      <c r="D891" t="s">
        <v>10440</v>
      </c>
    </row>
    <row r="892" spans="1:4">
      <c r="A892" t="s">
        <v>10441</v>
      </c>
      <c r="B892" t="s">
        <v>1740</v>
      </c>
      <c r="C892" t="s">
        <v>10442</v>
      </c>
      <c r="D892" t="s">
        <v>10443</v>
      </c>
    </row>
    <row r="893" spans="1:4">
      <c r="A893" t="s">
        <v>10444</v>
      </c>
      <c r="B893" t="s">
        <v>1741</v>
      </c>
      <c r="C893" t="s">
        <v>10445</v>
      </c>
      <c r="D893" t="s">
        <v>10446</v>
      </c>
    </row>
    <row r="894" spans="1:4">
      <c r="A894" t="s">
        <v>10447</v>
      </c>
      <c r="B894" t="s">
        <v>1744</v>
      </c>
      <c r="C894" t="s">
        <v>10448</v>
      </c>
      <c r="D894" t="s">
        <v>10449</v>
      </c>
    </row>
    <row r="895" spans="1:4">
      <c r="A895" t="s">
        <v>10450</v>
      </c>
      <c r="B895" t="s">
        <v>1741</v>
      </c>
      <c r="C895" t="s">
        <v>10451</v>
      </c>
      <c r="D895" t="s">
        <v>10452</v>
      </c>
    </row>
    <row r="896" spans="1:4">
      <c r="A896" t="s">
        <v>10453</v>
      </c>
      <c r="B896" t="s">
        <v>1739</v>
      </c>
      <c r="C896" t="s">
        <v>10454</v>
      </c>
      <c r="D896" t="s">
        <v>10455</v>
      </c>
    </row>
    <row r="897" spans="1:4">
      <c r="A897" t="s">
        <v>10456</v>
      </c>
      <c r="B897" t="s">
        <v>1741</v>
      </c>
      <c r="C897" t="s">
        <v>10457</v>
      </c>
      <c r="D897" t="s">
        <v>10458</v>
      </c>
    </row>
    <row r="898" spans="1:4">
      <c r="A898" t="s">
        <v>10459</v>
      </c>
      <c r="B898" t="s">
        <v>1744</v>
      </c>
      <c r="C898" t="s">
        <v>10460</v>
      </c>
      <c r="D898" t="s">
        <v>10461</v>
      </c>
    </row>
    <row r="899" spans="1:4">
      <c r="A899" t="s">
        <v>10462</v>
      </c>
      <c r="B899" t="s">
        <v>1740</v>
      </c>
      <c r="C899" t="s">
        <v>10463</v>
      </c>
      <c r="D899" t="s">
        <v>10464</v>
      </c>
    </row>
    <row r="900" spans="1:4">
      <c r="A900" t="s">
        <v>10465</v>
      </c>
      <c r="B900" t="s">
        <v>1741</v>
      </c>
      <c r="C900" t="s">
        <v>10466</v>
      </c>
      <c r="D900" t="s">
        <v>10467</v>
      </c>
    </row>
    <row r="901" spans="1:4">
      <c r="A901" t="s">
        <v>10468</v>
      </c>
      <c r="B901" t="s">
        <v>1739</v>
      </c>
      <c r="C901" t="s">
        <v>10469</v>
      </c>
      <c r="D901" t="s">
        <v>10470</v>
      </c>
    </row>
    <row r="902" spans="1:4">
      <c r="A902" t="s">
        <v>10471</v>
      </c>
      <c r="B902" t="s">
        <v>1740</v>
      </c>
      <c r="C902" t="s">
        <v>10472</v>
      </c>
      <c r="D902" t="s">
        <v>10473</v>
      </c>
    </row>
    <row r="903" spans="1:4">
      <c r="A903" t="s">
        <v>10474</v>
      </c>
      <c r="B903" t="s">
        <v>1741</v>
      </c>
      <c r="C903" t="s">
        <v>10475</v>
      </c>
      <c r="D903" t="s">
        <v>10476</v>
      </c>
    </row>
    <row r="904" spans="1:4">
      <c r="A904" t="s">
        <v>10477</v>
      </c>
      <c r="B904" t="s">
        <v>1739</v>
      </c>
      <c r="C904" t="s">
        <v>10478</v>
      </c>
      <c r="D904" t="s">
        <v>10479</v>
      </c>
    </row>
    <row r="905" spans="1:4">
      <c r="A905" t="s">
        <v>10480</v>
      </c>
      <c r="B905" t="s">
        <v>1740</v>
      </c>
      <c r="C905" t="s">
        <v>10481</v>
      </c>
      <c r="D905" t="s">
        <v>10482</v>
      </c>
    </row>
    <row r="906" spans="1:4">
      <c r="A906" t="s">
        <v>10483</v>
      </c>
      <c r="B906" t="s">
        <v>1741</v>
      </c>
      <c r="C906" t="s">
        <v>10484</v>
      </c>
      <c r="D906" t="s">
        <v>10485</v>
      </c>
    </row>
    <row r="907" spans="1:4">
      <c r="A907" t="s">
        <v>10486</v>
      </c>
      <c r="B907" t="s">
        <v>1744</v>
      </c>
      <c r="C907" t="s">
        <v>10487</v>
      </c>
      <c r="D907" t="s">
        <v>10488</v>
      </c>
    </row>
    <row r="908" spans="1:4">
      <c r="A908" t="s">
        <v>10489</v>
      </c>
      <c r="B908" t="s">
        <v>1741</v>
      </c>
      <c r="C908" t="s">
        <v>10490</v>
      </c>
      <c r="D908" t="s">
        <v>10491</v>
      </c>
    </row>
    <row r="909" spans="1:4">
      <c r="A909" t="s">
        <v>10492</v>
      </c>
      <c r="B909" t="s">
        <v>1740</v>
      </c>
      <c r="C909" t="s">
        <v>10493</v>
      </c>
      <c r="D909" t="s">
        <v>10494</v>
      </c>
    </row>
    <row r="910" spans="1:4">
      <c r="A910" t="s">
        <v>10495</v>
      </c>
      <c r="B910" t="s">
        <v>1741</v>
      </c>
      <c r="C910" t="s">
        <v>10496</v>
      </c>
      <c r="D910" t="s">
        <v>10497</v>
      </c>
    </row>
    <row r="911" spans="1:4">
      <c r="A911" t="s">
        <v>10498</v>
      </c>
      <c r="B911" t="s">
        <v>1739</v>
      </c>
      <c r="C911" t="s">
        <v>10499</v>
      </c>
      <c r="D911" t="s">
        <v>10500</v>
      </c>
    </row>
    <row r="912" spans="1:4">
      <c r="A912" t="s">
        <v>10501</v>
      </c>
      <c r="B912" t="s">
        <v>1740</v>
      </c>
      <c r="C912" t="s">
        <v>10502</v>
      </c>
      <c r="D912" t="s">
        <v>10503</v>
      </c>
    </row>
    <row r="913" spans="1:4">
      <c r="A913" t="s">
        <v>10504</v>
      </c>
      <c r="B913" t="s">
        <v>1741</v>
      </c>
      <c r="C913" t="s">
        <v>10505</v>
      </c>
      <c r="D913" t="s">
        <v>10506</v>
      </c>
    </row>
    <row r="914" spans="1:4">
      <c r="A914" t="s">
        <v>10507</v>
      </c>
      <c r="B914" t="s">
        <v>1744</v>
      </c>
      <c r="C914" t="s">
        <v>10508</v>
      </c>
      <c r="D914" t="s">
        <v>10509</v>
      </c>
    </row>
    <row r="915" spans="1:4">
      <c r="A915" t="s">
        <v>10510</v>
      </c>
      <c r="B915" t="s">
        <v>1739</v>
      </c>
      <c r="C915" t="s">
        <v>10511</v>
      </c>
      <c r="D915" t="s">
        <v>10512</v>
      </c>
    </row>
    <row r="916" spans="1:4">
      <c r="A916" t="s">
        <v>10513</v>
      </c>
      <c r="B916" t="s">
        <v>1740</v>
      </c>
      <c r="C916" t="s">
        <v>10514</v>
      </c>
      <c r="D916" t="s">
        <v>10515</v>
      </c>
    </row>
    <row r="917" spans="1:4">
      <c r="A917" t="s">
        <v>10516</v>
      </c>
      <c r="B917" t="s">
        <v>1741</v>
      </c>
      <c r="C917" t="s">
        <v>10517</v>
      </c>
      <c r="D917" t="s">
        <v>10518</v>
      </c>
    </row>
    <row r="918" spans="1:4">
      <c r="A918" t="s">
        <v>10519</v>
      </c>
      <c r="B918" t="s">
        <v>1744</v>
      </c>
      <c r="C918" t="s">
        <v>10520</v>
      </c>
      <c r="D918" t="s">
        <v>10521</v>
      </c>
    </row>
    <row r="919" spans="1:4">
      <c r="A919" t="s">
        <v>10522</v>
      </c>
      <c r="B919" t="s">
        <v>1741</v>
      </c>
      <c r="C919" t="s">
        <v>10523</v>
      </c>
      <c r="D919" t="s">
        <v>10524</v>
      </c>
    </row>
    <row r="920" spans="1:4">
      <c r="A920" t="s">
        <v>10525</v>
      </c>
      <c r="B920" t="s">
        <v>1740</v>
      </c>
      <c r="C920" t="s">
        <v>10526</v>
      </c>
      <c r="D920" t="s">
        <v>10527</v>
      </c>
    </row>
    <row r="921" spans="1:4">
      <c r="A921" t="s">
        <v>10528</v>
      </c>
      <c r="B921" t="s">
        <v>1741</v>
      </c>
      <c r="C921" t="s">
        <v>10529</v>
      </c>
      <c r="D921" t="s">
        <v>10530</v>
      </c>
    </row>
    <row r="922" spans="1:4">
      <c r="A922" t="s">
        <v>10531</v>
      </c>
      <c r="B922" t="s">
        <v>1744</v>
      </c>
      <c r="C922" t="s">
        <v>10532</v>
      </c>
      <c r="D922" t="s">
        <v>10533</v>
      </c>
    </row>
    <row r="923" spans="1:4">
      <c r="A923" t="s">
        <v>10534</v>
      </c>
      <c r="B923" t="s">
        <v>1739</v>
      </c>
      <c r="C923" t="s">
        <v>10535</v>
      </c>
      <c r="D923" t="s">
        <v>10536</v>
      </c>
    </row>
    <row r="924" spans="1:4">
      <c r="A924" t="s">
        <v>10537</v>
      </c>
      <c r="B924" t="s">
        <v>1741</v>
      </c>
      <c r="C924" t="s">
        <v>10538</v>
      </c>
      <c r="D924" t="s">
        <v>10539</v>
      </c>
    </row>
    <row r="925" spans="1:4">
      <c r="A925" t="s">
        <v>10540</v>
      </c>
      <c r="B925" t="s">
        <v>1744</v>
      </c>
      <c r="C925" t="s">
        <v>10541</v>
      </c>
      <c r="D925" t="s">
        <v>10542</v>
      </c>
    </row>
    <row r="926" spans="1:4">
      <c r="A926" t="s">
        <v>10543</v>
      </c>
      <c r="B926" t="s">
        <v>1741</v>
      </c>
      <c r="C926" t="s">
        <v>10544</v>
      </c>
      <c r="D926" t="s">
        <v>10545</v>
      </c>
    </row>
    <row r="927" spans="1:4">
      <c r="A927" t="s">
        <v>10546</v>
      </c>
      <c r="B927" t="s">
        <v>1740</v>
      </c>
      <c r="C927" t="s">
        <v>10547</v>
      </c>
      <c r="D927" t="s">
        <v>10548</v>
      </c>
    </row>
    <row r="928" spans="1:4">
      <c r="A928" t="s">
        <v>10549</v>
      </c>
      <c r="B928" t="s">
        <v>1741</v>
      </c>
      <c r="C928" t="s">
        <v>10550</v>
      </c>
      <c r="D928" t="s">
        <v>10551</v>
      </c>
    </row>
    <row r="929" spans="1:4">
      <c r="A929" t="s">
        <v>10552</v>
      </c>
      <c r="B929" t="s">
        <v>1744</v>
      </c>
      <c r="C929" t="s">
        <v>10553</v>
      </c>
      <c r="D929" t="s">
        <v>10554</v>
      </c>
    </row>
    <row r="930" spans="1:4">
      <c r="A930" t="s">
        <v>10555</v>
      </c>
      <c r="B930" t="s">
        <v>1741</v>
      </c>
      <c r="C930" t="s">
        <v>10556</v>
      </c>
      <c r="D930" t="s">
        <v>10557</v>
      </c>
    </row>
    <row r="931" spans="1:4">
      <c r="A931" t="s">
        <v>10558</v>
      </c>
      <c r="B931" t="s">
        <v>1740</v>
      </c>
      <c r="C931" t="s">
        <v>10559</v>
      </c>
      <c r="D931" t="s">
        <v>10560</v>
      </c>
    </row>
    <row r="932" spans="1:4">
      <c r="A932" t="s">
        <v>10561</v>
      </c>
      <c r="B932" t="s">
        <v>1741</v>
      </c>
      <c r="C932" t="s">
        <v>10562</v>
      </c>
      <c r="D932" t="s">
        <v>10563</v>
      </c>
    </row>
    <row r="933" spans="1:4">
      <c r="A933" t="s">
        <v>10564</v>
      </c>
      <c r="B933" t="s">
        <v>1744</v>
      </c>
      <c r="C933" t="s">
        <v>10565</v>
      </c>
      <c r="D933" t="s">
        <v>10566</v>
      </c>
    </row>
    <row r="934" spans="1:4">
      <c r="A934" t="s">
        <v>10567</v>
      </c>
      <c r="B934" t="s">
        <v>1741</v>
      </c>
      <c r="C934" t="s">
        <v>10568</v>
      </c>
      <c r="D934" t="s">
        <v>10569</v>
      </c>
    </row>
    <row r="935" spans="1:4">
      <c r="A935" t="s">
        <v>10570</v>
      </c>
      <c r="B935" t="s">
        <v>1744</v>
      </c>
      <c r="C935" t="s">
        <v>10571</v>
      </c>
      <c r="D935" t="s">
        <v>10572</v>
      </c>
    </row>
    <row r="936" spans="1:4">
      <c r="A936" t="s">
        <v>10573</v>
      </c>
      <c r="B936" t="s">
        <v>1739</v>
      </c>
      <c r="C936" t="s">
        <v>10574</v>
      </c>
      <c r="D936" t="s">
        <v>10575</v>
      </c>
    </row>
    <row r="937" spans="1:4">
      <c r="A937" t="s">
        <v>10576</v>
      </c>
      <c r="B937" t="s">
        <v>1740</v>
      </c>
      <c r="C937" t="s">
        <v>10577</v>
      </c>
      <c r="D937" t="s">
        <v>10578</v>
      </c>
    </row>
    <row r="938" spans="1:4">
      <c r="A938" t="s">
        <v>10579</v>
      </c>
      <c r="B938" t="s">
        <v>1741</v>
      </c>
      <c r="C938" t="s">
        <v>10580</v>
      </c>
      <c r="D938" t="s">
        <v>10581</v>
      </c>
    </row>
    <row r="939" spans="1:4">
      <c r="A939" t="s">
        <v>10582</v>
      </c>
      <c r="B939" t="s">
        <v>1744</v>
      </c>
      <c r="C939" t="s">
        <v>10583</v>
      </c>
      <c r="D939" t="s">
        <v>10584</v>
      </c>
    </row>
    <row r="940" spans="1:4">
      <c r="A940" t="s">
        <v>10585</v>
      </c>
      <c r="B940" t="s">
        <v>1741</v>
      </c>
      <c r="C940" t="s">
        <v>10586</v>
      </c>
      <c r="D940" t="s">
        <v>10587</v>
      </c>
    </row>
    <row r="941" spans="1:4">
      <c r="A941" t="s">
        <v>10588</v>
      </c>
      <c r="B941" t="s">
        <v>1744</v>
      </c>
      <c r="C941" t="s">
        <v>10589</v>
      </c>
      <c r="D941" t="s">
        <v>10590</v>
      </c>
    </row>
    <row r="942" spans="1:4">
      <c r="A942" t="s">
        <v>10591</v>
      </c>
      <c r="B942" t="s">
        <v>1741</v>
      </c>
      <c r="C942" t="s">
        <v>10592</v>
      </c>
      <c r="D942" t="s">
        <v>10593</v>
      </c>
    </row>
    <row r="943" spans="1:4">
      <c r="A943" t="s">
        <v>10594</v>
      </c>
      <c r="B943" t="s">
        <v>1740</v>
      </c>
      <c r="C943" t="s">
        <v>10595</v>
      </c>
      <c r="D943" t="s">
        <v>10596</v>
      </c>
    </row>
    <row r="944" spans="1:4">
      <c r="A944" t="s">
        <v>10597</v>
      </c>
      <c r="B944" t="s">
        <v>1741</v>
      </c>
      <c r="C944" t="s">
        <v>10598</v>
      </c>
      <c r="D944" t="s">
        <v>10599</v>
      </c>
    </row>
    <row r="945" spans="1:4">
      <c r="A945" t="s">
        <v>10600</v>
      </c>
      <c r="B945" t="s">
        <v>1744</v>
      </c>
      <c r="C945" t="s">
        <v>10601</v>
      </c>
      <c r="D945" t="s">
        <v>10602</v>
      </c>
    </row>
    <row r="946" spans="1:4">
      <c r="A946" t="s">
        <v>10603</v>
      </c>
      <c r="B946" t="s">
        <v>1741</v>
      </c>
      <c r="C946" t="s">
        <v>10604</v>
      </c>
      <c r="D946" t="s">
        <v>10605</v>
      </c>
    </row>
    <row r="947" spans="1:4">
      <c r="A947" t="s">
        <v>10606</v>
      </c>
      <c r="B947" t="s">
        <v>1744</v>
      </c>
      <c r="C947" t="s">
        <v>10607</v>
      </c>
      <c r="D947" t="s">
        <v>10608</v>
      </c>
    </row>
    <row r="948" spans="1:4">
      <c r="A948" t="s">
        <v>10609</v>
      </c>
      <c r="B948" t="s">
        <v>1744</v>
      </c>
      <c r="C948" t="s">
        <v>10610</v>
      </c>
      <c r="D948" t="s">
        <v>10611</v>
      </c>
    </row>
    <row r="949" spans="1:4">
      <c r="A949" t="s">
        <v>10612</v>
      </c>
      <c r="B949" t="s">
        <v>1741</v>
      </c>
      <c r="C949" t="s">
        <v>10613</v>
      </c>
      <c r="D949" t="s">
        <v>10614</v>
      </c>
    </row>
    <row r="950" spans="1:4">
      <c r="A950" t="s">
        <v>10615</v>
      </c>
      <c r="B950" t="s">
        <v>1741</v>
      </c>
      <c r="C950" t="s">
        <v>10616</v>
      </c>
      <c r="D950" t="s">
        <v>10617</v>
      </c>
    </row>
    <row r="951" spans="1:4">
      <c r="A951" t="s">
        <v>10618</v>
      </c>
      <c r="B951" t="s">
        <v>1741</v>
      </c>
      <c r="C951" t="s">
        <v>10619</v>
      </c>
      <c r="D951" t="s">
        <v>10620</v>
      </c>
    </row>
    <row r="952" spans="1:4">
      <c r="A952" t="s">
        <v>10621</v>
      </c>
      <c r="B952" t="s">
        <v>1741</v>
      </c>
      <c r="C952" t="s">
        <v>10622</v>
      </c>
      <c r="D952" t="s">
        <v>10623</v>
      </c>
    </row>
    <row r="953" spans="1:4">
      <c r="A953" t="s">
        <v>10624</v>
      </c>
      <c r="B953" t="s">
        <v>1741</v>
      </c>
      <c r="C953" t="s">
        <v>10625</v>
      </c>
      <c r="D953" t="s">
        <v>10626</v>
      </c>
    </row>
    <row r="954" spans="1:4">
      <c r="A954" t="s">
        <v>10627</v>
      </c>
      <c r="B954" t="s">
        <v>1741</v>
      </c>
      <c r="C954" t="s">
        <v>10628</v>
      </c>
      <c r="D954" t="s">
        <v>10629</v>
      </c>
    </row>
    <row r="955" spans="1:4">
      <c r="A955" t="s">
        <v>10630</v>
      </c>
      <c r="B955" t="s">
        <v>1739</v>
      </c>
      <c r="C955" t="s">
        <v>10631</v>
      </c>
      <c r="D955" t="s">
        <v>10632</v>
      </c>
    </row>
    <row r="956" spans="1:4">
      <c r="A956" t="s">
        <v>10633</v>
      </c>
      <c r="B956" t="s">
        <v>1740</v>
      </c>
      <c r="C956" t="s">
        <v>10634</v>
      </c>
      <c r="D956" t="s">
        <v>10635</v>
      </c>
    </row>
    <row r="957" spans="1:4">
      <c r="A957" t="s">
        <v>10636</v>
      </c>
      <c r="B957" t="s">
        <v>1741</v>
      </c>
      <c r="C957" t="s">
        <v>10637</v>
      </c>
      <c r="D957" t="s">
        <v>10638</v>
      </c>
    </row>
    <row r="958" spans="1:4">
      <c r="A958" t="s">
        <v>10639</v>
      </c>
      <c r="B958" t="s">
        <v>1741</v>
      </c>
      <c r="C958" t="s">
        <v>10640</v>
      </c>
      <c r="D958" t="s">
        <v>10641</v>
      </c>
    </row>
    <row r="959" spans="1:4">
      <c r="A959" t="s">
        <v>10642</v>
      </c>
      <c r="B959" t="s">
        <v>1744</v>
      </c>
      <c r="C959" t="s">
        <v>10643</v>
      </c>
      <c r="D959" t="s">
        <v>10644</v>
      </c>
    </row>
    <row r="960" spans="1:4">
      <c r="A960" t="s">
        <v>10645</v>
      </c>
      <c r="B960" t="s">
        <v>1741</v>
      </c>
      <c r="C960" t="s">
        <v>10646</v>
      </c>
      <c r="D960" t="s">
        <v>10647</v>
      </c>
    </row>
    <row r="961" spans="1:4">
      <c r="A961" t="s">
        <v>10648</v>
      </c>
      <c r="B961" t="s">
        <v>1744</v>
      </c>
      <c r="C961" t="s">
        <v>10649</v>
      </c>
      <c r="D961" t="s">
        <v>10650</v>
      </c>
    </row>
    <row r="962" spans="1:4">
      <c r="A962" t="s">
        <v>10651</v>
      </c>
      <c r="B962" t="s">
        <v>1739</v>
      </c>
      <c r="C962" t="s">
        <v>10652</v>
      </c>
      <c r="D962" t="s">
        <v>10653</v>
      </c>
    </row>
    <row r="963" spans="1:4">
      <c r="A963" t="s">
        <v>10654</v>
      </c>
      <c r="B963" t="s">
        <v>1741</v>
      </c>
      <c r="C963" t="s">
        <v>10655</v>
      </c>
      <c r="D963" t="s">
        <v>10656</v>
      </c>
    </row>
    <row r="964" spans="1:4">
      <c r="A964" t="s">
        <v>10657</v>
      </c>
      <c r="B964" t="s">
        <v>1741</v>
      </c>
      <c r="C964" t="s">
        <v>10658</v>
      </c>
      <c r="D964" t="s">
        <v>10659</v>
      </c>
    </row>
    <row r="965" spans="1:4">
      <c r="A965" t="s">
        <v>10660</v>
      </c>
      <c r="B965" t="s">
        <v>1739</v>
      </c>
      <c r="C965" t="s">
        <v>10661</v>
      </c>
      <c r="D965" t="s">
        <v>10662</v>
      </c>
    </row>
    <row r="966" spans="1:4">
      <c r="A966" t="s">
        <v>10663</v>
      </c>
      <c r="B966" t="s">
        <v>1741</v>
      </c>
      <c r="C966" t="s">
        <v>10664</v>
      </c>
      <c r="D966" t="s">
        <v>10665</v>
      </c>
    </row>
    <row r="967" spans="1:4">
      <c r="A967" t="s">
        <v>10666</v>
      </c>
      <c r="B967" t="s">
        <v>1739</v>
      </c>
      <c r="C967" t="s">
        <v>10667</v>
      </c>
      <c r="D967" t="s">
        <v>10668</v>
      </c>
    </row>
    <row r="968" spans="1:4">
      <c r="A968" t="s">
        <v>10669</v>
      </c>
      <c r="B968" t="s">
        <v>1740</v>
      </c>
      <c r="C968" t="s">
        <v>10670</v>
      </c>
      <c r="D968" t="s">
        <v>10671</v>
      </c>
    </row>
    <row r="969" spans="1:4">
      <c r="A969" t="s">
        <v>10672</v>
      </c>
      <c r="B969" t="s">
        <v>1741</v>
      </c>
      <c r="C969" t="s">
        <v>10673</v>
      </c>
      <c r="D969" t="s">
        <v>10674</v>
      </c>
    </row>
    <row r="970" spans="1:4">
      <c r="A970" t="s">
        <v>10675</v>
      </c>
      <c r="B970" t="s">
        <v>1744</v>
      </c>
      <c r="C970" t="s">
        <v>10676</v>
      </c>
      <c r="D970" t="s">
        <v>10677</v>
      </c>
    </row>
    <row r="971" spans="1:4">
      <c r="A971" t="s">
        <v>10678</v>
      </c>
      <c r="B971" t="s">
        <v>1741</v>
      </c>
      <c r="C971" t="s">
        <v>10679</v>
      </c>
      <c r="D971" t="s">
        <v>10680</v>
      </c>
    </row>
    <row r="972" spans="1:4">
      <c r="A972" t="s">
        <v>10681</v>
      </c>
      <c r="B972" t="s">
        <v>1741</v>
      </c>
      <c r="C972" t="s">
        <v>10682</v>
      </c>
      <c r="D972" t="s">
        <v>10683</v>
      </c>
    </row>
    <row r="973" spans="1:4">
      <c r="A973" t="s">
        <v>10684</v>
      </c>
      <c r="B973" t="s">
        <v>1740</v>
      </c>
      <c r="C973" t="s">
        <v>10685</v>
      </c>
      <c r="D973" t="s">
        <v>10686</v>
      </c>
    </row>
    <row r="974" spans="1:4">
      <c r="A974" t="s">
        <v>10687</v>
      </c>
      <c r="B974" t="s">
        <v>1741</v>
      </c>
      <c r="C974" t="s">
        <v>10688</v>
      </c>
      <c r="D974" t="s">
        <v>10689</v>
      </c>
    </row>
    <row r="975" spans="1:4">
      <c r="A975" t="s">
        <v>10690</v>
      </c>
      <c r="B975" t="s">
        <v>1739</v>
      </c>
      <c r="C975" t="s">
        <v>10691</v>
      </c>
      <c r="D975" t="s">
        <v>10692</v>
      </c>
    </row>
    <row r="976" spans="1:4">
      <c r="A976" t="s">
        <v>10693</v>
      </c>
      <c r="B976" t="s">
        <v>1740</v>
      </c>
      <c r="C976" t="s">
        <v>10694</v>
      </c>
      <c r="D976" t="s">
        <v>10695</v>
      </c>
    </row>
    <row r="977" spans="1:4">
      <c r="A977" t="s">
        <v>10696</v>
      </c>
      <c r="B977" t="s">
        <v>1741</v>
      </c>
      <c r="C977" t="s">
        <v>10697</v>
      </c>
      <c r="D977" t="s">
        <v>10698</v>
      </c>
    </row>
    <row r="978" spans="1:4">
      <c r="A978" t="s">
        <v>10699</v>
      </c>
      <c r="B978" t="s">
        <v>1741</v>
      </c>
      <c r="C978" t="s">
        <v>10700</v>
      </c>
      <c r="D978" t="s">
        <v>10701</v>
      </c>
    </row>
    <row r="979" spans="1:4">
      <c r="A979" t="s">
        <v>10702</v>
      </c>
      <c r="B979" t="s">
        <v>1740</v>
      </c>
      <c r="C979" t="s">
        <v>10703</v>
      </c>
      <c r="D979" t="s">
        <v>10704</v>
      </c>
    </row>
    <row r="980" spans="1:4">
      <c r="A980" t="s">
        <v>10705</v>
      </c>
      <c r="B980" t="s">
        <v>1741</v>
      </c>
      <c r="C980" t="s">
        <v>10706</v>
      </c>
      <c r="D980" t="s">
        <v>10707</v>
      </c>
    </row>
    <row r="981" spans="1:4">
      <c r="A981" t="s">
        <v>10708</v>
      </c>
      <c r="B981" t="s">
        <v>1741</v>
      </c>
      <c r="C981" t="s">
        <v>10709</v>
      </c>
      <c r="D981" t="s">
        <v>10710</v>
      </c>
    </row>
    <row r="982" spans="1:4">
      <c r="A982" t="s">
        <v>10711</v>
      </c>
      <c r="B982" t="s">
        <v>1739</v>
      </c>
      <c r="C982" t="s">
        <v>10712</v>
      </c>
      <c r="D982" t="s">
        <v>10713</v>
      </c>
    </row>
    <row r="983" spans="1:4">
      <c r="A983" t="s">
        <v>10714</v>
      </c>
      <c r="B983" t="s">
        <v>1740</v>
      </c>
      <c r="C983" t="s">
        <v>10715</v>
      </c>
      <c r="D983" t="s">
        <v>10716</v>
      </c>
    </row>
    <row r="984" spans="1:4">
      <c r="A984" t="s">
        <v>10717</v>
      </c>
      <c r="B984" t="s">
        <v>1741</v>
      </c>
      <c r="C984" t="s">
        <v>10718</v>
      </c>
      <c r="D984" t="s">
        <v>10719</v>
      </c>
    </row>
    <row r="985" spans="1:4">
      <c r="A985" t="s">
        <v>10720</v>
      </c>
      <c r="B985" t="s">
        <v>1744</v>
      </c>
      <c r="C985" t="s">
        <v>10721</v>
      </c>
      <c r="D985" t="s">
        <v>10722</v>
      </c>
    </row>
    <row r="986" spans="1:4">
      <c r="A986" t="s">
        <v>10723</v>
      </c>
      <c r="B986" t="s">
        <v>1739</v>
      </c>
      <c r="C986" t="s">
        <v>10724</v>
      </c>
      <c r="D986" t="s">
        <v>10725</v>
      </c>
    </row>
    <row r="987" spans="1:4">
      <c r="A987" t="s">
        <v>10726</v>
      </c>
      <c r="B987" t="s">
        <v>1740</v>
      </c>
      <c r="C987" t="s">
        <v>10727</v>
      </c>
      <c r="D987" t="s">
        <v>10728</v>
      </c>
    </row>
    <row r="988" spans="1:4">
      <c r="A988" t="s">
        <v>10729</v>
      </c>
      <c r="B988" t="s">
        <v>1741</v>
      </c>
      <c r="C988" t="s">
        <v>10730</v>
      </c>
      <c r="D988" t="s">
        <v>10731</v>
      </c>
    </row>
    <row r="989" spans="1:4">
      <c r="A989" t="s">
        <v>10732</v>
      </c>
      <c r="B989" t="s">
        <v>1744</v>
      </c>
      <c r="C989" t="s">
        <v>10733</v>
      </c>
      <c r="D989" t="s">
        <v>10734</v>
      </c>
    </row>
    <row r="990" spans="1:4">
      <c r="A990" t="s">
        <v>10735</v>
      </c>
      <c r="B990" t="s">
        <v>1739</v>
      </c>
      <c r="C990" t="s">
        <v>10736</v>
      </c>
      <c r="D990" t="s">
        <v>10737</v>
      </c>
    </row>
    <row r="991" spans="1:4">
      <c r="A991" t="s">
        <v>10738</v>
      </c>
      <c r="B991" t="s">
        <v>1740</v>
      </c>
      <c r="C991" t="s">
        <v>10739</v>
      </c>
      <c r="D991" t="s">
        <v>10740</v>
      </c>
    </row>
    <row r="992" spans="1:4">
      <c r="A992" t="s">
        <v>10741</v>
      </c>
      <c r="B992" t="s">
        <v>1741</v>
      </c>
      <c r="C992" t="s">
        <v>10742</v>
      </c>
      <c r="D992" t="s">
        <v>10743</v>
      </c>
    </row>
    <row r="993" spans="1:4">
      <c r="A993" t="s">
        <v>10744</v>
      </c>
      <c r="B993" t="s">
        <v>1744</v>
      </c>
      <c r="C993" t="s">
        <v>10745</v>
      </c>
      <c r="D993" t="s">
        <v>10746</v>
      </c>
    </row>
    <row r="994" spans="1:4">
      <c r="A994" t="s">
        <v>10747</v>
      </c>
      <c r="B994" t="s">
        <v>1741</v>
      </c>
      <c r="C994" t="s">
        <v>10748</v>
      </c>
      <c r="D994" t="s">
        <v>10749</v>
      </c>
    </row>
    <row r="995" spans="1:4">
      <c r="A995" t="s">
        <v>10750</v>
      </c>
      <c r="B995" t="s">
        <v>1741</v>
      </c>
      <c r="C995" t="s">
        <v>10751</v>
      </c>
      <c r="D995" t="s">
        <v>10752</v>
      </c>
    </row>
    <row r="996" spans="1:4">
      <c r="A996" t="s">
        <v>10753</v>
      </c>
      <c r="B996" t="s">
        <v>1741</v>
      </c>
      <c r="C996" t="s">
        <v>10754</v>
      </c>
      <c r="D996" t="s">
        <v>10755</v>
      </c>
    </row>
    <row r="997" spans="1:4">
      <c r="A997" t="s">
        <v>10756</v>
      </c>
      <c r="B997" t="s">
        <v>1741</v>
      </c>
      <c r="C997" t="s">
        <v>10757</v>
      </c>
      <c r="D997" t="s">
        <v>10758</v>
      </c>
    </row>
    <row r="998" spans="1:4">
      <c r="A998" t="s">
        <v>10759</v>
      </c>
      <c r="B998" t="s">
        <v>1741</v>
      </c>
      <c r="C998" t="s">
        <v>10760</v>
      </c>
      <c r="D998" t="s">
        <v>10761</v>
      </c>
    </row>
    <row r="999" spans="1:4">
      <c r="A999" t="s">
        <v>10762</v>
      </c>
      <c r="B999" t="s">
        <v>1741</v>
      </c>
      <c r="C999" t="s">
        <v>10763</v>
      </c>
      <c r="D999" t="s">
        <v>10764</v>
      </c>
    </row>
    <row r="1000" spans="1:4">
      <c r="A1000" t="s">
        <v>10765</v>
      </c>
      <c r="B1000" t="s">
        <v>1744</v>
      </c>
      <c r="C1000" t="s">
        <v>10766</v>
      </c>
      <c r="D1000" t="s">
        <v>10767</v>
      </c>
    </row>
    <row r="1001" spans="1:4">
      <c r="A1001" t="s">
        <v>10768</v>
      </c>
      <c r="B1001" t="s">
        <v>1739</v>
      </c>
      <c r="C1001" t="s">
        <v>10769</v>
      </c>
      <c r="D1001" t="s">
        <v>10770</v>
      </c>
    </row>
    <row r="1002" spans="1:4">
      <c r="A1002" t="s">
        <v>10771</v>
      </c>
      <c r="B1002" t="s">
        <v>1741</v>
      </c>
      <c r="C1002" t="s">
        <v>10772</v>
      </c>
      <c r="D1002" t="s">
        <v>10773</v>
      </c>
    </row>
    <row r="1003" spans="1:4">
      <c r="A1003" t="s">
        <v>10774</v>
      </c>
      <c r="B1003" t="s">
        <v>1739</v>
      </c>
      <c r="C1003" t="s">
        <v>10775</v>
      </c>
      <c r="D1003" t="s">
        <v>10776</v>
      </c>
    </row>
    <row r="1004" spans="1:4">
      <c r="A1004" t="s">
        <v>10777</v>
      </c>
      <c r="B1004" t="s">
        <v>1741</v>
      </c>
      <c r="C1004" t="s">
        <v>10778</v>
      </c>
      <c r="D1004" t="s">
        <v>10779</v>
      </c>
    </row>
    <row r="1005" spans="1:4">
      <c r="A1005" t="s">
        <v>10780</v>
      </c>
      <c r="B1005" t="s">
        <v>1744</v>
      </c>
      <c r="C1005" t="s">
        <v>10781</v>
      </c>
      <c r="D1005" t="s">
        <v>10782</v>
      </c>
    </row>
    <row r="1006" spans="1:4">
      <c r="A1006" t="s">
        <v>10783</v>
      </c>
      <c r="B1006" t="s">
        <v>1739</v>
      </c>
      <c r="C1006" t="s">
        <v>10784</v>
      </c>
      <c r="D1006" t="s">
        <v>10785</v>
      </c>
    </row>
    <row r="1007" spans="1:4">
      <c r="A1007" t="s">
        <v>10786</v>
      </c>
      <c r="B1007" t="s">
        <v>1740</v>
      </c>
      <c r="C1007" t="s">
        <v>10787</v>
      </c>
      <c r="D1007" t="s">
        <v>10788</v>
      </c>
    </row>
    <row r="1008" spans="1:4">
      <c r="A1008" t="s">
        <v>10789</v>
      </c>
      <c r="B1008" t="s">
        <v>1741</v>
      </c>
      <c r="C1008" t="s">
        <v>10790</v>
      </c>
      <c r="D1008" t="s">
        <v>10791</v>
      </c>
    </row>
    <row r="1009" spans="1:4">
      <c r="A1009" t="s">
        <v>10792</v>
      </c>
      <c r="B1009" t="s">
        <v>1741</v>
      </c>
      <c r="C1009" t="s">
        <v>10793</v>
      </c>
      <c r="D1009" t="s">
        <v>10794</v>
      </c>
    </row>
    <row r="1010" spans="1:4">
      <c r="A1010" t="s">
        <v>10795</v>
      </c>
      <c r="B1010" t="s">
        <v>1744</v>
      </c>
      <c r="C1010" t="s">
        <v>10796</v>
      </c>
      <c r="D1010" t="s">
        <v>10797</v>
      </c>
    </row>
    <row r="1011" spans="1:4">
      <c r="A1011" t="s">
        <v>10798</v>
      </c>
      <c r="B1011" t="s">
        <v>1741</v>
      </c>
      <c r="C1011" t="s">
        <v>10799</v>
      </c>
      <c r="D1011" t="s">
        <v>10800</v>
      </c>
    </row>
    <row r="1012" spans="1:4">
      <c r="A1012" t="s">
        <v>10801</v>
      </c>
      <c r="B1012" t="s">
        <v>1739</v>
      </c>
      <c r="C1012" t="s">
        <v>10802</v>
      </c>
      <c r="D1012" t="s">
        <v>10803</v>
      </c>
    </row>
    <row r="1013" spans="1:4">
      <c r="A1013" t="s">
        <v>10804</v>
      </c>
      <c r="B1013" t="s">
        <v>1740</v>
      </c>
      <c r="C1013" t="s">
        <v>10805</v>
      </c>
      <c r="D1013" t="s">
        <v>10806</v>
      </c>
    </row>
    <row r="1014" spans="1:4">
      <c r="A1014" t="s">
        <v>10807</v>
      </c>
      <c r="B1014" t="s">
        <v>1741</v>
      </c>
      <c r="C1014" t="s">
        <v>10808</v>
      </c>
      <c r="D1014" t="s">
        <v>10809</v>
      </c>
    </row>
    <row r="1015" spans="1:4">
      <c r="A1015" t="s">
        <v>10810</v>
      </c>
      <c r="B1015" t="s">
        <v>1744</v>
      </c>
      <c r="C1015" t="s">
        <v>10811</v>
      </c>
      <c r="D1015" t="s">
        <v>10812</v>
      </c>
    </row>
    <row r="1016" spans="1:4">
      <c r="A1016" t="s">
        <v>10813</v>
      </c>
      <c r="B1016" t="s">
        <v>1741</v>
      </c>
      <c r="C1016" t="s">
        <v>10814</v>
      </c>
      <c r="D1016" t="s">
        <v>10815</v>
      </c>
    </row>
    <row r="1017" spans="1:4">
      <c r="A1017" t="s">
        <v>10816</v>
      </c>
      <c r="B1017" t="s">
        <v>1744</v>
      </c>
      <c r="C1017" t="s">
        <v>10817</v>
      </c>
      <c r="D1017" t="s">
        <v>10818</v>
      </c>
    </row>
    <row r="1018" spans="1:4">
      <c r="A1018" t="s">
        <v>10819</v>
      </c>
      <c r="B1018" t="s">
        <v>1741</v>
      </c>
      <c r="C1018" t="s">
        <v>10820</v>
      </c>
      <c r="D1018" t="s">
        <v>10821</v>
      </c>
    </row>
    <row r="1019" spans="1:4">
      <c r="A1019" t="s">
        <v>10822</v>
      </c>
      <c r="B1019" t="s">
        <v>1744</v>
      </c>
      <c r="C1019" t="s">
        <v>10823</v>
      </c>
      <c r="D1019" t="s">
        <v>10824</v>
      </c>
    </row>
    <row r="1020" spans="1:4">
      <c r="A1020" t="s">
        <v>10825</v>
      </c>
      <c r="B1020" t="s">
        <v>1741</v>
      </c>
      <c r="C1020" t="s">
        <v>10826</v>
      </c>
      <c r="D1020" t="s">
        <v>10827</v>
      </c>
    </row>
    <row r="1021" spans="1:4">
      <c r="A1021" t="s">
        <v>10828</v>
      </c>
      <c r="B1021" t="s">
        <v>1741</v>
      </c>
      <c r="C1021" t="s">
        <v>10829</v>
      </c>
      <c r="D1021" t="s">
        <v>10830</v>
      </c>
    </row>
    <row r="1022" spans="1:4">
      <c r="A1022" t="s">
        <v>10831</v>
      </c>
      <c r="B1022" t="s">
        <v>1744</v>
      </c>
      <c r="C1022" t="s">
        <v>10832</v>
      </c>
      <c r="D1022" t="s">
        <v>10833</v>
      </c>
    </row>
    <row r="1023" spans="1:4">
      <c r="A1023" t="s">
        <v>10834</v>
      </c>
      <c r="B1023" t="s">
        <v>1739</v>
      </c>
      <c r="C1023" t="s">
        <v>10835</v>
      </c>
      <c r="D1023" t="s">
        <v>10836</v>
      </c>
    </row>
    <row r="1024" spans="1:4">
      <c r="A1024" t="s">
        <v>10837</v>
      </c>
      <c r="B1024" t="s">
        <v>1741</v>
      </c>
      <c r="C1024" t="s">
        <v>10838</v>
      </c>
      <c r="D1024" t="s">
        <v>10839</v>
      </c>
    </row>
    <row r="1025" spans="1:4">
      <c r="A1025" t="s">
        <v>10840</v>
      </c>
      <c r="B1025" t="s">
        <v>1744</v>
      </c>
      <c r="C1025" t="s">
        <v>10841</v>
      </c>
      <c r="D1025" t="s">
        <v>10842</v>
      </c>
    </row>
    <row r="1026" spans="1:4">
      <c r="A1026" t="s">
        <v>10843</v>
      </c>
      <c r="B1026" t="s">
        <v>1741</v>
      </c>
      <c r="C1026" t="s">
        <v>10844</v>
      </c>
      <c r="D1026" t="s">
        <v>10845</v>
      </c>
    </row>
    <row r="1027" spans="1:4">
      <c r="A1027" t="s">
        <v>10846</v>
      </c>
      <c r="B1027" t="s">
        <v>1741</v>
      </c>
      <c r="C1027" t="s">
        <v>10847</v>
      </c>
      <c r="D1027" t="s">
        <v>10848</v>
      </c>
    </row>
    <row r="1028" spans="1:4">
      <c r="A1028" t="s">
        <v>10849</v>
      </c>
      <c r="B1028" t="s">
        <v>1744</v>
      </c>
      <c r="C1028" t="s">
        <v>10850</v>
      </c>
      <c r="D1028" t="s">
        <v>10851</v>
      </c>
    </row>
    <row r="1029" spans="1:4">
      <c r="A1029" t="s">
        <v>10852</v>
      </c>
      <c r="B1029" t="s">
        <v>1741</v>
      </c>
      <c r="C1029" t="s">
        <v>10853</v>
      </c>
      <c r="D1029" t="s">
        <v>10854</v>
      </c>
    </row>
    <row r="1030" spans="1:4">
      <c r="A1030" t="s">
        <v>10855</v>
      </c>
      <c r="B1030" t="s">
        <v>1740</v>
      </c>
      <c r="C1030" t="s">
        <v>10856</v>
      </c>
      <c r="D1030" t="s">
        <v>10857</v>
      </c>
    </row>
    <row r="1031" spans="1:4">
      <c r="A1031" t="s">
        <v>10858</v>
      </c>
      <c r="B1031" t="s">
        <v>1741</v>
      </c>
      <c r="C1031" t="s">
        <v>10859</v>
      </c>
      <c r="D1031" t="s">
        <v>10860</v>
      </c>
    </row>
    <row r="1032" spans="1:4">
      <c r="A1032" t="s">
        <v>10861</v>
      </c>
      <c r="B1032" t="s">
        <v>1741</v>
      </c>
      <c r="C1032" t="s">
        <v>10862</v>
      </c>
      <c r="D1032" t="s">
        <v>10863</v>
      </c>
    </row>
    <row r="1033" spans="1:4">
      <c r="A1033" t="s">
        <v>10864</v>
      </c>
      <c r="B1033" t="s">
        <v>1744</v>
      </c>
      <c r="C1033" t="s">
        <v>10865</v>
      </c>
      <c r="D1033" t="s">
        <v>10866</v>
      </c>
    </row>
    <row r="1034" spans="1:4">
      <c r="A1034" t="s">
        <v>10867</v>
      </c>
      <c r="B1034" t="s">
        <v>1741</v>
      </c>
      <c r="C1034" t="s">
        <v>10868</v>
      </c>
      <c r="D1034" t="s">
        <v>10869</v>
      </c>
    </row>
    <row r="1035" spans="1:4">
      <c r="A1035" t="s">
        <v>10870</v>
      </c>
      <c r="B1035" t="s">
        <v>1741</v>
      </c>
      <c r="C1035" t="s">
        <v>10871</v>
      </c>
      <c r="D1035" t="s">
        <v>10872</v>
      </c>
    </row>
    <row r="1036" spans="1:4">
      <c r="A1036" t="s">
        <v>10873</v>
      </c>
      <c r="B1036" t="s">
        <v>1741</v>
      </c>
      <c r="C1036" t="s">
        <v>10874</v>
      </c>
      <c r="D1036" t="s">
        <v>10875</v>
      </c>
    </row>
    <row r="1037" spans="1:4">
      <c r="A1037" t="s">
        <v>10876</v>
      </c>
      <c r="B1037" t="s">
        <v>1741</v>
      </c>
      <c r="C1037" t="s">
        <v>10877</v>
      </c>
      <c r="D1037" t="s">
        <v>10878</v>
      </c>
    </row>
    <row r="1038" spans="1:4">
      <c r="A1038" t="s">
        <v>10879</v>
      </c>
      <c r="B1038" t="s">
        <v>1739</v>
      </c>
      <c r="C1038" t="s">
        <v>10880</v>
      </c>
      <c r="D1038" t="s">
        <v>10881</v>
      </c>
    </row>
    <row r="1039" spans="1:4">
      <c r="A1039" t="s">
        <v>10882</v>
      </c>
      <c r="B1039" t="s">
        <v>1741</v>
      </c>
      <c r="C1039" t="s">
        <v>10883</v>
      </c>
      <c r="D1039" t="s">
        <v>10884</v>
      </c>
    </row>
    <row r="1040" spans="1:4">
      <c r="A1040" t="s">
        <v>10885</v>
      </c>
      <c r="B1040" t="s">
        <v>1744</v>
      </c>
      <c r="C1040" t="s">
        <v>10886</v>
      </c>
      <c r="D1040" t="s">
        <v>10887</v>
      </c>
    </row>
    <row r="1041" spans="1:4">
      <c r="A1041" t="s">
        <v>10888</v>
      </c>
      <c r="B1041" t="s">
        <v>1741</v>
      </c>
      <c r="C1041" t="s">
        <v>10889</v>
      </c>
      <c r="D1041" t="s">
        <v>10890</v>
      </c>
    </row>
    <row r="1042" spans="1:4">
      <c r="A1042" t="s">
        <v>10891</v>
      </c>
      <c r="B1042" t="s">
        <v>1741</v>
      </c>
      <c r="C1042" t="s">
        <v>10892</v>
      </c>
      <c r="D1042" t="s">
        <v>10893</v>
      </c>
    </row>
    <row r="1043" spans="1:4">
      <c r="A1043" t="s">
        <v>10894</v>
      </c>
      <c r="B1043" t="s">
        <v>1741</v>
      </c>
      <c r="C1043" t="s">
        <v>10895</v>
      </c>
      <c r="D1043" t="s">
        <v>10896</v>
      </c>
    </row>
    <row r="1044" spans="1:4">
      <c r="A1044" t="s">
        <v>10897</v>
      </c>
      <c r="B1044" t="s">
        <v>1741</v>
      </c>
      <c r="C1044" t="s">
        <v>10898</v>
      </c>
      <c r="D1044" t="s">
        <v>10899</v>
      </c>
    </row>
    <row r="1045" spans="1:4">
      <c r="A1045" t="s">
        <v>10900</v>
      </c>
      <c r="B1045" t="s">
        <v>1741</v>
      </c>
      <c r="C1045" t="s">
        <v>10901</v>
      </c>
      <c r="D1045" t="s">
        <v>10902</v>
      </c>
    </row>
    <row r="1046" spans="1:4">
      <c r="A1046" t="s">
        <v>10903</v>
      </c>
      <c r="B1046" t="s">
        <v>1744</v>
      </c>
      <c r="C1046" t="s">
        <v>10904</v>
      </c>
      <c r="D1046" t="s">
        <v>10905</v>
      </c>
    </row>
    <row r="1047" spans="1:4">
      <c r="A1047" t="s">
        <v>10906</v>
      </c>
      <c r="B1047" t="s">
        <v>1741</v>
      </c>
      <c r="C1047" t="s">
        <v>10907</v>
      </c>
      <c r="D1047" t="s">
        <v>10908</v>
      </c>
    </row>
    <row r="1048" spans="1:4">
      <c r="A1048" t="s">
        <v>10909</v>
      </c>
      <c r="B1048" t="s">
        <v>1741</v>
      </c>
      <c r="C1048" t="s">
        <v>10910</v>
      </c>
      <c r="D1048" t="s">
        <v>10911</v>
      </c>
    </row>
    <row r="1049" spans="1:4">
      <c r="A1049" t="s">
        <v>10912</v>
      </c>
      <c r="B1049" t="s">
        <v>1741</v>
      </c>
      <c r="C1049" t="s">
        <v>10913</v>
      </c>
      <c r="D1049" t="s">
        <v>10914</v>
      </c>
    </row>
    <row r="1050" spans="1:4">
      <c r="A1050" t="s">
        <v>10915</v>
      </c>
      <c r="B1050" t="s">
        <v>1741</v>
      </c>
      <c r="C1050" t="s">
        <v>10916</v>
      </c>
      <c r="D1050" t="s">
        <v>10917</v>
      </c>
    </row>
    <row r="1051" spans="1:4">
      <c r="A1051" t="s">
        <v>10918</v>
      </c>
      <c r="B1051" t="s">
        <v>1741</v>
      </c>
      <c r="C1051" t="s">
        <v>10919</v>
      </c>
      <c r="D1051" t="s">
        <v>10920</v>
      </c>
    </row>
    <row r="1052" spans="1:4">
      <c r="A1052" t="s">
        <v>10921</v>
      </c>
      <c r="B1052" t="s">
        <v>1741</v>
      </c>
      <c r="C1052" t="s">
        <v>10922</v>
      </c>
      <c r="D1052" t="s">
        <v>10923</v>
      </c>
    </row>
    <row r="1053" spans="1:4">
      <c r="A1053" t="s">
        <v>10924</v>
      </c>
      <c r="B1053" t="s">
        <v>1741</v>
      </c>
      <c r="C1053" t="s">
        <v>10925</v>
      </c>
      <c r="D1053" t="s">
        <v>10926</v>
      </c>
    </row>
    <row r="1054" spans="1:4">
      <c r="A1054" t="s">
        <v>10927</v>
      </c>
      <c r="B1054" t="s">
        <v>1741</v>
      </c>
      <c r="C1054" t="s">
        <v>10928</v>
      </c>
      <c r="D1054" t="s">
        <v>10929</v>
      </c>
    </row>
    <row r="1055" spans="1:4">
      <c r="A1055" t="s">
        <v>10930</v>
      </c>
      <c r="B1055" t="s">
        <v>1741</v>
      </c>
      <c r="C1055" t="s">
        <v>10931</v>
      </c>
      <c r="D1055" t="s">
        <v>10932</v>
      </c>
    </row>
    <row r="1056" spans="1:4">
      <c r="A1056" t="s">
        <v>10933</v>
      </c>
      <c r="B1056" t="s">
        <v>1739</v>
      </c>
      <c r="C1056" t="s">
        <v>10934</v>
      </c>
      <c r="D1056" t="s">
        <v>10935</v>
      </c>
    </row>
    <row r="1057" spans="1:4">
      <c r="A1057" t="s">
        <v>10936</v>
      </c>
      <c r="B1057" t="s">
        <v>1739</v>
      </c>
      <c r="C1057" t="s">
        <v>10937</v>
      </c>
      <c r="D1057" t="s">
        <v>10938</v>
      </c>
    </row>
    <row r="1058" spans="1:4">
      <c r="A1058" t="s">
        <v>10939</v>
      </c>
      <c r="B1058" t="s">
        <v>1741</v>
      </c>
      <c r="C1058" t="s">
        <v>10940</v>
      </c>
      <c r="D1058" t="s">
        <v>10941</v>
      </c>
    </row>
    <row r="1059" spans="1:4">
      <c r="A1059" t="s">
        <v>10942</v>
      </c>
      <c r="B1059" t="s">
        <v>1741</v>
      </c>
      <c r="C1059" t="s">
        <v>10943</v>
      </c>
      <c r="D1059" t="s">
        <v>10944</v>
      </c>
    </row>
    <row r="1060" spans="1:4">
      <c r="A1060" t="s">
        <v>10945</v>
      </c>
      <c r="B1060" t="s">
        <v>1741</v>
      </c>
      <c r="C1060" t="s">
        <v>10946</v>
      </c>
      <c r="D1060" t="s">
        <v>10947</v>
      </c>
    </row>
    <row r="1061" spans="1:4">
      <c r="A1061" t="s">
        <v>10948</v>
      </c>
      <c r="B1061" t="s">
        <v>1741</v>
      </c>
      <c r="C1061" t="s">
        <v>10949</v>
      </c>
      <c r="D1061" t="s">
        <v>10950</v>
      </c>
    </row>
    <row r="1062" spans="1:4">
      <c r="A1062" t="s">
        <v>10951</v>
      </c>
      <c r="B1062" t="s">
        <v>1741</v>
      </c>
      <c r="C1062" t="s">
        <v>10952</v>
      </c>
      <c r="D1062" t="s">
        <v>10953</v>
      </c>
    </row>
    <row r="1063" spans="1:4">
      <c r="A1063" t="s">
        <v>10954</v>
      </c>
      <c r="B1063" t="s">
        <v>1741</v>
      </c>
      <c r="C1063" t="s">
        <v>10955</v>
      </c>
      <c r="D1063" t="s">
        <v>10956</v>
      </c>
    </row>
    <row r="1064" spans="1:4">
      <c r="A1064" t="s">
        <v>10957</v>
      </c>
      <c r="B1064" t="s">
        <v>1741</v>
      </c>
      <c r="C1064" t="s">
        <v>10958</v>
      </c>
      <c r="D1064" t="s">
        <v>10959</v>
      </c>
    </row>
    <row r="1065" spans="1:4">
      <c r="A1065" t="s">
        <v>10960</v>
      </c>
      <c r="B1065" t="s">
        <v>1741</v>
      </c>
      <c r="C1065" t="s">
        <v>10961</v>
      </c>
      <c r="D1065" t="s">
        <v>10962</v>
      </c>
    </row>
    <row r="1066" spans="1:4">
      <c r="A1066" t="s">
        <v>10963</v>
      </c>
      <c r="B1066" t="s">
        <v>1741</v>
      </c>
      <c r="C1066" t="s">
        <v>10964</v>
      </c>
      <c r="D1066" t="s">
        <v>10965</v>
      </c>
    </row>
    <row r="1067" spans="1:4">
      <c r="A1067" t="s">
        <v>10966</v>
      </c>
      <c r="B1067" t="s">
        <v>1741</v>
      </c>
      <c r="C1067" t="s">
        <v>10967</v>
      </c>
      <c r="D1067" t="s">
        <v>10968</v>
      </c>
    </row>
    <row r="1068" spans="1:4">
      <c r="A1068" t="s">
        <v>10969</v>
      </c>
      <c r="B1068" t="s">
        <v>1739</v>
      </c>
      <c r="C1068" t="s">
        <v>10970</v>
      </c>
      <c r="D1068" t="s">
        <v>10971</v>
      </c>
    </row>
    <row r="1069" spans="1:4">
      <c r="A1069" t="s">
        <v>10972</v>
      </c>
      <c r="B1069" t="s">
        <v>1740</v>
      </c>
      <c r="C1069" t="s">
        <v>10973</v>
      </c>
      <c r="D1069" t="s">
        <v>10974</v>
      </c>
    </row>
    <row r="1070" spans="1:4">
      <c r="A1070" t="s">
        <v>10975</v>
      </c>
      <c r="B1070" t="s">
        <v>1741</v>
      </c>
      <c r="C1070" t="s">
        <v>10976</v>
      </c>
      <c r="D1070" t="s">
        <v>10977</v>
      </c>
    </row>
    <row r="1071" spans="1:4">
      <c r="A1071" t="s">
        <v>10978</v>
      </c>
      <c r="B1071" t="s">
        <v>1744</v>
      </c>
      <c r="C1071" t="s">
        <v>10979</v>
      </c>
      <c r="D1071" t="s">
        <v>10980</v>
      </c>
    </row>
    <row r="1072" spans="1:4">
      <c r="A1072" t="s">
        <v>10981</v>
      </c>
      <c r="B1072" t="s">
        <v>1739</v>
      </c>
      <c r="C1072" t="s">
        <v>10982</v>
      </c>
      <c r="D1072" t="s">
        <v>10983</v>
      </c>
    </row>
    <row r="1073" spans="1:4">
      <c r="A1073" t="s">
        <v>10984</v>
      </c>
      <c r="B1073" t="s">
        <v>1740</v>
      </c>
      <c r="C1073" t="s">
        <v>10985</v>
      </c>
      <c r="D1073" t="s">
        <v>10986</v>
      </c>
    </row>
    <row r="1074" spans="1:4">
      <c r="A1074" t="s">
        <v>10987</v>
      </c>
      <c r="B1074" t="s">
        <v>1741</v>
      </c>
      <c r="C1074" t="s">
        <v>10988</v>
      </c>
      <c r="D1074" t="s">
        <v>10989</v>
      </c>
    </row>
    <row r="1075" spans="1:4">
      <c r="A1075" t="s">
        <v>10990</v>
      </c>
      <c r="B1075" t="s">
        <v>1739</v>
      </c>
      <c r="C1075" t="s">
        <v>10991</v>
      </c>
      <c r="D1075" t="s">
        <v>10992</v>
      </c>
    </row>
    <row r="1076" spans="1:4">
      <c r="A1076" t="s">
        <v>10993</v>
      </c>
      <c r="B1076" t="s">
        <v>1740</v>
      </c>
      <c r="C1076" t="s">
        <v>10994</v>
      </c>
      <c r="D1076" t="s">
        <v>10995</v>
      </c>
    </row>
    <row r="1077" spans="1:4">
      <c r="A1077" t="s">
        <v>10996</v>
      </c>
      <c r="B1077" t="s">
        <v>1741</v>
      </c>
      <c r="C1077" t="s">
        <v>10997</v>
      </c>
      <c r="D1077" t="s">
        <v>10998</v>
      </c>
    </row>
    <row r="1078" spans="1:4">
      <c r="A1078" t="s">
        <v>10999</v>
      </c>
      <c r="B1078" t="s">
        <v>1739</v>
      </c>
      <c r="C1078" t="s">
        <v>11000</v>
      </c>
      <c r="D1078" t="s">
        <v>11001</v>
      </c>
    </row>
    <row r="1079" spans="1:4">
      <c r="A1079" t="s">
        <v>11002</v>
      </c>
      <c r="B1079" t="s">
        <v>1740</v>
      </c>
      <c r="C1079" t="s">
        <v>11003</v>
      </c>
      <c r="D1079" t="s">
        <v>11004</v>
      </c>
    </row>
    <row r="1080" spans="1:4">
      <c r="A1080" t="s">
        <v>11005</v>
      </c>
      <c r="B1080" t="s">
        <v>1741</v>
      </c>
      <c r="C1080" t="s">
        <v>11006</v>
      </c>
      <c r="D1080" t="s">
        <v>11007</v>
      </c>
    </row>
    <row r="1081" spans="1:4">
      <c r="A1081" t="s">
        <v>11008</v>
      </c>
      <c r="B1081" t="s">
        <v>1744</v>
      </c>
      <c r="C1081" t="s">
        <v>11009</v>
      </c>
      <c r="D1081" t="s">
        <v>11010</v>
      </c>
    </row>
    <row r="1082" spans="1:4">
      <c r="A1082" t="s">
        <v>11011</v>
      </c>
      <c r="B1082" t="s">
        <v>1739</v>
      </c>
      <c r="C1082" t="s">
        <v>11012</v>
      </c>
      <c r="D1082" t="s">
        <v>11013</v>
      </c>
    </row>
    <row r="1083" spans="1:4">
      <c r="A1083" t="s">
        <v>11014</v>
      </c>
      <c r="B1083" t="s">
        <v>1740</v>
      </c>
      <c r="C1083" t="s">
        <v>11015</v>
      </c>
      <c r="D1083" t="s">
        <v>11016</v>
      </c>
    </row>
    <row r="1084" spans="1:4">
      <c r="A1084" t="s">
        <v>11017</v>
      </c>
      <c r="B1084" t="s">
        <v>1741</v>
      </c>
      <c r="C1084" t="s">
        <v>11018</v>
      </c>
      <c r="D1084" t="s">
        <v>11019</v>
      </c>
    </row>
    <row r="1085" spans="1:4">
      <c r="A1085" t="s">
        <v>11020</v>
      </c>
      <c r="B1085" t="s">
        <v>1741</v>
      </c>
      <c r="C1085" t="s">
        <v>11021</v>
      </c>
      <c r="D1085" t="s">
        <v>11022</v>
      </c>
    </row>
    <row r="1086" spans="1:4">
      <c r="A1086" t="s">
        <v>11023</v>
      </c>
      <c r="B1086" t="s">
        <v>1739</v>
      </c>
      <c r="C1086" t="s">
        <v>11024</v>
      </c>
      <c r="D1086" t="s">
        <v>11025</v>
      </c>
    </row>
    <row r="1087" spans="1:4">
      <c r="A1087" t="s">
        <v>11026</v>
      </c>
      <c r="B1087" t="s">
        <v>1740</v>
      </c>
      <c r="C1087" t="s">
        <v>11027</v>
      </c>
      <c r="D1087" t="s">
        <v>11028</v>
      </c>
    </row>
    <row r="1088" spans="1:4">
      <c r="A1088" t="s">
        <v>11029</v>
      </c>
      <c r="B1088" t="s">
        <v>1741</v>
      </c>
      <c r="C1088" t="s">
        <v>11030</v>
      </c>
      <c r="D1088" t="s">
        <v>11031</v>
      </c>
    </row>
    <row r="1089" spans="1:4">
      <c r="A1089" t="s">
        <v>11032</v>
      </c>
      <c r="B1089" t="s">
        <v>1744</v>
      </c>
      <c r="C1089" t="s">
        <v>11033</v>
      </c>
      <c r="D1089" t="s">
        <v>11034</v>
      </c>
    </row>
    <row r="1090" spans="1:4">
      <c r="A1090" t="s">
        <v>11035</v>
      </c>
      <c r="B1090" t="s">
        <v>1740</v>
      </c>
      <c r="C1090" t="s">
        <v>11036</v>
      </c>
      <c r="D1090" t="s">
        <v>11037</v>
      </c>
    </row>
    <row r="1091" spans="1:4">
      <c r="A1091" t="s">
        <v>11038</v>
      </c>
      <c r="B1091" t="s">
        <v>1741</v>
      </c>
      <c r="C1091" t="s">
        <v>11039</v>
      </c>
      <c r="D1091" t="s">
        <v>11040</v>
      </c>
    </row>
    <row r="1092" spans="1:4">
      <c r="A1092" t="s">
        <v>11041</v>
      </c>
      <c r="B1092" t="s">
        <v>1741</v>
      </c>
      <c r="C1092" t="s">
        <v>11042</v>
      </c>
      <c r="D1092" t="s">
        <v>11043</v>
      </c>
    </row>
    <row r="1093" spans="1:4">
      <c r="A1093" t="s">
        <v>11044</v>
      </c>
      <c r="B1093" t="s">
        <v>1741</v>
      </c>
      <c r="C1093" t="s">
        <v>11045</v>
      </c>
      <c r="D1093" t="s">
        <v>11046</v>
      </c>
    </row>
    <row r="1094" spans="1:4">
      <c r="A1094" t="s">
        <v>11047</v>
      </c>
      <c r="B1094" t="s">
        <v>1741</v>
      </c>
      <c r="C1094" t="s">
        <v>11048</v>
      </c>
      <c r="D1094" t="s">
        <v>11049</v>
      </c>
    </row>
    <row r="1095" spans="1:4">
      <c r="A1095" t="s">
        <v>11050</v>
      </c>
      <c r="B1095" t="s">
        <v>1744</v>
      </c>
      <c r="C1095" t="s">
        <v>11051</v>
      </c>
      <c r="D1095" t="s">
        <v>11052</v>
      </c>
    </row>
    <row r="1096" spans="1:4">
      <c r="A1096" t="s">
        <v>11053</v>
      </c>
      <c r="B1096" t="s">
        <v>1741</v>
      </c>
      <c r="C1096" t="s">
        <v>11054</v>
      </c>
      <c r="D1096" t="s">
        <v>11055</v>
      </c>
    </row>
    <row r="1097" spans="1:4">
      <c r="A1097" t="s">
        <v>11056</v>
      </c>
      <c r="B1097" t="s">
        <v>1739</v>
      </c>
      <c r="C1097" t="s">
        <v>11057</v>
      </c>
      <c r="D1097" t="s">
        <v>11058</v>
      </c>
    </row>
    <row r="1098" spans="1:4">
      <c r="A1098" t="s">
        <v>11059</v>
      </c>
      <c r="B1098" t="s">
        <v>1741</v>
      </c>
      <c r="C1098" t="s">
        <v>11060</v>
      </c>
      <c r="D1098" t="s">
        <v>11061</v>
      </c>
    </row>
    <row r="1099" spans="1:4">
      <c r="A1099" t="s">
        <v>11062</v>
      </c>
      <c r="B1099" t="s">
        <v>1741</v>
      </c>
      <c r="C1099" t="s">
        <v>11063</v>
      </c>
      <c r="D1099" t="s">
        <v>11064</v>
      </c>
    </row>
    <row r="1100" spans="1:4">
      <c r="A1100" t="s">
        <v>11065</v>
      </c>
      <c r="B1100" t="s">
        <v>1739</v>
      </c>
      <c r="C1100" t="s">
        <v>11066</v>
      </c>
      <c r="D1100" t="s">
        <v>11067</v>
      </c>
    </row>
    <row r="1101" spans="1:4">
      <c r="A1101" t="s">
        <v>11068</v>
      </c>
      <c r="B1101" t="s">
        <v>1740</v>
      </c>
      <c r="C1101" t="s">
        <v>11069</v>
      </c>
      <c r="D1101" t="s">
        <v>11070</v>
      </c>
    </row>
    <row r="1102" spans="1:4">
      <c r="A1102" t="s">
        <v>11071</v>
      </c>
      <c r="B1102" t="s">
        <v>1741</v>
      </c>
      <c r="C1102" t="s">
        <v>11072</v>
      </c>
      <c r="D1102" t="s">
        <v>11073</v>
      </c>
    </row>
    <row r="1103" spans="1:4">
      <c r="A1103" t="s">
        <v>11074</v>
      </c>
      <c r="B1103" t="s">
        <v>1744</v>
      </c>
      <c r="C1103" t="s">
        <v>11075</v>
      </c>
      <c r="D1103" t="s">
        <v>11076</v>
      </c>
    </row>
    <row r="1104" spans="1:4">
      <c r="A1104" t="s">
        <v>11077</v>
      </c>
      <c r="B1104" t="s">
        <v>1739</v>
      </c>
      <c r="C1104" t="s">
        <v>11078</v>
      </c>
      <c r="D1104" t="s">
        <v>11079</v>
      </c>
    </row>
    <row r="1105" spans="1:4">
      <c r="A1105" t="s">
        <v>11080</v>
      </c>
      <c r="B1105" t="s">
        <v>1740</v>
      </c>
      <c r="C1105" t="s">
        <v>11081</v>
      </c>
      <c r="D1105" t="s">
        <v>11082</v>
      </c>
    </row>
    <row r="1106" spans="1:4">
      <c r="A1106" t="s">
        <v>11083</v>
      </c>
      <c r="B1106" t="s">
        <v>1741</v>
      </c>
      <c r="C1106" t="s">
        <v>11084</v>
      </c>
      <c r="D1106" t="s">
        <v>11085</v>
      </c>
    </row>
    <row r="1107" spans="1:4">
      <c r="A1107" t="s">
        <v>11086</v>
      </c>
      <c r="B1107" t="s">
        <v>1739</v>
      </c>
      <c r="C1107" t="s">
        <v>11087</v>
      </c>
      <c r="D1107" t="s">
        <v>11088</v>
      </c>
    </row>
    <row r="1108" spans="1:4">
      <c r="A1108" t="s">
        <v>11089</v>
      </c>
      <c r="B1108" t="s">
        <v>1740</v>
      </c>
      <c r="C1108" t="s">
        <v>11090</v>
      </c>
      <c r="D1108" t="s">
        <v>11091</v>
      </c>
    </row>
    <row r="1109" spans="1:4">
      <c r="A1109" t="s">
        <v>8207</v>
      </c>
      <c r="B1109" t="s">
        <v>1741</v>
      </c>
      <c r="C1109" t="s">
        <v>11092</v>
      </c>
      <c r="D1109" t="s">
        <v>8209</v>
      </c>
    </row>
    <row r="1110" spans="1:4">
      <c r="A1110" t="s">
        <v>11093</v>
      </c>
      <c r="B1110" t="s">
        <v>1744</v>
      </c>
      <c r="C1110" t="s">
        <v>11094</v>
      </c>
      <c r="D1110" t="s">
        <v>11095</v>
      </c>
    </row>
    <row r="1111" spans="1:4">
      <c r="A1111" t="s">
        <v>11096</v>
      </c>
      <c r="B1111" t="s">
        <v>1739</v>
      </c>
      <c r="C1111" t="s">
        <v>11097</v>
      </c>
      <c r="D1111" t="s">
        <v>11098</v>
      </c>
    </row>
    <row r="1112" spans="1:4">
      <c r="A1112" t="s">
        <v>11099</v>
      </c>
      <c r="B1112" t="s">
        <v>1740</v>
      </c>
      <c r="C1112" t="s">
        <v>11100</v>
      </c>
      <c r="D1112" t="s">
        <v>11101</v>
      </c>
    </row>
    <row r="1113" spans="1:4">
      <c r="A1113" t="s">
        <v>11102</v>
      </c>
      <c r="B1113" t="s">
        <v>1741</v>
      </c>
      <c r="C1113" t="s">
        <v>11103</v>
      </c>
      <c r="D1113" t="s">
        <v>11104</v>
      </c>
    </row>
    <row r="1114" spans="1:4">
      <c r="A1114" t="s">
        <v>11105</v>
      </c>
      <c r="B1114" t="s">
        <v>1744</v>
      </c>
      <c r="C1114" t="s">
        <v>11106</v>
      </c>
      <c r="D1114" t="s">
        <v>11107</v>
      </c>
    </row>
    <row r="1115" spans="1:4">
      <c r="A1115" t="s">
        <v>11108</v>
      </c>
      <c r="B1115" t="s">
        <v>1739</v>
      </c>
      <c r="C1115" t="s">
        <v>11109</v>
      </c>
      <c r="D1115" t="s">
        <v>11110</v>
      </c>
    </row>
    <row r="1116" spans="1:4">
      <c r="A1116" t="s">
        <v>11111</v>
      </c>
      <c r="B1116" t="s">
        <v>1740</v>
      </c>
      <c r="C1116" t="s">
        <v>11112</v>
      </c>
      <c r="D1116" t="s">
        <v>11113</v>
      </c>
    </row>
    <row r="1117" spans="1:4">
      <c r="A1117" t="s">
        <v>11114</v>
      </c>
      <c r="B1117" t="s">
        <v>1741</v>
      </c>
      <c r="C1117" t="s">
        <v>11115</v>
      </c>
      <c r="D1117" t="s">
        <v>11116</v>
      </c>
    </row>
    <row r="1118" spans="1:4">
      <c r="A1118" t="s">
        <v>11117</v>
      </c>
      <c r="B1118" t="s">
        <v>1744</v>
      </c>
      <c r="C1118" t="s">
        <v>11118</v>
      </c>
      <c r="D1118" t="s">
        <v>11119</v>
      </c>
    </row>
    <row r="1119" spans="1:4">
      <c r="A1119" t="s">
        <v>11120</v>
      </c>
      <c r="B1119" t="s">
        <v>1739</v>
      </c>
      <c r="C1119" t="s">
        <v>11121</v>
      </c>
      <c r="D1119" t="s">
        <v>11122</v>
      </c>
    </row>
    <row r="1120" spans="1:4">
      <c r="A1120" t="s">
        <v>11123</v>
      </c>
      <c r="B1120" t="s">
        <v>1739</v>
      </c>
      <c r="C1120" t="s">
        <v>11124</v>
      </c>
      <c r="D1120" t="s">
        <v>11125</v>
      </c>
    </row>
    <row r="1121" spans="1:4">
      <c r="A1121" t="s">
        <v>11126</v>
      </c>
      <c r="B1121" t="s">
        <v>1741</v>
      </c>
      <c r="C1121" t="s">
        <v>11127</v>
      </c>
      <c r="D1121" t="s">
        <v>11128</v>
      </c>
    </row>
    <row r="1122" spans="1:4">
      <c r="A1122" t="s">
        <v>11129</v>
      </c>
      <c r="B1122" t="s">
        <v>1744</v>
      </c>
      <c r="C1122" t="s">
        <v>11130</v>
      </c>
      <c r="D1122" t="s">
        <v>11131</v>
      </c>
    </row>
    <row r="1123" spans="1:4">
      <c r="A1123" t="s">
        <v>11132</v>
      </c>
      <c r="B1123" t="s">
        <v>1739</v>
      </c>
      <c r="C1123" t="s">
        <v>11133</v>
      </c>
      <c r="D1123" t="s">
        <v>11134</v>
      </c>
    </row>
    <row r="1124" spans="1:4">
      <c r="A1124" t="s">
        <v>11135</v>
      </c>
      <c r="B1124" t="s">
        <v>1740</v>
      </c>
      <c r="C1124" t="s">
        <v>11136</v>
      </c>
      <c r="D1124" t="s">
        <v>11137</v>
      </c>
    </row>
    <row r="1125" spans="1:4">
      <c r="A1125" t="s">
        <v>8193</v>
      </c>
      <c r="B1125" t="s">
        <v>1741</v>
      </c>
      <c r="C1125" t="s">
        <v>11138</v>
      </c>
      <c r="D1125" t="s">
        <v>8196</v>
      </c>
    </row>
    <row r="1126" spans="1:4">
      <c r="A1126" t="s">
        <v>11139</v>
      </c>
      <c r="B1126" t="s">
        <v>1744</v>
      </c>
      <c r="C1126" t="s">
        <v>11140</v>
      </c>
      <c r="D1126" t="s">
        <v>11141</v>
      </c>
    </row>
    <row r="1127" spans="1:4">
      <c r="A1127" t="s">
        <v>11142</v>
      </c>
      <c r="B1127" t="s">
        <v>1739</v>
      </c>
      <c r="C1127" t="s">
        <v>11143</v>
      </c>
      <c r="D1127" t="s">
        <v>11144</v>
      </c>
    </row>
    <row r="1128" spans="1:4">
      <c r="A1128" t="s">
        <v>11145</v>
      </c>
      <c r="B1128" t="s">
        <v>1741</v>
      </c>
      <c r="C1128" t="s">
        <v>11146</v>
      </c>
      <c r="D1128" t="s">
        <v>11147</v>
      </c>
    </row>
    <row r="1129" spans="1:4">
      <c r="A1129" t="s">
        <v>11148</v>
      </c>
      <c r="B1129" t="s">
        <v>1739</v>
      </c>
      <c r="C1129" t="s">
        <v>11149</v>
      </c>
      <c r="D1129" t="s">
        <v>11150</v>
      </c>
    </row>
    <row r="1130" spans="1:4">
      <c r="A1130" t="s">
        <v>11151</v>
      </c>
      <c r="B1130" t="s">
        <v>1741</v>
      </c>
      <c r="C1130" t="s">
        <v>11152</v>
      </c>
      <c r="D1130" t="s">
        <v>11153</v>
      </c>
    </row>
    <row r="1131" spans="1:4">
      <c r="A1131" t="s">
        <v>11154</v>
      </c>
      <c r="B1131" t="s">
        <v>1744</v>
      </c>
      <c r="C1131" t="s">
        <v>11155</v>
      </c>
      <c r="D1131" t="s">
        <v>11156</v>
      </c>
    </row>
    <row r="1132" spans="1:4">
      <c r="A1132" t="s">
        <v>11157</v>
      </c>
      <c r="B1132" t="s">
        <v>1739</v>
      </c>
      <c r="C1132" t="s">
        <v>11158</v>
      </c>
      <c r="D1132" t="s">
        <v>11159</v>
      </c>
    </row>
    <row r="1133" spans="1:4">
      <c r="A1133" t="s">
        <v>11160</v>
      </c>
      <c r="B1133" t="s">
        <v>1740</v>
      </c>
      <c r="C1133" t="s">
        <v>11161</v>
      </c>
      <c r="D1133" t="s">
        <v>11162</v>
      </c>
    </row>
    <row r="1134" spans="1:4">
      <c r="A1134" t="s">
        <v>11163</v>
      </c>
      <c r="B1134" t="s">
        <v>1741</v>
      </c>
      <c r="C1134" t="s">
        <v>11164</v>
      </c>
      <c r="D1134" t="s">
        <v>11165</v>
      </c>
    </row>
    <row r="1135" spans="1:4">
      <c r="A1135" t="s">
        <v>11166</v>
      </c>
      <c r="B1135" t="s">
        <v>1744</v>
      </c>
      <c r="C1135" t="s">
        <v>11167</v>
      </c>
      <c r="D1135" t="s">
        <v>11168</v>
      </c>
    </row>
    <row r="1136" spans="1:4">
      <c r="A1136" t="s">
        <v>11169</v>
      </c>
      <c r="B1136" t="s">
        <v>1740</v>
      </c>
      <c r="C1136" t="s">
        <v>11170</v>
      </c>
      <c r="D1136" t="s">
        <v>11171</v>
      </c>
    </row>
    <row r="1137" spans="1:4">
      <c r="A1137" t="s">
        <v>8197</v>
      </c>
      <c r="B1137" t="s">
        <v>1741</v>
      </c>
      <c r="C1137" t="s">
        <v>11172</v>
      </c>
      <c r="D1137" t="s">
        <v>8199</v>
      </c>
    </row>
    <row r="1138" spans="1:4">
      <c r="A1138" t="s">
        <v>11173</v>
      </c>
      <c r="B1138" t="s">
        <v>1744</v>
      </c>
      <c r="C1138" t="s">
        <v>11174</v>
      </c>
      <c r="D1138" t="s">
        <v>11175</v>
      </c>
    </row>
    <row r="1139" spans="1:4">
      <c r="A1139" t="s">
        <v>11176</v>
      </c>
      <c r="B1139" t="s">
        <v>1739</v>
      </c>
      <c r="C1139" t="s">
        <v>11177</v>
      </c>
      <c r="D1139" t="s">
        <v>11178</v>
      </c>
    </row>
    <row r="1140" spans="1:4">
      <c r="A1140" t="s">
        <v>11179</v>
      </c>
      <c r="B1140" t="s">
        <v>1740</v>
      </c>
      <c r="C1140" t="s">
        <v>11180</v>
      </c>
      <c r="D1140" t="s">
        <v>11181</v>
      </c>
    </row>
    <row r="1141" spans="1:4">
      <c r="A1141" t="s">
        <v>11182</v>
      </c>
      <c r="B1141" t="s">
        <v>1741</v>
      </c>
      <c r="C1141" t="s">
        <v>11183</v>
      </c>
      <c r="D1141" t="s">
        <v>11184</v>
      </c>
    </row>
    <row r="1142" spans="1:4">
      <c r="A1142" t="s">
        <v>11185</v>
      </c>
      <c r="B1142" t="s">
        <v>1744</v>
      </c>
      <c r="C1142" t="s">
        <v>11186</v>
      </c>
      <c r="D1142" t="s">
        <v>11187</v>
      </c>
    </row>
    <row r="1143" spans="1:4">
      <c r="A1143" t="s">
        <v>11188</v>
      </c>
      <c r="B1143" t="s">
        <v>1739</v>
      </c>
      <c r="C1143" t="s">
        <v>11189</v>
      </c>
      <c r="D1143" t="s">
        <v>11190</v>
      </c>
    </row>
    <row r="1144" spans="1:4">
      <c r="A1144" t="s">
        <v>11191</v>
      </c>
      <c r="B1144" t="s">
        <v>1740</v>
      </c>
      <c r="C1144" t="s">
        <v>11192</v>
      </c>
      <c r="D1144" t="s">
        <v>11193</v>
      </c>
    </row>
    <row r="1145" spans="1:4">
      <c r="A1145" t="s">
        <v>11194</v>
      </c>
      <c r="B1145" t="s">
        <v>1741</v>
      </c>
      <c r="C1145" t="s">
        <v>11195</v>
      </c>
      <c r="D1145" t="s">
        <v>11196</v>
      </c>
    </row>
    <row r="1146" spans="1:4">
      <c r="A1146" t="s">
        <v>11197</v>
      </c>
      <c r="B1146" t="s">
        <v>1744</v>
      </c>
      <c r="C1146" t="s">
        <v>11198</v>
      </c>
      <c r="D1146" t="s">
        <v>11199</v>
      </c>
    </row>
    <row r="1147" spans="1:4">
      <c r="A1147" t="s">
        <v>11200</v>
      </c>
      <c r="B1147" t="s">
        <v>1739</v>
      </c>
      <c r="C1147" t="s">
        <v>11201</v>
      </c>
      <c r="D1147" t="s">
        <v>11202</v>
      </c>
    </row>
    <row r="1148" spans="1:4">
      <c r="A1148" t="s">
        <v>8200</v>
      </c>
      <c r="B1148" t="s">
        <v>1741</v>
      </c>
      <c r="C1148" t="s">
        <v>11203</v>
      </c>
      <c r="D1148" t="s">
        <v>8202</v>
      </c>
    </row>
    <row r="1149" spans="1:4">
      <c r="A1149" t="s">
        <v>11204</v>
      </c>
      <c r="B1149" t="s">
        <v>1744</v>
      </c>
      <c r="C1149" t="s">
        <v>11205</v>
      </c>
      <c r="D1149" t="s">
        <v>11206</v>
      </c>
    </row>
    <row r="1150" spans="1:4">
      <c r="A1150" t="s">
        <v>11207</v>
      </c>
      <c r="B1150" t="s">
        <v>1739</v>
      </c>
      <c r="C1150" t="s">
        <v>11208</v>
      </c>
      <c r="D1150" t="s">
        <v>11209</v>
      </c>
    </row>
    <row r="1151" spans="1:4">
      <c r="A1151" t="s">
        <v>11210</v>
      </c>
      <c r="B1151" t="s">
        <v>1740</v>
      </c>
      <c r="C1151" t="s">
        <v>11211</v>
      </c>
      <c r="D1151" t="s">
        <v>11212</v>
      </c>
    </row>
    <row r="1152" spans="1:4">
      <c r="A1152" t="s">
        <v>8210</v>
      </c>
      <c r="B1152" t="s">
        <v>1741</v>
      </c>
      <c r="C1152" t="s">
        <v>11213</v>
      </c>
      <c r="D1152" t="s">
        <v>8212</v>
      </c>
    </row>
    <row r="1153" spans="1:4">
      <c r="A1153" t="s">
        <v>11214</v>
      </c>
      <c r="B1153" t="s">
        <v>1739</v>
      </c>
      <c r="C1153" t="s">
        <v>11215</v>
      </c>
      <c r="D1153" t="s">
        <v>11216</v>
      </c>
    </row>
    <row r="1154" spans="1:4">
      <c r="A1154" t="s">
        <v>11217</v>
      </c>
      <c r="B1154" t="s">
        <v>1740</v>
      </c>
      <c r="C1154" t="s">
        <v>11218</v>
      </c>
      <c r="D1154" t="s">
        <v>11219</v>
      </c>
    </row>
    <row r="1155" spans="1:4">
      <c r="A1155" t="s">
        <v>11220</v>
      </c>
      <c r="B1155" t="s">
        <v>1741</v>
      </c>
      <c r="C1155" t="s">
        <v>11221</v>
      </c>
      <c r="D1155" t="s">
        <v>11222</v>
      </c>
    </row>
    <row r="1156" spans="1:4">
      <c r="A1156" t="s">
        <v>11223</v>
      </c>
      <c r="B1156" t="s">
        <v>1744</v>
      </c>
      <c r="C1156" t="s">
        <v>11224</v>
      </c>
      <c r="D1156" t="s">
        <v>11225</v>
      </c>
    </row>
    <row r="1157" spans="1:4">
      <c r="A1157" t="s">
        <v>11226</v>
      </c>
      <c r="B1157" t="s">
        <v>1739</v>
      </c>
      <c r="C1157" t="s">
        <v>11227</v>
      </c>
      <c r="D1157" t="s">
        <v>11228</v>
      </c>
    </row>
    <row r="1158" spans="1:4">
      <c r="A1158" t="s">
        <v>11229</v>
      </c>
      <c r="B1158" t="s">
        <v>1740</v>
      </c>
      <c r="C1158" t="s">
        <v>11230</v>
      </c>
      <c r="D1158" t="s">
        <v>11231</v>
      </c>
    </row>
    <row r="1159" spans="1:4">
      <c r="A1159" t="s">
        <v>11232</v>
      </c>
      <c r="B1159" t="s">
        <v>1741</v>
      </c>
      <c r="C1159" t="s">
        <v>11233</v>
      </c>
      <c r="D1159" t="s">
        <v>11234</v>
      </c>
    </row>
    <row r="1160" spans="1:4">
      <c r="A1160" t="s">
        <v>11235</v>
      </c>
      <c r="B1160" t="s">
        <v>1744</v>
      </c>
      <c r="C1160" t="s">
        <v>11236</v>
      </c>
      <c r="D1160" t="s">
        <v>11237</v>
      </c>
    </row>
    <row r="1161" spans="1:4">
      <c r="A1161" t="s">
        <v>11238</v>
      </c>
      <c r="B1161" t="s">
        <v>1741</v>
      </c>
      <c r="C1161" t="s">
        <v>11239</v>
      </c>
      <c r="D1161" t="s">
        <v>11240</v>
      </c>
    </row>
    <row r="1162" spans="1:4">
      <c r="A1162" t="s">
        <v>11241</v>
      </c>
      <c r="B1162" t="s">
        <v>1744</v>
      </c>
      <c r="C1162" t="s">
        <v>11242</v>
      </c>
      <c r="D1162" t="s">
        <v>11243</v>
      </c>
    </row>
    <row r="1163" spans="1:4">
      <c r="A1163" t="s">
        <v>11244</v>
      </c>
      <c r="B1163" t="s">
        <v>1739</v>
      </c>
      <c r="C1163" t="s">
        <v>11245</v>
      </c>
      <c r="D1163" t="s">
        <v>11246</v>
      </c>
    </row>
    <row r="1164" spans="1:4">
      <c r="A1164" t="s">
        <v>11247</v>
      </c>
      <c r="B1164" t="s">
        <v>1740</v>
      </c>
      <c r="C1164" t="s">
        <v>11248</v>
      </c>
      <c r="D1164" t="s">
        <v>11249</v>
      </c>
    </row>
    <row r="1165" spans="1:4">
      <c r="A1165" t="s">
        <v>11250</v>
      </c>
      <c r="B1165" t="s">
        <v>1741</v>
      </c>
      <c r="C1165" t="s">
        <v>11251</v>
      </c>
      <c r="D1165" t="s">
        <v>11252</v>
      </c>
    </row>
    <row r="1166" spans="1:4">
      <c r="A1166" t="s">
        <v>11253</v>
      </c>
      <c r="B1166" t="s">
        <v>1744</v>
      </c>
      <c r="C1166" t="s">
        <v>11254</v>
      </c>
      <c r="D1166" t="s">
        <v>11255</v>
      </c>
    </row>
    <row r="1167" spans="1:4">
      <c r="A1167" t="s">
        <v>11256</v>
      </c>
      <c r="B1167" t="s">
        <v>1739</v>
      </c>
      <c r="C1167" t="s">
        <v>11257</v>
      </c>
      <c r="D1167" t="s">
        <v>11258</v>
      </c>
    </row>
    <row r="1168" spans="1:4">
      <c r="A1168" t="s">
        <v>11259</v>
      </c>
      <c r="B1168" t="s">
        <v>1740</v>
      </c>
      <c r="C1168" t="s">
        <v>11260</v>
      </c>
      <c r="D1168" t="s">
        <v>11261</v>
      </c>
    </row>
    <row r="1169" spans="1:4">
      <c r="A1169" t="s">
        <v>11262</v>
      </c>
      <c r="B1169" t="s">
        <v>1741</v>
      </c>
      <c r="C1169" t="s">
        <v>11263</v>
      </c>
      <c r="D1169" t="s">
        <v>11264</v>
      </c>
    </row>
    <row r="1170" spans="1:4">
      <c r="A1170" t="s">
        <v>11265</v>
      </c>
      <c r="B1170" t="s">
        <v>1744</v>
      </c>
      <c r="C1170" t="s">
        <v>11266</v>
      </c>
      <c r="D1170" t="s">
        <v>11267</v>
      </c>
    </row>
    <row r="1171" spans="1:4">
      <c r="A1171" t="s">
        <v>11268</v>
      </c>
      <c r="B1171" t="s">
        <v>1740</v>
      </c>
      <c r="C1171" t="s">
        <v>11269</v>
      </c>
      <c r="D1171" t="s">
        <v>11270</v>
      </c>
    </row>
    <row r="1172" spans="1:4">
      <c r="A1172" t="s">
        <v>11271</v>
      </c>
      <c r="B1172" t="s">
        <v>1741</v>
      </c>
      <c r="C1172" t="s">
        <v>11272</v>
      </c>
      <c r="D1172" t="s">
        <v>11273</v>
      </c>
    </row>
    <row r="1173" spans="1:4">
      <c r="A1173" t="s">
        <v>11274</v>
      </c>
      <c r="B1173" t="s">
        <v>1744</v>
      </c>
      <c r="C1173" t="s">
        <v>11275</v>
      </c>
      <c r="D1173" t="s">
        <v>11276</v>
      </c>
    </row>
    <row r="1174" spans="1:4">
      <c r="A1174" t="s">
        <v>11277</v>
      </c>
      <c r="B1174" t="s">
        <v>1740</v>
      </c>
      <c r="C1174" t="s">
        <v>11278</v>
      </c>
      <c r="D1174" t="s">
        <v>11279</v>
      </c>
    </row>
    <row r="1175" spans="1:4">
      <c r="A1175" t="s">
        <v>11280</v>
      </c>
      <c r="B1175" t="s">
        <v>1741</v>
      </c>
      <c r="C1175" t="s">
        <v>11281</v>
      </c>
      <c r="D1175" t="s">
        <v>11282</v>
      </c>
    </row>
    <row r="1176" spans="1:4">
      <c r="A1176" t="s">
        <v>11283</v>
      </c>
      <c r="B1176" t="s">
        <v>1741</v>
      </c>
      <c r="C1176" t="s">
        <v>11284</v>
      </c>
      <c r="D1176" t="s">
        <v>11285</v>
      </c>
    </row>
    <row r="1177" spans="1:4">
      <c r="A1177" t="s">
        <v>11286</v>
      </c>
      <c r="B1177" t="s">
        <v>1741</v>
      </c>
      <c r="C1177" t="s">
        <v>11287</v>
      </c>
      <c r="D1177" t="s">
        <v>11288</v>
      </c>
    </row>
    <row r="1178" spans="1:4">
      <c r="A1178" t="s">
        <v>11289</v>
      </c>
      <c r="B1178" t="s">
        <v>1741</v>
      </c>
      <c r="C1178" t="s">
        <v>11290</v>
      </c>
      <c r="D1178" t="s">
        <v>11291</v>
      </c>
    </row>
    <row r="1179" spans="1:4">
      <c r="A1179" t="s">
        <v>11292</v>
      </c>
      <c r="B1179" t="s">
        <v>1741</v>
      </c>
      <c r="C1179" t="s">
        <v>11293</v>
      </c>
      <c r="D1179" t="s">
        <v>11294</v>
      </c>
    </row>
    <row r="1180" spans="1:4">
      <c r="A1180" t="s">
        <v>11295</v>
      </c>
      <c r="B1180" t="s">
        <v>1741</v>
      </c>
      <c r="C1180" t="s">
        <v>11296</v>
      </c>
      <c r="D1180" t="s">
        <v>11297</v>
      </c>
    </row>
    <row r="1181" spans="1:4">
      <c r="A1181" t="s">
        <v>11298</v>
      </c>
      <c r="B1181" t="s">
        <v>1744</v>
      </c>
      <c r="C1181" t="s">
        <v>11299</v>
      </c>
      <c r="D1181" t="s">
        <v>11300</v>
      </c>
    </row>
    <row r="1182" spans="1:4">
      <c r="A1182" t="s">
        <v>11301</v>
      </c>
      <c r="B1182" t="s">
        <v>1741</v>
      </c>
      <c r="C1182" t="s">
        <v>11302</v>
      </c>
      <c r="D1182" t="s">
        <v>11303</v>
      </c>
    </row>
    <row r="1183" spans="1:4">
      <c r="A1183" t="s">
        <v>11304</v>
      </c>
      <c r="B1183" t="s">
        <v>1741</v>
      </c>
      <c r="C1183" t="s">
        <v>11305</v>
      </c>
      <c r="D1183" t="s">
        <v>11306</v>
      </c>
    </row>
    <row r="1184" spans="1:4">
      <c r="A1184" t="s">
        <v>11307</v>
      </c>
      <c r="B1184" t="s">
        <v>1739</v>
      </c>
      <c r="C1184" t="s">
        <v>11308</v>
      </c>
      <c r="D1184" t="s">
        <v>11309</v>
      </c>
    </row>
    <row r="1185" spans="1:4">
      <c r="A1185" t="s">
        <v>11310</v>
      </c>
      <c r="B1185" t="s">
        <v>1741</v>
      </c>
      <c r="C1185" t="s">
        <v>11311</v>
      </c>
      <c r="D1185" t="s">
        <v>11312</v>
      </c>
    </row>
    <row r="1186" spans="1:4">
      <c r="A1186" t="s">
        <v>11313</v>
      </c>
      <c r="B1186" t="s">
        <v>1741</v>
      </c>
      <c r="C1186" t="s">
        <v>11314</v>
      </c>
      <c r="D1186" t="s">
        <v>11315</v>
      </c>
    </row>
    <row r="1187" spans="1:4">
      <c r="A1187" t="s">
        <v>11316</v>
      </c>
      <c r="B1187" t="s">
        <v>1741</v>
      </c>
      <c r="C1187" t="s">
        <v>11317</v>
      </c>
      <c r="D1187" t="s">
        <v>11318</v>
      </c>
    </row>
    <row r="1188" spans="1:4">
      <c r="A1188" t="s">
        <v>11319</v>
      </c>
      <c r="B1188" t="s">
        <v>1741</v>
      </c>
      <c r="C1188" t="s">
        <v>11320</v>
      </c>
      <c r="D1188" t="s">
        <v>11321</v>
      </c>
    </row>
    <row r="1189" spans="1:4">
      <c r="A1189" t="s">
        <v>11322</v>
      </c>
      <c r="B1189" t="s">
        <v>1741</v>
      </c>
      <c r="C1189" t="s">
        <v>11323</v>
      </c>
      <c r="D1189" t="s">
        <v>11324</v>
      </c>
    </row>
    <row r="1190" spans="1:4">
      <c r="A1190" t="s">
        <v>11325</v>
      </c>
      <c r="B1190" t="s">
        <v>1741</v>
      </c>
      <c r="C1190" t="s">
        <v>11326</v>
      </c>
      <c r="D1190" t="s">
        <v>11327</v>
      </c>
    </row>
    <row r="1191" spans="1:4">
      <c r="A1191" t="s">
        <v>11328</v>
      </c>
      <c r="B1191" t="s">
        <v>1739</v>
      </c>
      <c r="C1191" t="s">
        <v>11329</v>
      </c>
      <c r="D1191" t="s">
        <v>11330</v>
      </c>
    </row>
    <row r="1192" spans="1:4">
      <c r="A1192" t="s">
        <v>11331</v>
      </c>
      <c r="B1192" t="s">
        <v>1741</v>
      </c>
      <c r="C1192" t="s">
        <v>11332</v>
      </c>
      <c r="D1192" t="s">
        <v>11333</v>
      </c>
    </row>
    <row r="1193" spans="1:4">
      <c r="A1193" t="s">
        <v>11334</v>
      </c>
      <c r="B1193" t="s">
        <v>1739</v>
      </c>
      <c r="C1193" t="s">
        <v>11335</v>
      </c>
      <c r="D1193" t="s">
        <v>11336</v>
      </c>
    </row>
    <row r="1194" spans="1:4">
      <c r="A1194" t="s">
        <v>11337</v>
      </c>
      <c r="B1194" t="s">
        <v>1741</v>
      </c>
      <c r="C1194" t="s">
        <v>11338</v>
      </c>
      <c r="D1194" t="s">
        <v>11339</v>
      </c>
    </row>
    <row r="1195" spans="1:4">
      <c r="A1195" t="s">
        <v>11340</v>
      </c>
      <c r="B1195" t="s">
        <v>1741</v>
      </c>
      <c r="C1195" t="s">
        <v>11341</v>
      </c>
      <c r="D1195" t="s">
        <v>11342</v>
      </c>
    </row>
    <row r="1196" spans="1:4">
      <c r="A1196" t="s">
        <v>11343</v>
      </c>
      <c r="B1196" t="s">
        <v>1741</v>
      </c>
      <c r="C1196" t="s">
        <v>11344</v>
      </c>
      <c r="D1196" t="s">
        <v>11345</v>
      </c>
    </row>
    <row r="1197" spans="1:4">
      <c r="A1197" t="s">
        <v>11346</v>
      </c>
      <c r="B1197" t="s">
        <v>1739</v>
      </c>
      <c r="C1197" t="s">
        <v>11347</v>
      </c>
      <c r="D1197" t="s">
        <v>11348</v>
      </c>
    </row>
    <row r="1198" spans="1:4">
      <c r="A1198" t="s">
        <v>11349</v>
      </c>
      <c r="B1198" t="s">
        <v>1741</v>
      </c>
      <c r="C1198" t="s">
        <v>11350</v>
      </c>
      <c r="D1198" t="s">
        <v>11351</v>
      </c>
    </row>
    <row r="1199" spans="1:4">
      <c r="A1199" t="s">
        <v>11352</v>
      </c>
      <c r="B1199" t="s">
        <v>1739</v>
      </c>
      <c r="C1199" t="s">
        <v>11353</v>
      </c>
      <c r="D1199" t="s">
        <v>11354</v>
      </c>
    </row>
    <row r="1200" spans="1:4">
      <c r="A1200" t="s">
        <v>11355</v>
      </c>
      <c r="B1200" t="s">
        <v>1741</v>
      </c>
      <c r="C1200" t="s">
        <v>11356</v>
      </c>
      <c r="D1200" t="s">
        <v>11357</v>
      </c>
    </row>
    <row r="1201" spans="1:4">
      <c r="A1201" t="s">
        <v>11358</v>
      </c>
      <c r="B1201" t="s">
        <v>1739</v>
      </c>
      <c r="C1201" t="s">
        <v>11359</v>
      </c>
      <c r="D1201" t="s">
        <v>11360</v>
      </c>
    </row>
    <row r="1202" spans="1:4">
      <c r="A1202" t="s">
        <v>11361</v>
      </c>
      <c r="B1202" t="s">
        <v>1741</v>
      </c>
      <c r="C1202" t="s">
        <v>11362</v>
      </c>
      <c r="D1202" t="s">
        <v>11363</v>
      </c>
    </row>
    <row r="1203" spans="1:4">
      <c r="A1203" t="s">
        <v>11364</v>
      </c>
      <c r="B1203" t="s">
        <v>1741</v>
      </c>
      <c r="C1203" t="s">
        <v>11365</v>
      </c>
      <c r="D1203" t="s">
        <v>11366</v>
      </c>
    </row>
    <row r="1204" spans="1:4">
      <c r="A1204" t="s">
        <v>11367</v>
      </c>
      <c r="B1204" t="s">
        <v>1741</v>
      </c>
      <c r="C1204" t="s">
        <v>11368</v>
      </c>
      <c r="D1204" t="s">
        <v>11369</v>
      </c>
    </row>
    <row r="1205" spans="1:4">
      <c r="A1205" t="s">
        <v>11370</v>
      </c>
      <c r="B1205" t="s">
        <v>1739</v>
      </c>
      <c r="C1205" t="s">
        <v>11371</v>
      </c>
      <c r="D1205" t="s">
        <v>11372</v>
      </c>
    </row>
    <row r="1206" spans="1:4">
      <c r="A1206" t="s">
        <v>11373</v>
      </c>
      <c r="B1206" t="s">
        <v>1741</v>
      </c>
      <c r="C1206" t="s">
        <v>11374</v>
      </c>
      <c r="D1206" t="s">
        <v>11375</v>
      </c>
    </row>
    <row r="1207" spans="1:4">
      <c r="A1207" t="s">
        <v>11376</v>
      </c>
      <c r="B1207" t="s">
        <v>1739</v>
      </c>
      <c r="C1207" t="s">
        <v>11377</v>
      </c>
      <c r="D1207" t="s">
        <v>11378</v>
      </c>
    </row>
    <row r="1208" spans="1:4">
      <c r="A1208" t="s">
        <v>11379</v>
      </c>
      <c r="B1208" t="s">
        <v>1740</v>
      </c>
      <c r="C1208" t="s">
        <v>11380</v>
      </c>
      <c r="D1208" t="s">
        <v>11381</v>
      </c>
    </row>
    <row r="1209" spans="1:4">
      <c r="A1209" t="s">
        <v>11382</v>
      </c>
      <c r="B1209" t="s">
        <v>1741</v>
      </c>
      <c r="C1209" t="s">
        <v>11383</v>
      </c>
      <c r="D1209" t="s">
        <v>11384</v>
      </c>
    </row>
    <row r="1210" spans="1:4">
      <c r="A1210" t="s">
        <v>11385</v>
      </c>
      <c r="B1210" t="s">
        <v>1741</v>
      </c>
      <c r="C1210" t="s">
        <v>11386</v>
      </c>
      <c r="D1210" t="s">
        <v>11387</v>
      </c>
    </row>
    <row r="1211" spans="1:4">
      <c r="A1211" t="s">
        <v>11388</v>
      </c>
      <c r="B1211" t="s">
        <v>1741</v>
      </c>
      <c r="C1211" t="s">
        <v>11389</v>
      </c>
      <c r="D1211" t="s">
        <v>11390</v>
      </c>
    </row>
    <row r="1212" spans="1:4">
      <c r="A1212" t="s">
        <v>11391</v>
      </c>
      <c r="B1212" t="s">
        <v>1739</v>
      </c>
      <c r="C1212" t="s">
        <v>11392</v>
      </c>
      <c r="D1212" t="s">
        <v>11393</v>
      </c>
    </row>
    <row r="1213" spans="1:4">
      <c r="A1213" t="s">
        <v>11394</v>
      </c>
      <c r="B1213" t="s">
        <v>1740</v>
      </c>
      <c r="C1213" t="s">
        <v>11395</v>
      </c>
      <c r="D1213" t="s">
        <v>11396</v>
      </c>
    </row>
    <row r="1214" spans="1:4">
      <c r="A1214" t="s">
        <v>11397</v>
      </c>
      <c r="B1214" t="s">
        <v>1741</v>
      </c>
      <c r="C1214" t="s">
        <v>11398</v>
      </c>
      <c r="D1214" t="s">
        <v>11399</v>
      </c>
    </row>
    <row r="1215" spans="1:4">
      <c r="A1215" t="s">
        <v>11400</v>
      </c>
      <c r="B1215" t="s">
        <v>1744</v>
      </c>
      <c r="C1215" t="s">
        <v>11401</v>
      </c>
      <c r="D1215" t="s">
        <v>11402</v>
      </c>
    </row>
    <row r="1216" spans="1:4">
      <c r="A1216" t="s">
        <v>11403</v>
      </c>
      <c r="B1216" t="s">
        <v>1741</v>
      </c>
      <c r="C1216" t="s">
        <v>11404</v>
      </c>
      <c r="D1216" t="s">
        <v>11405</v>
      </c>
    </row>
    <row r="1217" spans="1:4">
      <c r="A1217" t="s">
        <v>11406</v>
      </c>
      <c r="B1217" t="s">
        <v>1739</v>
      </c>
      <c r="C1217" t="s">
        <v>11407</v>
      </c>
      <c r="D1217" t="s">
        <v>11408</v>
      </c>
    </row>
    <row r="1218" spans="1:4">
      <c r="A1218" t="s">
        <v>11409</v>
      </c>
      <c r="B1218" t="s">
        <v>1740</v>
      </c>
      <c r="C1218" t="s">
        <v>11410</v>
      </c>
      <c r="D1218" t="s">
        <v>11411</v>
      </c>
    </row>
    <row r="1219" spans="1:4">
      <c r="A1219" t="s">
        <v>11412</v>
      </c>
      <c r="B1219" t="s">
        <v>1741</v>
      </c>
      <c r="C1219" t="s">
        <v>11413</v>
      </c>
      <c r="D1219" t="s">
        <v>11414</v>
      </c>
    </row>
    <row r="1220" spans="1:4">
      <c r="A1220" t="s">
        <v>11415</v>
      </c>
      <c r="B1220" t="s">
        <v>1744</v>
      </c>
      <c r="C1220" t="s">
        <v>11416</v>
      </c>
      <c r="D1220" t="s">
        <v>11417</v>
      </c>
    </row>
    <row r="1221" spans="1:4">
      <c r="A1221" t="s">
        <v>11418</v>
      </c>
      <c r="B1221" t="s">
        <v>1741</v>
      </c>
      <c r="C1221" t="s">
        <v>11419</v>
      </c>
      <c r="D1221" t="s">
        <v>11420</v>
      </c>
    </row>
    <row r="1222" spans="1:4">
      <c r="A1222" t="s">
        <v>11421</v>
      </c>
      <c r="B1222" t="s">
        <v>1741</v>
      </c>
      <c r="C1222" t="s">
        <v>11422</v>
      </c>
      <c r="D1222" t="s">
        <v>11423</v>
      </c>
    </row>
    <row r="1223" spans="1:4">
      <c r="A1223" t="s">
        <v>11424</v>
      </c>
      <c r="B1223" t="s">
        <v>1739</v>
      </c>
      <c r="C1223" t="s">
        <v>11425</v>
      </c>
      <c r="D1223" t="s">
        <v>11426</v>
      </c>
    </row>
    <row r="1224" spans="1:4">
      <c r="A1224" t="s">
        <v>11427</v>
      </c>
      <c r="B1224" t="s">
        <v>1741</v>
      </c>
      <c r="C1224" t="s">
        <v>11428</v>
      </c>
      <c r="D1224" t="s">
        <v>11429</v>
      </c>
    </row>
    <row r="1225" spans="1:4">
      <c r="A1225" t="s">
        <v>11430</v>
      </c>
      <c r="B1225" t="s">
        <v>1739</v>
      </c>
      <c r="C1225" t="s">
        <v>11431</v>
      </c>
      <c r="D1225" t="s">
        <v>11432</v>
      </c>
    </row>
    <row r="1226" spans="1:4">
      <c r="A1226" t="s">
        <v>11433</v>
      </c>
      <c r="B1226" t="s">
        <v>1741</v>
      </c>
      <c r="C1226" t="s">
        <v>11434</v>
      </c>
      <c r="D1226" t="s">
        <v>11435</v>
      </c>
    </row>
    <row r="1227" spans="1:4">
      <c r="A1227" t="s">
        <v>11436</v>
      </c>
      <c r="B1227" t="s">
        <v>1739</v>
      </c>
      <c r="C1227" t="s">
        <v>11437</v>
      </c>
      <c r="D1227" t="s">
        <v>11438</v>
      </c>
    </row>
    <row r="1228" spans="1:4">
      <c r="A1228" t="s">
        <v>11439</v>
      </c>
      <c r="B1228" t="s">
        <v>1740</v>
      </c>
      <c r="C1228" t="s">
        <v>11440</v>
      </c>
      <c r="D1228" t="s">
        <v>11441</v>
      </c>
    </row>
    <row r="1229" spans="1:4">
      <c r="A1229" t="s">
        <v>11442</v>
      </c>
      <c r="B1229" t="s">
        <v>1741</v>
      </c>
      <c r="C1229" t="s">
        <v>11443</v>
      </c>
      <c r="D1229" t="s">
        <v>11444</v>
      </c>
    </row>
    <row r="1230" spans="1:4">
      <c r="A1230" t="s">
        <v>11445</v>
      </c>
      <c r="B1230" t="s">
        <v>1741</v>
      </c>
      <c r="C1230" t="s">
        <v>11446</v>
      </c>
      <c r="D1230" t="s">
        <v>11447</v>
      </c>
    </row>
    <row r="1231" spans="1:4">
      <c r="A1231" t="s">
        <v>11448</v>
      </c>
      <c r="B1231" t="s">
        <v>1739</v>
      </c>
      <c r="C1231" t="s">
        <v>11449</v>
      </c>
      <c r="D1231" t="s">
        <v>11450</v>
      </c>
    </row>
    <row r="1232" spans="1:4">
      <c r="A1232" t="s">
        <v>11451</v>
      </c>
      <c r="B1232" t="s">
        <v>1741</v>
      </c>
      <c r="C1232" t="s">
        <v>11452</v>
      </c>
      <c r="D1232" t="s">
        <v>11453</v>
      </c>
    </row>
    <row r="1233" spans="1:4">
      <c r="A1233" t="s">
        <v>11454</v>
      </c>
      <c r="B1233" t="s">
        <v>1744</v>
      </c>
      <c r="C1233" t="s">
        <v>11455</v>
      </c>
      <c r="D1233" t="s">
        <v>11456</v>
      </c>
    </row>
    <row r="1234" spans="1:4">
      <c r="A1234" t="s">
        <v>11457</v>
      </c>
      <c r="B1234" t="s">
        <v>1741</v>
      </c>
      <c r="C1234" t="s">
        <v>11458</v>
      </c>
      <c r="D1234" t="s">
        <v>11459</v>
      </c>
    </row>
    <row r="1235" spans="1:4">
      <c r="A1235" t="s">
        <v>11460</v>
      </c>
      <c r="B1235" t="s">
        <v>1741</v>
      </c>
      <c r="C1235" t="s">
        <v>11461</v>
      </c>
      <c r="D1235" t="s">
        <v>11462</v>
      </c>
    </row>
    <row r="1236" spans="1:4">
      <c r="A1236" t="s">
        <v>11463</v>
      </c>
      <c r="B1236" t="s">
        <v>1739</v>
      </c>
      <c r="C1236" t="s">
        <v>11464</v>
      </c>
      <c r="D1236" t="s">
        <v>11465</v>
      </c>
    </row>
    <row r="1237" spans="1:4">
      <c r="A1237" t="s">
        <v>11466</v>
      </c>
      <c r="B1237" t="s">
        <v>1741</v>
      </c>
      <c r="C1237" t="s">
        <v>11467</v>
      </c>
      <c r="D1237" t="s">
        <v>11468</v>
      </c>
    </row>
    <row r="1238" spans="1:4">
      <c r="A1238" t="s">
        <v>11469</v>
      </c>
      <c r="B1238" t="s">
        <v>1744</v>
      </c>
      <c r="C1238" t="s">
        <v>11470</v>
      </c>
      <c r="D1238" t="s">
        <v>11471</v>
      </c>
    </row>
    <row r="1239" spans="1:4">
      <c r="A1239" t="s">
        <v>11472</v>
      </c>
      <c r="B1239" t="s">
        <v>1741</v>
      </c>
      <c r="C1239" t="s">
        <v>11473</v>
      </c>
      <c r="D1239" t="s">
        <v>11474</v>
      </c>
    </row>
    <row r="1240" spans="1:4">
      <c r="A1240" t="s">
        <v>11475</v>
      </c>
      <c r="B1240" t="s">
        <v>1741</v>
      </c>
      <c r="C1240" t="s">
        <v>11476</v>
      </c>
      <c r="D1240" t="s">
        <v>11477</v>
      </c>
    </row>
    <row r="1241" spans="1:4">
      <c r="A1241" t="s">
        <v>11478</v>
      </c>
      <c r="B1241" t="s">
        <v>1741</v>
      </c>
      <c r="C1241" t="s">
        <v>11479</v>
      </c>
      <c r="D1241" t="s">
        <v>11480</v>
      </c>
    </row>
    <row r="1242" spans="1:4">
      <c r="A1242" t="s">
        <v>11481</v>
      </c>
      <c r="B1242" t="s">
        <v>1744</v>
      </c>
      <c r="C1242" t="s">
        <v>11482</v>
      </c>
      <c r="D1242" t="s">
        <v>11483</v>
      </c>
    </row>
    <row r="1243" spans="1:4">
      <c r="A1243" t="s">
        <v>11484</v>
      </c>
      <c r="B1243" t="s">
        <v>1741</v>
      </c>
      <c r="C1243" t="s">
        <v>11485</v>
      </c>
      <c r="D1243" t="s">
        <v>11486</v>
      </c>
    </row>
    <row r="1244" spans="1:4">
      <c r="A1244" t="s">
        <v>11487</v>
      </c>
      <c r="B1244" t="s">
        <v>1741</v>
      </c>
      <c r="C1244" t="s">
        <v>11488</v>
      </c>
      <c r="D1244" t="s">
        <v>11489</v>
      </c>
    </row>
    <row r="1245" spans="1:4">
      <c r="A1245" t="s">
        <v>11490</v>
      </c>
      <c r="B1245" t="s">
        <v>1741</v>
      </c>
      <c r="C1245" t="s">
        <v>11491</v>
      </c>
      <c r="D1245" t="s">
        <v>11492</v>
      </c>
    </row>
    <row r="1246" spans="1:4">
      <c r="A1246" t="s">
        <v>11493</v>
      </c>
      <c r="B1246" t="s">
        <v>1741</v>
      </c>
      <c r="C1246" t="s">
        <v>11494</v>
      </c>
      <c r="D1246" t="s">
        <v>11495</v>
      </c>
    </row>
    <row r="1247" spans="1:4">
      <c r="A1247" t="s">
        <v>11496</v>
      </c>
      <c r="B1247" t="s">
        <v>1744</v>
      </c>
      <c r="C1247" t="s">
        <v>11497</v>
      </c>
      <c r="D1247" t="s">
        <v>11498</v>
      </c>
    </row>
    <row r="1248" spans="1:4">
      <c r="A1248" t="s">
        <v>11499</v>
      </c>
      <c r="B1248" t="s">
        <v>1741</v>
      </c>
      <c r="C1248" t="s">
        <v>11500</v>
      </c>
      <c r="D1248" t="s">
        <v>11501</v>
      </c>
    </row>
    <row r="1249" spans="1:4">
      <c r="A1249" t="s">
        <v>11502</v>
      </c>
      <c r="B1249" t="s">
        <v>1741</v>
      </c>
      <c r="C1249" t="s">
        <v>11503</v>
      </c>
      <c r="D1249" t="s">
        <v>11504</v>
      </c>
    </row>
    <row r="1250" spans="1:4">
      <c r="A1250" t="s">
        <v>11505</v>
      </c>
      <c r="B1250" t="s">
        <v>1741</v>
      </c>
      <c r="C1250" t="s">
        <v>11506</v>
      </c>
      <c r="D1250" t="s">
        <v>11507</v>
      </c>
    </row>
    <row r="1251" spans="1:4">
      <c r="A1251" t="s">
        <v>11508</v>
      </c>
      <c r="B1251" t="s">
        <v>1741</v>
      </c>
      <c r="C1251" t="s">
        <v>11509</v>
      </c>
      <c r="D1251" t="s">
        <v>11510</v>
      </c>
    </row>
    <row r="1252" spans="1:4">
      <c r="A1252" t="s">
        <v>11511</v>
      </c>
      <c r="B1252" t="s">
        <v>1741</v>
      </c>
      <c r="C1252" t="s">
        <v>11512</v>
      </c>
      <c r="D1252" t="s">
        <v>11513</v>
      </c>
    </row>
    <row r="1253" spans="1:4">
      <c r="A1253" t="s">
        <v>11514</v>
      </c>
      <c r="B1253" t="s">
        <v>1741</v>
      </c>
      <c r="C1253" t="s">
        <v>11515</v>
      </c>
      <c r="D1253" t="s">
        <v>11516</v>
      </c>
    </row>
    <row r="1254" spans="1:4">
      <c r="A1254" t="s">
        <v>11517</v>
      </c>
      <c r="B1254" t="s">
        <v>1741</v>
      </c>
      <c r="C1254" t="s">
        <v>11518</v>
      </c>
      <c r="D1254" t="s">
        <v>11519</v>
      </c>
    </row>
    <row r="1255" spans="1:4">
      <c r="A1255" t="s">
        <v>11520</v>
      </c>
      <c r="B1255" t="s">
        <v>1741</v>
      </c>
      <c r="C1255" t="s">
        <v>11521</v>
      </c>
      <c r="D1255" t="s">
        <v>11522</v>
      </c>
    </row>
    <row r="1256" spans="1:4">
      <c r="A1256" t="s">
        <v>11523</v>
      </c>
      <c r="B1256" t="s">
        <v>1741</v>
      </c>
      <c r="C1256" t="s">
        <v>11524</v>
      </c>
      <c r="D1256" t="s">
        <v>11525</v>
      </c>
    </row>
    <row r="1257" spans="1:4">
      <c r="A1257" t="s">
        <v>11526</v>
      </c>
      <c r="B1257" t="s">
        <v>1741</v>
      </c>
      <c r="C1257" t="s">
        <v>11527</v>
      </c>
      <c r="D1257" t="s">
        <v>11528</v>
      </c>
    </row>
    <row r="1258" spans="1:4">
      <c r="A1258" t="s">
        <v>11529</v>
      </c>
      <c r="B1258" t="s">
        <v>1741</v>
      </c>
      <c r="C1258" t="s">
        <v>11530</v>
      </c>
      <c r="D1258" t="s">
        <v>11531</v>
      </c>
    </row>
    <row r="1259" spans="1:4">
      <c r="A1259" t="s">
        <v>11532</v>
      </c>
      <c r="B1259" t="s">
        <v>1739</v>
      </c>
      <c r="C1259" t="s">
        <v>11533</v>
      </c>
      <c r="D1259" t="s">
        <v>11534</v>
      </c>
    </row>
    <row r="1260" spans="1:4">
      <c r="A1260" t="s">
        <v>11535</v>
      </c>
      <c r="B1260" t="s">
        <v>1741</v>
      </c>
      <c r="C1260" t="s">
        <v>11536</v>
      </c>
      <c r="D1260" t="s">
        <v>11537</v>
      </c>
    </row>
    <row r="1261" spans="1:4">
      <c r="A1261" t="s">
        <v>11538</v>
      </c>
      <c r="B1261" t="s">
        <v>1741</v>
      </c>
      <c r="C1261" t="s">
        <v>11539</v>
      </c>
      <c r="D1261" t="s">
        <v>11540</v>
      </c>
    </row>
    <row r="1262" spans="1:4">
      <c r="A1262" t="s">
        <v>11541</v>
      </c>
      <c r="B1262" t="s">
        <v>1741</v>
      </c>
      <c r="C1262" t="s">
        <v>11542</v>
      </c>
      <c r="D1262" t="s">
        <v>11543</v>
      </c>
    </row>
    <row r="1263" spans="1:4">
      <c r="A1263" t="s">
        <v>11544</v>
      </c>
      <c r="B1263" t="s">
        <v>1741</v>
      </c>
      <c r="C1263" t="s">
        <v>11545</v>
      </c>
      <c r="D1263" t="s">
        <v>11546</v>
      </c>
    </row>
    <row r="1264" spans="1:4">
      <c r="A1264" t="s">
        <v>11547</v>
      </c>
      <c r="B1264" t="s">
        <v>1741</v>
      </c>
      <c r="C1264" t="s">
        <v>11548</v>
      </c>
      <c r="D1264" t="s">
        <v>11549</v>
      </c>
    </row>
    <row r="1265" spans="1:4">
      <c r="A1265" t="s">
        <v>11550</v>
      </c>
      <c r="B1265" t="s">
        <v>1741</v>
      </c>
      <c r="C1265" t="s">
        <v>11551</v>
      </c>
      <c r="D1265" t="s">
        <v>11552</v>
      </c>
    </row>
    <row r="1266" spans="1:4">
      <c r="A1266" t="s">
        <v>11553</v>
      </c>
      <c r="B1266" t="s">
        <v>1741</v>
      </c>
      <c r="C1266" t="s">
        <v>11554</v>
      </c>
      <c r="D1266" t="s">
        <v>11555</v>
      </c>
    </row>
    <row r="1267" spans="1:4">
      <c r="A1267" t="s">
        <v>11556</v>
      </c>
      <c r="B1267" t="s">
        <v>1741</v>
      </c>
      <c r="C1267" t="s">
        <v>11557</v>
      </c>
      <c r="D1267" t="s">
        <v>11558</v>
      </c>
    </row>
    <row r="1268" spans="1:4">
      <c r="A1268" t="s">
        <v>11559</v>
      </c>
      <c r="B1268" t="s">
        <v>1741</v>
      </c>
      <c r="C1268" t="s">
        <v>11560</v>
      </c>
      <c r="D1268" t="s">
        <v>11561</v>
      </c>
    </row>
    <row r="1269" spans="1:4">
      <c r="A1269" t="s">
        <v>11562</v>
      </c>
      <c r="B1269" t="s">
        <v>1741</v>
      </c>
      <c r="C1269" t="s">
        <v>11563</v>
      </c>
      <c r="D1269" t="s">
        <v>11564</v>
      </c>
    </row>
    <row r="1270" spans="1:4">
      <c r="A1270" t="s">
        <v>11565</v>
      </c>
      <c r="B1270" t="s">
        <v>1739</v>
      </c>
      <c r="C1270" t="s">
        <v>11566</v>
      </c>
      <c r="D1270" t="s">
        <v>11567</v>
      </c>
    </row>
    <row r="1271" spans="1:4">
      <c r="A1271" t="s">
        <v>11568</v>
      </c>
      <c r="B1271" t="s">
        <v>1739</v>
      </c>
      <c r="C1271" t="s">
        <v>11569</v>
      </c>
      <c r="D1271" t="s">
        <v>11570</v>
      </c>
    </row>
    <row r="1272" spans="1:4">
      <c r="A1272" t="s">
        <v>11571</v>
      </c>
      <c r="B1272" t="s">
        <v>1740</v>
      </c>
      <c r="C1272" t="s">
        <v>11572</v>
      </c>
      <c r="D1272" t="s">
        <v>11573</v>
      </c>
    </row>
    <row r="1273" spans="1:4">
      <c r="A1273" t="s">
        <v>11574</v>
      </c>
      <c r="B1273" t="s">
        <v>1741</v>
      </c>
      <c r="C1273" t="s">
        <v>11575</v>
      </c>
      <c r="D1273" t="s">
        <v>11576</v>
      </c>
    </row>
    <row r="1274" spans="1:4">
      <c r="A1274" t="s">
        <v>11577</v>
      </c>
      <c r="B1274" t="s">
        <v>1741</v>
      </c>
      <c r="C1274" t="s">
        <v>11578</v>
      </c>
      <c r="D1274" t="s">
        <v>11579</v>
      </c>
    </row>
    <row r="1275" spans="1:4">
      <c r="A1275" t="s">
        <v>11580</v>
      </c>
      <c r="B1275" t="s">
        <v>1741</v>
      </c>
      <c r="C1275" t="s">
        <v>11581</v>
      </c>
      <c r="D1275" t="s">
        <v>11582</v>
      </c>
    </row>
    <row r="1276" spans="1:4">
      <c r="A1276" t="s">
        <v>11583</v>
      </c>
      <c r="B1276" t="s">
        <v>1741</v>
      </c>
      <c r="C1276" t="s">
        <v>11584</v>
      </c>
      <c r="D1276" t="s">
        <v>11585</v>
      </c>
    </row>
    <row r="1277" spans="1:4">
      <c r="A1277" t="s">
        <v>11586</v>
      </c>
      <c r="B1277" t="s">
        <v>1739</v>
      </c>
      <c r="C1277" t="s">
        <v>11587</v>
      </c>
      <c r="D1277" t="s">
        <v>11588</v>
      </c>
    </row>
    <row r="1278" spans="1:4">
      <c r="A1278" t="s">
        <v>11589</v>
      </c>
      <c r="B1278" t="s">
        <v>1741</v>
      </c>
      <c r="C1278" t="s">
        <v>11590</v>
      </c>
      <c r="D1278" t="s">
        <v>11591</v>
      </c>
    </row>
    <row r="1279" spans="1:4">
      <c r="A1279" t="s">
        <v>11592</v>
      </c>
      <c r="B1279" t="s">
        <v>1739</v>
      </c>
      <c r="C1279" t="s">
        <v>11593</v>
      </c>
      <c r="D1279" t="s">
        <v>11594</v>
      </c>
    </row>
    <row r="1280" spans="1:4">
      <c r="A1280" t="s">
        <v>11595</v>
      </c>
      <c r="B1280" t="s">
        <v>1741</v>
      </c>
      <c r="C1280" t="s">
        <v>11596</v>
      </c>
      <c r="D1280" t="s">
        <v>11597</v>
      </c>
    </row>
    <row r="1281" spans="1:4">
      <c r="A1281" t="s">
        <v>11598</v>
      </c>
      <c r="B1281" t="s">
        <v>1741</v>
      </c>
      <c r="C1281" t="s">
        <v>11599</v>
      </c>
      <c r="D1281" t="s">
        <v>11600</v>
      </c>
    </row>
    <row r="1282" spans="1:4">
      <c r="A1282" t="s">
        <v>11601</v>
      </c>
      <c r="B1282" t="s">
        <v>1739</v>
      </c>
      <c r="C1282" t="s">
        <v>11602</v>
      </c>
      <c r="D1282" t="s">
        <v>11603</v>
      </c>
    </row>
    <row r="1283" spans="1:4">
      <c r="A1283" t="s">
        <v>11604</v>
      </c>
      <c r="B1283" t="s">
        <v>1740</v>
      </c>
      <c r="C1283" t="s">
        <v>11605</v>
      </c>
      <c r="D1283" t="s">
        <v>11606</v>
      </c>
    </row>
    <row r="1284" spans="1:4">
      <c r="A1284" t="s">
        <v>11607</v>
      </c>
      <c r="B1284" t="s">
        <v>1741</v>
      </c>
      <c r="C1284" t="s">
        <v>11608</v>
      </c>
      <c r="D1284" t="s">
        <v>11609</v>
      </c>
    </row>
    <row r="1285" spans="1:4">
      <c r="A1285" t="s">
        <v>11610</v>
      </c>
      <c r="B1285" t="s">
        <v>1739</v>
      </c>
      <c r="C1285" t="s">
        <v>11611</v>
      </c>
      <c r="D1285" t="s">
        <v>11612</v>
      </c>
    </row>
    <row r="1286" spans="1:4">
      <c r="A1286" t="s">
        <v>11613</v>
      </c>
      <c r="B1286" t="s">
        <v>1741</v>
      </c>
      <c r="C1286" t="s">
        <v>11614</v>
      </c>
      <c r="D1286" t="s">
        <v>11615</v>
      </c>
    </row>
    <row r="1287" spans="1:4">
      <c r="A1287" t="s">
        <v>11616</v>
      </c>
      <c r="B1287" t="s">
        <v>1739</v>
      </c>
      <c r="C1287" t="s">
        <v>11617</v>
      </c>
      <c r="D1287" t="s">
        <v>11618</v>
      </c>
    </row>
    <row r="1288" spans="1:4">
      <c r="A1288" t="s">
        <v>11619</v>
      </c>
      <c r="B1288" t="s">
        <v>1741</v>
      </c>
      <c r="C1288" t="s">
        <v>11620</v>
      </c>
      <c r="D1288" t="s">
        <v>11621</v>
      </c>
    </row>
    <row r="1289" spans="1:4">
      <c r="A1289" t="s">
        <v>11622</v>
      </c>
      <c r="B1289" t="s">
        <v>1740</v>
      </c>
      <c r="C1289" t="s">
        <v>11623</v>
      </c>
      <c r="D1289" t="s">
        <v>11624</v>
      </c>
    </row>
    <row r="1290" spans="1:4">
      <c r="A1290" t="s">
        <v>11625</v>
      </c>
      <c r="B1290" t="s">
        <v>1741</v>
      </c>
      <c r="C1290" t="s">
        <v>11626</v>
      </c>
      <c r="D1290" t="s">
        <v>11627</v>
      </c>
    </row>
    <row r="1291" spans="1:4">
      <c r="A1291" t="s">
        <v>11628</v>
      </c>
      <c r="B1291" t="s">
        <v>1739</v>
      </c>
      <c r="C1291" t="s">
        <v>11629</v>
      </c>
      <c r="D1291" t="s">
        <v>11630</v>
      </c>
    </row>
    <row r="1292" spans="1:4">
      <c r="A1292" t="s">
        <v>11631</v>
      </c>
      <c r="B1292" t="s">
        <v>1741</v>
      </c>
      <c r="C1292" t="s">
        <v>11632</v>
      </c>
      <c r="D1292" t="s">
        <v>11633</v>
      </c>
    </row>
    <row r="1293" spans="1:4">
      <c r="A1293" t="s">
        <v>11634</v>
      </c>
      <c r="B1293" t="s">
        <v>1741</v>
      </c>
      <c r="C1293" t="s">
        <v>11635</v>
      </c>
      <c r="D1293" t="s">
        <v>11636</v>
      </c>
    </row>
    <row r="1294" spans="1:4">
      <c r="A1294" t="s">
        <v>11637</v>
      </c>
      <c r="B1294" t="s">
        <v>1741</v>
      </c>
      <c r="C1294" t="s">
        <v>11638</v>
      </c>
      <c r="D1294" t="s">
        <v>11639</v>
      </c>
    </row>
    <row r="1295" spans="1:4">
      <c r="A1295" t="s">
        <v>11640</v>
      </c>
      <c r="B1295" t="s">
        <v>1739</v>
      </c>
      <c r="C1295" t="s">
        <v>11641</v>
      </c>
      <c r="D1295" t="s">
        <v>11642</v>
      </c>
    </row>
    <row r="1296" spans="1:4">
      <c r="A1296" t="s">
        <v>11643</v>
      </c>
      <c r="B1296" t="s">
        <v>1740</v>
      </c>
      <c r="C1296" t="s">
        <v>11644</v>
      </c>
      <c r="D1296" t="s">
        <v>11645</v>
      </c>
    </row>
    <row r="1297" spans="1:4">
      <c r="A1297" t="s">
        <v>11646</v>
      </c>
      <c r="B1297" t="s">
        <v>1740</v>
      </c>
      <c r="C1297" t="s">
        <v>11647</v>
      </c>
      <c r="D1297" t="s">
        <v>11648</v>
      </c>
    </row>
    <row r="1298" spans="1:4">
      <c r="A1298" t="s">
        <v>11649</v>
      </c>
      <c r="B1298" t="s">
        <v>1741</v>
      </c>
      <c r="C1298" t="s">
        <v>11650</v>
      </c>
      <c r="D1298" t="s">
        <v>11651</v>
      </c>
    </row>
    <row r="1299" spans="1:4">
      <c r="A1299" t="s">
        <v>11652</v>
      </c>
      <c r="B1299" t="s">
        <v>1744</v>
      </c>
      <c r="C1299" t="s">
        <v>11653</v>
      </c>
      <c r="D1299" t="s">
        <v>11654</v>
      </c>
    </row>
    <row r="1300" spans="1:4">
      <c r="A1300" t="s">
        <v>11655</v>
      </c>
      <c r="B1300" t="s">
        <v>1741</v>
      </c>
      <c r="C1300" t="s">
        <v>11656</v>
      </c>
      <c r="D1300" t="s">
        <v>11657</v>
      </c>
    </row>
    <row r="1301" spans="1:4">
      <c r="A1301" t="s">
        <v>11658</v>
      </c>
      <c r="B1301" t="s">
        <v>1744</v>
      </c>
      <c r="C1301" t="s">
        <v>11659</v>
      </c>
      <c r="D1301" t="s">
        <v>11660</v>
      </c>
    </row>
    <row r="1302" spans="1:4">
      <c r="A1302" t="s">
        <v>11661</v>
      </c>
      <c r="B1302" t="s">
        <v>1739</v>
      </c>
      <c r="C1302" t="s">
        <v>11662</v>
      </c>
      <c r="D1302" t="s">
        <v>11663</v>
      </c>
    </row>
    <row r="1303" spans="1:4">
      <c r="A1303" t="s">
        <v>11664</v>
      </c>
      <c r="B1303" t="s">
        <v>1741</v>
      </c>
      <c r="C1303" t="s">
        <v>11665</v>
      </c>
      <c r="D1303" t="s">
        <v>11666</v>
      </c>
    </row>
    <row r="1304" spans="1:4">
      <c r="A1304" t="s">
        <v>11667</v>
      </c>
      <c r="B1304" t="s">
        <v>1739</v>
      </c>
      <c r="C1304" t="s">
        <v>11668</v>
      </c>
      <c r="D1304" t="s">
        <v>11669</v>
      </c>
    </row>
    <row r="1305" spans="1:4">
      <c r="A1305" t="s">
        <v>11670</v>
      </c>
      <c r="B1305" t="s">
        <v>1741</v>
      </c>
      <c r="C1305" t="s">
        <v>11671</v>
      </c>
      <c r="D1305" t="s">
        <v>11672</v>
      </c>
    </row>
    <row r="1306" spans="1:4">
      <c r="A1306" t="s">
        <v>11673</v>
      </c>
      <c r="B1306" t="s">
        <v>1741</v>
      </c>
      <c r="C1306" t="s">
        <v>11674</v>
      </c>
      <c r="D1306" t="s">
        <v>11675</v>
      </c>
    </row>
    <row r="1307" spans="1:4">
      <c r="A1307" t="s">
        <v>11676</v>
      </c>
      <c r="B1307" t="s">
        <v>1741</v>
      </c>
      <c r="C1307" t="s">
        <v>11677</v>
      </c>
      <c r="D1307" t="s">
        <v>11678</v>
      </c>
    </row>
    <row r="1308" spans="1:4">
      <c r="A1308" t="s">
        <v>11679</v>
      </c>
      <c r="B1308" t="s">
        <v>1741</v>
      </c>
      <c r="C1308" t="s">
        <v>11680</v>
      </c>
      <c r="D1308" t="s">
        <v>11681</v>
      </c>
    </row>
    <row r="1309" spans="1:4">
      <c r="A1309" t="s">
        <v>11682</v>
      </c>
      <c r="B1309" t="s">
        <v>1739</v>
      </c>
      <c r="C1309" t="s">
        <v>11683</v>
      </c>
      <c r="D1309" t="s">
        <v>11684</v>
      </c>
    </row>
    <row r="1310" spans="1:4">
      <c r="A1310" t="s">
        <v>11685</v>
      </c>
      <c r="B1310" t="s">
        <v>1740</v>
      </c>
      <c r="C1310" t="s">
        <v>11686</v>
      </c>
      <c r="D1310" t="s">
        <v>11687</v>
      </c>
    </row>
    <row r="1311" spans="1:4">
      <c r="A1311" t="s">
        <v>11688</v>
      </c>
      <c r="B1311" t="s">
        <v>1741</v>
      </c>
      <c r="C1311" t="s">
        <v>11689</v>
      </c>
      <c r="D1311" t="s">
        <v>11690</v>
      </c>
    </row>
    <row r="1312" spans="1:4">
      <c r="A1312" t="s">
        <v>11691</v>
      </c>
      <c r="B1312" t="s">
        <v>1744</v>
      </c>
      <c r="C1312" t="s">
        <v>11692</v>
      </c>
      <c r="D1312" t="s">
        <v>11693</v>
      </c>
    </row>
    <row r="1313" spans="1:4">
      <c r="A1313" t="s">
        <v>11694</v>
      </c>
      <c r="B1313" t="s">
        <v>1741</v>
      </c>
      <c r="C1313" t="s">
        <v>11695</v>
      </c>
      <c r="D1313" t="s">
        <v>11696</v>
      </c>
    </row>
    <row r="1314" spans="1:4">
      <c r="A1314" t="s">
        <v>11697</v>
      </c>
      <c r="B1314" t="s">
        <v>1739</v>
      </c>
      <c r="C1314" t="s">
        <v>11698</v>
      </c>
      <c r="D1314" t="s">
        <v>11699</v>
      </c>
    </row>
    <row r="1315" spans="1:4">
      <c r="A1315" t="s">
        <v>8213</v>
      </c>
      <c r="B1315" t="s">
        <v>1741</v>
      </c>
      <c r="C1315" t="s">
        <v>11700</v>
      </c>
      <c r="D1315" t="s">
        <v>8215</v>
      </c>
    </row>
    <row r="1316" spans="1:4">
      <c r="A1316" t="s">
        <v>11701</v>
      </c>
      <c r="B1316" t="s">
        <v>1744</v>
      </c>
      <c r="C1316" t="s">
        <v>11702</v>
      </c>
      <c r="D1316" t="s">
        <v>11703</v>
      </c>
    </row>
    <row r="1317" spans="1:4">
      <c r="A1317" t="s">
        <v>11704</v>
      </c>
      <c r="B1317" t="s">
        <v>1741</v>
      </c>
      <c r="C1317" t="s">
        <v>11705</v>
      </c>
      <c r="D1317" t="s">
        <v>11706</v>
      </c>
    </row>
    <row r="1318" spans="1:4">
      <c r="A1318" t="s">
        <v>11707</v>
      </c>
      <c r="B1318" t="s">
        <v>1744</v>
      </c>
      <c r="C1318" t="s">
        <v>11708</v>
      </c>
      <c r="D1318" t="s">
        <v>11709</v>
      </c>
    </row>
    <row r="1319" spans="1:4">
      <c r="A1319" t="s">
        <v>11710</v>
      </c>
      <c r="B1319" t="s">
        <v>1741</v>
      </c>
      <c r="C1319" t="s">
        <v>11711</v>
      </c>
      <c r="D1319" t="s">
        <v>11712</v>
      </c>
    </row>
    <row r="1320" spans="1:4">
      <c r="A1320" t="s">
        <v>11713</v>
      </c>
      <c r="B1320" t="s">
        <v>1741</v>
      </c>
      <c r="C1320" t="s">
        <v>11714</v>
      </c>
      <c r="D1320" t="s">
        <v>11715</v>
      </c>
    </row>
    <row r="1321" spans="1:4">
      <c r="A1321" t="s">
        <v>11716</v>
      </c>
      <c r="B1321" t="s">
        <v>1739</v>
      </c>
      <c r="C1321" t="s">
        <v>11717</v>
      </c>
      <c r="D1321" t="s">
        <v>11718</v>
      </c>
    </row>
    <row r="1322" spans="1:4">
      <c r="A1322" t="s">
        <v>11719</v>
      </c>
      <c r="B1322" t="s">
        <v>1740</v>
      </c>
      <c r="C1322" t="s">
        <v>11720</v>
      </c>
      <c r="D1322" t="s">
        <v>11721</v>
      </c>
    </row>
    <row r="1323" spans="1:4">
      <c r="A1323" t="s">
        <v>11722</v>
      </c>
      <c r="B1323" t="s">
        <v>1741</v>
      </c>
      <c r="C1323" t="s">
        <v>11723</v>
      </c>
      <c r="D1323" t="s">
        <v>11724</v>
      </c>
    </row>
    <row r="1324" spans="1:4">
      <c r="A1324" t="s">
        <v>11725</v>
      </c>
      <c r="B1324" t="s">
        <v>1741</v>
      </c>
      <c r="C1324" t="s">
        <v>11726</v>
      </c>
      <c r="D1324" t="s">
        <v>11727</v>
      </c>
    </row>
    <row r="1325" spans="1:4">
      <c r="A1325" t="s">
        <v>11728</v>
      </c>
      <c r="B1325" t="s">
        <v>1741</v>
      </c>
      <c r="C1325" t="s">
        <v>11729</v>
      </c>
      <c r="D1325" t="s">
        <v>11730</v>
      </c>
    </row>
    <row r="1326" spans="1:4">
      <c r="A1326" t="s">
        <v>11731</v>
      </c>
      <c r="B1326" t="s">
        <v>1741</v>
      </c>
      <c r="C1326" t="s">
        <v>11732</v>
      </c>
      <c r="D1326" t="s">
        <v>11733</v>
      </c>
    </row>
    <row r="1327" spans="1:4">
      <c r="A1327" t="s">
        <v>11734</v>
      </c>
      <c r="B1327" t="s">
        <v>1741</v>
      </c>
      <c r="C1327" t="s">
        <v>11735</v>
      </c>
      <c r="D1327" t="s">
        <v>11736</v>
      </c>
    </row>
    <row r="1328" spans="1:4">
      <c r="A1328" t="s">
        <v>11737</v>
      </c>
      <c r="B1328" t="s">
        <v>1741</v>
      </c>
      <c r="C1328" t="s">
        <v>11738</v>
      </c>
      <c r="D1328" t="s">
        <v>11739</v>
      </c>
    </row>
    <row r="1329" spans="1:4">
      <c r="A1329" t="s">
        <v>11740</v>
      </c>
      <c r="B1329" t="s">
        <v>1741</v>
      </c>
      <c r="C1329" t="s">
        <v>11741</v>
      </c>
      <c r="D1329" t="s">
        <v>11742</v>
      </c>
    </row>
    <row r="1330" spans="1:4">
      <c r="A1330" t="s">
        <v>11743</v>
      </c>
      <c r="B1330" t="s">
        <v>1741</v>
      </c>
      <c r="C1330" t="s">
        <v>11744</v>
      </c>
      <c r="D1330" t="s">
        <v>11745</v>
      </c>
    </row>
    <row r="1331" spans="1:4">
      <c r="A1331" t="s">
        <v>11746</v>
      </c>
      <c r="B1331" t="s">
        <v>1741</v>
      </c>
      <c r="C1331" t="s">
        <v>11747</v>
      </c>
      <c r="D1331" t="s">
        <v>11748</v>
      </c>
    </row>
    <row r="1332" spans="1:4">
      <c r="A1332" t="s">
        <v>11749</v>
      </c>
      <c r="B1332" t="s">
        <v>1741</v>
      </c>
      <c r="C1332" t="s">
        <v>11750</v>
      </c>
      <c r="D1332" t="s">
        <v>11751</v>
      </c>
    </row>
    <row r="1333" spans="1:4">
      <c r="A1333" t="s">
        <v>11752</v>
      </c>
      <c r="B1333" t="s">
        <v>1741</v>
      </c>
      <c r="C1333" t="s">
        <v>11753</v>
      </c>
      <c r="D1333" t="s">
        <v>11754</v>
      </c>
    </row>
    <row r="1334" spans="1:4">
      <c r="A1334" t="s">
        <v>11755</v>
      </c>
      <c r="B1334" t="s">
        <v>1741</v>
      </c>
      <c r="C1334" t="s">
        <v>11756</v>
      </c>
      <c r="D1334" t="s">
        <v>11757</v>
      </c>
    </row>
    <row r="1335" spans="1:4">
      <c r="A1335" t="s">
        <v>11758</v>
      </c>
      <c r="B1335" t="s">
        <v>1741</v>
      </c>
      <c r="C1335" t="s">
        <v>11759</v>
      </c>
      <c r="D1335" t="s">
        <v>11760</v>
      </c>
    </row>
    <row r="1336" spans="1:4">
      <c r="A1336" t="s">
        <v>11761</v>
      </c>
      <c r="B1336" t="s">
        <v>1741</v>
      </c>
      <c r="C1336" t="s">
        <v>11762</v>
      </c>
      <c r="D1336" t="s">
        <v>11763</v>
      </c>
    </row>
    <row r="1337" spans="1:4">
      <c r="A1337" t="s">
        <v>11764</v>
      </c>
      <c r="B1337" t="s">
        <v>1741</v>
      </c>
      <c r="C1337" t="s">
        <v>11765</v>
      </c>
      <c r="D1337" t="s">
        <v>11766</v>
      </c>
    </row>
    <row r="1338" spans="1:4">
      <c r="A1338" t="s">
        <v>11767</v>
      </c>
      <c r="B1338" t="s">
        <v>1741</v>
      </c>
      <c r="C1338" t="s">
        <v>11768</v>
      </c>
      <c r="D1338" t="s">
        <v>11769</v>
      </c>
    </row>
    <row r="1339" spans="1:4">
      <c r="A1339" t="s">
        <v>11770</v>
      </c>
      <c r="B1339" t="s">
        <v>1741</v>
      </c>
      <c r="C1339" t="s">
        <v>11771</v>
      </c>
      <c r="D1339" t="s">
        <v>11772</v>
      </c>
    </row>
    <row r="1340" spans="1:4">
      <c r="A1340" t="s">
        <v>11773</v>
      </c>
      <c r="B1340" t="s">
        <v>1741</v>
      </c>
      <c r="C1340" t="s">
        <v>11774</v>
      </c>
      <c r="D1340" t="s">
        <v>11775</v>
      </c>
    </row>
    <row r="1341" spans="1:4">
      <c r="A1341" t="s">
        <v>11776</v>
      </c>
      <c r="B1341" t="s">
        <v>1741</v>
      </c>
      <c r="C1341" t="s">
        <v>11777</v>
      </c>
      <c r="D1341" t="s">
        <v>11778</v>
      </c>
    </row>
    <row r="1342" spans="1:4">
      <c r="A1342" t="s">
        <v>11779</v>
      </c>
      <c r="B1342" t="s">
        <v>1741</v>
      </c>
      <c r="C1342" t="s">
        <v>11780</v>
      </c>
      <c r="D1342" t="s">
        <v>11781</v>
      </c>
    </row>
    <row r="1343" spans="1:4">
      <c r="A1343" t="s">
        <v>11782</v>
      </c>
      <c r="B1343" t="s">
        <v>1741</v>
      </c>
      <c r="C1343" t="s">
        <v>11783</v>
      </c>
      <c r="D1343" t="s">
        <v>11784</v>
      </c>
    </row>
    <row r="1344" spans="1:4">
      <c r="A1344" t="s">
        <v>11785</v>
      </c>
      <c r="B1344" t="s">
        <v>1741</v>
      </c>
      <c r="C1344" t="s">
        <v>11786</v>
      </c>
      <c r="D1344" t="s">
        <v>11787</v>
      </c>
    </row>
    <row r="1345" spans="1:4">
      <c r="A1345" t="s">
        <v>11788</v>
      </c>
      <c r="B1345" t="s">
        <v>1741</v>
      </c>
      <c r="C1345" t="s">
        <v>11789</v>
      </c>
      <c r="D1345" t="s">
        <v>11790</v>
      </c>
    </row>
    <row r="1346" spans="1:4">
      <c r="A1346" t="s">
        <v>11791</v>
      </c>
      <c r="B1346" t="s">
        <v>1741</v>
      </c>
      <c r="C1346" t="s">
        <v>11792</v>
      </c>
      <c r="D1346" t="s">
        <v>11793</v>
      </c>
    </row>
    <row r="1347" spans="1:4">
      <c r="A1347" t="s">
        <v>11794</v>
      </c>
      <c r="B1347" t="s">
        <v>1741</v>
      </c>
      <c r="C1347" t="s">
        <v>11795</v>
      </c>
      <c r="D1347" t="s">
        <v>11796</v>
      </c>
    </row>
    <row r="1348" spans="1:4">
      <c r="A1348" t="s">
        <v>11797</v>
      </c>
      <c r="B1348" t="s">
        <v>1744</v>
      </c>
      <c r="C1348" t="s">
        <v>11798</v>
      </c>
      <c r="D1348" t="s">
        <v>11799</v>
      </c>
    </row>
    <row r="1349" spans="1:4">
      <c r="A1349" t="s">
        <v>11800</v>
      </c>
      <c r="B1349" t="s">
        <v>1741</v>
      </c>
      <c r="C1349" t="s">
        <v>11801</v>
      </c>
      <c r="D1349" t="s">
        <v>11802</v>
      </c>
    </row>
    <row r="1350" spans="1:4">
      <c r="A1350" t="s">
        <v>11803</v>
      </c>
      <c r="B1350" t="s">
        <v>1741</v>
      </c>
      <c r="C1350" t="s">
        <v>11804</v>
      </c>
      <c r="D1350" t="s">
        <v>11805</v>
      </c>
    </row>
    <row r="1351" spans="1:4">
      <c r="A1351" t="s">
        <v>11806</v>
      </c>
      <c r="B1351" t="s">
        <v>1741</v>
      </c>
      <c r="C1351" t="s">
        <v>11807</v>
      </c>
      <c r="D1351" t="s">
        <v>11808</v>
      </c>
    </row>
    <row r="1352" spans="1:4">
      <c r="A1352" t="s">
        <v>11809</v>
      </c>
      <c r="B1352" t="s">
        <v>1741</v>
      </c>
      <c r="C1352" t="s">
        <v>11810</v>
      </c>
      <c r="D1352" t="s">
        <v>11811</v>
      </c>
    </row>
    <row r="1353" spans="1:4">
      <c r="A1353" t="s">
        <v>11812</v>
      </c>
      <c r="B1353" t="s">
        <v>1744</v>
      </c>
      <c r="C1353" t="s">
        <v>11813</v>
      </c>
      <c r="D1353" t="s">
        <v>11814</v>
      </c>
    </row>
    <row r="1354" spans="1:4">
      <c r="A1354" t="s">
        <v>11815</v>
      </c>
      <c r="B1354" t="s">
        <v>1741</v>
      </c>
      <c r="C1354" t="s">
        <v>11816</v>
      </c>
      <c r="D1354" t="s">
        <v>11817</v>
      </c>
    </row>
    <row r="1355" spans="1:4">
      <c r="A1355" t="s">
        <v>11818</v>
      </c>
      <c r="B1355" t="s">
        <v>1744</v>
      </c>
      <c r="C1355" t="s">
        <v>11819</v>
      </c>
      <c r="D1355" t="s">
        <v>11820</v>
      </c>
    </row>
    <row r="1356" spans="1:4">
      <c r="A1356" t="s">
        <v>11821</v>
      </c>
      <c r="B1356" t="s">
        <v>1741</v>
      </c>
      <c r="C1356" t="s">
        <v>11822</v>
      </c>
      <c r="D1356" t="s">
        <v>11823</v>
      </c>
    </row>
    <row r="1357" spans="1:4">
      <c r="A1357" t="s">
        <v>11824</v>
      </c>
      <c r="B1357" t="s">
        <v>1744</v>
      </c>
      <c r="C1357" t="s">
        <v>11825</v>
      </c>
      <c r="D1357" t="s">
        <v>11826</v>
      </c>
    </row>
    <row r="1358" spans="1:4">
      <c r="A1358" t="s">
        <v>11827</v>
      </c>
      <c r="B1358" t="s">
        <v>1741</v>
      </c>
      <c r="C1358" t="s">
        <v>11828</v>
      </c>
      <c r="D1358" t="s">
        <v>11829</v>
      </c>
    </row>
    <row r="1359" spans="1:4">
      <c r="A1359" t="s">
        <v>11830</v>
      </c>
      <c r="B1359" t="s">
        <v>1744</v>
      </c>
      <c r="C1359" t="s">
        <v>11831</v>
      </c>
      <c r="D1359" t="s">
        <v>11832</v>
      </c>
    </row>
    <row r="1360" spans="1:4">
      <c r="A1360" t="s">
        <v>11833</v>
      </c>
      <c r="B1360" t="s">
        <v>1741</v>
      </c>
      <c r="C1360" t="s">
        <v>11834</v>
      </c>
      <c r="D1360" t="s">
        <v>11835</v>
      </c>
    </row>
    <row r="1361" spans="1:4">
      <c r="A1361" t="s">
        <v>11836</v>
      </c>
      <c r="B1361" t="s">
        <v>1744</v>
      </c>
      <c r="C1361" t="s">
        <v>11837</v>
      </c>
      <c r="D1361" t="s">
        <v>11838</v>
      </c>
    </row>
    <row r="1362" spans="1:4">
      <c r="A1362" t="s">
        <v>11839</v>
      </c>
      <c r="B1362" t="s">
        <v>1741</v>
      </c>
      <c r="C1362" t="s">
        <v>11840</v>
      </c>
      <c r="D1362" t="s">
        <v>11841</v>
      </c>
    </row>
    <row r="1363" spans="1:4">
      <c r="A1363" t="s">
        <v>11842</v>
      </c>
      <c r="B1363" t="s">
        <v>1741</v>
      </c>
      <c r="C1363" t="s">
        <v>11843</v>
      </c>
      <c r="D1363" t="s">
        <v>11844</v>
      </c>
    </row>
    <row r="1364" spans="1:4">
      <c r="A1364" t="s">
        <v>11845</v>
      </c>
      <c r="B1364" t="s">
        <v>1741</v>
      </c>
      <c r="C1364" t="s">
        <v>11846</v>
      </c>
      <c r="D1364" t="s">
        <v>11847</v>
      </c>
    </row>
    <row r="1365" spans="1:4">
      <c r="A1365" t="s">
        <v>11848</v>
      </c>
      <c r="B1365" t="s">
        <v>1744</v>
      </c>
      <c r="C1365" t="s">
        <v>11849</v>
      </c>
      <c r="D1365" t="s">
        <v>11850</v>
      </c>
    </row>
    <row r="1366" spans="1:4">
      <c r="A1366" t="s">
        <v>11851</v>
      </c>
      <c r="B1366" t="s">
        <v>1741</v>
      </c>
      <c r="C1366" t="s">
        <v>11852</v>
      </c>
      <c r="D1366" t="s">
        <v>11853</v>
      </c>
    </row>
    <row r="1367" spans="1:4">
      <c r="A1367" t="s">
        <v>11854</v>
      </c>
      <c r="B1367" t="s">
        <v>1741</v>
      </c>
      <c r="C1367" t="s">
        <v>11855</v>
      </c>
      <c r="D1367" t="s">
        <v>11856</v>
      </c>
    </row>
    <row r="1368" spans="1:4">
      <c r="A1368" t="s">
        <v>11857</v>
      </c>
      <c r="B1368" t="s">
        <v>1741</v>
      </c>
      <c r="C1368" t="s">
        <v>11858</v>
      </c>
      <c r="D1368" t="s">
        <v>11859</v>
      </c>
    </row>
    <row r="1369" spans="1:4">
      <c r="A1369" t="s">
        <v>11860</v>
      </c>
      <c r="B1369" t="s">
        <v>1741</v>
      </c>
      <c r="C1369" t="s">
        <v>11861</v>
      </c>
      <c r="D1369" t="s">
        <v>11862</v>
      </c>
    </row>
    <row r="1370" spans="1:4">
      <c r="A1370" t="s">
        <v>11863</v>
      </c>
      <c r="B1370" t="s">
        <v>1741</v>
      </c>
      <c r="C1370" t="s">
        <v>11864</v>
      </c>
      <c r="D1370" t="s">
        <v>11865</v>
      </c>
    </row>
    <row r="1371" spans="1:4">
      <c r="A1371" t="s">
        <v>11866</v>
      </c>
      <c r="B1371" t="s">
        <v>1739</v>
      </c>
      <c r="C1371" t="s">
        <v>11867</v>
      </c>
      <c r="D1371" t="s">
        <v>11868</v>
      </c>
    </row>
    <row r="1372" spans="1:4">
      <c r="A1372" t="s">
        <v>11869</v>
      </c>
      <c r="B1372" t="s">
        <v>1740</v>
      </c>
      <c r="C1372" t="s">
        <v>11870</v>
      </c>
      <c r="D1372" t="s">
        <v>11871</v>
      </c>
    </row>
    <row r="1373" spans="1:4">
      <c r="A1373" t="s">
        <v>11872</v>
      </c>
      <c r="B1373" t="s">
        <v>1741</v>
      </c>
      <c r="C1373" t="s">
        <v>11873</v>
      </c>
      <c r="D1373" t="s">
        <v>11874</v>
      </c>
    </row>
    <row r="1374" spans="1:4">
      <c r="A1374" t="s">
        <v>11875</v>
      </c>
      <c r="B1374" t="s">
        <v>1739</v>
      </c>
      <c r="C1374" t="s">
        <v>11876</v>
      </c>
      <c r="D1374" t="s">
        <v>11877</v>
      </c>
    </row>
    <row r="1375" spans="1:4">
      <c r="A1375" t="s">
        <v>11878</v>
      </c>
      <c r="B1375" t="s">
        <v>1740</v>
      </c>
      <c r="C1375" t="s">
        <v>11879</v>
      </c>
      <c r="D1375" t="s">
        <v>11880</v>
      </c>
    </row>
    <row r="1376" spans="1:4">
      <c r="A1376" t="s">
        <v>11881</v>
      </c>
      <c r="B1376" t="s">
        <v>1741</v>
      </c>
      <c r="C1376" t="s">
        <v>11882</v>
      </c>
      <c r="D1376" t="s">
        <v>11883</v>
      </c>
    </row>
    <row r="1377" spans="1:4">
      <c r="A1377" t="s">
        <v>11884</v>
      </c>
      <c r="B1377" t="s">
        <v>1744</v>
      </c>
      <c r="C1377" t="s">
        <v>11885</v>
      </c>
      <c r="D1377" t="s">
        <v>11886</v>
      </c>
    </row>
    <row r="1378" spans="1:4">
      <c r="A1378" t="s">
        <v>11887</v>
      </c>
      <c r="B1378" t="s">
        <v>1740</v>
      </c>
      <c r="C1378" t="s">
        <v>11888</v>
      </c>
      <c r="D1378" t="s">
        <v>11889</v>
      </c>
    </row>
    <row r="1379" spans="1:4">
      <c r="A1379" t="s">
        <v>11890</v>
      </c>
      <c r="B1379" t="s">
        <v>1741</v>
      </c>
      <c r="C1379" t="s">
        <v>11891</v>
      </c>
      <c r="D1379" t="s">
        <v>11892</v>
      </c>
    </row>
    <row r="1380" spans="1:4">
      <c r="A1380" t="s">
        <v>11893</v>
      </c>
      <c r="B1380" t="s">
        <v>1739</v>
      </c>
      <c r="C1380" t="s">
        <v>11894</v>
      </c>
      <c r="D1380" t="s">
        <v>11895</v>
      </c>
    </row>
    <row r="1381" spans="1:4">
      <c r="A1381" t="s">
        <v>11896</v>
      </c>
      <c r="B1381" t="s">
        <v>1740</v>
      </c>
      <c r="C1381" t="s">
        <v>11897</v>
      </c>
      <c r="D1381" t="s">
        <v>11898</v>
      </c>
    </row>
    <row r="1382" spans="1:4">
      <c r="A1382" t="s">
        <v>11899</v>
      </c>
      <c r="B1382" t="s">
        <v>1741</v>
      </c>
      <c r="C1382" t="s">
        <v>11900</v>
      </c>
      <c r="D1382" t="s">
        <v>11901</v>
      </c>
    </row>
    <row r="1383" spans="1:4">
      <c r="A1383" t="s">
        <v>11902</v>
      </c>
      <c r="B1383" t="s">
        <v>1744</v>
      </c>
      <c r="C1383" t="s">
        <v>11903</v>
      </c>
      <c r="D1383" t="s">
        <v>11904</v>
      </c>
    </row>
    <row r="1384" spans="1:4">
      <c r="A1384" t="s">
        <v>11905</v>
      </c>
      <c r="B1384" t="s">
        <v>1741</v>
      </c>
      <c r="C1384" t="s">
        <v>11906</v>
      </c>
      <c r="D1384" t="s">
        <v>11907</v>
      </c>
    </row>
    <row r="1385" spans="1:4">
      <c r="A1385" t="s">
        <v>11908</v>
      </c>
      <c r="B1385" t="s">
        <v>1744</v>
      </c>
      <c r="C1385" t="s">
        <v>11909</v>
      </c>
      <c r="D1385" t="s">
        <v>11910</v>
      </c>
    </row>
    <row r="1386" spans="1:4">
      <c r="A1386" t="s">
        <v>11911</v>
      </c>
      <c r="B1386" t="s">
        <v>1740</v>
      </c>
      <c r="C1386" t="s">
        <v>11912</v>
      </c>
      <c r="D1386" t="s">
        <v>11913</v>
      </c>
    </row>
    <row r="1387" spans="1:4">
      <c r="A1387" t="s">
        <v>11914</v>
      </c>
      <c r="B1387" t="s">
        <v>1741</v>
      </c>
      <c r="C1387" t="s">
        <v>11915</v>
      </c>
      <c r="D1387" t="s">
        <v>11916</v>
      </c>
    </row>
    <row r="1388" spans="1:4">
      <c r="A1388" t="s">
        <v>11917</v>
      </c>
      <c r="B1388" t="s">
        <v>1744</v>
      </c>
      <c r="C1388" t="s">
        <v>11918</v>
      </c>
      <c r="D1388" t="s">
        <v>11919</v>
      </c>
    </row>
    <row r="1389" spans="1:4">
      <c r="A1389" t="s">
        <v>11920</v>
      </c>
      <c r="B1389" t="s">
        <v>1740</v>
      </c>
      <c r="C1389" t="s">
        <v>11921</v>
      </c>
      <c r="D1389" t="s">
        <v>11922</v>
      </c>
    </row>
    <row r="1390" spans="1:4">
      <c r="A1390" t="s">
        <v>11923</v>
      </c>
      <c r="B1390" t="s">
        <v>1741</v>
      </c>
      <c r="C1390" t="s">
        <v>11924</v>
      </c>
      <c r="D1390" t="s">
        <v>11925</v>
      </c>
    </row>
    <row r="1391" spans="1:4">
      <c r="A1391" t="s">
        <v>11926</v>
      </c>
      <c r="B1391" t="s">
        <v>1744</v>
      </c>
      <c r="C1391" t="s">
        <v>11927</v>
      </c>
      <c r="D1391" t="s">
        <v>11928</v>
      </c>
    </row>
    <row r="1392" spans="1:4">
      <c r="A1392" t="s">
        <v>11929</v>
      </c>
      <c r="B1392" t="s">
        <v>1741</v>
      </c>
      <c r="C1392" t="s">
        <v>11930</v>
      </c>
      <c r="D1392" t="s">
        <v>11931</v>
      </c>
    </row>
    <row r="1393" spans="1:4">
      <c r="A1393" t="s">
        <v>11932</v>
      </c>
      <c r="B1393" t="s">
        <v>1739</v>
      </c>
      <c r="C1393" t="s">
        <v>11933</v>
      </c>
      <c r="D1393" t="s">
        <v>11934</v>
      </c>
    </row>
    <row r="1394" spans="1:4">
      <c r="A1394" t="s">
        <v>11935</v>
      </c>
      <c r="B1394" t="s">
        <v>1740</v>
      </c>
      <c r="C1394" t="s">
        <v>11936</v>
      </c>
      <c r="D1394" t="s">
        <v>11937</v>
      </c>
    </row>
    <row r="1395" spans="1:4">
      <c r="A1395" t="s">
        <v>11938</v>
      </c>
      <c r="B1395" t="s">
        <v>1741</v>
      </c>
      <c r="C1395" t="s">
        <v>11939</v>
      </c>
      <c r="D1395" t="s">
        <v>11940</v>
      </c>
    </row>
    <row r="1396" spans="1:4">
      <c r="A1396" t="s">
        <v>11941</v>
      </c>
      <c r="B1396" t="s">
        <v>1740</v>
      </c>
      <c r="C1396" t="s">
        <v>11942</v>
      </c>
      <c r="D1396" t="s">
        <v>11943</v>
      </c>
    </row>
    <row r="1397" spans="1:4">
      <c r="A1397" t="s">
        <v>11944</v>
      </c>
      <c r="B1397" t="s">
        <v>1739</v>
      </c>
      <c r="C1397" t="s">
        <v>11945</v>
      </c>
      <c r="D1397" t="s">
        <v>11946</v>
      </c>
    </row>
    <row r="1398" spans="1:4">
      <c r="A1398" t="s">
        <v>11947</v>
      </c>
      <c r="B1398" t="s">
        <v>1740</v>
      </c>
      <c r="C1398" t="s">
        <v>11948</v>
      </c>
      <c r="D1398" t="s">
        <v>11949</v>
      </c>
    </row>
    <row r="1399" spans="1:4">
      <c r="A1399" t="s">
        <v>11950</v>
      </c>
      <c r="B1399" t="s">
        <v>1744</v>
      </c>
      <c r="C1399" t="s">
        <v>11951</v>
      </c>
      <c r="D1399" t="s">
        <v>11952</v>
      </c>
    </row>
    <row r="1400" spans="1:4">
      <c r="A1400" t="s">
        <v>11953</v>
      </c>
      <c r="B1400" t="s">
        <v>1740</v>
      </c>
      <c r="C1400" t="s">
        <v>11954</v>
      </c>
      <c r="D1400" t="s">
        <v>11955</v>
      </c>
    </row>
    <row r="1401" spans="1:4">
      <c r="A1401" t="s">
        <v>11956</v>
      </c>
      <c r="B1401" t="s">
        <v>1741</v>
      </c>
      <c r="C1401" t="s">
        <v>11957</v>
      </c>
      <c r="D1401" t="s">
        <v>11958</v>
      </c>
    </row>
    <row r="1402" spans="1:4">
      <c r="A1402" t="s">
        <v>11959</v>
      </c>
      <c r="B1402" t="s">
        <v>1740</v>
      </c>
      <c r="C1402" t="s">
        <v>11960</v>
      </c>
      <c r="D1402" t="s">
        <v>11961</v>
      </c>
    </row>
    <row r="1403" spans="1:4">
      <c r="A1403" t="s">
        <v>11962</v>
      </c>
      <c r="B1403" t="s">
        <v>1741</v>
      </c>
      <c r="C1403" t="s">
        <v>11963</v>
      </c>
      <c r="D1403" t="s">
        <v>11964</v>
      </c>
    </row>
    <row r="1404" spans="1:4">
      <c r="A1404" t="s">
        <v>11965</v>
      </c>
      <c r="B1404" t="s">
        <v>1740</v>
      </c>
      <c r="C1404" t="s">
        <v>11966</v>
      </c>
      <c r="D1404" t="s">
        <v>11967</v>
      </c>
    </row>
    <row r="1405" spans="1:4">
      <c r="A1405" t="s">
        <v>11968</v>
      </c>
      <c r="B1405" t="s">
        <v>1744</v>
      </c>
      <c r="C1405" t="s">
        <v>11969</v>
      </c>
      <c r="D1405" t="s">
        <v>11970</v>
      </c>
    </row>
    <row r="1406" spans="1:4">
      <c r="A1406" t="s">
        <v>11971</v>
      </c>
      <c r="B1406" t="s">
        <v>1740</v>
      </c>
      <c r="C1406" t="s">
        <v>11972</v>
      </c>
      <c r="D1406" t="s">
        <v>11973</v>
      </c>
    </row>
    <row r="1407" spans="1:4">
      <c r="A1407" t="s">
        <v>11974</v>
      </c>
      <c r="B1407" t="s">
        <v>1739</v>
      </c>
      <c r="C1407" t="s">
        <v>11975</v>
      </c>
      <c r="D1407" t="s">
        <v>11976</v>
      </c>
    </row>
    <row r="1408" spans="1:4">
      <c r="A1408" t="s">
        <v>11977</v>
      </c>
      <c r="B1408" t="s">
        <v>1741</v>
      </c>
      <c r="C1408" t="s">
        <v>11978</v>
      </c>
      <c r="D1408" t="s">
        <v>11979</v>
      </c>
    </row>
    <row r="1409" spans="1:4">
      <c r="A1409" t="s">
        <v>11980</v>
      </c>
      <c r="B1409" t="s">
        <v>1741</v>
      </c>
      <c r="C1409" t="s">
        <v>11981</v>
      </c>
      <c r="D1409" t="s">
        <v>11982</v>
      </c>
    </row>
    <row r="1410" spans="1:4">
      <c r="A1410" t="s">
        <v>11983</v>
      </c>
      <c r="B1410" t="s">
        <v>1741</v>
      </c>
      <c r="C1410" t="s">
        <v>11984</v>
      </c>
      <c r="D1410" t="s">
        <v>11985</v>
      </c>
    </row>
    <row r="1411" spans="1:4">
      <c r="A1411" t="s">
        <v>11986</v>
      </c>
      <c r="B1411" t="s">
        <v>1741</v>
      </c>
      <c r="C1411" t="s">
        <v>11987</v>
      </c>
      <c r="D1411" t="s">
        <v>11988</v>
      </c>
    </row>
    <row r="1412" spans="1:4">
      <c r="A1412" t="s">
        <v>11989</v>
      </c>
      <c r="B1412" t="s">
        <v>1741</v>
      </c>
      <c r="C1412" t="s">
        <v>11990</v>
      </c>
      <c r="D1412" t="s">
        <v>11991</v>
      </c>
    </row>
    <row r="1413" spans="1:4">
      <c r="A1413" t="s">
        <v>11992</v>
      </c>
      <c r="B1413" t="s">
        <v>1741</v>
      </c>
      <c r="C1413" t="s">
        <v>11993</v>
      </c>
      <c r="D1413" t="s">
        <v>11994</v>
      </c>
    </row>
    <row r="1414" spans="1:4">
      <c r="A1414" t="s">
        <v>11995</v>
      </c>
      <c r="B1414" t="s">
        <v>1739</v>
      </c>
      <c r="C1414" t="s">
        <v>11996</v>
      </c>
      <c r="D1414" t="s">
        <v>11997</v>
      </c>
    </row>
    <row r="1415" spans="1:4">
      <c r="A1415" t="s">
        <v>11998</v>
      </c>
      <c r="B1415" t="s">
        <v>1740</v>
      </c>
      <c r="C1415" t="s">
        <v>11999</v>
      </c>
      <c r="D1415" t="s">
        <v>12000</v>
      </c>
    </row>
    <row r="1416" spans="1:4">
      <c r="A1416" t="s">
        <v>12001</v>
      </c>
      <c r="B1416" t="s">
        <v>1741</v>
      </c>
      <c r="C1416" t="s">
        <v>12002</v>
      </c>
      <c r="D1416" t="s">
        <v>12003</v>
      </c>
    </row>
    <row r="1417" spans="1:4">
      <c r="A1417" t="s">
        <v>12004</v>
      </c>
      <c r="B1417" t="s">
        <v>1744</v>
      </c>
      <c r="C1417" t="s">
        <v>12005</v>
      </c>
      <c r="D1417" t="s">
        <v>12006</v>
      </c>
    </row>
    <row r="1418" spans="1:4">
      <c r="A1418" t="s">
        <v>12007</v>
      </c>
      <c r="B1418" t="s">
        <v>1741</v>
      </c>
      <c r="C1418" t="s">
        <v>12008</v>
      </c>
      <c r="D1418" t="s">
        <v>12009</v>
      </c>
    </row>
    <row r="1419" spans="1:4">
      <c r="A1419" t="s">
        <v>12010</v>
      </c>
      <c r="B1419" t="s">
        <v>1739</v>
      </c>
      <c r="C1419" t="s">
        <v>12011</v>
      </c>
      <c r="D1419" t="s">
        <v>12012</v>
      </c>
    </row>
    <row r="1420" spans="1:4">
      <c r="A1420" t="s">
        <v>12013</v>
      </c>
      <c r="B1420" t="s">
        <v>1740</v>
      </c>
      <c r="C1420" t="s">
        <v>12014</v>
      </c>
      <c r="D1420" t="s">
        <v>12015</v>
      </c>
    </row>
    <row r="1421" spans="1:4">
      <c r="A1421" t="s">
        <v>12016</v>
      </c>
      <c r="B1421" t="s">
        <v>1741</v>
      </c>
      <c r="C1421" t="s">
        <v>12017</v>
      </c>
      <c r="D1421" t="s">
        <v>12018</v>
      </c>
    </row>
    <row r="1422" spans="1:4">
      <c r="A1422" t="s">
        <v>12019</v>
      </c>
      <c r="B1422" t="s">
        <v>1740</v>
      </c>
      <c r="C1422" t="s">
        <v>12020</v>
      </c>
      <c r="D1422" t="s">
        <v>12021</v>
      </c>
    </row>
    <row r="1423" spans="1:4">
      <c r="A1423" t="s">
        <v>12022</v>
      </c>
      <c r="B1423" t="s">
        <v>1741</v>
      </c>
      <c r="C1423" t="s">
        <v>12023</v>
      </c>
      <c r="D1423" t="s">
        <v>12024</v>
      </c>
    </row>
    <row r="1424" spans="1:4">
      <c r="A1424" t="s">
        <v>12025</v>
      </c>
      <c r="B1424" t="s">
        <v>1744</v>
      </c>
      <c r="C1424" t="s">
        <v>12026</v>
      </c>
      <c r="D1424" t="s">
        <v>12027</v>
      </c>
    </row>
    <row r="1425" spans="1:4">
      <c r="A1425" t="s">
        <v>12028</v>
      </c>
      <c r="B1425" t="s">
        <v>1739</v>
      </c>
      <c r="C1425" t="s">
        <v>12029</v>
      </c>
      <c r="D1425" t="s">
        <v>12030</v>
      </c>
    </row>
    <row r="1426" spans="1:4">
      <c r="A1426" t="s">
        <v>12031</v>
      </c>
      <c r="B1426" t="s">
        <v>1740</v>
      </c>
      <c r="C1426" t="s">
        <v>12032</v>
      </c>
      <c r="D1426" t="s">
        <v>12033</v>
      </c>
    </row>
    <row r="1427" spans="1:4">
      <c r="A1427" t="s">
        <v>12034</v>
      </c>
      <c r="B1427" t="s">
        <v>1741</v>
      </c>
      <c r="C1427" t="s">
        <v>12035</v>
      </c>
      <c r="D1427" t="s">
        <v>12036</v>
      </c>
    </row>
    <row r="1428" spans="1:4">
      <c r="A1428" t="s">
        <v>12037</v>
      </c>
      <c r="B1428" t="s">
        <v>1739</v>
      </c>
      <c r="C1428" t="s">
        <v>12038</v>
      </c>
      <c r="D1428" t="s">
        <v>12039</v>
      </c>
    </row>
    <row r="1429" spans="1:4">
      <c r="A1429" t="s">
        <v>12040</v>
      </c>
      <c r="B1429" t="s">
        <v>1740</v>
      </c>
      <c r="C1429" t="s">
        <v>12041</v>
      </c>
      <c r="D1429" t="s">
        <v>12042</v>
      </c>
    </row>
    <row r="1430" spans="1:4">
      <c r="A1430" t="s">
        <v>12043</v>
      </c>
      <c r="B1430" t="s">
        <v>1741</v>
      </c>
      <c r="C1430" t="s">
        <v>12044</v>
      </c>
      <c r="D1430" t="s">
        <v>12045</v>
      </c>
    </row>
    <row r="1431" spans="1:4">
      <c r="A1431" t="s">
        <v>12046</v>
      </c>
      <c r="B1431" t="s">
        <v>1744</v>
      </c>
      <c r="C1431" t="s">
        <v>12047</v>
      </c>
      <c r="D1431" t="s">
        <v>12048</v>
      </c>
    </row>
    <row r="1432" spans="1:4">
      <c r="A1432" t="s">
        <v>12049</v>
      </c>
      <c r="B1432" t="s">
        <v>1739</v>
      </c>
      <c r="C1432" t="s">
        <v>12050</v>
      </c>
      <c r="D1432" t="s">
        <v>12051</v>
      </c>
    </row>
    <row r="1433" spans="1:4">
      <c r="A1433" t="s">
        <v>12052</v>
      </c>
      <c r="B1433" t="s">
        <v>1740</v>
      </c>
      <c r="C1433" t="s">
        <v>12053</v>
      </c>
      <c r="D1433" t="s">
        <v>12054</v>
      </c>
    </row>
    <row r="1434" spans="1:4">
      <c r="A1434" t="s">
        <v>12055</v>
      </c>
      <c r="B1434" t="s">
        <v>1741</v>
      </c>
      <c r="C1434" t="s">
        <v>12056</v>
      </c>
      <c r="D1434" t="s">
        <v>12057</v>
      </c>
    </row>
    <row r="1435" spans="1:4">
      <c r="A1435" t="s">
        <v>12058</v>
      </c>
      <c r="B1435" t="s">
        <v>1741</v>
      </c>
      <c r="C1435" t="s">
        <v>12059</v>
      </c>
      <c r="D1435" t="s">
        <v>12060</v>
      </c>
    </row>
    <row r="1436" spans="1:4">
      <c r="A1436" t="s">
        <v>12061</v>
      </c>
      <c r="B1436" t="s">
        <v>1740</v>
      </c>
      <c r="C1436" t="s">
        <v>12062</v>
      </c>
      <c r="D1436" t="s">
        <v>12063</v>
      </c>
    </row>
    <row r="1437" spans="1:4">
      <c r="A1437" t="s">
        <v>12064</v>
      </c>
      <c r="B1437" t="s">
        <v>1741</v>
      </c>
      <c r="C1437" t="s">
        <v>12065</v>
      </c>
      <c r="D1437" t="s">
        <v>12066</v>
      </c>
    </row>
    <row r="1438" spans="1:4">
      <c r="A1438" t="s">
        <v>12067</v>
      </c>
      <c r="B1438" t="s">
        <v>1741</v>
      </c>
      <c r="C1438" t="s">
        <v>12068</v>
      </c>
      <c r="D1438" t="s">
        <v>12069</v>
      </c>
    </row>
    <row r="1439" spans="1:4">
      <c r="A1439" t="s">
        <v>12070</v>
      </c>
      <c r="B1439" t="s">
        <v>1739</v>
      </c>
      <c r="C1439" t="s">
        <v>12071</v>
      </c>
      <c r="D1439" t="s">
        <v>12072</v>
      </c>
    </row>
    <row r="1440" spans="1:4">
      <c r="A1440" t="s">
        <v>12073</v>
      </c>
      <c r="B1440" t="s">
        <v>1740</v>
      </c>
      <c r="C1440" t="s">
        <v>12074</v>
      </c>
      <c r="D1440" t="s">
        <v>12075</v>
      </c>
    </row>
    <row r="1441" spans="1:4">
      <c r="A1441" t="s">
        <v>12076</v>
      </c>
      <c r="B1441" t="s">
        <v>1741</v>
      </c>
      <c r="C1441" t="s">
        <v>12077</v>
      </c>
      <c r="D1441" t="s">
        <v>12078</v>
      </c>
    </row>
    <row r="1442" spans="1:4">
      <c r="A1442" t="s">
        <v>12079</v>
      </c>
      <c r="B1442" t="s">
        <v>1744</v>
      </c>
      <c r="C1442" t="s">
        <v>12080</v>
      </c>
      <c r="D1442" t="s">
        <v>12081</v>
      </c>
    </row>
    <row r="1443" spans="1:4">
      <c r="A1443" t="s">
        <v>12082</v>
      </c>
      <c r="B1443" t="s">
        <v>1741</v>
      </c>
      <c r="C1443" t="s">
        <v>12083</v>
      </c>
      <c r="D1443" t="s">
        <v>12084</v>
      </c>
    </row>
    <row r="1444" spans="1:4">
      <c r="A1444" t="s">
        <v>12085</v>
      </c>
      <c r="B1444" t="s">
        <v>1740</v>
      </c>
      <c r="C1444" t="s">
        <v>12086</v>
      </c>
      <c r="D1444" t="s">
        <v>12087</v>
      </c>
    </row>
    <row r="1445" spans="1:4">
      <c r="A1445" t="s">
        <v>12088</v>
      </c>
      <c r="B1445" t="s">
        <v>1741</v>
      </c>
      <c r="C1445" t="s">
        <v>12089</v>
      </c>
      <c r="D1445" t="s">
        <v>12090</v>
      </c>
    </row>
    <row r="1446" spans="1:4">
      <c r="A1446" t="s">
        <v>12091</v>
      </c>
      <c r="B1446" t="s">
        <v>1744</v>
      </c>
      <c r="C1446" t="s">
        <v>12092</v>
      </c>
      <c r="D1446" t="s">
        <v>12093</v>
      </c>
    </row>
    <row r="1447" spans="1:4">
      <c r="A1447" t="s">
        <v>12094</v>
      </c>
      <c r="B1447" t="s">
        <v>1741</v>
      </c>
      <c r="C1447" t="s">
        <v>12095</v>
      </c>
      <c r="D1447" t="s">
        <v>12096</v>
      </c>
    </row>
    <row r="1448" spans="1:4">
      <c r="A1448" t="s">
        <v>12097</v>
      </c>
      <c r="B1448" t="s">
        <v>1740</v>
      </c>
      <c r="C1448" t="s">
        <v>12098</v>
      </c>
      <c r="D1448" t="s">
        <v>12099</v>
      </c>
    </row>
    <row r="1449" spans="1:4">
      <c r="A1449" t="s">
        <v>12100</v>
      </c>
      <c r="B1449" t="s">
        <v>1741</v>
      </c>
      <c r="C1449" t="s">
        <v>12101</v>
      </c>
      <c r="D1449" t="s">
        <v>12102</v>
      </c>
    </row>
    <row r="1450" spans="1:4">
      <c r="A1450" t="s">
        <v>12103</v>
      </c>
      <c r="B1450" t="s">
        <v>1741</v>
      </c>
      <c r="C1450" t="s">
        <v>12104</v>
      </c>
      <c r="D1450" t="s">
        <v>12105</v>
      </c>
    </row>
    <row r="1451" spans="1:4">
      <c r="A1451" t="s">
        <v>12106</v>
      </c>
      <c r="B1451" t="s">
        <v>1740</v>
      </c>
      <c r="C1451" t="s">
        <v>12107</v>
      </c>
      <c r="D1451" t="s">
        <v>12108</v>
      </c>
    </row>
    <row r="1452" spans="1:4">
      <c r="A1452" t="s">
        <v>12109</v>
      </c>
      <c r="B1452" t="s">
        <v>1741</v>
      </c>
      <c r="C1452" t="s">
        <v>12110</v>
      </c>
      <c r="D1452" t="s">
        <v>12111</v>
      </c>
    </row>
    <row r="1453" spans="1:4">
      <c r="A1453" t="s">
        <v>12112</v>
      </c>
      <c r="B1453" t="s">
        <v>1744</v>
      </c>
      <c r="C1453" t="s">
        <v>12113</v>
      </c>
      <c r="D1453" t="s">
        <v>12114</v>
      </c>
    </row>
    <row r="1454" spans="1:4">
      <c r="A1454" t="s">
        <v>12115</v>
      </c>
      <c r="B1454" t="s">
        <v>1741</v>
      </c>
      <c r="C1454" t="s">
        <v>12116</v>
      </c>
      <c r="D1454" t="s">
        <v>12117</v>
      </c>
    </row>
    <row r="1455" spans="1:4">
      <c r="A1455" t="s">
        <v>12118</v>
      </c>
      <c r="B1455" t="s">
        <v>1744</v>
      </c>
      <c r="C1455" t="s">
        <v>12119</v>
      </c>
      <c r="D1455" t="s">
        <v>12120</v>
      </c>
    </row>
    <row r="1456" spans="1:4">
      <c r="A1456" t="s">
        <v>12121</v>
      </c>
      <c r="B1456" t="s">
        <v>1739</v>
      </c>
      <c r="C1456" t="s">
        <v>12122</v>
      </c>
      <c r="D1456" t="s">
        <v>12123</v>
      </c>
    </row>
    <row r="1457" spans="1:4">
      <c r="A1457" t="s">
        <v>12124</v>
      </c>
      <c r="B1457" t="s">
        <v>1740</v>
      </c>
      <c r="C1457" t="s">
        <v>12125</v>
      </c>
      <c r="D1457" t="s">
        <v>12126</v>
      </c>
    </row>
    <row r="1458" spans="1:4">
      <c r="A1458" t="s">
        <v>12127</v>
      </c>
      <c r="B1458" t="s">
        <v>1741</v>
      </c>
      <c r="C1458" t="s">
        <v>12128</v>
      </c>
      <c r="D1458" t="s">
        <v>12129</v>
      </c>
    </row>
    <row r="1459" spans="1:4">
      <c r="A1459" t="s">
        <v>12130</v>
      </c>
      <c r="B1459" t="s">
        <v>1741</v>
      </c>
      <c r="C1459" t="s">
        <v>12131</v>
      </c>
      <c r="D1459" t="s">
        <v>12132</v>
      </c>
    </row>
    <row r="1460" spans="1:4">
      <c r="A1460" t="s">
        <v>12133</v>
      </c>
      <c r="B1460" t="s">
        <v>1744</v>
      </c>
      <c r="C1460" t="s">
        <v>12134</v>
      </c>
      <c r="D1460" t="s">
        <v>12135</v>
      </c>
    </row>
    <row r="1461" spans="1:4">
      <c r="A1461" t="s">
        <v>12136</v>
      </c>
      <c r="B1461" t="s">
        <v>1741</v>
      </c>
      <c r="C1461" t="s">
        <v>12137</v>
      </c>
      <c r="D1461" t="s">
        <v>12138</v>
      </c>
    </row>
    <row r="1462" spans="1:4">
      <c r="A1462" t="s">
        <v>12139</v>
      </c>
      <c r="B1462" t="s">
        <v>1739</v>
      </c>
      <c r="C1462" t="s">
        <v>12140</v>
      </c>
      <c r="D1462" t="s">
        <v>12141</v>
      </c>
    </row>
    <row r="1463" spans="1:4">
      <c r="A1463" t="s">
        <v>12142</v>
      </c>
      <c r="B1463" t="s">
        <v>1741</v>
      </c>
      <c r="C1463" t="s">
        <v>12143</v>
      </c>
      <c r="D1463" t="s">
        <v>12144</v>
      </c>
    </row>
    <row r="1464" spans="1:4">
      <c r="A1464" t="s">
        <v>12145</v>
      </c>
      <c r="B1464" t="s">
        <v>1739</v>
      </c>
      <c r="C1464" t="s">
        <v>12146</v>
      </c>
      <c r="D1464" t="s">
        <v>12147</v>
      </c>
    </row>
    <row r="1465" spans="1:4">
      <c r="A1465" t="s">
        <v>12148</v>
      </c>
      <c r="B1465" t="s">
        <v>1741</v>
      </c>
      <c r="C1465" t="s">
        <v>12149</v>
      </c>
      <c r="D1465" t="s">
        <v>12150</v>
      </c>
    </row>
    <row r="1466" spans="1:4">
      <c r="A1466" t="s">
        <v>12151</v>
      </c>
      <c r="B1466" t="s">
        <v>1741</v>
      </c>
      <c r="C1466" t="s">
        <v>12152</v>
      </c>
      <c r="D1466" t="s">
        <v>12153</v>
      </c>
    </row>
    <row r="1467" spans="1:4">
      <c r="A1467" t="s">
        <v>12154</v>
      </c>
      <c r="B1467" t="s">
        <v>1741</v>
      </c>
      <c r="C1467" t="s">
        <v>12155</v>
      </c>
      <c r="D1467" t="s">
        <v>12156</v>
      </c>
    </row>
    <row r="1468" spans="1:4">
      <c r="A1468" t="s">
        <v>12157</v>
      </c>
      <c r="B1468" t="s">
        <v>1739</v>
      </c>
      <c r="C1468" t="s">
        <v>12158</v>
      </c>
      <c r="D1468" t="s">
        <v>12159</v>
      </c>
    </row>
    <row r="1469" spans="1:4">
      <c r="A1469" t="s">
        <v>12160</v>
      </c>
      <c r="B1469" t="s">
        <v>1741</v>
      </c>
      <c r="C1469" t="s">
        <v>12161</v>
      </c>
      <c r="D1469" t="s">
        <v>12162</v>
      </c>
    </row>
    <row r="1470" spans="1:4">
      <c r="A1470" t="s">
        <v>12163</v>
      </c>
      <c r="B1470" t="s">
        <v>1740</v>
      </c>
      <c r="C1470" t="s">
        <v>12164</v>
      </c>
      <c r="D1470" t="s">
        <v>12165</v>
      </c>
    </row>
    <row r="1471" spans="1:4">
      <c r="A1471" t="s">
        <v>12166</v>
      </c>
      <c r="B1471" t="s">
        <v>1741</v>
      </c>
      <c r="C1471" t="s">
        <v>12167</v>
      </c>
      <c r="D1471" t="s">
        <v>12168</v>
      </c>
    </row>
    <row r="1472" spans="1:4">
      <c r="A1472" t="s">
        <v>12169</v>
      </c>
      <c r="B1472" t="s">
        <v>1741</v>
      </c>
      <c r="C1472" t="s">
        <v>12170</v>
      </c>
      <c r="D1472" t="s">
        <v>12171</v>
      </c>
    </row>
    <row r="1473" spans="1:4">
      <c r="A1473" t="s">
        <v>12172</v>
      </c>
      <c r="B1473" t="s">
        <v>1741</v>
      </c>
      <c r="C1473" t="s">
        <v>12173</v>
      </c>
      <c r="D1473" t="s">
        <v>12174</v>
      </c>
    </row>
    <row r="1474" spans="1:4">
      <c r="A1474" t="s">
        <v>12175</v>
      </c>
      <c r="B1474" t="s">
        <v>1741</v>
      </c>
      <c r="C1474" t="s">
        <v>12176</v>
      </c>
      <c r="D1474" t="s">
        <v>12177</v>
      </c>
    </row>
    <row r="1475" spans="1:4">
      <c r="A1475" t="s">
        <v>12178</v>
      </c>
      <c r="B1475" t="s">
        <v>1741</v>
      </c>
      <c r="C1475" t="s">
        <v>12179</v>
      </c>
      <c r="D1475" t="s">
        <v>12180</v>
      </c>
    </row>
    <row r="1476" spans="1:4">
      <c r="A1476" t="s">
        <v>12181</v>
      </c>
      <c r="B1476" t="s">
        <v>1741</v>
      </c>
      <c r="C1476" t="s">
        <v>12182</v>
      </c>
      <c r="D1476" t="s">
        <v>12183</v>
      </c>
    </row>
    <row r="1477" spans="1:4">
      <c r="A1477" t="s">
        <v>12184</v>
      </c>
      <c r="B1477" t="s">
        <v>1740</v>
      </c>
      <c r="C1477" t="s">
        <v>12185</v>
      </c>
      <c r="D1477" t="s">
        <v>12186</v>
      </c>
    </row>
    <row r="1478" spans="1:4">
      <c r="A1478" t="s">
        <v>12187</v>
      </c>
      <c r="B1478" t="s">
        <v>1741</v>
      </c>
      <c r="C1478" t="s">
        <v>12188</v>
      </c>
      <c r="D1478" t="s">
        <v>12189</v>
      </c>
    </row>
    <row r="1479" spans="1:4">
      <c r="A1479" t="s">
        <v>12190</v>
      </c>
      <c r="B1479" t="s">
        <v>1744</v>
      </c>
      <c r="C1479" t="s">
        <v>12191</v>
      </c>
      <c r="D1479" t="s">
        <v>12192</v>
      </c>
    </row>
    <row r="1480" spans="1:4">
      <c r="A1480" t="s">
        <v>12193</v>
      </c>
      <c r="B1480" t="s">
        <v>1741</v>
      </c>
      <c r="C1480" t="s">
        <v>12194</v>
      </c>
      <c r="D1480" t="s">
        <v>12195</v>
      </c>
    </row>
    <row r="1481" spans="1:4">
      <c r="A1481" t="s">
        <v>12196</v>
      </c>
      <c r="B1481" t="s">
        <v>1741</v>
      </c>
      <c r="C1481" t="s">
        <v>12197</v>
      </c>
      <c r="D1481" t="s">
        <v>12198</v>
      </c>
    </row>
    <row r="1482" spans="1:4">
      <c r="A1482" t="s">
        <v>12199</v>
      </c>
      <c r="B1482" t="s">
        <v>1741</v>
      </c>
      <c r="C1482" t="s">
        <v>12200</v>
      </c>
      <c r="D1482" t="s">
        <v>12201</v>
      </c>
    </row>
    <row r="1483" spans="1:4">
      <c r="A1483" t="s">
        <v>12202</v>
      </c>
      <c r="B1483" t="s">
        <v>1741</v>
      </c>
      <c r="C1483" t="s">
        <v>12203</v>
      </c>
      <c r="D1483" t="s">
        <v>12204</v>
      </c>
    </row>
    <row r="1484" spans="1:4">
      <c r="A1484" t="s">
        <v>12205</v>
      </c>
      <c r="B1484" t="s">
        <v>1744</v>
      </c>
      <c r="C1484" t="s">
        <v>12206</v>
      </c>
      <c r="D1484" t="s">
        <v>12207</v>
      </c>
    </row>
    <row r="1485" spans="1:4">
      <c r="A1485" t="s">
        <v>12208</v>
      </c>
      <c r="B1485" t="s">
        <v>1741</v>
      </c>
      <c r="C1485" t="s">
        <v>12209</v>
      </c>
      <c r="D1485" t="s">
        <v>12210</v>
      </c>
    </row>
    <row r="1486" spans="1:4">
      <c r="A1486" t="s">
        <v>12211</v>
      </c>
      <c r="B1486" t="s">
        <v>1744</v>
      </c>
      <c r="C1486" t="s">
        <v>12212</v>
      </c>
      <c r="D1486" t="s">
        <v>12213</v>
      </c>
    </row>
    <row r="1487" spans="1:4">
      <c r="A1487" t="s">
        <v>12214</v>
      </c>
      <c r="B1487" t="s">
        <v>1741</v>
      </c>
      <c r="C1487" t="s">
        <v>12215</v>
      </c>
      <c r="D1487" t="s">
        <v>12216</v>
      </c>
    </row>
    <row r="1488" spans="1:4">
      <c r="A1488" t="s">
        <v>12217</v>
      </c>
      <c r="B1488" t="s">
        <v>1744</v>
      </c>
      <c r="C1488" t="s">
        <v>12218</v>
      </c>
      <c r="D1488" t="s">
        <v>12219</v>
      </c>
    </row>
    <row r="1489" spans="1:4">
      <c r="A1489" t="s">
        <v>12220</v>
      </c>
      <c r="B1489" t="s">
        <v>1740</v>
      </c>
      <c r="C1489" t="s">
        <v>12221</v>
      </c>
      <c r="D1489" t="s">
        <v>12222</v>
      </c>
    </row>
    <row r="1490" spans="1:4">
      <c r="A1490" t="s">
        <v>12223</v>
      </c>
      <c r="B1490" t="s">
        <v>1741</v>
      </c>
      <c r="C1490" t="s">
        <v>12224</v>
      </c>
      <c r="D1490" t="s">
        <v>12225</v>
      </c>
    </row>
    <row r="1491" spans="1:4">
      <c r="A1491" t="s">
        <v>12226</v>
      </c>
      <c r="B1491" t="s">
        <v>1744</v>
      </c>
      <c r="C1491" t="s">
        <v>12227</v>
      </c>
      <c r="D1491" t="s">
        <v>12228</v>
      </c>
    </row>
    <row r="1492" spans="1:4">
      <c r="A1492" t="s">
        <v>12229</v>
      </c>
      <c r="B1492" t="s">
        <v>1741</v>
      </c>
      <c r="C1492" t="s">
        <v>12230</v>
      </c>
      <c r="D1492" t="s">
        <v>12231</v>
      </c>
    </row>
    <row r="1493" spans="1:4">
      <c r="A1493" t="s">
        <v>12232</v>
      </c>
      <c r="B1493" t="s">
        <v>1741</v>
      </c>
      <c r="C1493" t="s">
        <v>12233</v>
      </c>
      <c r="D1493" t="s">
        <v>12234</v>
      </c>
    </row>
    <row r="1494" spans="1:4">
      <c r="A1494" t="s">
        <v>12235</v>
      </c>
      <c r="B1494" t="s">
        <v>1741</v>
      </c>
      <c r="C1494" t="s">
        <v>12236</v>
      </c>
      <c r="D1494" t="s">
        <v>12237</v>
      </c>
    </row>
    <row r="1495" spans="1:4">
      <c r="A1495" t="s">
        <v>12238</v>
      </c>
      <c r="B1495" t="s">
        <v>1741</v>
      </c>
      <c r="C1495" t="s">
        <v>12239</v>
      </c>
      <c r="D1495" t="s">
        <v>12240</v>
      </c>
    </row>
    <row r="1496" spans="1:4">
      <c r="A1496" t="s">
        <v>12241</v>
      </c>
      <c r="B1496" t="s">
        <v>1741</v>
      </c>
      <c r="C1496" t="s">
        <v>12242</v>
      </c>
      <c r="D1496" t="s">
        <v>12243</v>
      </c>
    </row>
    <row r="1497" spans="1:4">
      <c r="A1497" t="s">
        <v>12244</v>
      </c>
      <c r="B1497" t="s">
        <v>1740</v>
      </c>
      <c r="C1497" t="s">
        <v>12245</v>
      </c>
      <c r="D1497" t="s">
        <v>12246</v>
      </c>
    </row>
    <row r="1498" spans="1:4">
      <c r="A1498" t="s">
        <v>12247</v>
      </c>
      <c r="B1498" t="s">
        <v>1741</v>
      </c>
      <c r="C1498" t="s">
        <v>12248</v>
      </c>
      <c r="D1498" t="s">
        <v>12249</v>
      </c>
    </row>
    <row r="1499" spans="1:4">
      <c r="A1499" t="s">
        <v>12250</v>
      </c>
      <c r="B1499" t="s">
        <v>1741</v>
      </c>
      <c r="C1499" t="s">
        <v>12251</v>
      </c>
      <c r="D1499" t="s">
        <v>12252</v>
      </c>
    </row>
    <row r="1500" spans="1:4">
      <c r="A1500" t="s">
        <v>12253</v>
      </c>
      <c r="B1500" t="s">
        <v>1744</v>
      </c>
      <c r="C1500" t="s">
        <v>12254</v>
      </c>
      <c r="D1500" t="s">
        <v>12255</v>
      </c>
    </row>
    <row r="1501" spans="1:4">
      <c r="A1501" t="s">
        <v>12256</v>
      </c>
      <c r="B1501" t="s">
        <v>1741</v>
      </c>
      <c r="C1501" t="s">
        <v>12257</v>
      </c>
      <c r="D1501" t="s">
        <v>12258</v>
      </c>
    </row>
    <row r="1502" spans="1:4">
      <c r="A1502" t="s">
        <v>12259</v>
      </c>
      <c r="B1502" t="s">
        <v>1741</v>
      </c>
      <c r="C1502" t="s">
        <v>12260</v>
      </c>
      <c r="D1502" t="s">
        <v>12261</v>
      </c>
    </row>
    <row r="1503" spans="1:4">
      <c r="A1503" t="s">
        <v>12262</v>
      </c>
      <c r="B1503" t="s">
        <v>1741</v>
      </c>
      <c r="C1503" t="s">
        <v>12263</v>
      </c>
      <c r="D1503" t="s">
        <v>12264</v>
      </c>
    </row>
    <row r="1504" spans="1:4">
      <c r="A1504" t="s">
        <v>12265</v>
      </c>
      <c r="B1504" t="s">
        <v>1741</v>
      </c>
      <c r="C1504" t="s">
        <v>12266</v>
      </c>
      <c r="D1504" t="s">
        <v>12267</v>
      </c>
    </row>
    <row r="1505" spans="1:4">
      <c r="A1505" t="s">
        <v>12268</v>
      </c>
      <c r="B1505" t="s">
        <v>1741</v>
      </c>
      <c r="C1505" t="s">
        <v>12269</v>
      </c>
      <c r="D1505" t="s">
        <v>12270</v>
      </c>
    </row>
    <row r="1506" spans="1:4">
      <c r="A1506" t="s">
        <v>12271</v>
      </c>
      <c r="B1506" t="s">
        <v>1741</v>
      </c>
      <c r="C1506" t="s">
        <v>12272</v>
      </c>
      <c r="D1506" t="s">
        <v>12273</v>
      </c>
    </row>
    <row r="1507" spans="1:4">
      <c r="A1507" t="s">
        <v>12274</v>
      </c>
      <c r="B1507" t="s">
        <v>1741</v>
      </c>
      <c r="C1507" t="s">
        <v>12275</v>
      </c>
      <c r="D1507" t="s">
        <v>12276</v>
      </c>
    </row>
    <row r="1508" spans="1:4">
      <c r="A1508" t="s">
        <v>12277</v>
      </c>
      <c r="B1508" t="s">
        <v>1741</v>
      </c>
      <c r="C1508" t="s">
        <v>12278</v>
      </c>
      <c r="D1508" t="s">
        <v>12279</v>
      </c>
    </row>
    <row r="1509" spans="1:4">
      <c r="A1509" t="s">
        <v>12280</v>
      </c>
      <c r="B1509" t="s">
        <v>1741</v>
      </c>
      <c r="C1509" t="s">
        <v>12281</v>
      </c>
      <c r="D1509" t="s">
        <v>12282</v>
      </c>
    </row>
    <row r="1510" spans="1:4">
      <c r="A1510" t="s">
        <v>12283</v>
      </c>
      <c r="B1510" t="s">
        <v>1741</v>
      </c>
      <c r="C1510" t="s">
        <v>12284</v>
      </c>
      <c r="D1510" t="s">
        <v>12285</v>
      </c>
    </row>
    <row r="1511" spans="1:4">
      <c r="A1511" t="s">
        <v>12286</v>
      </c>
      <c r="B1511" t="s">
        <v>1741</v>
      </c>
      <c r="C1511" t="s">
        <v>12287</v>
      </c>
      <c r="D1511" t="s">
        <v>12288</v>
      </c>
    </row>
    <row r="1512" spans="1:4">
      <c r="A1512" t="s">
        <v>12289</v>
      </c>
      <c r="B1512" t="s">
        <v>1741</v>
      </c>
      <c r="C1512" t="s">
        <v>12290</v>
      </c>
      <c r="D1512" t="s">
        <v>12291</v>
      </c>
    </row>
    <row r="1513" spans="1:4">
      <c r="A1513" t="s">
        <v>12292</v>
      </c>
      <c r="B1513" t="s">
        <v>1741</v>
      </c>
      <c r="C1513" t="s">
        <v>12293</v>
      </c>
      <c r="D1513" t="s">
        <v>12294</v>
      </c>
    </row>
    <row r="1514" spans="1:4">
      <c r="A1514" t="s">
        <v>12295</v>
      </c>
      <c r="B1514" t="s">
        <v>1741</v>
      </c>
      <c r="C1514" t="s">
        <v>12296</v>
      </c>
      <c r="D1514" t="s">
        <v>12297</v>
      </c>
    </row>
    <row r="1515" spans="1:4">
      <c r="A1515" t="s">
        <v>12298</v>
      </c>
      <c r="B1515" t="s">
        <v>1741</v>
      </c>
      <c r="C1515" t="s">
        <v>12299</v>
      </c>
      <c r="D1515" t="s">
        <v>12300</v>
      </c>
    </row>
    <row r="1516" spans="1:4">
      <c r="A1516" t="s">
        <v>12301</v>
      </c>
      <c r="B1516" t="s">
        <v>1741</v>
      </c>
      <c r="C1516" t="s">
        <v>12302</v>
      </c>
      <c r="D1516" t="s">
        <v>12303</v>
      </c>
    </row>
    <row r="1517" spans="1:4">
      <c r="A1517" t="s">
        <v>12304</v>
      </c>
      <c r="B1517" t="s">
        <v>1741</v>
      </c>
      <c r="C1517" t="s">
        <v>12305</v>
      </c>
      <c r="D1517" t="s">
        <v>12306</v>
      </c>
    </row>
    <row r="1518" spans="1:4">
      <c r="A1518" t="s">
        <v>12307</v>
      </c>
      <c r="B1518" t="s">
        <v>1741</v>
      </c>
      <c r="C1518" t="s">
        <v>12308</v>
      </c>
      <c r="D1518" t="s">
        <v>12309</v>
      </c>
    </row>
    <row r="1519" spans="1:4">
      <c r="A1519" t="s">
        <v>12310</v>
      </c>
      <c r="B1519" t="s">
        <v>1741</v>
      </c>
      <c r="C1519" t="s">
        <v>12311</v>
      </c>
      <c r="D1519" t="s">
        <v>12312</v>
      </c>
    </row>
    <row r="1520" spans="1:4">
      <c r="A1520" t="s">
        <v>12313</v>
      </c>
      <c r="B1520" t="s">
        <v>1741</v>
      </c>
      <c r="C1520" t="s">
        <v>12314</v>
      </c>
      <c r="D1520" t="s">
        <v>12315</v>
      </c>
    </row>
    <row r="1521" spans="1:4">
      <c r="A1521" t="s">
        <v>12316</v>
      </c>
      <c r="B1521" t="s">
        <v>1741</v>
      </c>
      <c r="C1521" t="s">
        <v>12317</v>
      </c>
      <c r="D1521" t="s">
        <v>12318</v>
      </c>
    </row>
    <row r="1522" spans="1:4">
      <c r="A1522" t="s">
        <v>12319</v>
      </c>
      <c r="B1522" t="s">
        <v>1741</v>
      </c>
      <c r="C1522" t="s">
        <v>12320</v>
      </c>
      <c r="D1522" t="s">
        <v>12321</v>
      </c>
    </row>
    <row r="1523" spans="1:4">
      <c r="A1523" t="s">
        <v>12322</v>
      </c>
      <c r="B1523" t="s">
        <v>1741</v>
      </c>
      <c r="C1523" t="s">
        <v>12323</v>
      </c>
      <c r="D1523" t="s">
        <v>12324</v>
      </c>
    </row>
    <row r="1524" spans="1:4">
      <c r="A1524" t="s">
        <v>12325</v>
      </c>
      <c r="B1524" t="s">
        <v>1741</v>
      </c>
      <c r="C1524" t="s">
        <v>12326</v>
      </c>
      <c r="D1524" t="s">
        <v>12327</v>
      </c>
    </row>
    <row r="1525" spans="1:4">
      <c r="A1525" t="s">
        <v>12328</v>
      </c>
      <c r="B1525" t="s">
        <v>1744</v>
      </c>
      <c r="C1525" t="s">
        <v>12329</v>
      </c>
      <c r="D1525" t="s">
        <v>12330</v>
      </c>
    </row>
    <row r="1526" spans="1:4">
      <c r="A1526" t="s">
        <v>12331</v>
      </c>
      <c r="B1526" t="s">
        <v>1741</v>
      </c>
      <c r="C1526" t="s">
        <v>12332</v>
      </c>
      <c r="D1526" t="s">
        <v>12333</v>
      </c>
    </row>
    <row r="1527" spans="1:4">
      <c r="A1527" t="s">
        <v>12334</v>
      </c>
      <c r="B1527" t="s">
        <v>1741</v>
      </c>
      <c r="C1527" t="s">
        <v>12335</v>
      </c>
      <c r="D1527" t="s">
        <v>12336</v>
      </c>
    </row>
    <row r="1528" spans="1:4">
      <c r="A1528" t="s">
        <v>12337</v>
      </c>
      <c r="B1528" t="s">
        <v>1744</v>
      </c>
      <c r="C1528" t="s">
        <v>12338</v>
      </c>
      <c r="D1528" t="s">
        <v>12339</v>
      </c>
    </row>
    <row r="1529" spans="1:4">
      <c r="A1529" t="s">
        <v>12340</v>
      </c>
      <c r="B1529" t="s">
        <v>1741</v>
      </c>
      <c r="C1529" t="s">
        <v>12341</v>
      </c>
      <c r="D1529" t="s">
        <v>12342</v>
      </c>
    </row>
    <row r="1530" spans="1:4">
      <c r="A1530" t="s">
        <v>12343</v>
      </c>
      <c r="B1530" t="s">
        <v>1740</v>
      </c>
      <c r="C1530" t="s">
        <v>12344</v>
      </c>
      <c r="D1530" t="s">
        <v>12345</v>
      </c>
    </row>
    <row r="1531" spans="1:4">
      <c r="A1531" t="s">
        <v>12346</v>
      </c>
      <c r="B1531" t="s">
        <v>1741</v>
      </c>
      <c r="C1531" t="s">
        <v>12347</v>
      </c>
      <c r="D1531" t="s">
        <v>12348</v>
      </c>
    </row>
    <row r="1532" spans="1:4">
      <c r="A1532" t="s">
        <v>12349</v>
      </c>
      <c r="B1532" t="s">
        <v>1744</v>
      </c>
      <c r="C1532" t="s">
        <v>12350</v>
      </c>
      <c r="D1532" t="s">
        <v>12351</v>
      </c>
    </row>
    <row r="1533" spans="1:4">
      <c r="A1533" t="s">
        <v>12352</v>
      </c>
      <c r="B1533" t="s">
        <v>1741</v>
      </c>
      <c r="C1533" t="s">
        <v>12353</v>
      </c>
      <c r="D1533" t="s">
        <v>12354</v>
      </c>
    </row>
    <row r="1534" spans="1:4">
      <c r="A1534" t="s">
        <v>12355</v>
      </c>
      <c r="B1534" t="s">
        <v>1741</v>
      </c>
      <c r="C1534" t="s">
        <v>12356</v>
      </c>
      <c r="D1534" t="s">
        <v>12357</v>
      </c>
    </row>
    <row r="1535" spans="1:4">
      <c r="A1535" t="s">
        <v>12358</v>
      </c>
      <c r="B1535" t="s">
        <v>1741</v>
      </c>
      <c r="C1535" t="s">
        <v>12359</v>
      </c>
      <c r="D1535" t="s">
        <v>12360</v>
      </c>
    </row>
    <row r="1536" spans="1:4">
      <c r="A1536" t="s">
        <v>12361</v>
      </c>
      <c r="B1536" t="s">
        <v>1741</v>
      </c>
      <c r="C1536" t="s">
        <v>12362</v>
      </c>
      <c r="D1536" t="s">
        <v>12363</v>
      </c>
    </row>
    <row r="1537" spans="1:4">
      <c r="A1537" t="s">
        <v>12364</v>
      </c>
      <c r="B1537" t="s">
        <v>1741</v>
      </c>
      <c r="C1537" t="s">
        <v>12365</v>
      </c>
      <c r="D1537" t="s">
        <v>12366</v>
      </c>
    </row>
    <row r="1538" spans="1:4">
      <c r="A1538" t="s">
        <v>12367</v>
      </c>
      <c r="B1538" t="s">
        <v>1741</v>
      </c>
      <c r="C1538" t="s">
        <v>12368</v>
      </c>
      <c r="D1538" t="s">
        <v>12369</v>
      </c>
    </row>
    <row r="1539" spans="1:4">
      <c r="A1539" t="s">
        <v>12370</v>
      </c>
      <c r="B1539" t="s">
        <v>1739</v>
      </c>
      <c r="C1539" t="s">
        <v>12371</v>
      </c>
      <c r="D1539" t="s">
        <v>12372</v>
      </c>
    </row>
    <row r="1540" spans="1:4">
      <c r="A1540" t="s">
        <v>12373</v>
      </c>
      <c r="B1540" t="s">
        <v>1741</v>
      </c>
      <c r="C1540" t="s">
        <v>12374</v>
      </c>
      <c r="D1540" t="s">
        <v>12375</v>
      </c>
    </row>
    <row r="1541" spans="1:4">
      <c r="A1541" t="s">
        <v>12376</v>
      </c>
      <c r="B1541" t="s">
        <v>1741</v>
      </c>
      <c r="C1541" t="s">
        <v>12377</v>
      </c>
      <c r="D1541" t="s">
        <v>12378</v>
      </c>
    </row>
    <row r="1542" spans="1:4">
      <c r="A1542" t="s">
        <v>12379</v>
      </c>
      <c r="B1542" t="s">
        <v>1741</v>
      </c>
      <c r="C1542" t="s">
        <v>12380</v>
      </c>
      <c r="D1542" t="s">
        <v>12381</v>
      </c>
    </row>
    <row r="1543" spans="1:4">
      <c r="A1543" t="s">
        <v>12382</v>
      </c>
      <c r="B1543" t="s">
        <v>1741</v>
      </c>
      <c r="C1543" t="s">
        <v>12383</v>
      </c>
      <c r="D1543" t="s">
        <v>12384</v>
      </c>
    </row>
    <row r="1544" spans="1:4">
      <c r="A1544" t="s">
        <v>12385</v>
      </c>
      <c r="B1544" t="s">
        <v>1741</v>
      </c>
      <c r="C1544" t="s">
        <v>12386</v>
      </c>
      <c r="D1544" t="s">
        <v>12387</v>
      </c>
    </row>
    <row r="1545" spans="1:4">
      <c r="A1545" t="s">
        <v>12388</v>
      </c>
      <c r="B1545" t="s">
        <v>1741</v>
      </c>
      <c r="C1545" t="s">
        <v>12389</v>
      </c>
      <c r="D1545" t="s">
        <v>12390</v>
      </c>
    </row>
    <row r="1546" spans="1:4">
      <c r="A1546" t="s">
        <v>12391</v>
      </c>
      <c r="B1546" t="s">
        <v>1741</v>
      </c>
      <c r="C1546" t="s">
        <v>12392</v>
      </c>
      <c r="D1546" t="s">
        <v>12393</v>
      </c>
    </row>
    <row r="1547" spans="1:4">
      <c r="A1547" t="s">
        <v>12394</v>
      </c>
      <c r="B1547" t="s">
        <v>1741</v>
      </c>
      <c r="C1547" t="s">
        <v>12395</v>
      </c>
      <c r="D1547" t="s">
        <v>12396</v>
      </c>
    </row>
    <row r="1548" spans="1:4">
      <c r="A1548" t="s">
        <v>12397</v>
      </c>
      <c r="B1548" t="s">
        <v>1741</v>
      </c>
      <c r="C1548" t="s">
        <v>12398</v>
      </c>
      <c r="D1548" t="s">
        <v>12399</v>
      </c>
    </row>
    <row r="1549" spans="1:4">
      <c r="A1549" t="s">
        <v>12400</v>
      </c>
      <c r="B1549" t="s">
        <v>1741</v>
      </c>
      <c r="C1549" t="s">
        <v>12401</v>
      </c>
      <c r="D1549" t="s">
        <v>12402</v>
      </c>
    </row>
    <row r="1550" spans="1:4">
      <c r="A1550" t="s">
        <v>12403</v>
      </c>
      <c r="B1550" t="s">
        <v>1741</v>
      </c>
      <c r="C1550" t="s">
        <v>12404</v>
      </c>
      <c r="D1550" t="s">
        <v>12405</v>
      </c>
    </row>
    <row r="1551" spans="1:4">
      <c r="A1551" t="s">
        <v>12406</v>
      </c>
      <c r="B1551" t="s">
        <v>1741</v>
      </c>
      <c r="C1551" t="s">
        <v>12407</v>
      </c>
      <c r="D1551" t="s">
        <v>12408</v>
      </c>
    </row>
    <row r="1552" spans="1:4">
      <c r="A1552" t="s">
        <v>12409</v>
      </c>
      <c r="B1552" t="s">
        <v>1741</v>
      </c>
      <c r="C1552" t="s">
        <v>12410</v>
      </c>
      <c r="D1552" t="s">
        <v>12411</v>
      </c>
    </row>
    <row r="1553" spans="1:4">
      <c r="A1553" t="s">
        <v>12412</v>
      </c>
      <c r="B1553" t="s">
        <v>1741</v>
      </c>
      <c r="C1553" t="s">
        <v>12413</v>
      </c>
      <c r="D1553" t="s">
        <v>12414</v>
      </c>
    </row>
    <row r="1554" spans="1:4">
      <c r="A1554" t="s">
        <v>12415</v>
      </c>
      <c r="B1554" t="s">
        <v>1741</v>
      </c>
      <c r="C1554" t="s">
        <v>12416</v>
      </c>
      <c r="D1554" t="s">
        <v>12417</v>
      </c>
    </row>
    <row r="1555" spans="1:4">
      <c r="A1555" t="s">
        <v>12418</v>
      </c>
      <c r="B1555" t="s">
        <v>1741</v>
      </c>
      <c r="C1555" t="s">
        <v>12419</v>
      </c>
      <c r="D1555" t="s">
        <v>12420</v>
      </c>
    </row>
    <row r="1556" spans="1:4">
      <c r="A1556" t="s">
        <v>12421</v>
      </c>
      <c r="B1556" t="s">
        <v>1741</v>
      </c>
      <c r="C1556" t="s">
        <v>12422</v>
      </c>
      <c r="D1556" t="s">
        <v>12423</v>
      </c>
    </row>
    <row r="1557" spans="1:4">
      <c r="A1557" t="s">
        <v>12424</v>
      </c>
      <c r="B1557" t="s">
        <v>1741</v>
      </c>
      <c r="C1557" t="s">
        <v>12425</v>
      </c>
      <c r="D1557" t="s">
        <v>12426</v>
      </c>
    </row>
    <row r="1558" spans="1:4">
      <c r="A1558" t="s">
        <v>12427</v>
      </c>
      <c r="B1558" t="s">
        <v>1741</v>
      </c>
      <c r="C1558" t="s">
        <v>12428</v>
      </c>
      <c r="D1558" t="s">
        <v>12429</v>
      </c>
    </row>
    <row r="1559" spans="1:4">
      <c r="A1559" t="s">
        <v>12430</v>
      </c>
      <c r="B1559" t="s">
        <v>1744</v>
      </c>
      <c r="C1559" t="s">
        <v>12431</v>
      </c>
      <c r="D1559" t="s">
        <v>12432</v>
      </c>
    </row>
    <row r="1560" spans="1:4">
      <c r="A1560" t="s">
        <v>12433</v>
      </c>
      <c r="B1560" t="s">
        <v>1741</v>
      </c>
      <c r="C1560" t="s">
        <v>12434</v>
      </c>
      <c r="D1560" t="s">
        <v>12435</v>
      </c>
    </row>
    <row r="1561" spans="1:4">
      <c r="A1561" t="s">
        <v>12436</v>
      </c>
      <c r="B1561" t="s">
        <v>1741</v>
      </c>
      <c r="C1561" t="s">
        <v>12437</v>
      </c>
      <c r="D1561" t="s">
        <v>12438</v>
      </c>
    </row>
    <row r="1562" spans="1:4">
      <c r="A1562" t="s">
        <v>12439</v>
      </c>
      <c r="B1562" t="s">
        <v>1741</v>
      </c>
      <c r="C1562" t="s">
        <v>12440</v>
      </c>
      <c r="D1562" t="s">
        <v>12441</v>
      </c>
    </row>
    <row r="1563" spans="1:4">
      <c r="A1563" t="s">
        <v>12442</v>
      </c>
      <c r="B1563" t="s">
        <v>1744</v>
      </c>
      <c r="C1563" t="s">
        <v>12443</v>
      </c>
      <c r="D1563" t="s">
        <v>12444</v>
      </c>
    </row>
    <row r="1564" spans="1:4">
      <c r="A1564" t="s">
        <v>12445</v>
      </c>
      <c r="B1564" t="s">
        <v>1741</v>
      </c>
      <c r="C1564" t="s">
        <v>12446</v>
      </c>
      <c r="D1564" t="s">
        <v>12447</v>
      </c>
    </row>
    <row r="1565" spans="1:4">
      <c r="A1565" t="s">
        <v>12448</v>
      </c>
      <c r="B1565" t="s">
        <v>1740</v>
      </c>
      <c r="C1565" t="s">
        <v>12449</v>
      </c>
      <c r="D1565" t="s">
        <v>12450</v>
      </c>
    </row>
    <row r="1566" spans="1:4">
      <c r="A1566" t="s">
        <v>12451</v>
      </c>
      <c r="B1566" t="s">
        <v>1741</v>
      </c>
      <c r="C1566" t="s">
        <v>12452</v>
      </c>
      <c r="D1566" t="s">
        <v>12453</v>
      </c>
    </row>
    <row r="1567" spans="1:4">
      <c r="A1567" t="s">
        <v>12454</v>
      </c>
      <c r="B1567" t="s">
        <v>1741</v>
      </c>
      <c r="C1567" t="s">
        <v>12455</v>
      </c>
      <c r="D1567" t="s">
        <v>12456</v>
      </c>
    </row>
    <row r="1568" spans="1:4">
      <c r="A1568" t="s">
        <v>12457</v>
      </c>
      <c r="B1568" t="s">
        <v>1741</v>
      </c>
      <c r="C1568" t="s">
        <v>12458</v>
      </c>
      <c r="D1568" t="s">
        <v>12459</v>
      </c>
    </row>
    <row r="1569" spans="1:4">
      <c r="A1569" t="s">
        <v>12460</v>
      </c>
      <c r="B1569" t="s">
        <v>1741</v>
      </c>
      <c r="C1569" t="s">
        <v>12461</v>
      </c>
      <c r="D1569" t="s">
        <v>12462</v>
      </c>
    </row>
    <row r="1570" spans="1:4">
      <c r="A1570" t="s">
        <v>12463</v>
      </c>
      <c r="B1570" t="s">
        <v>1741</v>
      </c>
      <c r="C1570" t="s">
        <v>12464</v>
      </c>
      <c r="D1570" t="s">
        <v>12465</v>
      </c>
    </row>
    <row r="1571" spans="1:4">
      <c r="A1571" t="s">
        <v>12466</v>
      </c>
      <c r="B1571" t="s">
        <v>1741</v>
      </c>
      <c r="C1571" t="s">
        <v>12467</v>
      </c>
      <c r="D1571" t="s">
        <v>12468</v>
      </c>
    </row>
    <row r="1572" spans="1:4">
      <c r="A1572" t="s">
        <v>12469</v>
      </c>
      <c r="B1572" t="s">
        <v>1741</v>
      </c>
      <c r="C1572" t="s">
        <v>12470</v>
      </c>
      <c r="D1572" t="s">
        <v>12471</v>
      </c>
    </row>
    <row r="1573" spans="1:4">
      <c r="A1573" t="s">
        <v>12472</v>
      </c>
      <c r="B1573" t="s">
        <v>1740</v>
      </c>
      <c r="C1573" t="s">
        <v>12473</v>
      </c>
      <c r="D1573" t="s">
        <v>12474</v>
      </c>
    </row>
    <row r="1574" spans="1:4">
      <c r="A1574" t="s">
        <v>12475</v>
      </c>
      <c r="B1574" t="s">
        <v>1741</v>
      </c>
      <c r="C1574" t="s">
        <v>12476</v>
      </c>
      <c r="D1574" t="s">
        <v>12477</v>
      </c>
    </row>
    <row r="1575" spans="1:4">
      <c r="A1575" t="s">
        <v>12478</v>
      </c>
      <c r="B1575" t="s">
        <v>1741</v>
      </c>
      <c r="C1575" t="s">
        <v>12479</v>
      </c>
      <c r="D1575" t="s">
        <v>12480</v>
      </c>
    </row>
    <row r="1576" spans="1:4">
      <c r="A1576" t="s">
        <v>12481</v>
      </c>
      <c r="B1576" t="s">
        <v>1741</v>
      </c>
      <c r="C1576" t="s">
        <v>12482</v>
      </c>
      <c r="D1576" t="s">
        <v>12483</v>
      </c>
    </row>
    <row r="1577" spans="1:4">
      <c r="A1577" t="s">
        <v>12484</v>
      </c>
      <c r="B1577" t="s">
        <v>1740</v>
      </c>
      <c r="C1577" t="s">
        <v>12485</v>
      </c>
      <c r="D1577" t="s">
        <v>12486</v>
      </c>
    </row>
    <row r="1578" spans="1:4">
      <c r="A1578" t="s">
        <v>12487</v>
      </c>
      <c r="B1578" t="s">
        <v>1741</v>
      </c>
      <c r="C1578" t="s">
        <v>12488</v>
      </c>
      <c r="D1578" t="s">
        <v>12489</v>
      </c>
    </row>
    <row r="1579" spans="1:4">
      <c r="A1579" t="s">
        <v>12490</v>
      </c>
      <c r="B1579" t="s">
        <v>1740</v>
      </c>
      <c r="C1579" t="s">
        <v>12491</v>
      </c>
      <c r="D1579" t="s">
        <v>12492</v>
      </c>
    </row>
    <row r="1580" spans="1:4">
      <c r="A1580" t="s">
        <v>12493</v>
      </c>
      <c r="B1580" t="s">
        <v>1741</v>
      </c>
      <c r="C1580" t="s">
        <v>12494</v>
      </c>
      <c r="D1580" t="s">
        <v>12495</v>
      </c>
    </row>
    <row r="1581" spans="1:4">
      <c r="A1581" t="s">
        <v>12496</v>
      </c>
      <c r="B1581" t="s">
        <v>1741</v>
      </c>
      <c r="C1581" t="s">
        <v>12497</v>
      </c>
      <c r="D1581" t="s">
        <v>12498</v>
      </c>
    </row>
    <row r="1582" spans="1:4">
      <c r="A1582" t="s">
        <v>12499</v>
      </c>
      <c r="B1582" t="s">
        <v>1741</v>
      </c>
      <c r="C1582" t="s">
        <v>12500</v>
      </c>
      <c r="D1582" t="s">
        <v>12501</v>
      </c>
    </row>
    <row r="1583" spans="1:4">
      <c r="A1583" t="s">
        <v>12502</v>
      </c>
      <c r="B1583" t="s">
        <v>1741</v>
      </c>
      <c r="C1583" t="s">
        <v>12503</v>
      </c>
      <c r="D1583" t="s">
        <v>12504</v>
      </c>
    </row>
    <row r="1584" spans="1:4">
      <c r="A1584" t="s">
        <v>12505</v>
      </c>
      <c r="B1584" t="s">
        <v>1741</v>
      </c>
      <c r="C1584" t="s">
        <v>12506</v>
      </c>
      <c r="D1584" t="s">
        <v>12507</v>
      </c>
    </row>
    <row r="1585" spans="1:4">
      <c r="A1585" t="s">
        <v>12508</v>
      </c>
      <c r="B1585" t="s">
        <v>1739</v>
      </c>
      <c r="C1585" t="s">
        <v>12509</v>
      </c>
      <c r="D1585" t="s">
        <v>12510</v>
      </c>
    </row>
    <row r="1586" spans="1:4">
      <c r="A1586" t="s">
        <v>12511</v>
      </c>
      <c r="B1586" t="s">
        <v>1741</v>
      </c>
      <c r="C1586" t="s">
        <v>12512</v>
      </c>
      <c r="D1586" t="s">
        <v>12513</v>
      </c>
    </row>
    <row r="1587" spans="1:4">
      <c r="A1587" t="s">
        <v>12514</v>
      </c>
      <c r="B1587" t="s">
        <v>1741</v>
      </c>
      <c r="C1587" t="s">
        <v>12515</v>
      </c>
      <c r="D1587" t="s">
        <v>12516</v>
      </c>
    </row>
    <row r="1588" spans="1:4">
      <c r="A1588" t="s">
        <v>12517</v>
      </c>
      <c r="B1588" t="s">
        <v>1741</v>
      </c>
      <c r="C1588" t="s">
        <v>12518</v>
      </c>
      <c r="D1588" t="s">
        <v>12519</v>
      </c>
    </row>
    <row r="1589" spans="1:4">
      <c r="A1589" t="s">
        <v>12520</v>
      </c>
      <c r="B1589" t="s">
        <v>1740</v>
      </c>
      <c r="C1589" t="s">
        <v>12521</v>
      </c>
      <c r="D1589" t="s">
        <v>12522</v>
      </c>
    </row>
    <row r="1590" spans="1:4">
      <c r="A1590" t="s">
        <v>12523</v>
      </c>
      <c r="B1590" t="s">
        <v>1741</v>
      </c>
      <c r="C1590" t="s">
        <v>12524</v>
      </c>
      <c r="D1590" t="s">
        <v>12525</v>
      </c>
    </row>
    <row r="1591" spans="1:4">
      <c r="A1591" t="s">
        <v>12526</v>
      </c>
      <c r="B1591" t="s">
        <v>1740</v>
      </c>
      <c r="C1591" t="s">
        <v>12527</v>
      </c>
      <c r="D1591" t="s">
        <v>12528</v>
      </c>
    </row>
    <row r="1592" spans="1:4">
      <c r="A1592" t="s">
        <v>12529</v>
      </c>
      <c r="B1592" t="s">
        <v>1741</v>
      </c>
      <c r="C1592" t="s">
        <v>12530</v>
      </c>
      <c r="D1592" t="s">
        <v>12531</v>
      </c>
    </row>
    <row r="1593" spans="1:4">
      <c r="A1593" t="s">
        <v>12532</v>
      </c>
      <c r="B1593" t="s">
        <v>1739</v>
      </c>
      <c r="C1593" t="s">
        <v>12533</v>
      </c>
      <c r="D1593" t="s">
        <v>12534</v>
      </c>
    </row>
    <row r="1594" spans="1:4">
      <c r="A1594" t="s">
        <v>12535</v>
      </c>
      <c r="B1594" t="s">
        <v>1740</v>
      </c>
      <c r="C1594" t="s">
        <v>12536</v>
      </c>
      <c r="D1594" t="s">
        <v>12537</v>
      </c>
    </row>
    <row r="1595" spans="1:4">
      <c r="A1595" t="s">
        <v>12538</v>
      </c>
      <c r="B1595" t="s">
        <v>1741</v>
      </c>
      <c r="C1595" t="s">
        <v>12539</v>
      </c>
      <c r="D1595" t="s">
        <v>12540</v>
      </c>
    </row>
    <row r="1596" spans="1:4">
      <c r="A1596" t="s">
        <v>12541</v>
      </c>
      <c r="B1596" t="s">
        <v>1744</v>
      </c>
      <c r="C1596" t="s">
        <v>12542</v>
      </c>
      <c r="D1596" t="s">
        <v>12543</v>
      </c>
    </row>
    <row r="1597" spans="1:4">
      <c r="A1597" t="s">
        <v>12544</v>
      </c>
      <c r="B1597" t="s">
        <v>1740</v>
      </c>
      <c r="C1597" t="s">
        <v>12545</v>
      </c>
      <c r="D1597" t="s">
        <v>12546</v>
      </c>
    </row>
    <row r="1598" spans="1:4">
      <c r="A1598" t="s">
        <v>12547</v>
      </c>
      <c r="B1598" t="s">
        <v>1741</v>
      </c>
      <c r="C1598" t="s">
        <v>12548</v>
      </c>
      <c r="D1598" t="s">
        <v>12549</v>
      </c>
    </row>
    <row r="1599" spans="1:4">
      <c r="A1599" t="s">
        <v>12550</v>
      </c>
      <c r="B1599" t="s">
        <v>1740</v>
      </c>
      <c r="C1599" t="s">
        <v>12551</v>
      </c>
      <c r="D1599" t="s">
        <v>12552</v>
      </c>
    </row>
    <row r="1600" spans="1:4">
      <c r="A1600" t="s">
        <v>12553</v>
      </c>
      <c r="B1600" t="s">
        <v>1741</v>
      </c>
      <c r="C1600" t="s">
        <v>12554</v>
      </c>
      <c r="D1600" t="s">
        <v>12555</v>
      </c>
    </row>
    <row r="1601" spans="1:4">
      <c r="A1601" t="s">
        <v>12556</v>
      </c>
      <c r="B1601" t="s">
        <v>1740</v>
      </c>
      <c r="C1601" t="s">
        <v>12557</v>
      </c>
      <c r="D1601" t="s">
        <v>12558</v>
      </c>
    </row>
    <row r="1602" spans="1:4">
      <c r="A1602" t="s">
        <v>12559</v>
      </c>
      <c r="B1602" t="s">
        <v>1741</v>
      </c>
      <c r="C1602" t="s">
        <v>12560</v>
      </c>
      <c r="D1602" t="s">
        <v>12561</v>
      </c>
    </row>
    <row r="1603" spans="1:4">
      <c r="A1603" t="s">
        <v>12562</v>
      </c>
      <c r="B1603" t="s">
        <v>1744</v>
      </c>
      <c r="C1603" t="s">
        <v>12563</v>
      </c>
      <c r="D1603" t="s">
        <v>12564</v>
      </c>
    </row>
    <row r="1604" spans="1:4">
      <c r="A1604" t="s">
        <v>12565</v>
      </c>
      <c r="B1604" t="s">
        <v>1741</v>
      </c>
      <c r="C1604" t="s">
        <v>12566</v>
      </c>
      <c r="D1604" t="s">
        <v>12567</v>
      </c>
    </row>
    <row r="1605" spans="1:4">
      <c r="A1605" t="s">
        <v>12568</v>
      </c>
      <c r="B1605" t="s">
        <v>1740</v>
      </c>
      <c r="C1605" t="s">
        <v>12569</v>
      </c>
      <c r="D1605" t="s">
        <v>12570</v>
      </c>
    </row>
    <row r="1606" spans="1:4">
      <c r="A1606" t="s">
        <v>12571</v>
      </c>
      <c r="B1606" t="s">
        <v>1741</v>
      </c>
      <c r="C1606" t="s">
        <v>12572</v>
      </c>
      <c r="D1606" t="s">
        <v>12573</v>
      </c>
    </row>
    <row r="1607" spans="1:4">
      <c r="A1607" t="s">
        <v>12574</v>
      </c>
      <c r="B1607" t="s">
        <v>1744</v>
      </c>
      <c r="C1607" t="s">
        <v>12575</v>
      </c>
      <c r="D1607" t="s">
        <v>12576</v>
      </c>
    </row>
    <row r="1608" spans="1:4">
      <c r="A1608" t="s">
        <v>12577</v>
      </c>
      <c r="B1608" t="s">
        <v>1740</v>
      </c>
      <c r="C1608" t="s">
        <v>12578</v>
      </c>
      <c r="D1608" t="s">
        <v>12579</v>
      </c>
    </row>
    <row r="1609" spans="1:4">
      <c r="A1609" t="s">
        <v>12580</v>
      </c>
      <c r="B1609" t="s">
        <v>1741</v>
      </c>
      <c r="C1609" t="s">
        <v>12581</v>
      </c>
      <c r="D1609" t="s">
        <v>12582</v>
      </c>
    </row>
    <row r="1610" spans="1:4">
      <c r="A1610" t="s">
        <v>12583</v>
      </c>
      <c r="B1610" t="s">
        <v>1744</v>
      </c>
      <c r="C1610" t="s">
        <v>12584</v>
      </c>
      <c r="D1610" t="s">
        <v>12585</v>
      </c>
    </row>
    <row r="1611" spans="1:4">
      <c r="A1611" t="s">
        <v>12586</v>
      </c>
      <c r="B1611" t="s">
        <v>1740</v>
      </c>
      <c r="C1611" t="s">
        <v>12587</v>
      </c>
      <c r="D1611" t="s">
        <v>12588</v>
      </c>
    </row>
    <row r="1612" spans="1:4">
      <c r="A1612" t="s">
        <v>12589</v>
      </c>
      <c r="B1612" t="s">
        <v>1741</v>
      </c>
      <c r="C1612" t="s">
        <v>12590</v>
      </c>
      <c r="D1612" t="s">
        <v>12591</v>
      </c>
    </row>
    <row r="1613" spans="1:4">
      <c r="A1613" t="s">
        <v>12592</v>
      </c>
      <c r="B1613" t="s">
        <v>1741</v>
      </c>
      <c r="C1613" t="s">
        <v>12593</v>
      </c>
      <c r="D1613" t="s">
        <v>12594</v>
      </c>
    </row>
    <row r="1614" spans="1:4">
      <c r="A1614" t="s">
        <v>12595</v>
      </c>
      <c r="B1614" t="s">
        <v>1744</v>
      </c>
      <c r="C1614" t="s">
        <v>12596</v>
      </c>
      <c r="D1614" t="s">
        <v>12597</v>
      </c>
    </row>
    <row r="1615" spans="1:4">
      <c r="A1615" t="s">
        <v>12598</v>
      </c>
      <c r="B1615" t="s">
        <v>1741</v>
      </c>
      <c r="C1615" t="s">
        <v>12599</v>
      </c>
      <c r="D1615" t="s">
        <v>12600</v>
      </c>
    </row>
    <row r="1616" spans="1:4">
      <c r="A1616" t="s">
        <v>12601</v>
      </c>
      <c r="B1616" t="s">
        <v>1741</v>
      </c>
      <c r="C1616" t="s">
        <v>12602</v>
      </c>
      <c r="D1616" t="s">
        <v>12603</v>
      </c>
    </row>
    <row r="1617" spans="1:4">
      <c r="A1617" t="s">
        <v>12604</v>
      </c>
      <c r="B1617" t="s">
        <v>1744</v>
      </c>
      <c r="C1617" t="s">
        <v>12605</v>
      </c>
      <c r="D1617" t="s">
        <v>12606</v>
      </c>
    </row>
    <row r="1618" spans="1:4">
      <c r="A1618" t="s">
        <v>12607</v>
      </c>
      <c r="B1618" t="s">
        <v>1744</v>
      </c>
      <c r="C1618" t="s">
        <v>12608</v>
      </c>
      <c r="D1618" t="s">
        <v>12609</v>
      </c>
    </row>
    <row r="1619" spans="1:4">
      <c r="A1619" t="s">
        <v>12610</v>
      </c>
      <c r="B1619" t="s">
        <v>1740</v>
      </c>
      <c r="C1619" t="s">
        <v>12611</v>
      </c>
      <c r="D1619" t="s">
        <v>12612</v>
      </c>
    </row>
    <row r="1620" spans="1:4">
      <c r="A1620" t="s">
        <v>12613</v>
      </c>
      <c r="B1620" t="s">
        <v>1741</v>
      </c>
      <c r="C1620" t="s">
        <v>12614</v>
      </c>
      <c r="D1620" t="s">
        <v>12615</v>
      </c>
    </row>
    <row r="1621" spans="1:4">
      <c r="A1621" t="s">
        <v>12616</v>
      </c>
      <c r="B1621" t="s">
        <v>1744</v>
      </c>
      <c r="C1621" t="s">
        <v>12617</v>
      </c>
      <c r="D1621" t="s">
        <v>12618</v>
      </c>
    </row>
    <row r="1622" spans="1:4">
      <c r="A1622" t="s">
        <v>12619</v>
      </c>
      <c r="B1622" t="s">
        <v>1740</v>
      </c>
      <c r="C1622" t="s">
        <v>12620</v>
      </c>
      <c r="D1622" t="s">
        <v>12621</v>
      </c>
    </row>
    <row r="1623" spans="1:4">
      <c r="A1623" t="s">
        <v>12622</v>
      </c>
      <c r="B1623" t="s">
        <v>1741</v>
      </c>
      <c r="C1623" t="s">
        <v>12623</v>
      </c>
      <c r="D1623" t="s">
        <v>12624</v>
      </c>
    </row>
    <row r="1624" spans="1:4">
      <c r="A1624" t="s">
        <v>12625</v>
      </c>
      <c r="B1624" t="s">
        <v>1741</v>
      </c>
      <c r="C1624" t="s">
        <v>12626</v>
      </c>
      <c r="D1624" t="s">
        <v>12627</v>
      </c>
    </row>
    <row r="1625" spans="1:4">
      <c r="A1625" t="s">
        <v>12628</v>
      </c>
      <c r="B1625" t="s">
        <v>1741</v>
      </c>
      <c r="C1625" t="s">
        <v>12629</v>
      </c>
      <c r="D1625" t="s">
        <v>12630</v>
      </c>
    </row>
    <row r="1626" spans="1:4">
      <c r="A1626" t="s">
        <v>12631</v>
      </c>
      <c r="B1626" t="s">
        <v>1744</v>
      </c>
      <c r="C1626" t="s">
        <v>12632</v>
      </c>
      <c r="D1626" t="s">
        <v>12633</v>
      </c>
    </row>
    <row r="1627" spans="1:4">
      <c r="A1627" t="s">
        <v>12634</v>
      </c>
      <c r="B1627" t="s">
        <v>1741</v>
      </c>
      <c r="C1627" t="s">
        <v>12635</v>
      </c>
      <c r="D1627" t="s">
        <v>12636</v>
      </c>
    </row>
    <row r="1628" spans="1:4">
      <c r="A1628" t="s">
        <v>12637</v>
      </c>
      <c r="B1628" t="s">
        <v>1740</v>
      </c>
      <c r="C1628" t="s">
        <v>12638</v>
      </c>
      <c r="D1628" t="s">
        <v>12639</v>
      </c>
    </row>
    <row r="1629" spans="1:4">
      <c r="A1629" t="s">
        <v>12640</v>
      </c>
      <c r="B1629" t="s">
        <v>1741</v>
      </c>
      <c r="C1629" t="s">
        <v>12641</v>
      </c>
      <c r="D1629" t="s">
        <v>12642</v>
      </c>
    </row>
    <row r="1630" spans="1:4">
      <c r="A1630" t="s">
        <v>12643</v>
      </c>
      <c r="B1630" t="s">
        <v>1744</v>
      </c>
      <c r="C1630" t="s">
        <v>12644</v>
      </c>
      <c r="D1630" t="s">
        <v>12645</v>
      </c>
    </row>
    <row r="1631" spans="1:4">
      <c r="A1631" t="s">
        <v>12646</v>
      </c>
      <c r="B1631" t="s">
        <v>1740</v>
      </c>
      <c r="C1631" t="s">
        <v>12647</v>
      </c>
      <c r="D1631" t="s">
        <v>12648</v>
      </c>
    </row>
    <row r="1632" spans="1:4">
      <c r="A1632" t="s">
        <v>12649</v>
      </c>
      <c r="B1632" t="s">
        <v>1741</v>
      </c>
      <c r="C1632" t="s">
        <v>12650</v>
      </c>
      <c r="D1632" t="s">
        <v>12651</v>
      </c>
    </row>
    <row r="1633" spans="1:4">
      <c r="A1633" t="s">
        <v>12652</v>
      </c>
      <c r="B1633" t="s">
        <v>1744</v>
      </c>
      <c r="C1633" t="s">
        <v>12653</v>
      </c>
      <c r="D1633" t="s">
        <v>12654</v>
      </c>
    </row>
    <row r="1634" spans="1:4">
      <c r="A1634" t="s">
        <v>12655</v>
      </c>
      <c r="B1634" t="s">
        <v>1741</v>
      </c>
      <c r="C1634" t="s">
        <v>12656</v>
      </c>
      <c r="D1634" t="s">
        <v>12657</v>
      </c>
    </row>
    <row r="1635" spans="1:4">
      <c r="A1635" t="s">
        <v>12658</v>
      </c>
      <c r="B1635" t="s">
        <v>1740</v>
      </c>
      <c r="C1635" t="s">
        <v>12659</v>
      </c>
      <c r="D1635" t="s">
        <v>12660</v>
      </c>
    </row>
    <row r="1636" spans="1:4">
      <c r="A1636" t="s">
        <v>12661</v>
      </c>
      <c r="B1636" t="s">
        <v>1741</v>
      </c>
      <c r="C1636" t="s">
        <v>12662</v>
      </c>
      <c r="D1636" t="s">
        <v>12663</v>
      </c>
    </row>
    <row r="1637" spans="1:4">
      <c r="A1637" t="s">
        <v>12664</v>
      </c>
      <c r="B1637" t="s">
        <v>1740</v>
      </c>
      <c r="C1637" t="s">
        <v>12665</v>
      </c>
      <c r="D1637" t="s">
        <v>12666</v>
      </c>
    </row>
    <row r="1638" spans="1:4">
      <c r="A1638" t="s">
        <v>12667</v>
      </c>
      <c r="B1638" t="s">
        <v>1740</v>
      </c>
      <c r="C1638" t="s">
        <v>12668</v>
      </c>
      <c r="D1638" t="s">
        <v>12669</v>
      </c>
    </row>
    <row r="1639" spans="1:4">
      <c r="A1639" t="s">
        <v>12670</v>
      </c>
      <c r="B1639" t="s">
        <v>1741</v>
      </c>
      <c r="C1639" t="s">
        <v>12671</v>
      </c>
      <c r="D1639" t="s">
        <v>12672</v>
      </c>
    </row>
    <row r="1640" spans="1:4">
      <c r="A1640" t="s">
        <v>12673</v>
      </c>
      <c r="B1640" t="s">
        <v>1744</v>
      </c>
      <c r="C1640" t="s">
        <v>12674</v>
      </c>
      <c r="D1640" t="s">
        <v>12675</v>
      </c>
    </row>
    <row r="1641" spans="1:4">
      <c r="A1641" t="s">
        <v>12676</v>
      </c>
      <c r="B1641" t="s">
        <v>1741</v>
      </c>
      <c r="C1641" t="s">
        <v>12677</v>
      </c>
      <c r="D1641" t="s">
        <v>12678</v>
      </c>
    </row>
    <row r="1642" spans="1:4">
      <c r="A1642" t="s">
        <v>12679</v>
      </c>
      <c r="B1642" t="s">
        <v>1740</v>
      </c>
      <c r="C1642" t="s">
        <v>12680</v>
      </c>
      <c r="D1642" t="s">
        <v>12681</v>
      </c>
    </row>
    <row r="1643" spans="1:4">
      <c r="A1643" t="s">
        <v>12682</v>
      </c>
      <c r="B1643" t="s">
        <v>1741</v>
      </c>
      <c r="C1643" t="s">
        <v>12683</v>
      </c>
      <c r="D1643" t="s">
        <v>12684</v>
      </c>
    </row>
    <row r="1644" spans="1:4">
      <c r="A1644" t="s">
        <v>12685</v>
      </c>
      <c r="B1644" t="s">
        <v>1741</v>
      </c>
      <c r="C1644" t="s">
        <v>12686</v>
      </c>
      <c r="D1644" t="s">
        <v>12687</v>
      </c>
    </row>
    <row r="1645" spans="1:4">
      <c r="A1645" t="s">
        <v>12688</v>
      </c>
      <c r="B1645" t="s">
        <v>1740</v>
      </c>
      <c r="C1645" t="s">
        <v>12689</v>
      </c>
      <c r="D1645" t="s">
        <v>12690</v>
      </c>
    </row>
    <row r="1646" spans="1:4">
      <c r="A1646" t="s">
        <v>12691</v>
      </c>
      <c r="B1646" t="s">
        <v>1741</v>
      </c>
      <c r="C1646" t="s">
        <v>12692</v>
      </c>
      <c r="D1646" t="s">
        <v>12693</v>
      </c>
    </row>
    <row r="1647" spans="1:4">
      <c r="A1647" t="s">
        <v>12694</v>
      </c>
      <c r="B1647" t="s">
        <v>1740</v>
      </c>
      <c r="C1647" t="s">
        <v>12695</v>
      </c>
      <c r="D1647" t="s">
        <v>12696</v>
      </c>
    </row>
    <row r="1648" spans="1:4">
      <c r="A1648" t="s">
        <v>12697</v>
      </c>
      <c r="B1648" t="s">
        <v>1741</v>
      </c>
      <c r="C1648" t="s">
        <v>12698</v>
      </c>
      <c r="D1648" t="s">
        <v>12699</v>
      </c>
    </row>
    <row r="1649" spans="1:4">
      <c r="A1649" t="s">
        <v>12700</v>
      </c>
      <c r="B1649" t="s">
        <v>1741</v>
      </c>
      <c r="C1649" t="s">
        <v>12701</v>
      </c>
      <c r="D1649" t="s">
        <v>12702</v>
      </c>
    </row>
    <row r="1650" spans="1:4">
      <c r="A1650" t="s">
        <v>12703</v>
      </c>
      <c r="B1650" t="s">
        <v>1741</v>
      </c>
      <c r="C1650" t="s">
        <v>12704</v>
      </c>
      <c r="D1650" t="s">
        <v>12705</v>
      </c>
    </row>
    <row r="1651" spans="1:4">
      <c r="A1651" t="s">
        <v>12706</v>
      </c>
      <c r="B1651" t="s">
        <v>1740</v>
      </c>
      <c r="C1651" t="s">
        <v>12707</v>
      </c>
      <c r="D1651" t="s">
        <v>12708</v>
      </c>
    </row>
    <row r="1652" spans="1:4">
      <c r="A1652" t="s">
        <v>12709</v>
      </c>
      <c r="B1652" t="s">
        <v>1741</v>
      </c>
      <c r="C1652" t="s">
        <v>12710</v>
      </c>
      <c r="D1652" t="s">
        <v>12711</v>
      </c>
    </row>
    <row r="1653" spans="1:4">
      <c r="A1653" t="s">
        <v>12712</v>
      </c>
      <c r="B1653" t="s">
        <v>1741</v>
      </c>
      <c r="C1653" t="s">
        <v>12713</v>
      </c>
      <c r="D1653" t="s">
        <v>12714</v>
      </c>
    </row>
    <row r="1654" spans="1:4">
      <c r="A1654" t="s">
        <v>12715</v>
      </c>
      <c r="B1654" t="s">
        <v>1741</v>
      </c>
      <c r="C1654" t="s">
        <v>12716</v>
      </c>
      <c r="D1654" t="s">
        <v>12717</v>
      </c>
    </row>
    <row r="1655" spans="1:4">
      <c r="A1655" t="s">
        <v>12718</v>
      </c>
      <c r="B1655" t="s">
        <v>1741</v>
      </c>
      <c r="C1655" t="s">
        <v>12719</v>
      </c>
      <c r="D1655" t="s">
        <v>12720</v>
      </c>
    </row>
    <row r="1656" spans="1:4">
      <c r="A1656" t="s">
        <v>12721</v>
      </c>
      <c r="B1656" t="s">
        <v>1741</v>
      </c>
      <c r="C1656" t="s">
        <v>12722</v>
      </c>
      <c r="D1656" t="s">
        <v>12723</v>
      </c>
    </row>
    <row r="1657" spans="1:4">
      <c r="A1657" t="s">
        <v>12724</v>
      </c>
      <c r="B1657" t="s">
        <v>1741</v>
      </c>
      <c r="C1657" t="s">
        <v>12725</v>
      </c>
      <c r="D1657" t="s">
        <v>12726</v>
      </c>
    </row>
    <row r="1658" spans="1:4">
      <c r="A1658" t="s">
        <v>12727</v>
      </c>
      <c r="B1658" t="s">
        <v>1741</v>
      </c>
      <c r="C1658" t="s">
        <v>12728</v>
      </c>
      <c r="D1658" t="s">
        <v>12729</v>
      </c>
    </row>
    <row r="1659" spans="1:4">
      <c r="A1659" t="s">
        <v>12730</v>
      </c>
      <c r="B1659" t="s">
        <v>1741</v>
      </c>
      <c r="C1659" t="s">
        <v>12731</v>
      </c>
      <c r="D1659" t="s">
        <v>12732</v>
      </c>
    </row>
    <row r="1660" spans="1:4">
      <c r="A1660" t="s">
        <v>12733</v>
      </c>
      <c r="B1660" t="s">
        <v>1741</v>
      </c>
      <c r="C1660" t="s">
        <v>12734</v>
      </c>
      <c r="D1660" t="s">
        <v>12735</v>
      </c>
    </row>
    <row r="1661" spans="1:4">
      <c r="A1661" t="s">
        <v>12736</v>
      </c>
      <c r="B1661" t="s">
        <v>1741</v>
      </c>
      <c r="C1661" t="s">
        <v>12737</v>
      </c>
      <c r="D1661" t="s">
        <v>12738</v>
      </c>
    </row>
    <row r="1662" spans="1:4">
      <c r="A1662" t="s">
        <v>12739</v>
      </c>
      <c r="B1662" t="s">
        <v>1741</v>
      </c>
      <c r="C1662" t="s">
        <v>12740</v>
      </c>
      <c r="D1662" t="s">
        <v>12741</v>
      </c>
    </row>
    <row r="1663" spans="1:4">
      <c r="A1663" t="s">
        <v>12742</v>
      </c>
      <c r="B1663" t="s">
        <v>1741</v>
      </c>
      <c r="C1663" t="s">
        <v>12743</v>
      </c>
      <c r="D1663" t="s">
        <v>12744</v>
      </c>
    </row>
    <row r="1664" spans="1:4">
      <c r="A1664" t="s">
        <v>12745</v>
      </c>
      <c r="B1664" t="s">
        <v>1741</v>
      </c>
      <c r="C1664" t="s">
        <v>12746</v>
      </c>
      <c r="D1664" t="s">
        <v>12747</v>
      </c>
    </row>
    <row r="1665" spans="1:4">
      <c r="A1665" t="s">
        <v>12748</v>
      </c>
      <c r="B1665" t="s">
        <v>1741</v>
      </c>
      <c r="C1665" t="s">
        <v>12749</v>
      </c>
      <c r="D1665" t="s">
        <v>12750</v>
      </c>
    </row>
    <row r="1666" spans="1:4">
      <c r="A1666" t="s">
        <v>12751</v>
      </c>
      <c r="B1666" t="s">
        <v>1741</v>
      </c>
      <c r="C1666" t="s">
        <v>12752</v>
      </c>
      <c r="D1666" t="s">
        <v>12753</v>
      </c>
    </row>
    <row r="1667" spans="1:4">
      <c r="A1667" t="s">
        <v>12754</v>
      </c>
      <c r="B1667" t="s">
        <v>1741</v>
      </c>
      <c r="C1667" t="s">
        <v>12755</v>
      </c>
      <c r="D1667" t="s">
        <v>12756</v>
      </c>
    </row>
    <row r="1668" spans="1:4">
      <c r="A1668" t="s">
        <v>12757</v>
      </c>
      <c r="B1668" t="s">
        <v>1741</v>
      </c>
      <c r="C1668" t="s">
        <v>12758</v>
      </c>
      <c r="D1668" t="s">
        <v>12759</v>
      </c>
    </row>
    <row r="1669" spans="1:4">
      <c r="A1669" t="s">
        <v>12760</v>
      </c>
      <c r="B1669" t="s">
        <v>1741</v>
      </c>
      <c r="C1669" t="s">
        <v>12761</v>
      </c>
      <c r="D1669" t="s">
        <v>12762</v>
      </c>
    </row>
    <row r="1670" spans="1:4">
      <c r="A1670" t="s">
        <v>12763</v>
      </c>
      <c r="B1670" t="s">
        <v>1740</v>
      </c>
      <c r="C1670" t="s">
        <v>12764</v>
      </c>
      <c r="D1670" t="s">
        <v>12765</v>
      </c>
    </row>
    <row r="1671" spans="1:4">
      <c r="A1671" t="s">
        <v>12766</v>
      </c>
      <c r="B1671" t="s">
        <v>1741</v>
      </c>
      <c r="C1671" t="s">
        <v>12767</v>
      </c>
      <c r="D1671" t="s">
        <v>12768</v>
      </c>
    </row>
    <row r="1672" spans="1:4">
      <c r="A1672" t="s">
        <v>12769</v>
      </c>
      <c r="B1672" t="s">
        <v>1741</v>
      </c>
      <c r="C1672" t="s">
        <v>12770</v>
      </c>
      <c r="D1672" t="s">
        <v>12771</v>
      </c>
    </row>
    <row r="1673" spans="1:4">
      <c r="A1673" t="s">
        <v>12772</v>
      </c>
      <c r="B1673" t="s">
        <v>1741</v>
      </c>
      <c r="C1673" t="s">
        <v>12773</v>
      </c>
      <c r="D1673" t="s">
        <v>12774</v>
      </c>
    </row>
    <row r="1674" spans="1:4">
      <c r="A1674" t="s">
        <v>12775</v>
      </c>
      <c r="B1674" t="s">
        <v>1741</v>
      </c>
      <c r="C1674" t="s">
        <v>12776</v>
      </c>
      <c r="D1674" t="s">
        <v>12777</v>
      </c>
    </row>
    <row r="1675" spans="1:4">
      <c r="A1675" t="s">
        <v>12778</v>
      </c>
      <c r="B1675" t="s">
        <v>1740</v>
      </c>
      <c r="C1675" t="s">
        <v>12779</v>
      </c>
      <c r="D1675" t="s">
        <v>12780</v>
      </c>
    </row>
    <row r="1676" spans="1:4">
      <c r="A1676" t="s">
        <v>12781</v>
      </c>
      <c r="B1676" t="s">
        <v>1741</v>
      </c>
      <c r="C1676" t="s">
        <v>12782</v>
      </c>
      <c r="D1676" t="s">
        <v>12783</v>
      </c>
    </row>
    <row r="1677" spans="1:4">
      <c r="A1677" t="s">
        <v>12784</v>
      </c>
      <c r="B1677" t="s">
        <v>1740</v>
      </c>
      <c r="C1677" t="s">
        <v>12785</v>
      </c>
      <c r="D1677" t="s">
        <v>12786</v>
      </c>
    </row>
    <row r="1678" spans="1:4">
      <c r="A1678" t="s">
        <v>12787</v>
      </c>
      <c r="B1678" t="s">
        <v>1744</v>
      </c>
      <c r="C1678" t="s">
        <v>12788</v>
      </c>
      <c r="D1678" t="s">
        <v>12789</v>
      </c>
    </row>
    <row r="1679" spans="1:4">
      <c r="A1679" t="s">
        <v>12790</v>
      </c>
      <c r="B1679" t="s">
        <v>1740</v>
      </c>
      <c r="C1679" t="s">
        <v>12791</v>
      </c>
      <c r="D1679" t="s">
        <v>12792</v>
      </c>
    </row>
    <row r="1680" spans="1:4">
      <c r="A1680" t="s">
        <v>12793</v>
      </c>
      <c r="B1680" t="s">
        <v>1741</v>
      </c>
      <c r="C1680" t="s">
        <v>12794</v>
      </c>
      <c r="D1680" t="s">
        <v>12795</v>
      </c>
    </row>
    <row r="1681" spans="1:4">
      <c r="A1681" t="s">
        <v>12796</v>
      </c>
      <c r="B1681" t="s">
        <v>1739</v>
      </c>
      <c r="C1681" t="s">
        <v>12797</v>
      </c>
      <c r="D1681" t="s">
        <v>12798</v>
      </c>
    </row>
    <row r="1682" spans="1:4">
      <c r="A1682" t="s">
        <v>12799</v>
      </c>
      <c r="B1682" t="s">
        <v>1740</v>
      </c>
      <c r="C1682" t="s">
        <v>12800</v>
      </c>
      <c r="D1682" t="s">
        <v>12801</v>
      </c>
    </row>
    <row r="1683" spans="1:4">
      <c r="A1683" t="s">
        <v>12802</v>
      </c>
      <c r="B1683" t="s">
        <v>1741</v>
      </c>
      <c r="C1683" t="s">
        <v>12803</v>
      </c>
      <c r="D1683" t="s">
        <v>12804</v>
      </c>
    </row>
    <row r="1684" spans="1:4">
      <c r="A1684" t="s">
        <v>12805</v>
      </c>
      <c r="B1684" t="s">
        <v>1744</v>
      </c>
      <c r="C1684" t="s">
        <v>12806</v>
      </c>
      <c r="D1684" t="s">
        <v>12807</v>
      </c>
    </row>
    <row r="1685" spans="1:4">
      <c r="A1685" t="s">
        <v>12808</v>
      </c>
      <c r="B1685" t="s">
        <v>1741</v>
      </c>
      <c r="C1685" t="s">
        <v>12809</v>
      </c>
      <c r="D1685" t="s">
        <v>12810</v>
      </c>
    </row>
    <row r="1686" spans="1:4">
      <c r="A1686" t="s">
        <v>12811</v>
      </c>
      <c r="B1686" t="s">
        <v>1740</v>
      </c>
      <c r="C1686" t="s">
        <v>12812</v>
      </c>
      <c r="D1686" t="s">
        <v>12813</v>
      </c>
    </row>
    <row r="1687" spans="1:4">
      <c r="A1687" t="s">
        <v>12814</v>
      </c>
      <c r="B1687" t="s">
        <v>1744</v>
      </c>
      <c r="C1687" t="s">
        <v>12815</v>
      </c>
      <c r="D1687" t="s">
        <v>12816</v>
      </c>
    </row>
    <row r="1688" spans="1:4">
      <c r="A1688" t="s">
        <v>12817</v>
      </c>
      <c r="B1688" t="s">
        <v>1740</v>
      </c>
      <c r="C1688" t="s">
        <v>12818</v>
      </c>
      <c r="D1688" t="s">
        <v>12819</v>
      </c>
    </row>
    <row r="1689" spans="1:4">
      <c r="A1689" t="s">
        <v>12820</v>
      </c>
      <c r="B1689" t="s">
        <v>1741</v>
      </c>
      <c r="C1689" t="s">
        <v>12821</v>
      </c>
      <c r="D1689" t="s">
        <v>12822</v>
      </c>
    </row>
    <row r="1690" spans="1:4">
      <c r="A1690" t="s">
        <v>12823</v>
      </c>
      <c r="B1690" t="s">
        <v>1740</v>
      </c>
      <c r="C1690" t="s">
        <v>12824</v>
      </c>
      <c r="D1690" t="s">
        <v>12825</v>
      </c>
    </row>
    <row r="1691" spans="1:4">
      <c r="A1691" t="s">
        <v>12826</v>
      </c>
      <c r="B1691" t="s">
        <v>1741</v>
      </c>
      <c r="C1691" t="s">
        <v>12827</v>
      </c>
      <c r="D1691" t="s">
        <v>12828</v>
      </c>
    </row>
    <row r="1692" spans="1:4">
      <c r="A1692" t="s">
        <v>12829</v>
      </c>
      <c r="B1692" t="s">
        <v>1744</v>
      </c>
      <c r="C1692" t="s">
        <v>12830</v>
      </c>
      <c r="D1692" t="s">
        <v>12831</v>
      </c>
    </row>
    <row r="1693" spans="1:4">
      <c r="A1693" t="s">
        <v>12832</v>
      </c>
      <c r="B1693" t="s">
        <v>1741</v>
      </c>
      <c r="C1693" t="s">
        <v>12833</v>
      </c>
      <c r="D1693" t="s">
        <v>12834</v>
      </c>
    </row>
    <row r="1694" spans="1:4">
      <c r="A1694" t="s">
        <v>12835</v>
      </c>
      <c r="B1694" t="s">
        <v>1741</v>
      </c>
      <c r="C1694" t="s">
        <v>12836</v>
      </c>
      <c r="D1694" t="s">
        <v>12837</v>
      </c>
    </row>
    <row r="1695" spans="1:4">
      <c r="A1695" t="s">
        <v>12838</v>
      </c>
      <c r="B1695" t="s">
        <v>1744</v>
      </c>
      <c r="C1695" t="s">
        <v>12839</v>
      </c>
      <c r="D1695" t="s">
        <v>12840</v>
      </c>
    </row>
    <row r="1696" spans="1:4">
      <c r="A1696" t="s">
        <v>12841</v>
      </c>
      <c r="B1696" t="s">
        <v>1740</v>
      </c>
      <c r="C1696" t="s">
        <v>12842</v>
      </c>
      <c r="D1696" t="s">
        <v>12843</v>
      </c>
    </row>
    <row r="1697" spans="1:4">
      <c r="A1697" t="s">
        <v>12844</v>
      </c>
      <c r="B1697" t="s">
        <v>1744</v>
      </c>
      <c r="C1697" t="s">
        <v>12845</v>
      </c>
      <c r="D1697" t="s">
        <v>12846</v>
      </c>
    </row>
    <row r="1698" spans="1:4">
      <c r="A1698" t="s">
        <v>12847</v>
      </c>
      <c r="B1698" t="s">
        <v>1740</v>
      </c>
      <c r="C1698" t="s">
        <v>12848</v>
      </c>
      <c r="D1698" t="s">
        <v>12849</v>
      </c>
    </row>
    <row r="1699" spans="1:4">
      <c r="A1699" t="s">
        <v>12850</v>
      </c>
      <c r="B1699" t="s">
        <v>1744</v>
      </c>
      <c r="C1699" t="s">
        <v>12851</v>
      </c>
      <c r="D1699" t="s">
        <v>12852</v>
      </c>
    </row>
    <row r="1700" spans="1:4">
      <c r="A1700" t="s">
        <v>12853</v>
      </c>
      <c r="B1700" t="s">
        <v>1740</v>
      </c>
      <c r="C1700" t="s">
        <v>12854</v>
      </c>
      <c r="D1700" t="s">
        <v>12855</v>
      </c>
    </row>
    <row r="1701" spans="1:4">
      <c r="A1701" t="s">
        <v>12856</v>
      </c>
      <c r="B1701" t="s">
        <v>1741</v>
      </c>
      <c r="C1701" t="s">
        <v>12857</v>
      </c>
      <c r="D1701" t="s">
        <v>12858</v>
      </c>
    </row>
    <row r="1702" spans="1:4">
      <c r="A1702" t="s">
        <v>12859</v>
      </c>
      <c r="B1702" t="s">
        <v>1741</v>
      </c>
      <c r="C1702" t="s">
        <v>12860</v>
      </c>
      <c r="D1702" t="s">
        <v>12861</v>
      </c>
    </row>
    <row r="1703" spans="1:4">
      <c r="A1703" t="s">
        <v>12862</v>
      </c>
      <c r="B1703" t="s">
        <v>1741</v>
      </c>
      <c r="C1703" t="s">
        <v>12863</v>
      </c>
      <c r="D1703" t="s">
        <v>12864</v>
      </c>
    </row>
    <row r="1704" spans="1:4">
      <c r="A1704" t="s">
        <v>12865</v>
      </c>
      <c r="B1704" t="s">
        <v>1741</v>
      </c>
      <c r="C1704" t="s">
        <v>12866</v>
      </c>
      <c r="D1704" t="s">
        <v>12867</v>
      </c>
    </row>
    <row r="1705" spans="1:4">
      <c r="A1705" t="s">
        <v>12868</v>
      </c>
      <c r="B1705" t="s">
        <v>1740</v>
      </c>
      <c r="C1705" t="s">
        <v>12869</v>
      </c>
      <c r="D1705" t="s">
        <v>12870</v>
      </c>
    </row>
    <row r="1706" spans="1:4">
      <c r="A1706" t="s">
        <v>12871</v>
      </c>
      <c r="B1706" t="s">
        <v>1741</v>
      </c>
      <c r="C1706" t="s">
        <v>12872</v>
      </c>
      <c r="D1706" t="s">
        <v>12873</v>
      </c>
    </row>
    <row r="1707" spans="1:4">
      <c r="A1707" t="s">
        <v>12874</v>
      </c>
      <c r="B1707" t="s">
        <v>1741</v>
      </c>
      <c r="C1707" t="s">
        <v>12875</v>
      </c>
      <c r="D1707" t="s">
        <v>12876</v>
      </c>
    </row>
    <row r="1708" spans="1:4">
      <c r="A1708" t="s">
        <v>12877</v>
      </c>
      <c r="B1708" t="s">
        <v>1741</v>
      </c>
      <c r="C1708" t="s">
        <v>12878</v>
      </c>
      <c r="D1708" t="s">
        <v>12879</v>
      </c>
    </row>
    <row r="1709" spans="1:4">
      <c r="A1709" t="s">
        <v>12880</v>
      </c>
      <c r="B1709" t="s">
        <v>1744</v>
      </c>
      <c r="C1709" t="s">
        <v>12881</v>
      </c>
      <c r="D1709" t="s">
        <v>12882</v>
      </c>
    </row>
    <row r="1710" spans="1:4">
      <c r="A1710" t="s">
        <v>12883</v>
      </c>
      <c r="B1710" t="s">
        <v>1741</v>
      </c>
      <c r="C1710" t="s">
        <v>12884</v>
      </c>
      <c r="D1710" t="s">
        <v>12885</v>
      </c>
    </row>
    <row r="1711" spans="1:4">
      <c r="A1711" t="s">
        <v>12886</v>
      </c>
      <c r="B1711" t="s">
        <v>1741</v>
      </c>
      <c r="C1711" t="s">
        <v>12887</v>
      </c>
      <c r="D1711" t="s">
        <v>12888</v>
      </c>
    </row>
    <row r="1712" spans="1:4">
      <c r="A1712" t="s">
        <v>12889</v>
      </c>
      <c r="B1712" t="s">
        <v>1744</v>
      </c>
      <c r="C1712" t="s">
        <v>12890</v>
      </c>
      <c r="D1712" t="s">
        <v>12891</v>
      </c>
    </row>
    <row r="1713" spans="1:4">
      <c r="A1713" t="s">
        <v>12892</v>
      </c>
      <c r="B1713" t="s">
        <v>1741</v>
      </c>
      <c r="C1713" t="s">
        <v>12893</v>
      </c>
      <c r="D1713" t="s">
        <v>12894</v>
      </c>
    </row>
    <row r="1714" spans="1:4">
      <c r="A1714" t="s">
        <v>12895</v>
      </c>
      <c r="B1714" t="s">
        <v>1741</v>
      </c>
      <c r="C1714" t="s">
        <v>12896</v>
      </c>
      <c r="D1714" t="s">
        <v>12897</v>
      </c>
    </row>
    <row r="1715" spans="1:4">
      <c r="A1715" t="s">
        <v>12898</v>
      </c>
      <c r="B1715" t="s">
        <v>1739</v>
      </c>
      <c r="C1715" t="s">
        <v>12899</v>
      </c>
      <c r="D1715" t="s">
        <v>12900</v>
      </c>
    </row>
    <row r="1716" spans="1:4">
      <c r="A1716" t="s">
        <v>12901</v>
      </c>
      <c r="B1716" t="s">
        <v>1741</v>
      </c>
      <c r="C1716" t="s">
        <v>12902</v>
      </c>
      <c r="D1716" t="s">
        <v>12903</v>
      </c>
    </row>
    <row r="1717" spans="1:4">
      <c r="A1717" t="s">
        <v>12904</v>
      </c>
      <c r="B1717" t="s">
        <v>1741</v>
      </c>
      <c r="C1717" t="s">
        <v>12905</v>
      </c>
      <c r="D1717" t="s">
        <v>12906</v>
      </c>
    </row>
    <row r="1718" spans="1:4">
      <c r="A1718" t="s">
        <v>12907</v>
      </c>
      <c r="B1718" t="s">
        <v>1740</v>
      </c>
      <c r="C1718" t="s">
        <v>12908</v>
      </c>
      <c r="D1718" t="s">
        <v>12909</v>
      </c>
    </row>
    <row r="1719" spans="1:4">
      <c r="A1719" t="s">
        <v>12910</v>
      </c>
      <c r="B1719" t="s">
        <v>1741</v>
      </c>
      <c r="C1719" t="s">
        <v>12911</v>
      </c>
      <c r="D1719" t="s">
        <v>12912</v>
      </c>
    </row>
    <row r="1720" spans="1:4">
      <c r="A1720" t="s">
        <v>12913</v>
      </c>
      <c r="B1720" t="s">
        <v>1741</v>
      </c>
      <c r="C1720" t="s">
        <v>12914</v>
      </c>
      <c r="D1720" t="s">
        <v>12915</v>
      </c>
    </row>
    <row r="1721" spans="1:4">
      <c r="A1721" t="s">
        <v>12916</v>
      </c>
      <c r="B1721" t="s">
        <v>1740</v>
      </c>
      <c r="C1721" t="s">
        <v>12917</v>
      </c>
      <c r="D1721" t="s">
        <v>12918</v>
      </c>
    </row>
    <row r="1722" spans="1:4">
      <c r="A1722" t="s">
        <v>12919</v>
      </c>
      <c r="B1722" t="s">
        <v>1741</v>
      </c>
      <c r="C1722" t="s">
        <v>12920</v>
      </c>
      <c r="D1722" t="s">
        <v>12921</v>
      </c>
    </row>
    <row r="1723" spans="1:4">
      <c r="A1723" t="s">
        <v>12922</v>
      </c>
      <c r="B1723" t="s">
        <v>1741</v>
      </c>
      <c r="C1723" t="s">
        <v>12923</v>
      </c>
      <c r="D1723" t="s">
        <v>12924</v>
      </c>
    </row>
    <row r="1724" spans="1:4">
      <c r="A1724" t="s">
        <v>12925</v>
      </c>
      <c r="B1724" t="s">
        <v>1740</v>
      </c>
      <c r="C1724" t="s">
        <v>12926</v>
      </c>
      <c r="D1724" t="s">
        <v>12927</v>
      </c>
    </row>
    <row r="1725" spans="1:4">
      <c r="A1725" t="s">
        <v>12928</v>
      </c>
      <c r="B1725" t="s">
        <v>1741</v>
      </c>
      <c r="C1725" t="s">
        <v>12929</v>
      </c>
      <c r="D1725" t="s">
        <v>12930</v>
      </c>
    </row>
    <row r="1726" spans="1:4">
      <c r="A1726" t="s">
        <v>12931</v>
      </c>
      <c r="B1726" t="s">
        <v>1741</v>
      </c>
      <c r="C1726" t="s">
        <v>12932</v>
      </c>
      <c r="D1726" t="s">
        <v>12933</v>
      </c>
    </row>
    <row r="1727" spans="1:4">
      <c r="A1727" t="s">
        <v>12934</v>
      </c>
      <c r="B1727" t="s">
        <v>1740</v>
      </c>
      <c r="C1727" t="s">
        <v>12935</v>
      </c>
      <c r="D1727" t="s">
        <v>12936</v>
      </c>
    </row>
    <row r="1728" spans="1:4">
      <c r="A1728" t="s">
        <v>12937</v>
      </c>
      <c r="B1728" t="s">
        <v>1741</v>
      </c>
      <c r="C1728" t="s">
        <v>12938</v>
      </c>
      <c r="D1728" t="s">
        <v>12939</v>
      </c>
    </row>
    <row r="1729" spans="1:4">
      <c r="A1729" t="s">
        <v>12940</v>
      </c>
      <c r="B1729" t="s">
        <v>1740</v>
      </c>
      <c r="C1729" t="s">
        <v>12941</v>
      </c>
      <c r="D1729" t="s">
        <v>12942</v>
      </c>
    </row>
    <row r="1730" spans="1:4">
      <c r="A1730" t="s">
        <v>12943</v>
      </c>
      <c r="B1730" t="s">
        <v>1741</v>
      </c>
      <c r="C1730" t="s">
        <v>12944</v>
      </c>
      <c r="D1730" t="s">
        <v>12945</v>
      </c>
    </row>
    <row r="1731" spans="1:4">
      <c r="A1731" t="s">
        <v>12946</v>
      </c>
      <c r="B1731" t="s">
        <v>1741</v>
      </c>
      <c r="C1731" t="s">
        <v>12947</v>
      </c>
      <c r="D1731" t="s">
        <v>12948</v>
      </c>
    </row>
    <row r="1732" spans="1:4">
      <c r="A1732" t="s">
        <v>12949</v>
      </c>
      <c r="B1732" t="s">
        <v>658</v>
      </c>
      <c r="C1732" t="s">
        <v>12950</v>
      </c>
      <c r="D1732" t="s">
        <v>12951</v>
      </c>
    </row>
    <row r="1733" spans="1:4">
      <c r="A1733" t="s">
        <v>12952</v>
      </c>
      <c r="B1733" t="s">
        <v>658</v>
      </c>
      <c r="C1733" t="s">
        <v>12953</v>
      </c>
      <c r="D1733" t="s">
        <v>12954</v>
      </c>
    </row>
    <row r="1734" spans="1:4">
      <c r="A1734" t="s">
        <v>12955</v>
      </c>
      <c r="B1734" t="s">
        <v>658</v>
      </c>
      <c r="C1734" t="s">
        <v>12956</v>
      </c>
      <c r="D1734" t="s">
        <v>12957</v>
      </c>
    </row>
    <row r="1735" spans="1:4">
      <c r="A1735" t="s">
        <v>12958</v>
      </c>
      <c r="B1735" t="s">
        <v>658</v>
      </c>
      <c r="C1735" t="s">
        <v>12959</v>
      </c>
      <c r="D1735" t="s">
        <v>12960</v>
      </c>
    </row>
    <row r="1736" spans="1:4">
      <c r="A1736" t="s">
        <v>12961</v>
      </c>
      <c r="B1736" t="s">
        <v>658</v>
      </c>
      <c r="C1736" t="s">
        <v>12962</v>
      </c>
      <c r="D1736" t="s">
        <v>12963</v>
      </c>
    </row>
    <row r="1737" spans="1:4">
      <c r="A1737" t="s">
        <v>12964</v>
      </c>
      <c r="B1737" t="s">
        <v>658</v>
      </c>
      <c r="C1737" t="s">
        <v>12965</v>
      </c>
      <c r="D1737" t="s">
        <v>12966</v>
      </c>
    </row>
    <row r="1738" spans="1:4">
      <c r="A1738" t="s">
        <v>12967</v>
      </c>
      <c r="B1738" t="s">
        <v>658</v>
      </c>
      <c r="C1738" t="s">
        <v>12968</v>
      </c>
      <c r="D1738" t="s">
        <v>12969</v>
      </c>
    </row>
    <row r="1739" spans="1:4">
      <c r="A1739" t="s">
        <v>12970</v>
      </c>
      <c r="B1739" t="s">
        <v>658</v>
      </c>
      <c r="C1739" t="s">
        <v>12971</v>
      </c>
      <c r="D1739" t="s">
        <v>12972</v>
      </c>
    </row>
    <row r="1740" spans="1:4">
      <c r="A1740" t="s">
        <v>12995</v>
      </c>
      <c r="B1740" t="s">
        <v>4681</v>
      </c>
      <c r="C1740" t="s">
        <v>12996</v>
      </c>
      <c r="D1740" t="s">
        <v>13122</v>
      </c>
    </row>
    <row r="1741" spans="1:4">
      <c r="A1741" t="s">
        <v>9062</v>
      </c>
      <c r="B1741" t="s">
        <v>1763</v>
      </c>
      <c r="C1741" t="s">
        <v>12997</v>
      </c>
      <c r="D1741" t="s">
        <v>13123</v>
      </c>
    </row>
    <row r="1742" spans="1:4">
      <c r="A1742" t="s">
        <v>12998</v>
      </c>
      <c r="B1742" t="s">
        <v>4680</v>
      </c>
      <c r="C1742" t="s">
        <v>12999</v>
      </c>
      <c r="D1742" t="s">
        <v>13124</v>
      </c>
    </row>
    <row r="1743" spans="1:4">
      <c r="A1743" t="s">
        <v>13000</v>
      </c>
      <c r="B1743" t="s">
        <v>667</v>
      </c>
      <c r="C1743" t="s">
        <v>13001</v>
      </c>
      <c r="D1743" t="s">
        <v>13125</v>
      </c>
    </row>
    <row r="1744" spans="1:4">
      <c r="A1744" t="s">
        <v>13002</v>
      </c>
      <c r="B1744" t="s">
        <v>1763</v>
      </c>
      <c r="C1744" t="s">
        <v>13003</v>
      </c>
      <c r="D1744" t="s">
        <v>13126</v>
      </c>
    </row>
    <row r="1745" spans="1:4">
      <c r="A1745" t="s">
        <v>9062</v>
      </c>
      <c r="B1745" t="s">
        <v>4680</v>
      </c>
      <c r="C1745" t="s">
        <v>13004</v>
      </c>
      <c r="D1745" t="s">
        <v>13127</v>
      </c>
    </row>
    <row r="1746" spans="1:4">
      <c r="A1746" t="s">
        <v>13005</v>
      </c>
      <c r="B1746" t="s">
        <v>667</v>
      </c>
      <c r="C1746" t="s">
        <v>13006</v>
      </c>
      <c r="D1746" t="s">
        <v>9130</v>
      </c>
    </row>
    <row r="1747" spans="1:4">
      <c r="A1747" t="s">
        <v>9071</v>
      </c>
      <c r="B1747" t="s">
        <v>1763</v>
      </c>
      <c r="C1747" t="s">
        <v>13007</v>
      </c>
      <c r="D1747" t="s">
        <v>8876</v>
      </c>
    </row>
    <row r="1748" spans="1:4">
      <c r="A1748" t="s">
        <v>13008</v>
      </c>
      <c r="B1748" t="s">
        <v>1768</v>
      </c>
      <c r="C1748" t="s">
        <v>13009</v>
      </c>
      <c r="D1748" t="s">
        <v>13128</v>
      </c>
    </row>
    <row r="1749" spans="1:4">
      <c r="A1749" t="s">
        <v>9644</v>
      </c>
      <c r="B1749" t="s">
        <v>1779</v>
      </c>
      <c r="C1749" t="s">
        <v>13010</v>
      </c>
      <c r="D1749" t="s">
        <v>13129</v>
      </c>
    </row>
    <row r="1750" spans="1:4">
      <c r="A1750" t="s">
        <v>9725</v>
      </c>
      <c r="B1750" t="s">
        <v>1779</v>
      </c>
      <c r="C1750" t="s">
        <v>13011</v>
      </c>
      <c r="D1750" t="s">
        <v>13130</v>
      </c>
    </row>
    <row r="1751" spans="1:4">
      <c r="A1751" t="s">
        <v>9653</v>
      </c>
      <c r="B1751" t="s">
        <v>1779</v>
      </c>
      <c r="C1751" t="s">
        <v>13012</v>
      </c>
      <c r="D1751" t="s">
        <v>9588</v>
      </c>
    </row>
    <row r="1752" spans="1:4">
      <c r="A1752" t="s">
        <v>13000</v>
      </c>
      <c r="B1752" t="s">
        <v>13013</v>
      </c>
      <c r="C1752" t="s">
        <v>13014</v>
      </c>
      <c r="D1752" t="s">
        <v>13125</v>
      </c>
    </row>
    <row r="1753" spans="1:4">
      <c r="A1753" t="s">
        <v>13015</v>
      </c>
      <c r="B1753" t="s">
        <v>1782</v>
      </c>
      <c r="C1753" t="s">
        <v>13016</v>
      </c>
      <c r="D1753" t="s">
        <v>9278</v>
      </c>
    </row>
    <row r="1754" spans="1:4">
      <c r="A1754" t="s">
        <v>9062</v>
      </c>
      <c r="B1754" t="s">
        <v>4697</v>
      </c>
      <c r="C1754" t="s">
        <v>13017</v>
      </c>
      <c r="D1754" t="s">
        <v>9126</v>
      </c>
    </row>
    <row r="1755" spans="1:4">
      <c r="A1755" t="s">
        <v>13008</v>
      </c>
      <c r="B1755" t="s">
        <v>4697</v>
      </c>
      <c r="C1755" t="s">
        <v>13018</v>
      </c>
      <c r="D1755" t="s">
        <v>13131</v>
      </c>
    </row>
    <row r="1756" spans="1:4">
      <c r="A1756" t="s">
        <v>13019</v>
      </c>
      <c r="B1756" t="s">
        <v>667</v>
      </c>
      <c r="C1756" t="s">
        <v>13020</v>
      </c>
      <c r="D1756" t="s">
        <v>13125</v>
      </c>
    </row>
    <row r="1757" spans="1:4">
      <c r="A1757" t="s">
        <v>12995</v>
      </c>
      <c r="B1757" t="s">
        <v>4680</v>
      </c>
      <c r="C1757" t="s">
        <v>13021</v>
      </c>
      <c r="D1757" t="s">
        <v>13132</v>
      </c>
    </row>
    <row r="1758" spans="1:4">
      <c r="A1758" t="s">
        <v>13023</v>
      </c>
      <c r="B1758" t="s">
        <v>1780</v>
      </c>
      <c r="C1758" t="s">
        <v>13024</v>
      </c>
      <c r="D1758" t="s">
        <v>13133</v>
      </c>
    </row>
    <row r="1759" spans="1:4">
      <c r="A1759" t="s">
        <v>9725</v>
      </c>
      <c r="B1759" t="s">
        <v>1780</v>
      </c>
      <c r="C1759" t="s">
        <v>13025</v>
      </c>
      <c r="D1759" t="s">
        <v>9602</v>
      </c>
    </row>
    <row r="1760" spans="1:4">
      <c r="A1760" t="s">
        <v>9644</v>
      </c>
      <c r="B1760" t="s">
        <v>1764</v>
      </c>
      <c r="C1760" t="s">
        <v>13026</v>
      </c>
      <c r="D1760" t="s">
        <v>13134</v>
      </c>
    </row>
    <row r="1761" spans="1:4">
      <c r="A1761" t="s">
        <v>13027</v>
      </c>
      <c r="B1761" t="s">
        <v>1763</v>
      </c>
      <c r="C1761" t="s">
        <v>13028</v>
      </c>
      <c r="D1761" t="s">
        <v>13123</v>
      </c>
    </row>
    <row r="1762" spans="1:4">
      <c r="A1762" t="s">
        <v>13029</v>
      </c>
      <c r="B1762" t="s">
        <v>4691</v>
      </c>
      <c r="C1762" t="s">
        <v>13030</v>
      </c>
      <c r="D1762" t="s">
        <v>13135</v>
      </c>
    </row>
    <row r="1763" spans="1:4">
      <c r="A1763" t="s">
        <v>9074</v>
      </c>
      <c r="B1763" t="s">
        <v>1763</v>
      </c>
      <c r="C1763" t="s">
        <v>13031</v>
      </c>
      <c r="D1763" t="s">
        <v>8879</v>
      </c>
    </row>
    <row r="1764" spans="1:4">
      <c r="A1764" t="s">
        <v>13029</v>
      </c>
      <c r="B1764" t="s">
        <v>13032</v>
      </c>
      <c r="C1764" t="s">
        <v>13033</v>
      </c>
      <c r="D1764" t="s">
        <v>13136</v>
      </c>
    </row>
    <row r="1765" spans="1:4">
      <c r="A1765" t="s">
        <v>13034</v>
      </c>
      <c r="B1765" t="s">
        <v>1763</v>
      </c>
      <c r="C1765" t="s">
        <v>13035</v>
      </c>
      <c r="D1765" t="s">
        <v>13123</v>
      </c>
    </row>
    <row r="1766" spans="1:4">
      <c r="A1766" t="s">
        <v>13034</v>
      </c>
      <c r="B1766" t="s">
        <v>667</v>
      </c>
      <c r="C1766" t="s">
        <v>13037</v>
      </c>
      <c r="D1766" t="s">
        <v>13125</v>
      </c>
    </row>
    <row r="1767" spans="1:4">
      <c r="A1767" t="s">
        <v>13038</v>
      </c>
      <c r="B1767" t="s">
        <v>4691</v>
      </c>
      <c r="C1767" t="s">
        <v>13039</v>
      </c>
      <c r="D1767" t="s">
        <v>13137</v>
      </c>
    </row>
    <row r="1768" spans="1:4">
      <c r="A1768" t="s">
        <v>9071</v>
      </c>
      <c r="B1768" t="s">
        <v>4680</v>
      </c>
      <c r="C1768" t="s">
        <v>13040</v>
      </c>
      <c r="D1768" t="s">
        <v>13138</v>
      </c>
    </row>
    <row r="1769" spans="1:4">
      <c r="A1769" t="s">
        <v>9071</v>
      </c>
      <c r="B1769" t="s">
        <v>4691</v>
      </c>
      <c r="C1769" t="s">
        <v>13041</v>
      </c>
      <c r="D1769" t="s">
        <v>13139</v>
      </c>
    </row>
    <row r="1770" spans="1:4">
      <c r="A1770" t="s">
        <v>13023</v>
      </c>
      <c r="B1770" t="s">
        <v>4681</v>
      </c>
      <c r="C1770" t="s">
        <v>13042</v>
      </c>
      <c r="D1770" t="s">
        <v>13140</v>
      </c>
    </row>
    <row r="1771" spans="1:4">
      <c r="A1771" t="s">
        <v>13043</v>
      </c>
      <c r="B1771" t="s">
        <v>667</v>
      </c>
      <c r="C1771" t="s">
        <v>13044</v>
      </c>
      <c r="D1771" t="s">
        <v>9133</v>
      </c>
    </row>
    <row r="1772" spans="1:4">
      <c r="A1772" t="s">
        <v>13045</v>
      </c>
      <c r="B1772" t="s">
        <v>4680</v>
      </c>
      <c r="C1772" t="s">
        <v>13046</v>
      </c>
      <c r="D1772" t="s">
        <v>13141</v>
      </c>
    </row>
    <row r="1773" spans="1:4">
      <c r="A1773" t="s">
        <v>8953</v>
      </c>
      <c r="B1773" t="s">
        <v>1764</v>
      </c>
      <c r="C1773" t="s">
        <v>13047</v>
      </c>
      <c r="D1773" t="s">
        <v>13142</v>
      </c>
    </row>
    <row r="1774" spans="1:4">
      <c r="A1774" t="s">
        <v>13048</v>
      </c>
      <c r="B1774" t="s">
        <v>1763</v>
      </c>
      <c r="C1774" t="s">
        <v>13049</v>
      </c>
      <c r="D1774" t="s">
        <v>13126</v>
      </c>
    </row>
    <row r="1775" spans="1:4">
      <c r="A1775" t="s">
        <v>13027</v>
      </c>
      <c r="B1775" t="s">
        <v>667</v>
      </c>
      <c r="C1775" t="s">
        <v>13050</v>
      </c>
      <c r="D1775" t="s">
        <v>13125</v>
      </c>
    </row>
    <row r="1776" spans="1:4">
      <c r="A1776" t="s">
        <v>1731</v>
      </c>
      <c r="B1776" t="s">
        <v>1753</v>
      </c>
      <c r="C1776" t="s">
        <v>13051</v>
      </c>
      <c r="D1776" t="s">
        <v>8715</v>
      </c>
    </row>
    <row r="1777" spans="1:4">
      <c r="A1777" t="s">
        <v>1732</v>
      </c>
      <c r="B1777" t="s">
        <v>1753</v>
      </c>
      <c r="C1777" t="s">
        <v>13052</v>
      </c>
      <c r="D1777" t="s">
        <v>8719</v>
      </c>
    </row>
    <row r="1778" spans="1:4">
      <c r="A1778" t="s">
        <v>13053</v>
      </c>
      <c r="B1778" t="s">
        <v>1753</v>
      </c>
      <c r="C1778" t="s">
        <v>13054</v>
      </c>
      <c r="D1778" t="s">
        <v>13143</v>
      </c>
    </row>
    <row r="1779" spans="1:4">
      <c r="A1779" t="s">
        <v>8964</v>
      </c>
      <c r="B1779" t="s">
        <v>1764</v>
      </c>
      <c r="C1779" t="s">
        <v>13055</v>
      </c>
      <c r="D1779" t="s">
        <v>13144</v>
      </c>
    </row>
    <row r="1780" spans="1:4">
      <c r="A1780" t="s">
        <v>13056</v>
      </c>
      <c r="B1780" t="s">
        <v>4727</v>
      </c>
      <c r="C1780" t="s">
        <v>13057</v>
      </c>
      <c r="D1780" t="s">
        <v>13145</v>
      </c>
    </row>
    <row r="1781" spans="1:4">
      <c r="A1781" t="s">
        <v>9062</v>
      </c>
      <c r="B1781" t="s">
        <v>1768</v>
      </c>
      <c r="C1781" t="s">
        <v>13058</v>
      </c>
      <c r="D1781" t="s">
        <v>9112</v>
      </c>
    </row>
    <row r="1782" spans="1:4">
      <c r="A1782" t="s">
        <v>13000</v>
      </c>
      <c r="B1782" t="s">
        <v>13059</v>
      </c>
      <c r="C1782" t="s">
        <v>13060</v>
      </c>
      <c r="D1782" t="s">
        <v>13123</v>
      </c>
    </row>
    <row r="1783" spans="1:4">
      <c r="A1783" t="s">
        <v>13061</v>
      </c>
      <c r="B1783" t="s">
        <v>4680</v>
      </c>
      <c r="C1783" t="s">
        <v>13062</v>
      </c>
      <c r="D1783" t="s">
        <v>8891</v>
      </c>
    </row>
    <row r="1784" spans="1:4">
      <c r="A1784" t="s">
        <v>13063</v>
      </c>
      <c r="B1784" t="s">
        <v>4680</v>
      </c>
      <c r="C1784" t="s">
        <v>13064</v>
      </c>
      <c r="D1784" t="s">
        <v>8900</v>
      </c>
    </row>
    <row r="1785" spans="1:4">
      <c r="A1785" t="s">
        <v>13065</v>
      </c>
      <c r="B1785" t="s">
        <v>667</v>
      </c>
      <c r="C1785" t="s">
        <v>13066</v>
      </c>
      <c r="D1785" t="s">
        <v>13125</v>
      </c>
    </row>
    <row r="1786" spans="1:4">
      <c r="A1786" t="s">
        <v>13022</v>
      </c>
      <c r="B1786" t="s">
        <v>667</v>
      </c>
      <c r="C1786" t="s">
        <v>13067</v>
      </c>
      <c r="D1786" t="s">
        <v>13146</v>
      </c>
    </row>
    <row r="1787" spans="1:4">
      <c r="A1787" t="s">
        <v>9202</v>
      </c>
      <c r="B1787" t="s">
        <v>1772</v>
      </c>
      <c r="C1787" t="s">
        <v>13068</v>
      </c>
      <c r="D1787" t="s">
        <v>9188</v>
      </c>
    </row>
    <row r="1788" spans="1:4">
      <c r="A1788" t="s">
        <v>13069</v>
      </c>
      <c r="B1788" t="s">
        <v>667</v>
      </c>
      <c r="C1788" t="s">
        <v>13070</v>
      </c>
      <c r="D1788" t="s">
        <v>9130</v>
      </c>
    </row>
    <row r="1789" spans="1:4">
      <c r="A1789" t="s">
        <v>13071</v>
      </c>
      <c r="B1789" t="s">
        <v>4724</v>
      </c>
      <c r="C1789" t="s">
        <v>13072</v>
      </c>
      <c r="D1789" t="s">
        <v>13147</v>
      </c>
    </row>
    <row r="1790" spans="1:4">
      <c r="A1790" t="s">
        <v>13073</v>
      </c>
      <c r="B1790" t="s">
        <v>1749</v>
      </c>
      <c r="C1790" t="s">
        <v>13074</v>
      </c>
      <c r="D1790" t="s">
        <v>8694</v>
      </c>
    </row>
    <row r="1791" spans="1:4">
      <c r="A1791" t="s">
        <v>13019</v>
      </c>
      <c r="B1791" t="s">
        <v>1763</v>
      </c>
      <c r="C1791" t="s">
        <v>13075</v>
      </c>
      <c r="D1791" t="s">
        <v>13123</v>
      </c>
    </row>
    <row r="1792" spans="1:4">
      <c r="A1792" t="s">
        <v>13076</v>
      </c>
      <c r="B1792" t="s">
        <v>1763</v>
      </c>
      <c r="C1792" t="s">
        <v>13077</v>
      </c>
      <c r="D1792" t="s">
        <v>8873</v>
      </c>
    </row>
    <row r="1793" spans="1:4">
      <c r="A1793" t="s">
        <v>13078</v>
      </c>
      <c r="B1793" t="s">
        <v>1763</v>
      </c>
      <c r="C1793" t="s">
        <v>13079</v>
      </c>
      <c r="D1793" t="s">
        <v>8870</v>
      </c>
    </row>
    <row r="1794" spans="1:4">
      <c r="A1794" t="s">
        <v>13080</v>
      </c>
      <c r="B1794" t="s">
        <v>4680</v>
      </c>
      <c r="C1794" t="s">
        <v>13081</v>
      </c>
      <c r="D1794" t="s">
        <v>8891</v>
      </c>
    </row>
    <row r="1795" spans="1:4">
      <c r="A1795" t="s">
        <v>13082</v>
      </c>
      <c r="B1795" t="s">
        <v>1763</v>
      </c>
      <c r="C1795" t="s">
        <v>13083</v>
      </c>
      <c r="D1795" t="s">
        <v>8879</v>
      </c>
    </row>
    <row r="1796" spans="1:4">
      <c r="A1796" t="s">
        <v>13084</v>
      </c>
      <c r="B1796" t="s">
        <v>1763</v>
      </c>
      <c r="C1796" t="s">
        <v>13085</v>
      </c>
      <c r="D1796" t="s">
        <v>8885</v>
      </c>
    </row>
    <row r="1797" spans="1:4">
      <c r="A1797" t="s">
        <v>9824</v>
      </c>
      <c r="B1797" t="s">
        <v>1763</v>
      </c>
      <c r="C1797" t="s">
        <v>13086</v>
      </c>
      <c r="D1797" t="s">
        <v>13148</v>
      </c>
    </row>
    <row r="1798" spans="1:4">
      <c r="A1798" t="s">
        <v>13087</v>
      </c>
      <c r="B1798" t="s">
        <v>1763</v>
      </c>
      <c r="C1798" t="s">
        <v>13088</v>
      </c>
      <c r="D1798" t="s">
        <v>8885</v>
      </c>
    </row>
    <row r="1799" spans="1:4">
      <c r="A1799" t="s">
        <v>13065</v>
      </c>
      <c r="B1799" t="s">
        <v>1763</v>
      </c>
      <c r="C1799" t="s">
        <v>13089</v>
      </c>
      <c r="D1799" t="s">
        <v>13123</v>
      </c>
    </row>
    <row r="1800" spans="1:4">
      <c r="A1800" t="s">
        <v>13090</v>
      </c>
      <c r="B1800" t="s">
        <v>1779</v>
      </c>
      <c r="C1800" t="s">
        <v>13091</v>
      </c>
      <c r="D1800" t="s">
        <v>9585</v>
      </c>
    </row>
    <row r="1801" spans="1:4">
      <c r="A1801" t="s">
        <v>13092</v>
      </c>
      <c r="B1801" t="s">
        <v>1779</v>
      </c>
      <c r="C1801" t="s">
        <v>13093</v>
      </c>
      <c r="D1801" t="s">
        <v>9594</v>
      </c>
    </row>
    <row r="1802" spans="1:4">
      <c r="A1802" t="s">
        <v>13019</v>
      </c>
      <c r="B1802" t="s">
        <v>4697</v>
      </c>
      <c r="C1802" t="s">
        <v>13094</v>
      </c>
      <c r="D1802" t="s">
        <v>9126</v>
      </c>
    </row>
    <row r="1803" spans="1:4">
      <c r="A1803" t="s">
        <v>13095</v>
      </c>
      <c r="B1803" t="s">
        <v>1763</v>
      </c>
      <c r="C1803" t="s">
        <v>13096</v>
      </c>
      <c r="D1803" t="s">
        <v>8885</v>
      </c>
    </row>
    <row r="1804" spans="1:4">
      <c r="A1804" t="s">
        <v>13097</v>
      </c>
      <c r="B1804" t="s">
        <v>667</v>
      </c>
      <c r="C1804" t="s">
        <v>13098</v>
      </c>
      <c r="D1804" t="s">
        <v>9133</v>
      </c>
    </row>
    <row r="1805" spans="1:4">
      <c r="A1805" t="s">
        <v>9062</v>
      </c>
      <c r="B1805" t="s">
        <v>13099</v>
      </c>
      <c r="C1805" t="s">
        <v>13100</v>
      </c>
      <c r="D1805" t="s">
        <v>13123</v>
      </c>
    </row>
    <row r="1806" spans="1:4">
      <c r="A1806" t="s">
        <v>9068</v>
      </c>
      <c r="B1806" t="s">
        <v>4680</v>
      </c>
      <c r="C1806" t="s">
        <v>13101</v>
      </c>
      <c r="D1806" t="s">
        <v>13149</v>
      </c>
    </row>
    <row r="1807" spans="1:4">
      <c r="A1807" t="s">
        <v>13102</v>
      </c>
      <c r="B1807" t="s">
        <v>667</v>
      </c>
      <c r="C1807" t="s">
        <v>13103</v>
      </c>
      <c r="D1807" t="s">
        <v>13125</v>
      </c>
    </row>
    <row r="1808" spans="1:4">
      <c r="A1808" t="s">
        <v>13008</v>
      </c>
      <c r="B1808" t="s">
        <v>667</v>
      </c>
      <c r="C1808" t="s">
        <v>13104</v>
      </c>
      <c r="D1808" t="s">
        <v>13150</v>
      </c>
    </row>
    <row r="1809" spans="1:4">
      <c r="A1809" t="s">
        <v>13105</v>
      </c>
      <c r="B1809" t="s">
        <v>667</v>
      </c>
      <c r="C1809" t="s">
        <v>13106</v>
      </c>
      <c r="D1809" t="s">
        <v>9133</v>
      </c>
    </row>
    <row r="1810" spans="1:4">
      <c r="A1810" t="s">
        <v>9059</v>
      </c>
      <c r="B1810" t="s">
        <v>1763</v>
      </c>
      <c r="C1810" t="s">
        <v>13107</v>
      </c>
      <c r="D1810" t="s">
        <v>8870</v>
      </c>
    </row>
    <row r="1811" spans="1:4">
      <c r="A1811" t="s">
        <v>13108</v>
      </c>
      <c r="B1811" t="s">
        <v>1763</v>
      </c>
      <c r="C1811" t="s">
        <v>13109</v>
      </c>
      <c r="D1811" t="s">
        <v>13151</v>
      </c>
    </row>
    <row r="1812" spans="1:4">
      <c r="A1812" t="s">
        <v>9062</v>
      </c>
      <c r="B1812" t="s">
        <v>13110</v>
      </c>
      <c r="C1812" t="s">
        <v>13111</v>
      </c>
      <c r="D1812" t="s">
        <v>13125</v>
      </c>
    </row>
    <row r="1813" spans="1:4">
      <c r="A1813" t="s">
        <v>13112</v>
      </c>
      <c r="B1813" t="s">
        <v>13110</v>
      </c>
      <c r="C1813" t="s">
        <v>13113</v>
      </c>
      <c r="D1813" t="s">
        <v>9130</v>
      </c>
    </row>
    <row r="1814" spans="1:4">
      <c r="A1814" t="s">
        <v>13114</v>
      </c>
      <c r="B1814" t="s">
        <v>1770</v>
      </c>
      <c r="C1814" t="s">
        <v>13115</v>
      </c>
      <c r="D1814" t="s">
        <v>13152</v>
      </c>
    </row>
    <row r="1815" spans="1:4">
      <c r="A1815" t="s">
        <v>13036</v>
      </c>
      <c r="B1815" t="s">
        <v>1768</v>
      </c>
      <c r="C1815" t="s">
        <v>13116</v>
      </c>
      <c r="D1815" t="s">
        <v>13153</v>
      </c>
    </row>
    <row r="1816" spans="1:4">
      <c r="A1816" t="s">
        <v>13117</v>
      </c>
      <c r="B1816" t="s">
        <v>1782</v>
      </c>
      <c r="C1816" t="s">
        <v>13118</v>
      </c>
      <c r="D1816" t="s">
        <v>9290</v>
      </c>
    </row>
    <row r="1817" spans="1:4">
      <c r="A1817" t="s">
        <v>13119</v>
      </c>
      <c r="B1817" t="s">
        <v>1763</v>
      </c>
      <c r="C1817" t="s">
        <v>13120</v>
      </c>
      <c r="D1817" t="s">
        <v>13154</v>
      </c>
    </row>
    <row r="1818" spans="1:4">
      <c r="A1818" t="s">
        <v>9256</v>
      </c>
      <c r="B1818" t="s">
        <v>1770</v>
      </c>
      <c r="C1818" t="s">
        <v>13121</v>
      </c>
      <c r="D1818" t="s">
        <v>13155</v>
      </c>
    </row>
  </sheetData>
  <pageMargins left="0.511811024" right="0.511811024" top="0.78740157499999996" bottom="0.78740157499999996" header="0.31496062000000002" footer="0.3149606200000000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0A36F-1200-4477-AC69-422633CB7AAF}">
  <sheetPr codeName="Planilha6"/>
  <dimension ref="A1:E1790"/>
  <sheetViews>
    <sheetView workbookViewId="0">
      <selection activeCell="C1025" sqref="C1025"/>
    </sheetView>
  </sheetViews>
  <sheetFormatPr defaultRowHeight="13.2"/>
  <cols>
    <col min="1" max="1" width="30" bestFit="1" customWidth="1"/>
    <col min="2" max="2" width="17" bestFit="1" customWidth="1"/>
    <col min="3" max="3" width="80.88671875" bestFit="1" customWidth="1"/>
    <col min="4" max="4" width="45.77734375" bestFit="1" customWidth="1"/>
    <col min="5" max="5" width="58.6640625" bestFit="1" customWidth="1"/>
  </cols>
  <sheetData>
    <row r="1" spans="1:5">
      <c r="A1" t="s">
        <v>499</v>
      </c>
      <c r="B1" t="s">
        <v>2388</v>
      </c>
      <c r="C1" t="s">
        <v>2389</v>
      </c>
      <c r="D1" t="s">
        <v>2390</v>
      </c>
      <c r="E1" t="s">
        <v>5466</v>
      </c>
    </row>
    <row r="2" spans="1:5">
      <c r="A2" t="s">
        <v>5467</v>
      </c>
      <c r="B2">
        <v>2</v>
      </c>
      <c r="C2" t="s">
        <v>2983</v>
      </c>
      <c r="D2" t="s">
        <v>5468</v>
      </c>
      <c r="E2" t="s">
        <v>108</v>
      </c>
    </row>
    <row r="3" spans="1:5">
      <c r="A3" t="s">
        <v>5469</v>
      </c>
      <c r="B3">
        <v>1.6</v>
      </c>
      <c r="C3" t="s">
        <v>108</v>
      </c>
      <c r="D3" t="s">
        <v>5468</v>
      </c>
      <c r="E3" t="s">
        <v>108</v>
      </c>
    </row>
    <row r="4" spans="1:5">
      <c r="A4" t="s">
        <v>5470</v>
      </c>
      <c r="B4">
        <v>1.7</v>
      </c>
      <c r="C4" t="s">
        <v>2690</v>
      </c>
      <c r="D4" t="s">
        <v>5471</v>
      </c>
      <c r="E4" t="s">
        <v>108</v>
      </c>
    </row>
    <row r="5" spans="1:5">
      <c r="A5" t="s">
        <v>5472</v>
      </c>
      <c r="B5">
        <v>1.6</v>
      </c>
      <c r="C5" t="s">
        <v>108</v>
      </c>
      <c r="D5" t="s">
        <v>5468</v>
      </c>
      <c r="E5" t="s">
        <v>108</v>
      </c>
    </row>
    <row r="6" spans="1:5">
      <c r="A6" t="s">
        <v>8148</v>
      </c>
      <c r="B6">
        <v>2.4</v>
      </c>
      <c r="C6" t="s">
        <v>108</v>
      </c>
      <c r="D6" t="s">
        <v>108</v>
      </c>
      <c r="E6" t="s">
        <v>108</v>
      </c>
    </row>
    <row r="7" spans="1:5">
      <c r="A7" t="s">
        <v>8149</v>
      </c>
      <c r="B7">
        <v>2.5</v>
      </c>
      <c r="C7" t="s">
        <v>108</v>
      </c>
      <c r="D7" t="s">
        <v>108</v>
      </c>
      <c r="E7" t="s">
        <v>108</v>
      </c>
    </row>
    <row r="8" spans="1:5">
      <c r="A8" t="s">
        <v>5473</v>
      </c>
      <c r="B8">
        <v>2.2999999999999998</v>
      </c>
      <c r="C8" t="s">
        <v>3103</v>
      </c>
      <c r="D8" t="s">
        <v>5468</v>
      </c>
      <c r="E8" t="s">
        <v>108</v>
      </c>
    </row>
    <row r="9" spans="1:5">
      <c r="A9" t="s">
        <v>5474</v>
      </c>
      <c r="B9">
        <v>2.4</v>
      </c>
      <c r="C9" t="s">
        <v>3103</v>
      </c>
      <c r="D9" t="s">
        <v>5468</v>
      </c>
      <c r="E9" t="s">
        <v>108</v>
      </c>
    </row>
    <row r="10" spans="1:5">
      <c r="A10" t="s">
        <v>5475</v>
      </c>
      <c r="B10">
        <v>2.7</v>
      </c>
      <c r="C10" t="s">
        <v>2636</v>
      </c>
      <c r="D10" t="s">
        <v>5468</v>
      </c>
      <c r="E10" t="s">
        <v>108</v>
      </c>
    </row>
    <row r="11" spans="1:5">
      <c r="A11" t="s">
        <v>5476</v>
      </c>
      <c r="B11">
        <v>2.4</v>
      </c>
      <c r="C11" t="s">
        <v>3103</v>
      </c>
      <c r="D11" t="s">
        <v>5468</v>
      </c>
      <c r="E11" t="s">
        <v>108</v>
      </c>
    </row>
    <row r="12" spans="1:5">
      <c r="A12" t="s">
        <v>5477</v>
      </c>
      <c r="B12">
        <v>2.5</v>
      </c>
      <c r="C12" t="s">
        <v>3103</v>
      </c>
      <c r="D12" t="s">
        <v>5468</v>
      </c>
      <c r="E12" t="s">
        <v>108</v>
      </c>
    </row>
    <row r="13" spans="1:5">
      <c r="A13" t="s">
        <v>5478</v>
      </c>
      <c r="B13">
        <v>2.4</v>
      </c>
      <c r="C13" t="s">
        <v>3103</v>
      </c>
      <c r="D13" t="s">
        <v>5468</v>
      </c>
      <c r="E13" t="s">
        <v>108</v>
      </c>
    </row>
    <row r="14" spans="1:5">
      <c r="A14" t="s">
        <v>5479</v>
      </c>
      <c r="B14">
        <v>2.4</v>
      </c>
      <c r="C14" t="s">
        <v>3103</v>
      </c>
      <c r="D14" t="s">
        <v>5468</v>
      </c>
      <c r="E14" t="s">
        <v>108</v>
      </c>
    </row>
    <row r="15" spans="1:5">
      <c r="A15" t="s">
        <v>5480</v>
      </c>
      <c r="B15">
        <v>1.6</v>
      </c>
      <c r="C15" t="s">
        <v>2421</v>
      </c>
      <c r="D15" t="s">
        <v>5471</v>
      </c>
      <c r="E15" t="s">
        <v>108</v>
      </c>
    </row>
    <row r="16" spans="1:5">
      <c r="A16" t="s">
        <v>5481</v>
      </c>
      <c r="B16">
        <v>1.5</v>
      </c>
      <c r="C16" t="s">
        <v>2690</v>
      </c>
      <c r="D16" t="s">
        <v>5471</v>
      </c>
      <c r="E16" t="s">
        <v>108</v>
      </c>
    </row>
    <row r="17" spans="1:5">
      <c r="A17" t="s">
        <v>8150</v>
      </c>
      <c r="B17">
        <v>1.7</v>
      </c>
      <c r="C17" t="s">
        <v>108</v>
      </c>
      <c r="D17" t="s">
        <v>108</v>
      </c>
      <c r="E17" t="s">
        <v>108</v>
      </c>
    </row>
    <row r="18" spans="1:5">
      <c r="A18" t="s">
        <v>8151</v>
      </c>
      <c r="B18">
        <v>1.7</v>
      </c>
      <c r="C18" t="s">
        <v>108</v>
      </c>
      <c r="D18" t="s">
        <v>108</v>
      </c>
      <c r="E18" t="s">
        <v>108</v>
      </c>
    </row>
    <row r="19" spans="1:5">
      <c r="A19" t="s">
        <v>5482</v>
      </c>
      <c r="B19">
        <v>1.7</v>
      </c>
      <c r="C19" t="s">
        <v>2690</v>
      </c>
      <c r="D19" t="s">
        <v>5471</v>
      </c>
      <c r="E19" t="s">
        <v>108</v>
      </c>
    </row>
    <row r="20" spans="1:5">
      <c r="A20" t="s">
        <v>5483</v>
      </c>
      <c r="B20">
        <v>2.2999999999999998</v>
      </c>
      <c r="C20" t="s">
        <v>3103</v>
      </c>
      <c r="D20" t="s">
        <v>5468</v>
      </c>
      <c r="E20" t="s">
        <v>108</v>
      </c>
    </row>
    <row r="21" spans="1:5">
      <c r="A21" t="s">
        <v>5484</v>
      </c>
      <c r="B21">
        <v>2.2999999999999998</v>
      </c>
      <c r="C21" t="s">
        <v>3103</v>
      </c>
      <c r="D21" t="s">
        <v>5468</v>
      </c>
      <c r="E21" t="s">
        <v>108</v>
      </c>
    </row>
    <row r="22" spans="1:5">
      <c r="A22" t="s">
        <v>5485</v>
      </c>
      <c r="B22">
        <v>2.4</v>
      </c>
      <c r="C22" t="s">
        <v>3103</v>
      </c>
      <c r="D22" t="s">
        <v>5468</v>
      </c>
      <c r="E22" t="s">
        <v>108</v>
      </c>
    </row>
    <row r="23" spans="1:5">
      <c r="A23" t="s">
        <v>5486</v>
      </c>
      <c r="B23">
        <v>2.2999999999999998</v>
      </c>
      <c r="C23" t="s">
        <v>3103</v>
      </c>
      <c r="D23" t="s">
        <v>5468</v>
      </c>
      <c r="E23" t="s">
        <v>108</v>
      </c>
    </row>
    <row r="24" spans="1:5">
      <c r="A24" t="s">
        <v>5487</v>
      </c>
      <c r="B24">
        <v>1</v>
      </c>
      <c r="C24" t="s">
        <v>2570</v>
      </c>
      <c r="D24" t="s">
        <v>5468</v>
      </c>
      <c r="E24" t="s">
        <v>108</v>
      </c>
    </row>
    <row r="25" spans="1:5">
      <c r="A25" t="s">
        <v>5488</v>
      </c>
      <c r="B25">
        <v>2.4</v>
      </c>
      <c r="C25" t="s">
        <v>3103</v>
      </c>
      <c r="D25" t="s">
        <v>5468</v>
      </c>
      <c r="E25" t="s">
        <v>108</v>
      </c>
    </row>
    <row r="26" spans="1:5">
      <c r="A26" t="s">
        <v>5489</v>
      </c>
      <c r="B26">
        <v>2.5</v>
      </c>
      <c r="C26" t="s">
        <v>3103</v>
      </c>
      <c r="D26" t="s">
        <v>5468</v>
      </c>
      <c r="E26" t="s">
        <v>108</v>
      </c>
    </row>
    <row r="27" spans="1:5">
      <c r="A27" t="s">
        <v>5490</v>
      </c>
      <c r="B27">
        <v>2.5</v>
      </c>
      <c r="C27" t="s">
        <v>3103</v>
      </c>
      <c r="D27" t="s">
        <v>5468</v>
      </c>
      <c r="E27" t="s">
        <v>108</v>
      </c>
    </row>
    <row r="28" spans="1:5">
      <c r="A28" t="s">
        <v>5491</v>
      </c>
      <c r="B28">
        <v>2.1</v>
      </c>
      <c r="C28" t="s">
        <v>108</v>
      </c>
      <c r="D28" t="s">
        <v>5468</v>
      </c>
      <c r="E28" t="s">
        <v>108</v>
      </c>
    </row>
    <row r="29" spans="1:5">
      <c r="A29" t="s">
        <v>5492</v>
      </c>
      <c r="B29">
        <v>1.65</v>
      </c>
      <c r="C29" t="s">
        <v>108</v>
      </c>
      <c r="D29" t="s">
        <v>5468</v>
      </c>
      <c r="E29" t="s">
        <v>108</v>
      </c>
    </row>
    <row r="30" spans="1:5">
      <c r="A30" t="s">
        <v>5493</v>
      </c>
      <c r="B30">
        <v>1.6</v>
      </c>
      <c r="C30" t="s">
        <v>2395</v>
      </c>
      <c r="D30" t="s">
        <v>5494</v>
      </c>
      <c r="E30" t="s">
        <v>108</v>
      </c>
    </row>
    <row r="31" spans="1:5">
      <c r="A31" t="s">
        <v>5495</v>
      </c>
      <c r="B31">
        <v>1.54</v>
      </c>
      <c r="C31" t="s">
        <v>2421</v>
      </c>
      <c r="D31" t="s">
        <v>5471</v>
      </c>
      <c r="E31" t="s">
        <v>108</v>
      </c>
    </row>
    <row r="32" spans="1:5">
      <c r="A32" t="s">
        <v>5496</v>
      </c>
      <c r="B32">
        <v>2</v>
      </c>
      <c r="C32" t="s">
        <v>2395</v>
      </c>
      <c r="D32" t="s">
        <v>5494</v>
      </c>
      <c r="E32" t="s">
        <v>108</v>
      </c>
    </row>
    <row r="33" spans="1:5">
      <c r="A33" t="s">
        <v>5497</v>
      </c>
      <c r="B33">
        <v>1.6</v>
      </c>
      <c r="C33" t="s">
        <v>2395</v>
      </c>
      <c r="D33" t="s">
        <v>5494</v>
      </c>
      <c r="E33" t="s">
        <v>108</v>
      </c>
    </row>
    <row r="34" spans="1:5">
      <c r="A34" t="s">
        <v>5498</v>
      </c>
      <c r="B34">
        <v>1.9</v>
      </c>
      <c r="C34" t="s">
        <v>2470</v>
      </c>
      <c r="D34" t="s">
        <v>5468</v>
      </c>
      <c r="E34" t="s">
        <v>108</v>
      </c>
    </row>
    <row r="35" spans="1:5">
      <c r="A35" t="s">
        <v>5499</v>
      </c>
      <c r="B35">
        <v>2.2000000000000002</v>
      </c>
      <c r="C35" t="s">
        <v>2612</v>
      </c>
      <c r="D35" t="s">
        <v>5468</v>
      </c>
      <c r="E35" t="s">
        <v>108</v>
      </c>
    </row>
    <row r="36" spans="1:5">
      <c r="A36" t="s">
        <v>5500</v>
      </c>
      <c r="B36">
        <v>2.7</v>
      </c>
      <c r="C36" t="s">
        <v>2983</v>
      </c>
      <c r="D36" t="s">
        <v>5468</v>
      </c>
      <c r="E36" t="s">
        <v>108</v>
      </c>
    </row>
    <row r="37" spans="1:5">
      <c r="A37" t="s">
        <v>5501</v>
      </c>
      <c r="B37">
        <v>1.6</v>
      </c>
      <c r="C37" t="s">
        <v>2418</v>
      </c>
      <c r="D37" t="s">
        <v>5471</v>
      </c>
      <c r="E37" t="s">
        <v>108</v>
      </c>
    </row>
    <row r="38" spans="1:5">
      <c r="A38" t="s">
        <v>5502</v>
      </c>
      <c r="B38">
        <v>1.7</v>
      </c>
      <c r="C38" t="s">
        <v>2395</v>
      </c>
      <c r="D38" t="s">
        <v>5494</v>
      </c>
      <c r="E38" t="s">
        <v>108</v>
      </c>
    </row>
    <row r="39" spans="1:5">
      <c r="A39" t="s">
        <v>5503</v>
      </c>
      <c r="B39">
        <v>1.87</v>
      </c>
      <c r="C39" t="s">
        <v>3103</v>
      </c>
      <c r="D39" t="s">
        <v>5468</v>
      </c>
      <c r="E39" t="s">
        <v>108</v>
      </c>
    </row>
    <row r="40" spans="1:5">
      <c r="A40" t="s">
        <v>5504</v>
      </c>
      <c r="B40">
        <v>2.71</v>
      </c>
      <c r="C40" t="s">
        <v>2690</v>
      </c>
      <c r="D40" t="s">
        <v>5505</v>
      </c>
      <c r="E40" t="s">
        <v>108</v>
      </c>
    </row>
    <row r="41" spans="1:5">
      <c r="A41" t="s">
        <v>5506</v>
      </c>
      <c r="B41">
        <v>2</v>
      </c>
      <c r="C41" t="s">
        <v>2573</v>
      </c>
      <c r="D41" t="s">
        <v>5468</v>
      </c>
      <c r="E41" t="s">
        <v>108</v>
      </c>
    </row>
    <row r="42" spans="1:5">
      <c r="A42" t="s">
        <v>5507</v>
      </c>
      <c r="B42">
        <v>2.4</v>
      </c>
      <c r="C42" t="s">
        <v>3103</v>
      </c>
      <c r="D42" t="s">
        <v>5468</v>
      </c>
      <c r="E42" t="s">
        <v>108</v>
      </c>
    </row>
    <row r="43" spans="1:5">
      <c r="A43" t="s">
        <v>8152</v>
      </c>
      <c r="B43">
        <v>2.5</v>
      </c>
      <c r="C43" t="s">
        <v>108</v>
      </c>
      <c r="D43" t="s">
        <v>108</v>
      </c>
      <c r="E43" t="s">
        <v>108</v>
      </c>
    </row>
    <row r="44" spans="1:5">
      <c r="A44" t="s">
        <v>5508</v>
      </c>
      <c r="B44">
        <v>2.4</v>
      </c>
      <c r="C44" t="s">
        <v>3103</v>
      </c>
      <c r="D44" t="s">
        <v>5468</v>
      </c>
      <c r="E44" t="s">
        <v>108</v>
      </c>
    </row>
    <row r="45" spans="1:5">
      <c r="A45" t="s">
        <v>5509</v>
      </c>
      <c r="B45">
        <v>0.75</v>
      </c>
      <c r="C45" t="s">
        <v>2783</v>
      </c>
      <c r="D45" t="s">
        <v>5510</v>
      </c>
      <c r="E45" t="s">
        <v>108</v>
      </c>
    </row>
    <row r="46" spans="1:5">
      <c r="A46" t="s">
        <v>5511</v>
      </c>
      <c r="B46">
        <v>0.7</v>
      </c>
      <c r="C46" t="s">
        <v>108</v>
      </c>
      <c r="D46" t="s">
        <v>5512</v>
      </c>
      <c r="E46" t="s">
        <v>108</v>
      </c>
    </row>
    <row r="47" spans="1:5">
      <c r="A47" t="s">
        <v>5513</v>
      </c>
      <c r="B47">
        <v>0.9</v>
      </c>
      <c r="C47" t="s">
        <v>108</v>
      </c>
      <c r="D47" t="s">
        <v>5512</v>
      </c>
      <c r="E47" t="s">
        <v>108</v>
      </c>
    </row>
    <row r="48" spans="1:5">
      <c r="A48" t="s">
        <v>5514</v>
      </c>
      <c r="B48">
        <v>0.7</v>
      </c>
      <c r="C48" t="s">
        <v>3166</v>
      </c>
      <c r="D48" t="s">
        <v>5510</v>
      </c>
      <c r="E48" t="s">
        <v>108</v>
      </c>
    </row>
    <row r="49" spans="1:5">
      <c r="A49" t="s">
        <v>5515</v>
      </c>
      <c r="B49">
        <v>0.7</v>
      </c>
      <c r="C49" t="s">
        <v>108</v>
      </c>
      <c r="D49" t="s">
        <v>5510</v>
      </c>
      <c r="E49" t="s">
        <v>108</v>
      </c>
    </row>
    <row r="50" spans="1:5">
      <c r="A50" t="s">
        <v>5516</v>
      </c>
      <c r="B50">
        <v>0.8</v>
      </c>
      <c r="C50" t="s">
        <v>108</v>
      </c>
      <c r="D50" t="s">
        <v>5510</v>
      </c>
      <c r="E50" t="s">
        <v>108</v>
      </c>
    </row>
    <row r="51" spans="1:5">
      <c r="A51" t="s">
        <v>5517</v>
      </c>
      <c r="B51">
        <v>0.8</v>
      </c>
      <c r="C51" t="s">
        <v>108</v>
      </c>
      <c r="D51" t="s">
        <v>5512</v>
      </c>
      <c r="E51" t="s">
        <v>108</v>
      </c>
    </row>
    <row r="52" spans="1:5">
      <c r="A52" t="s">
        <v>5518</v>
      </c>
      <c r="B52">
        <v>0.75</v>
      </c>
      <c r="C52" t="s">
        <v>2783</v>
      </c>
      <c r="D52" t="s">
        <v>5510</v>
      </c>
      <c r="E52" t="s">
        <v>108</v>
      </c>
    </row>
    <row r="53" spans="1:5">
      <c r="A53" t="s">
        <v>5519</v>
      </c>
      <c r="B53">
        <v>2.7</v>
      </c>
      <c r="C53" t="s">
        <v>2604</v>
      </c>
      <c r="D53" t="s">
        <v>5468</v>
      </c>
      <c r="E53" t="s">
        <v>108</v>
      </c>
    </row>
    <row r="54" spans="1:5">
      <c r="A54" t="s">
        <v>5520</v>
      </c>
      <c r="B54">
        <v>2.4</v>
      </c>
      <c r="C54" t="s">
        <v>3103</v>
      </c>
      <c r="D54" t="s">
        <v>5468</v>
      </c>
      <c r="E54" t="s">
        <v>108</v>
      </c>
    </row>
    <row r="55" spans="1:5">
      <c r="A55" t="s">
        <v>5521</v>
      </c>
      <c r="B55">
        <v>1.6</v>
      </c>
      <c r="C55" t="s">
        <v>2690</v>
      </c>
      <c r="D55" t="s">
        <v>5471</v>
      </c>
      <c r="E55" t="s">
        <v>108</v>
      </c>
    </row>
    <row r="56" spans="1:5">
      <c r="A56" t="s">
        <v>5522</v>
      </c>
      <c r="B56">
        <v>2.1</v>
      </c>
      <c r="C56" t="s">
        <v>5523</v>
      </c>
      <c r="D56" t="s">
        <v>5524</v>
      </c>
      <c r="E56" t="s">
        <v>108</v>
      </c>
    </row>
    <row r="57" spans="1:5">
      <c r="A57" t="s">
        <v>5525</v>
      </c>
      <c r="B57">
        <v>2.1</v>
      </c>
      <c r="C57" t="s">
        <v>5526</v>
      </c>
      <c r="D57" t="s">
        <v>5524</v>
      </c>
      <c r="E57" t="s">
        <v>108</v>
      </c>
    </row>
    <row r="58" spans="1:5">
      <c r="A58" t="s">
        <v>5527</v>
      </c>
      <c r="B58">
        <v>2.1</v>
      </c>
      <c r="C58" t="s">
        <v>4501</v>
      </c>
      <c r="D58" t="s">
        <v>5524</v>
      </c>
      <c r="E58" t="s">
        <v>108</v>
      </c>
    </row>
    <row r="59" spans="1:5">
      <c r="A59" t="s">
        <v>5528</v>
      </c>
      <c r="B59">
        <v>2.1</v>
      </c>
      <c r="C59" t="s">
        <v>4501</v>
      </c>
      <c r="D59" t="s">
        <v>5524</v>
      </c>
      <c r="E59" t="s">
        <v>108</v>
      </c>
    </row>
    <row r="60" spans="1:5">
      <c r="A60" t="s">
        <v>5529</v>
      </c>
      <c r="B60">
        <v>2.1</v>
      </c>
      <c r="C60" t="s">
        <v>4388</v>
      </c>
      <c r="D60" t="s">
        <v>5524</v>
      </c>
      <c r="E60" t="s">
        <v>108</v>
      </c>
    </row>
    <row r="61" spans="1:5">
      <c r="A61" t="s">
        <v>5530</v>
      </c>
      <c r="B61">
        <v>2</v>
      </c>
      <c r="C61" t="s">
        <v>5523</v>
      </c>
      <c r="D61" t="s">
        <v>5524</v>
      </c>
      <c r="E61" t="s">
        <v>108</v>
      </c>
    </row>
    <row r="62" spans="1:5">
      <c r="A62" t="s">
        <v>5531</v>
      </c>
      <c r="B62">
        <v>2</v>
      </c>
      <c r="C62" t="s">
        <v>4501</v>
      </c>
      <c r="D62" t="s">
        <v>5524</v>
      </c>
      <c r="E62" t="s">
        <v>108</v>
      </c>
    </row>
    <row r="63" spans="1:5">
      <c r="A63" t="s">
        <v>5532</v>
      </c>
      <c r="B63">
        <v>1</v>
      </c>
      <c r="C63" t="s">
        <v>3103</v>
      </c>
      <c r="D63" t="s">
        <v>5524</v>
      </c>
      <c r="E63" t="s">
        <v>108</v>
      </c>
    </row>
    <row r="64" spans="1:5">
      <c r="A64" t="s">
        <v>5533</v>
      </c>
      <c r="B64">
        <v>2</v>
      </c>
      <c r="C64" t="s">
        <v>4388</v>
      </c>
      <c r="D64" t="s">
        <v>5524</v>
      </c>
      <c r="E64" t="s">
        <v>108</v>
      </c>
    </row>
    <row r="65" spans="1:5">
      <c r="A65" t="s">
        <v>5534</v>
      </c>
      <c r="B65">
        <v>2.1</v>
      </c>
      <c r="C65" t="s">
        <v>5535</v>
      </c>
      <c r="D65" t="s">
        <v>5524</v>
      </c>
      <c r="E65" t="s">
        <v>108</v>
      </c>
    </row>
    <row r="66" spans="1:5">
      <c r="A66" t="s">
        <v>5536</v>
      </c>
      <c r="B66">
        <v>2.1</v>
      </c>
      <c r="C66" t="s">
        <v>4388</v>
      </c>
      <c r="D66" t="s">
        <v>5524</v>
      </c>
      <c r="E66" t="s">
        <v>108</v>
      </c>
    </row>
    <row r="67" spans="1:5">
      <c r="A67" t="s">
        <v>5537</v>
      </c>
      <c r="B67">
        <v>2.1</v>
      </c>
      <c r="C67" t="s">
        <v>5538</v>
      </c>
      <c r="D67" t="s">
        <v>5524</v>
      </c>
      <c r="E67" t="s">
        <v>108</v>
      </c>
    </row>
    <row r="68" spans="1:5">
      <c r="A68" t="s">
        <v>5539</v>
      </c>
      <c r="B68">
        <v>2.1</v>
      </c>
      <c r="C68" t="s">
        <v>4501</v>
      </c>
      <c r="D68" t="s">
        <v>5524</v>
      </c>
      <c r="E68" t="s">
        <v>108</v>
      </c>
    </row>
    <row r="69" spans="1:5">
      <c r="A69" t="s">
        <v>5540</v>
      </c>
      <c r="B69">
        <v>2.1</v>
      </c>
      <c r="C69" t="s">
        <v>5541</v>
      </c>
      <c r="D69" t="s">
        <v>5524</v>
      </c>
      <c r="E69" t="s">
        <v>108</v>
      </c>
    </row>
    <row r="70" spans="1:5">
      <c r="A70" t="s">
        <v>5542</v>
      </c>
      <c r="B70">
        <v>1.9</v>
      </c>
      <c r="C70" t="s">
        <v>108</v>
      </c>
      <c r="D70" t="s">
        <v>5524</v>
      </c>
      <c r="E70" t="s">
        <v>108</v>
      </c>
    </row>
    <row r="71" spans="1:5">
      <c r="A71" t="s">
        <v>5543</v>
      </c>
      <c r="B71">
        <v>2.75</v>
      </c>
      <c r="C71" t="s">
        <v>4388</v>
      </c>
      <c r="D71" t="s">
        <v>5524</v>
      </c>
      <c r="E71" t="s">
        <v>108</v>
      </c>
    </row>
    <row r="72" spans="1:5">
      <c r="A72" t="s">
        <v>5544</v>
      </c>
      <c r="B72">
        <v>1.9</v>
      </c>
      <c r="C72" t="s">
        <v>2418</v>
      </c>
      <c r="D72" t="s">
        <v>5505</v>
      </c>
      <c r="E72" t="s">
        <v>108</v>
      </c>
    </row>
    <row r="73" spans="1:5">
      <c r="A73" t="s">
        <v>5545</v>
      </c>
      <c r="B73">
        <v>1.9</v>
      </c>
      <c r="C73" t="s">
        <v>2421</v>
      </c>
      <c r="D73" t="s">
        <v>5505</v>
      </c>
      <c r="E73" t="s">
        <v>108</v>
      </c>
    </row>
    <row r="74" spans="1:5">
      <c r="A74" t="s">
        <v>5546</v>
      </c>
      <c r="B74">
        <v>2.1</v>
      </c>
      <c r="C74" t="s">
        <v>2421</v>
      </c>
      <c r="D74" t="s">
        <v>5505</v>
      </c>
      <c r="E74" t="s">
        <v>108</v>
      </c>
    </row>
    <row r="75" spans="1:5">
      <c r="A75" t="s">
        <v>5547</v>
      </c>
      <c r="B75">
        <v>1.9</v>
      </c>
      <c r="C75" t="s">
        <v>2418</v>
      </c>
      <c r="D75" t="s">
        <v>5505</v>
      </c>
      <c r="E75" t="s">
        <v>108</v>
      </c>
    </row>
    <row r="76" spans="1:5">
      <c r="A76" t="s">
        <v>5548</v>
      </c>
      <c r="B76">
        <v>2.1</v>
      </c>
      <c r="C76" t="s">
        <v>108</v>
      </c>
      <c r="D76" t="s">
        <v>5505</v>
      </c>
      <c r="E76" t="s">
        <v>108</v>
      </c>
    </row>
    <row r="77" spans="1:5">
      <c r="A77" t="s">
        <v>5549</v>
      </c>
      <c r="B77">
        <v>2.1</v>
      </c>
      <c r="C77" t="s">
        <v>108</v>
      </c>
      <c r="D77" t="s">
        <v>5505</v>
      </c>
      <c r="E77" t="s">
        <v>108</v>
      </c>
    </row>
    <row r="78" spans="1:5">
      <c r="A78" t="s">
        <v>5550</v>
      </c>
      <c r="B78">
        <v>2.1</v>
      </c>
      <c r="C78" t="s">
        <v>2421</v>
      </c>
      <c r="D78" t="s">
        <v>5505</v>
      </c>
      <c r="E78" t="s">
        <v>108</v>
      </c>
    </row>
    <row r="79" spans="1:5">
      <c r="A79" t="s">
        <v>5551</v>
      </c>
      <c r="B79">
        <v>2.1</v>
      </c>
      <c r="C79" t="s">
        <v>2418</v>
      </c>
      <c r="D79" t="s">
        <v>5505</v>
      </c>
      <c r="E79" t="s">
        <v>108</v>
      </c>
    </row>
    <row r="80" spans="1:5">
      <c r="A80" t="s">
        <v>5552</v>
      </c>
      <c r="B80">
        <v>1.8</v>
      </c>
      <c r="C80" t="s">
        <v>2690</v>
      </c>
      <c r="D80" t="s">
        <v>5505</v>
      </c>
      <c r="E80" t="s">
        <v>108</v>
      </c>
    </row>
    <row r="81" spans="1:5">
      <c r="A81" t="s">
        <v>5553</v>
      </c>
      <c r="B81">
        <v>1.8</v>
      </c>
      <c r="C81" t="s">
        <v>2690</v>
      </c>
      <c r="D81" t="s">
        <v>5505</v>
      </c>
      <c r="E81" t="s">
        <v>108</v>
      </c>
    </row>
    <row r="82" spans="1:5">
      <c r="A82" t="s">
        <v>5554</v>
      </c>
      <c r="B82">
        <v>1.8</v>
      </c>
      <c r="C82" t="s">
        <v>2690</v>
      </c>
      <c r="D82" t="s">
        <v>5505</v>
      </c>
      <c r="E82" t="s">
        <v>108</v>
      </c>
    </row>
    <row r="83" spans="1:5">
      <c r="A83" t="s">
        <v>5555</v>
      </c>
      <c r="B83">
        <v>1.9</v>
      </c>
      <c r="C83" t="s">
        <v>2421</v>
      </c>
      <c r="D83" t="s">
        <v>5505</v>
      </c>
      <c r="E83" t="s">
        <v>108</v>
      </c>
    </row>
    <row r="84" spans="1:5">
      <c r="A84" t="s">
        <v>5556</v>
      </c>
      <c r="B84">
        <v>1.9</v>
      </c>
      <c r="C84" t="s">
        <v>2418</v>
      </c>
      <c r="D84" t="s">
        <v>5505</v>
      </c>
      <c r="E84" t="s">
        <v>108</v>
      </c>
    </row>
    <row r="85" spans="1:5">
      <c r="A85" t="s">
        <v>5557</v>
      </c>
      <c r="B85">
        <v>1.9</v>
      </c>
      <c r="C85" t="s">
        <v>2421</v>
      </c>
      <c r="D85" t="s">
        <v>5505</v>
      </c>
      <c r="E85" t="s">
        <v>108</v>
      </c>
    </row>
    <row r="86" spans="1:5">
      <c r="A86" t="s">
        <v>5558</v>
      </c>
      <c r="B86">
        <v>1.9</v>
      </c>
      <c r="C86" t="s">
        <v>2421</v>
      </c>
      <c r="D86" t="s">
        <v>5505</v>
      </c>
      <c r="E86" t="s">
        <v>108</v>
      </c>
    </row>
    <row r="87" spans="1:5">
      <c r="A87" t="s">
        <v>5559</v>
      </c>
      <c r="B87">
        <v>1.9</v>
      </c>
      <c r="C87" t="s">
        <v>2418</v>
      </c>
      <c r="D87" t="s">
        <v>5505</v>
      </c>
      <c r="E87" t="s">
        <v>108</v>
      </c>
    </row>
    <row r="88" spans="1:5">
      <c r="A88" t="s">
        <v>5560</v>
      </c>
      <c r="B88">
        <v>2.67</v>
      </c>
      <c r="C88" t="s">
        <v>2690</v>
      </c>
      <c r="D88" t="s">
        <v>5505</v>
      </c>
      <c r="E88" t="s">
        <v>108</v>
      </c>
    </row>
    <row r="89" spans="1:5">
      <c r="A89" t="s">
        <v>5561</v>
      </c>
      <c r="B89">
        <v>2.67</v>
      </c>
      <c r="C89" t="s">
        <v>2690</v>
      </c>
      <c r="D89" t="s">
        <v>5505</v>
      </c>
      <c r="E89" t="s">
        <v>108</v>
      </c>
    </row>
    <row r="90" spans="1:5">
      <c r="A90" t="s">
        <v>5562</v>
      </c>
      <c r="B90">
        <v>2.2000000000000002</v>
      </c>
      <c r="C90" t="s">
        <v>2418</v>
      </c>
      <c r="D90" t="s">
        <v>5505</v>
      </c>
      <c r="E90" t="s">
        <v>108</v>
      </c>
    </row>
    <row r="91" spans="1:5">
      <c r="A91" t="s">
        <v>5563</v>
      </c>
      <c r="B91">
        <v>1.8</v>
      </c>
      <c r="C91" t="s">
        <v>2690</v>
      </c>
      <c r="D91" t="s">
        <v>5505</v>
      </c>
      <c r="E91" t="s">
        <v>108</v>
      </c>
    </row>
    <row r="92" spans="1:5">
      <c r="A92" t="s">
        <v>5564</v>
      </c>
      <c r="B92">
        <v>1.8</v>
      </c>
      <c r="C92" t="s">
        <v>2690</v>
      </c>
      <c r="D92" t="s">
        <v>5505</v>
      </c>
      <c r="E92" t="s">
        <v>108</v>
      </c>
    </row>
    <row r="93" spans="1:5">
      <c r="A93" t="s">
        <v>5565</v>
      </c>
      <c r="B93">
        <v>1.8</v>
      </c>
      <c r="C93" t="s">
        <v>2690</v>
      </c>
      <c r="D93" t="s">
        <v>5505</v>
      </c>
      <c r="E93" t="s">
        <v>108</v>
      </c>
    </row>
    <row r="94" spans="1:5">
      <c r="A94" t="s">
        <v>5566</v>
      </c>
      <c r="B94">
        <v>1.9</v>
      </c>
      <c r="C94" t="s">
        <v>2418</v>
      </c>
      <c r="D94" t="s">
        <v>5505</v>
      </c>
      <c r="E94" t="s">
        <v>108</v>
      </c>
    </row>
    <row r="95" spans="1:5">
      <c r="A95" t="s">
        <v>5567</v>
      </c>
      <c r="B95">
        <v>1.9</v>
      </c>
      <c r="C95" t="s">
        <v>2421</v>
      </c>
      <c r="D95" t="s">
        <v>5505</v>
      </c>
      <c r="E95" t="s">
        <v>108</v>
      </c>
    </row>
    <row r="96" spans="1:5">
      <c r="A96" t="s">
        <v>5568</v>
      </c>
      <c r="B96">
        <v>1.9</v>
      </c>
      <c r="C96" t="s">
        <v>2421</v>
      </c>
      <c r="D96" t="s">
        <v>5505</v>
      </c>
      <c r="E96" t="s">
        <v>108</v>
      </c>
    </row>
    <row r="97" spans="1:5">
      <c r="A97" t="s">
        <v>5569</v>
      </c>
      <c r="B97">
        <v>1.9</v>
      </c>
      <c r="C97" t="s">
        <v>2421</v>
      </c>
      <c r="D97" t="s">
        <v>5505</v>
      </c>
      <c r="E97" t="s">
        <v>108</v>
      </c>
    </row>
    <row r="98" spans="1:5">
      <c r="A98" t="s">
        <v>5570</v>
      </c>
      <c r="B98">
        <v>1.9</v>
      </c>
      <c r="C98" t="s">
        <v>2690</v>
      </c>
      <c r="D98" t="s">
        <v>5505</v>
      </c>
      <c r="E98" t="s">
        <v>108</v>
      </c>
    </row>
    <row r="99" spans="1:5">
      <c r="A99" t="s">
        <v>5571</v>
      </c>
      <c r="B99">
        <v>2</v>
      </c>
      <c r="C99" t="s">
        <v>2690</v>
      </c>
      <c r="D99" t="s">
        <v>5505</v>
      </c>
      <c r="E99" t="s">
        <v>108</v>
      </c>
    </row>
    <row r="100" spans="1:5">
      <c r="A100" t="s">
        <v>5572</v>
      </c>
      <c r="B100">
        <v>2</v>
      </c>
      <c r="C100" t="s">
        <v>2421</v>
      </c>
      <c r="D100" t="s">
        <v>5505</v>
      </c>
      <c r="E100" t="s">
        <v>108</v>
      </c>
    </row>
    <row r="101" spans="1:5">
      <c r="A101" t="s">
        <v>5573</v>
      </c>
      <c r="B101">
        <v>2</v>
      </c>
      <c r="C101" t="s">
        <v>2418</v>
      </c>
      <c r="D101" t="s">
        <v>5505</v>
      </c>
      <c r="E101" t="s">
        <v>108</v>
      </c>
    </row>
    <row r="102" spans="1:5">
      <c r="A102" t="s">
        <v>5574</v>
      </c>
      <c r="B102">
        <v>2</v>
      </c>
      <c r="C102" t="s">
        <v>2421</v>
      </c>
      <c r="D102" t="s">
        <v>5505</v>
      </c>
      <c r="E102" t="s">
        <v>108</v>
      </c>
    </row>
    <row r="103" spans="1:5">
      <c r="A103" t="s">
        <v>5575</v>
      </c>
      <c r="B103">
        <v>2.2000000000000002</v>
      </c>
      <c r="C103" t="s">
        <v>2421</v>
      </c>
      <c r="D103" t="s">
        <v>5505</v>
      </c>
      <c r="E103" t="s">
        <v>108</v>
      </c>
    </row>
    <row r="104" spans="1:5">
      <c r="A104" t="s">
        <v>5576</v>
      </c>
      <c r="B104">
        <v>2.2000000000000002</v>
      </c>
      <c r="C104" t="s">
        <v>2418</v>
      </c>
      <c r="D104" t="s">
        <v>5505</v>
      </c>
      <c r="E104" t="s">
        <v>108</v>
      </c>
    </row>
    <row r="105" spans="1:5">
      <c r="A105" t="s">
        <v>5577</v>
      </c>
      <c r="B105">
        <v>2.2000000000000002</v>
      </c>
      <c r="C105" t="s">
        <v>2418</v>
      </c>
      <c r="D105" t="s">
        <v>5505</v>
      </c>
      <c r="E105" t="s">
        <v>108</v>
      </c>
    </row>
    <row r="106" spans="1:5">
      <c r="A106" t="s">
        <v>5578</v>
      </c>
      <c r="B106">
        <v>2.2000000000000002</v>
      </c>
      <c r="C106" t="s">
        <v>2421</v>
      </c>
      <c r="D106" t="s">
        <v>5505</v>
      </c>
      <c r="E106" t="s">
        <v>108</v>
      </c>
    </row>
    <row r="107" spans="1:5">
      <c r="A107" t="s">
        <v>5579</v>
      </c>
      <c r="B107">
        <v>1.6</v>
      </c>
      <c r="C107" t="s">
        <v>5580</v>
      </c>
      <c r="D107" t="s">
        <v>5581</v>
      </c>
      <c r="E107" t="s">
        <v>108</v>
      </c>
    </row>
    <row r="108" spans="1:5">
      <c r="A108" t="s">
        <v>5582</v>
      </c>
      <c r="B108">
        <v>1.6</v>
      </c>
      <c r="C108" t="s">
        <v>5580</v>
      </c>
      <c r="D108" t="s">
        <v>5581</v>
      </c>
      <c r="E108" t="s">
        <v>108</v>
      </c>
    </row>
    <row r="109" spans="1:5">
      <c r="A109" t="s">
        <v>5583</v>
      </c>
      <c r="B109">
        <v>2.6</v>
      </c>
      <c r="C109" t="s">
        <v>2418</v>
      </c>
      <c r="D109" t="s">
        <v>5584</v>
      </c>
      <c r="E109" t="s">
        <v>108</v>
      </c>
    </row>
    <row r="110" spans="1:5">
      <c r="A110" t="s">
        <v>5585</v>
      </c>
      <c r="B110">
        <v>2.6</v>
      </c>
      <c r="C110" t="s">
        <v>2421</v>
      </c>
      <c r="D110" t="s">
        <v>5584</v>
      </c>
      <c r="E110" t="s">
        <v>108</v>
      </c>
    </row>
    <row r="111" spans="1:5">
      <c r="A111" t="s">
        <v>5586</v>
      </c>
      <c r="B111">
        <v>2.6</v>
      </c>
      <c r="C111" t="s">
        <v>2421</v>
      </c>
      <c r="D111" t="s">
        <v>5584</v>
      </c>
      <c r="E111" t="s">
        <v>108</v>
      </c>
    </row>
    <row r="112" spans="1:5">
      <c r="A112" t="s">
        <v>5587</v>
      </c>
      <c r="B112">
        <v>2.4</v>
      </c>
      <c r="C112" t="s">
        <v>2690</v>
      </c>
      <c r="D112" t="s">
        <v>5584</v>
      </c>
      <c r="E112" t="s">
        <v>108</v>
      </c>
    </row>
    <row r="113" spans="1:5">
      <c r="A113" t="s">
        <v>5588</v>
      </c>
      <c r="B113">
        <v>2.7</v>
      </c>
      <c r="C113" t="s">
        <v>2418</v>
      </c>
      <c r="D113" t="s">
        <v>5584</v>
      </c>
      <c r="E113" t="s">
        <v>108</v>
      </c>
    </row>
    <row r="114" spans="1:5">
      <c r="A114" t="s">
        <v>5589</v>
      </c>
      <c r="B114">
        <v>2.1</v>
      </c>
      <c r="C114" t="s">
        <v>2690</v>
      </c>
      <c r="D114" t="s">
        <v>5584</v>
      </c>
      <c r="E114" t="s">
        <v>108</v>
      </c>
    </row>
    <row r="115" spans="1:5">
      <c r="A115" t="s">
        <v>5590</v>
      </c>
      <c r="B115">
        <v>2.1</v>
      </c>
      <c r="C115" t="s">
        <v>2690</v>
      </c>
      <c r="D115" t="s">
        <v>5584</v>
      </c>
      <c r="E115" t="s">
        <v>108</v>
      </c>
    </row>
    <row r="116" spans="1:5">
      <c r="A116" t="s">
        <v>5591</v>
      </c>
      <c r="B116">
        <v>2.1</v>
      </c>
      <c r="C116" t="s">
        <v>2690</v>
      </c>
      <c r="D116" t="s">
        <v>5584</v>
      </c>
      <c r="E116" t="s">
        <v>108</v>
      </c>
    </row>
    <row r="117" spans="1:5">
      <c r="A117" t="s">
        <v>5592</v>
      </c>
      <c r="B117">
        <v>2.6</v>
      </c>
      <c r="C117" t="s">
        <v>2421</v>
      </c>
      <c r="D117" t="s">
        <v>5584</v>
      </c>
      <c r="E117" t="s">
        <v>108</v>
      </c>
    </row>
    <row r="118" spans="1:5">
      <c r="A118" t="s">
        <v>5593</v>
      </c>
      <c r="B118">
        <v>2.6</v>
      </c>
      <c r="C118" t="s">
        <v>2418</v>
      </c>
      <c r="D118" t="s">
        <v>5584</v>
      </c>
      <c r="E118" t="s">
        <v>108</v>
      </c>
    </row>
    <row r="119" spans="1:5">
      <c r="A119" t="s">
        <v>5594</v>
      </c>
      <c r="B119">
        <v>2.5</v>
      </c>
      <c r="C119" t="s">
        <v>2418</v>
      </c>
      <c r="D119" t="s">
        <v>5584</v>
      </c>
      <c r="E119" t="s">
        <v>108</v>
      </c>
    </row>
    <row r="120" spans="1:5">
      <c r="A120" t="s">
        <v>5595</v>
      </c>
      <c r="B120">
        <v>2</v>
      </c>
      <c r="C120" t="s">
        <v>2421</v>
      </c>
      <c r="D120" t="s">
        <v>5584</v>
      </c>
      <c r="E120" t="s">
        <v>108</v>
      </c>
    </row>
    <row r="121" spans="1:5">
      <c r="A121" t="s">
        <v>5596</v>
      </c>
      <c r="B121">
        <v>2.6</v>
      </c>
      <c r="C121" t="s">
        <v>2421</v>
      </c>
      <c r="D121" t="s">
        <v>5584</v>
      </c>
      <c r="E121" t="s">
        <v>108</v>
      </c>
    </row>
    <row r="122" spans="1:5">
      <c r="A122" t="s">
        <v>5597</v>
      </c>
      <c r="B122">
        <v>2.6</v>
      </c>
      <c r="C122" t="s">
        <v>2421</v>
      </c>
      <c r="D122" t="s">
        <v>5584</v>
      </c>
      <c r="E122" t="s">
        <v>108</v>
      </c>
    </row>
    <row r="123" spans="1:5">
      <c r="A123" t="s">
        <v>5598</v>
      </c>
      <c r="B123">
        <v>2.6</v>
      </c>
      <c r="C123" t="s">
        <v>2418</v>
      </c>
      <c r="D123" t="s">
        <v>5584</v>
      </c>
      <c r="E123" t="s">
        <v>108</v>
      </c>
    </row>
    <row r="124" spans="1:5">
      <c r="A124" t="s">
        <v>5599</v>
      </c>
      <c r="B124">
        <v>2.6</v>
      </c>
      <c r="C124" t="s">
        <v>2421</v>
      </c>
      <c r="D124" t="s">
        <v>5584</v>
      </c>
      <c r="E124" t="s">
        <v>108</v>
      </c>
    </row>
    <row r="125" spans="1:5">
      <c r="A125" t="s">
        <v>5600</v>
      </c>
      <c r="B125">
        <v>2.6</v>
      </c>
      <c r="C125" t="s">
        <v>2418</v>
      </c>
      <c r="D125" t="s">
        <v>5584</v>
      </c>
      <c r="E125" t="s">
        <v>108</v>
      </c>
    </row>
    <row r="126" spans="1:5">
      <c r="A126" t="s">
        <v>5601</v>
      </c>
      <c r="B126">
        <v>2.6</v>
      </c>
      <c r="C126" t="s">
        <v>108</v>
      </c>
      <c r="D126" t="s">
        <v>5584</v>
      </c>
      <c r="E126" t="s">
        <v>108</v>
      </c>
    </row>
    <row r="127" spans="1:5">
      <c r="A127" t="s">
        <v>5602</v>
      </c>
      <c r="B127">
        <v>2.6</v>
      </c>
      <c r="C127" t="s">
        <v>2418</v>
      </c>
      <c r="D127" t="s">
        <v>5584</v>
      </c>
      <c r="E127" t="s">
        <v>108</v>
      </c>
    </row>
    <row r="128" spans="1:5">
      <c r="A128" t="s">
        <v>5603</v>
      </c>
      <c r="B128">
        <v>2.6</v>
      </c>
      <c r="C128" t="s">
        <v>2421</v>
      </c>
      <c r="D128" t="s">
        <v>5584</v>
      </c>
      <c r="E128" t="s">
        <v>108</v>
      </c>
    </row>
    <row r="129" spans="1:5">
      <c r="A129" t="s">
        <v>5604</v>
      </c>
      <c r="B129">
        <v>2.6</v>
      </c>
      <c r="C129" t="s">
        <v>2418</v>
      </c>
      <c r="D129" t="s">
        <v>5584</v>
      </c>
      <c r="E129" t="s">
        <v>108</v>
      </c>
    </row>
    <row r="130" spans="1:5">
      <c r="A130" t="s">
        <v>5605</v>
      </c>
      <c r="B130">
        <v>2.1</v>
      </c>
      <c r="C130" t="s">
        <v>2690</v>
      </c>
      <c r="D130" t="s">
        <v>5606</v>
      </c>
      <c r="E130" t="s">
        <v>108</v>
      </c>
    </row>
    <row r="131" spans="1:5">
      <c r="A131" t="s">
        <v>5607</v>
      </c>
      <c r="B131">
        <v>2.5</v>
      </c>
      <c r="C131" t="s">
        <v>2690</v>
      </c>
      <c r="D131" t="s">
        <v>5584</v>
      </c>
      <c r="E131" t="s">
        <v>108</v>
      </c>
    </row>
    <row r="132" spans="1:5">
      <c r="A132" t="s">
        <v>5608</v>
      </c>
      <c r="B132">
        <v>2.2000000000000002</v>
      </c>
      <c r="C132" t="s">
        <v>2418</v>
      </c>
      <c r="D132" t="s">
        <v>5584</v>
      </c>
      <c r="E132" t="s">
        <v>108</v>
      </c>
    </row>
    <row r="133" spans="1:5">
      <c r="A133" t="s">
        <v>5609</v>
      </c>
      <c r="B133">
        <v>2.5</v>
      </c>
      <c r="C133" t="s">
        <v>2690</v>
      </c>
      <c r="D133" t="s">
        <v>5584</v>
      </c>
      <c r="E133" t="s">
        <v>108</v>
      </c>
    </row>
    <row r="134" spans="1:5">
      <c r="A134" t="s">
        <v>5610</v>
      </c>
      <c r="B134">
        <v>2.2000000000000002</v>
      </c>
      <c r="C134" t="s">
        <v>2421</v>
      </c>
      <c r="D134" t="s">
        <v>5584</v>
      </c>
      <c r="E134" t="s">
        <v>108</v>
      </c>
    </row>
    <row r="135" spans="1:5">
      <c r="A135" t="s">
        <v>5611</v>
      </c>
      <c r="B135">
        <v>2.6</v>
      </c>
      <c r="C135" t="s">
        <v>2418</v>
      </c>
      <c r="D135" t="s">
        <v>5584</v>
      </c>
      <c r="E135" t="s">
        <v>108</v>
      </c>
    </row>
    <row r="136" spans="1:5">
      <c r="A136" t="s">
        <v>5612</v>
      </c>
      <c r="B136">
        <v>2.2000000000000002</v>
      </c>
      <c r="C136" t="s">
        <v>2418</v>
      </c>
      <c r="D136" t="s">
        <v>5584</v>
      </c>
      <c r="E136" t="s">
        <v>108</v>
      </c>
    </row>
    <row r="137" spans="1:5">
      <c r="A137" t="s">
        <v>5613</v>
      </c>
      <c r="B137">
        <v>2.6</v>
      </c>
      <c r="C137" t="s">
        <v>2418</v>
      </c>
      <c r="D137" t="s">
        <v>5584</v>
      </c>
      <c r="E137" t="s">
        <v>108</v>
      </c>
    </row>
    <row r="138" spans="1:5">
      <c r="A138" t="s">
        <v>5614</v>
      </c>
      <c r="B138">
        <v>2.4</v>
      </c>
      <c r="C138" t="s">
        <v>2421</v>
      </c>
      <c r="D138" t="s">
        <v>5584</v>
      </c>
      <c r="E138" t="s">
        <v>108</v>
      </c>
    </row>
    <row r="139" spans="1:5">
      <c r="A139" t="s">
        <v>5615</v>
      </c>
      <c r="B139">
        <v>2.6</v>
      </c>
      <c r="C139" t="s">
        <v>2418</v>
      </c>
      <c r="D139" t="s">
        <v>5584</v>
      </c>
      <c r="E139" t="s">
        <v>108</v>
      </c>
    </row>
    <row r="140" spans="1:5">
      <c r="A140" t="s">
        <v>5616</v>
      </c>
      <c r="B140">
        <v>2.7</v>
      </c>
      <c r="C140" t="s">
        <v>5617</v>
      </c>
      <c r="D140" t="s">
        <v>5618</v>
      </c>
      <c r="E140" t="s">
        <v>108</v>
      </c>
    </row>
    <row r="141" spans="1:5">
      <c r="A141" t="s">
        <v>5619</v>
      </c>
      <c r="B141">
        <v>2.7</v>
      </c>
      <c r="C141" t="s">
        <v>5620</v>
      </c>
      <c r="D141" t="s">
        <v>5618</v>
      </c>
      <c r="E141" t="s">
        <v>108</v>
      </c>
    </row>
    <row r="142" spans="1:5">
      <c r="A142" t="s">
        <v>8153</v>
      </c>
      <c r="B142">
        <v>2.9</v>
      </c>
      <c r="C142" t="s">
        <v>108</v>
      </c>
      <c r="D142" t="s">
        <v>108</v>
      </c>
      <c r="E142" t="s">
        <v>108</v>
      </c>
    </row>
    <row r="143" spans="1:5">
      <c r="A143" t="s">
        <v>5621</v>
      </c>
      <c r="B143">
        <v>2.7</v>
      </c>
      <c r="C143" t="s">
        <v>5617</v>
      </c>
      <c r="D143" t="s">
        <v>5618</v>
      </c>
      <c r="E143" t="s">
        <v>108</v>
      </c>
    </row>
    <row r="144" spans="1:5">
      <c r="A144" t="s">
        <v>5622</v>
      </c>
      <c r="B144">
        <v>2.7</v>
      </c>
      <c r="C144" t="s">
        <v>5617</v>
      </c>
      <c r="D144" t="s">
        <v>5618</v>
      </c>
      <c r="E144" t="s">
        <v>108</v>
      </c>
    </row>
    <row r="145" spans="1:5">
      <c r="A145" t="s">
        <v>5623</v>
      </c>
      <c r="B145">
        <v>2.7</v>
      </c>
      <c r="C145" t="s">
        <v>5617</v>
      </c>
      <c r="D145" t="s">
        <v>5618</v>
      </c>
      <c r="E145" t="s">
        <v>108</v>
      </c>
    </row>
    <row r="146" spans="1:5">
      <c r="A146" t="s">
        <v>5624</v>
      </c>
      <c r="B146">
        <v>1.88</v>
      </c>
      <c r="C146" t="s">
        <v>2421</v>
      </c>
      <c r="D146" t="s">
        <v>5584</v>
      </c>
      <c r="E146" t="s">
        <v>108</v>
      </c>
    </row>
    <row r="147" spans="1:5">
      <c r="A147" t="s">
        <v>5625</v>
      </c>
      <c r="B147">
        <v>2.7</v>
      </c>
      <c r="C147" t="s">
        <v>5617</v>
      </c>
      <c r="D147" t="s">
        <v>5618</v>
      </c>
      <c r="E147" t="s">
        <v>108</v>
      </c>
    </row>
    <row r="148" spans="1:5">
      <c r="A148" t="s">
        <v>5626</v>
      </c>
      <c r="B148">
        <v>2.7</v>
      </c>
      <c r="C148" t="s">
        <v>5620</v>
      </c>
      <c r="D148" t="s">
        <v>5618</v>
      </c>
      <c r="E148" t="s">
        <v>108</v>
      </c>
    </row>
    <row r="149" spans="1:5">
      <c r="A149" t="s">
        <v>8154</v>
      </c>
      <c r="B149">
        <v>2.9</v>
      </c>
      <c r="C149" t="s">
        <v>108</v>
      </c>
      <c r="D149" t="s">
        <v>108</v>
      </c>
      <c r="E149" t="s">
        <v>108</v>
      </c>
    </row>
    <row r="150" spans="1:5">
      <c r="A150" t="s">
        <v>5627</v>
      </c>
      <c r="B150">
        <v>2.7</v>
      </c>
      <c r="C150" t="s">
        <v>5620</v>
      </c>
      <c r="D150" t="s">
        <v>5618</v>
      </c>
      <c r="E150" t="s">
        <v>108</v>
      </c>
    </row>
    <row r="151" spans="1:5">
      <c r="A151" t="s">
        <v>5628</v>
      </c>
      <c r="B151">
        <v>2.8</v>
      </c>
      <c r="C151" t="s">
        <v>5617</v>
      </c>
      <c r="D151" t="s">
        <v>5618</v>
      </c>
      <c r="E151" t="s">
        <v>108</v>
      </c>
    </row>
    <row r="152" spans="1:5">
      <c r="A152" t="s">
        <v>5629</v>
      </c>
      <c r="B152">
        <v>1.84</v>
      </c>
      <c r="C152" t="s">
        <v>2418</v>
      </c>
      <c r="D152" t="s">
        <v>5584</v>
      </c>
      <c r="E152" t="s">
        <v>108</v>
      </c>
    </row>
    <row r="153" spans="1:5">
      <c r="A153" t="s">
        <v>5630</v>
      </c>
      <c r="B153">
        <v>2.2000000000000002</v>
      </c>
      <c r="C153" t="s">
        <v>2464</v>
      </c>
      <c r="D153" t="s">
        <v>5631</v>
      </c>
      <c r="E153" t="s">
        <v>108</v>
      </c>
    </row>
    <row r="154" spans="1:5">
      <c r="A154" t="s">
        <v>5632</v>
      </c>
      <c r="B154">
        <v>2.1</v>
      </c>
      <c r="C154" t="s">
        <v>2636</v>
      </c>
      <c r="D154" t="s">
        <v>5631</v>
      </c>
      <c r="E154" t="s">
        <v>108</v>
      </c>
    </row>
    <row r="155" spans="1:5">
      <c r="A155" t="s">
        <v>5633</v>
      </c>
      <c r="B155">
        <v>2.1</v>
      </c>
      <c r="C155" t="s">
        <v>2576</v>
      </c>
      <c r="D155" t="s">
        <v>5631</v>
      </c>
      <c r="E155" t="s">
        <v>108</v>
      </c>
    </row>
    <row r="156" spans="1:5">
      <c r="A156" t="s">
        <v>5634</v>
      </c>
      <c r="B156">
        <v>2.1</v>
      </c>
      <c r="C156" t="s">
        <v>2478</v>
      </c>
      <c r="D156" t="s">
        <v>5631</v>
      </c>
      <c r="E156" t="s">
        <v>108</v>
      </c>
    </row>
    <row r="157" spans="1:5">
      <c r="A157" t="s">
        <v>5635</v>
      </c>
      <c r="B157">
        <v>2.1</v>
      </c>
      <c r="C157" t="s">
        <v>108</v>
      </c>
      <c r="D157" t="s">
        <v>5631</v>
      </c>
      <c r="E157" t="s">
        <v>108</v>
      </c>
    </row>
    <row r="158" spans="1:5">
      <c r="A158" t="s">
        <v>5636</v>
      </c>
      <c r="B158">
        <v>1.9</v>
      </c>
      <c r="C158" t="s">
        <v>2632</v>
      </c>
      <c r="D158" t="s">
        <v>5631</v>
      </c>
      <c r="E158" t="s">
        <v>108</v>
      </c>
    </row>
    <row r="159" spans="1:5">
      <c r="A159" t="s">
        <v>5637</v>
      </c>
      <c r="B159">
        <v>1.9</v>
      </c>
      <c r="C159" t="s">
        <v>3039</v>
      </c>
      <c r="D159" t="s">
        <v>5631</v>
      </c>
      <c r="E159" t="s">
        <v>108</v>
      </c>
    </row>
    <row r="160" spans="1:5">
      <c r="A160" t="s">
        <v>5638</v>
      </c>
      <c r="B160">
        <v>2.2000000000000002</v>
      </c>
      <c r="C160" t="s">
        <v>108</v>
      </c>
      <c r="D160" t="s">
        <v>5631</v>
      </c>
      <c r="E160" t="s">
        <v>108</v>
      </c>
    </row>
    <row r="161" spans="1:5">
      <c r="A161" t="s">
        <v>5639</v>
      </c>
      <c r="B161">
        <v>2.2000000000000002</v>
      </c>
      <c r="C161" t="s">
        <v>108</v>
      </c>
      <c r="D161" t="s">
        <v>5631</v>
      </c>
      <c r="E161" t="s">
        <v>108</v>
      </c>
    </row>
    <row r="162" spans="1:5">
      <c r="A162" t="s">
        <v>5640</v>
      </c>
      <c r="B162">
        <v>1.75</v>
      </c>
      <c r="C162" t="s">
        <v>3083</v>
      </c>
      <c r="D162" t="s">
        <v>5631</v>
      </c>
      <c r="E162" t="s">
        <v>108</v>
      </c>
    </row>
    <row r="163" spans="1:5">
      <c r="A163" t="s">
        <v>5641</v>
      </c>
      <c r="B163">
        <v>1.71</v>
      </c>
      <c r="C163" t="s">
        <v>3087</v>
      </c>
      <c r="D163" t="s">
        <v>5631</v>
      </c>
      <c r="E163" t="s">
        <v>108</v>
      </c>
    </row>
    <row r="164" spans="1:5">
      <c r="A164" t="s">
        <v>5642</v>
      </c>
      <c r="B164">
        <v>1.66</v>
      </c>
      <c r="C164" t="s">
        <v>5643</v>
      </c>
      <c r="D164" t="s">
        <v>5631</v>
      </c>
      <c r="E164" t="s">
        <v>108</v>
      </c>
    </row>
    <row r="165" spans="1:5">
      <c r="A165" t="s">
        <v>5644</v>
      </c>
      <c r="B165">
        <v>1.54</v>
      </c>
      <c r="C165" t="s">
        <v>5645</v>
      </c>
      <c r="D165" t="s">
        <v>5631</v>
      </c>
      <c r="E165" t="s">
        <v>108</v>
      </c>
    </row>
    <row r="166" spans="1:5">
      <c r="A166" t="s">
        <v>5646</v>
      </c>
      <c r="B166">
        <v>1.65</v>
      </c>
      <c r="C166" t="s">
        <v>3407</v>
      </c>
      <c r="D166" t="s">
        <v>5631</v>
      </c>
      <c r="E166" t="s">
        <v>108</v>
      </c>
    </row>
    <row r="167" spans="1:5">
      <c r="A167" t="s">
        <v>5647</v>
      </c>
      <c r="B167">
        <v>1.9</v>
      </c>
      <c r="C167" t="s">
        <v>2478</v>
      </c>
      <c r="D167" t="s">
        <v>5631</v>
      </c>
      <c r="E167" t="s">
        <v>108</v>
      </c>
    </row>
    <row r="168" spans="1:5">
      <c r="A168" t="s">
        <v>5648</v>
      </c>
      <c r="B168">
        <v>2.1</v>
      </c>
      <c r="C168" t="s">
        <v>3022</v>
      </c>
      <c r="D168" t="s">
        <v>5631</v>
      </c>
      <c r="E168" t="s">
        <v>108</v>
      </c>
    </row>
    <row r="169" spans="1:5">
      <c r="A169" t="s">
        <v>5649</v>
      </c>
      <c r="B169">
        <v>2.1</v>
      </c>
      <c r="C169" t="s">
        <v>5650</v>
      </c>
      <c r="D169" t="s">
        <v>5631</v>
      </c>
      <c r="E169" t="s">
        <v>108</v>
      </c>
    </row>
    <row r="170" spans="1:5">
      <c r="A170" t="s">
        <v>5651</v>
      </c>
      <c r="B170">
        <v>2.1</v>
      </c>
      <c r="C170" t="s">
        <v>5652</v>
      </c>
      <c r="D170" t="s">
        <v>5631</v>
      </c>
      <c r="E170" t="s">
        <v>108</v>
      </c>
    </row>
    <row r="171" spans="1:5">
      <c r="A171" t="s">
        <v>5653</v>
      </c>
      <c r="B171">
        <v>2.1</v>
      </c>
      <c r="C171" t="s">
        <v>2634</v>
      </c>
      <c r="D171" t="s">
        <v>5631</v>
      </c>
      <c r="E171" t="s">
        <v>108</v>
      </c>
    </row>
    <row r="172" spans="1:5">
      <c r="A172" t="s">
        <v>5654</v>
      </c>
      <c r="B172">
        <v>2.1</v>
      </c>
      <c r="C172" t="s">
        <v>2455</v>
      </c>
      <c r="D172" t="s">
        <v>5631</v>
      </c>
      <c r="E172" t="s">
        <v>108</v>
      </c>
    </row>
    <row r="173" spans="1:5">
      <c r="A173" t="s">
        <v>5655</v>
      </c>
      <c r="B173">
        <v>2.1</v>
      </c>
      <c r="C173" t="s">
        <v>2612</v>
      </c>
      <c r="D173" t="s">
        <v>5631</v>
      </c>
      <c r="E173" t="s">
        <v>108</v>
      </c>
    </row>
    <row r="174" spans="1:5">
      <c r="A174" t="s">
        <v>5656</v>
      </c>
      <c r="B174">
        <v>2.1</v>
      </c>
      <c r="C174" t="s">
        <v>108</v>
      </c>
      <c r="D174" t="s">
        <v>5631</v>
      </c>
      <c r="E174" t="s">
        <v>108</v>
      </c>
    </row>
    <row r="175" spans="1:5">
      <c r="A175" t="s">
        <v>5657</v>
      </c>
      <c r="B175">
        <v>2.1</v>
      </c>
      <c r="C175" t="s">
        <v>108</v>
      </c>
      <c r="D175" t="s">
        <v>5631</v>
      </c>
      <c r="E175" t="s">
        <v>108</v>
      </c>
    </row>
    <row r="176" spans="1:5">
      <c r="A176" t="s">
        <v>5658</v>
      </c>
      <c r="B176">
        <v>2.1</v>
      </c>
      <c r="C176" t="s">
        <v>108</v>
      </c>
      <c r="D176" t="s">
        <v>5631</v>
      </c>
      <c r="E176" t="s">
        <v>108</v>
      </c>
    </row>
    <row r="177" spans="1:5">
      <c r="A177" t="s">
        <v>5659</v>
      </c>
      <c r="B177">
        <v>2.1</v>
      </c>
      <c r="C177" t="s">
        <v>2632</v>
      </c>
      <c r="D177" t="s">
        <v>5631</v>
      </c>
      <c r="E177" t="s">
        <v>108</v>
      </c>
    </row>
    <row r="178" spans="1:5">
      <c r="A178" t="s">
        <v>5660</v>
      </c>
      <c r="B178">
        <v>2.1</v>
      </c>
      <c r="C178" t="s">
        <v>108</v>
      </c>
      <c r="D178" t="s">
        <v>5631</v>
      </c>
      <c r="E178" t="s">
        <v>108</v>
      </c>
    </row>
    <row r="179" spans="1:5">
      <c r="A179" t="s">
        <v>5661</v>
      </c>
      <c r="B179">
        <v>2.1</v>
      </c>
      <c r="C179" t="s">
        <v>108</v>
      </c>
      <c r="D179" t="s">
        <v>5631</v>
      </c>
      <c r="E179" t="s">
        <v>108</v>
      </c>
    </row>
    <row r="180" spans="1:5">
      <c r="A180" t="s">
        <v>5662</v>
      </c>
      <c r="B180">
        <v>2.1</v>
      </c>
      <c r="C180" t="s">
        <v>108</v>
      </c>
      <c r="D180" t="s">
        <v>5631</v>
      </c>
      <c r="E180" t="s">
        <v>108</v>
      </c>
    </row>
    <row r="181" spans="1:5">
      <c r="A181" t="s">
        <v>5663</v>
      </c>
      <c r="B181">
        <v>2.1</v>
      </c>
      <c r="C181" t="s">
        <v>108</v>
      </c>
      <c r="D181" t="s">
        <v>5631</v>
      </c>
      <c r="E181" t="s">
        <v>108</v>
      </c>
    </row>
    <row r="182" spans="1:5">
      <c r="A182" t="s">
        <v>5664</v>
      </c>
      <c r="B182">
        <v>2.1</v>
      </c>
      <c r="C182" t="s">
        <v>5665</v>
      </c>
      <c r="D182" t="s">
        <v>5631</v>
      </c>
      <c r="E182" t="s">
        <v>108</v>
      </c>
    </row>
    <row r="183" spans="1:5">
      <c r="A183" t="s">
        <v>5666</v>
      </c>
      <c r="B183">
        <v>1.9</v>
      </c>
      <c r="C183" t="s">
        <v>2464</v>
      </c>
      <c r="D183" t="s">
        <v>5631</v>
      </c>
      <c r="E183" t="s">
        <v>108</v>
      </c>
    </row>
    <row r="184" spans="1:5">
      <c r="A184" t="s">
        <v>5667</v>
      </c>
      <c r="B184">
        <v>2.1</v>
      </c>
      <c r="C184" t="s">
        <v>2636</v>
      </c>
      <c r="D184" t="s">
        <v>5631</v>
      </c>
      <c r="E184" t="s">
        <v>108</v>
      </c>
    </row>
    <row r="185" spans="1:5">
      <c r="A185" t="s">
        <v>5668</v>
      </c>
      <c r="B185">
        <v>2.1</v>
      </c>
      <c r="C185" t="s">
        <v>2599</v>
      </c>
      <c r="D185" t="s">
        <v>5631</v>
      </c>
      <c r="E185" t="s">
        <v>108</v>
      </c>
    </row>
    <row r="186" spans="1:5">
      <c r="A186" t="s">
        <v>5669</v>
      </c>
      <c r="B186">
        <v>2.1</v>
      </c>
      <c r="C186" t="s">
        <v>2464</v>
      </c>
      <c r="D186" t="s">
        <v>5631</v>
      </c>
      <c r="E186" t="s">
        <v>108</v>
      </c>
    </row>
    <row r="187" spans="1:5">
      <c r="A187" t="s">
        <v>5670</v>
      </c>
      <c r="B187">
        <v>1.9</v>
      </c>
      <c r="C187" t="s">
        <v>108</v>
      </c>
      <c r="D187" t="s">
        <v>5631</v>
      </c>
      <c r="E187" t="s">
        <v>108</v>
      </c>
    </row>
    <row r="188" spans="1:5">
      <c r="A188" t="s">
        <v>5671</v>
      </c>
      <c r="B188">
        <v>1.9</v>
      </c>
      <c r="C188" t="s">
        <v>108</v>
      </c>
      <c r="D188" t="s">
        <v>5631</v>
      </c>
      <c r="E188" t="s">
        <v>108</v>
      </c>
    </row>
    <row r="189" spans="1:5">
      <c r="A189" t="s">
        <v>5672</v>
      </c>
      <c r="B189">
        <v>2.1</v>
      </c>
      <c r="C189" t="s">
        <v>2985</v>
      </c>
      <c r="D189" t="s">
        <v>5631</v>
      </c>
      <c r="E189" t="s">
        <v>108</v>
      </c>
    </row>
    <row r="190" spans="1:5">
      <c r="A190" t="s">
        <v>5673</v>
      </c>
      <c r="B190">
        <v>2.1</v>
      </c>
      <c r="C190" t="s">
        <v>2421</v>
      </c>
      <c r="D190" t="s">
        <v>5631</v>
      </c>
      <c r="E190" t="s">
        <v>108</v>
      </c>
    </row>
    <row r="191" spans="1:5">
      <c r="A191" t="s">
        <v>5674</v>
      </c>
      <c r="B191">
        <v>2.1</v>
      </c>
      <c r="C191" t="s">
        <v>2455</v>
      </c>
      <c r="D191" t="s">
        <v>5631</v>
      </c>
      <c r="E191" t="s">
        <v>108</v>
      </c>
    </row>
    <row r="192" spans="1:5">
      <c r="A192" t="s">
        <v>5675</v>
      </c>
      <c r="B192">
        <v>2.1</v>
      </c>
      <c r="C192" t="s">
        <v>5676</v>
      </c>
      <c r="D192" t="s">
        <v>5631</v>
      </c>
      <c r="E192" t="s">
        <v>108</v>
      </c>
    </row>
    <row r="193" spans="1:5">
      <c r="A193" t="s">
        <v>5677</v>
      </c>
      <c r="B193">
        <v>2.1</v>
      </c>
      <c r="C193" t="s">
        <v>2395</v>
      </c>
      <c r="D193" t="s">
        <v>5631</v>
      </c>
      <c r="E193" t="s">
        <v>108</v>
      </c>
    </row>
    <row r="194" spans="1:5">
      <c r="A194" t="s">
        <v>5678</v>
      </c>
      <c r="B194">
        <v>2.1</v>
      </c>
      <c r="C194" t="s">
        <v>2392</v>
      </c>
      <c r="D194" t="s">
        <v>5631</v>
      </c>
      <c r="E194" t="s">
        <v>108</v>
      </c>
    </row>
    <row r="195" spans="1:5">
      <c r="A195" t="s">
        <v>5679</v>
      </c>
      <c r="B195">
        <v>2.1</v>
      </c>
      <c r="C195" t="s">
        <v>2620</v>
      </c>
      <c r="D195" t="s">
        <v>5631</v>
      </c>
      <c r="E195" t="s">
        <v>108</v>
      </c>
    </row>
    <row r="196" spans="1:5">
      <c r="A196" t="s">
        <v>5680</v>
      </c>
      <c r="B196">
        <v>2.1</v>
      </c>
      <c r="C196" t="s">
        <v>2418</v>
      </c>
      <c r="D196" t="s">
        <v>5631</v>
      </c>
      <c r="E196" t="s">
        <v>108</v>
      </c>
    </row>
    <row r="197" spans="1:5">
      <c r="A197" t="s">
        <v>5681</v>
      </c>
      <c r="B197">
        <v>2</v>
      </c>
      <c r="C197" t="s">
        <v>5682</v>
      </c>
      <c r="D197" t="s">
        <v>5631</v>
      </c>
      <c r="E197" t="s">
        <v>108</v>
      </c>
    </row>
    <row r="198" spans="1:5">
      <c r="A198" t="s">
        <v>5683</v>
      </c>
      <c r="B198">
        <v>2.1</v>
      </c>
      <c r="C198" t="s">
        <v>5684</v>
      </c>
      <c r="D198" t="s">
        <v>5631</v>
      </c>
      <c r="E198" t="s">
        <v>108</v>
      </c>
    </row>
    <row r="199" spans="1:5">
      <c r="A199" t="s">
        <v>5685</v>
      </c>
      <c r="B199">
        <v>2.2000000000000002</v>
      </c>
      <c r="C199" t="s">
        <v>108</v>
      </c>
      <c r="D199" t="s">
        <v>5631</v>
      </c>
      <c r="E199" t="s">
        <v>108</v>
      </c>
    </row>
    <row r="200" spans="1:5">
      <c r="A200" t="s">
        <v>5686</v>
      </c>
      <c r="B200">
        <v>2.1</v>
      </c>
      <c r="C200" t="s">
        <v>2470</v>
      </c>
      <c r="D200" t="s">
        <v>5631</v>
      </c>
      <c r="E200" t="s">
        <v>108</v>
      </c>
    </row>
    <row r="201" spans="1:5">
      <c r="A201" t="s">
        <v>5687</v>
      </c>
      <c r="B201">
        <v>2.2000000000000002</v>
      </c>
      <c r="C201" t="s">
        <v>2993</v>
      </c>
      <c r="D201" t="s">
        <v>5631</v>
      </c>
      <c r="E201" t="s">
        <v>108</v>
      </c>
    </row>
    <row r="202" spans="1:5">
      <c r="A202" t="s">
        <v>5688</v>
      </c>
      <c r="B202">
        <v>2.2000000000000002</v>
      </c>
      <c r="C202" t="s">
        <v>2576</v>
      </c>
      <c r="D202" t="s">
        <v>5631</v>
      </c>
      <c r="E202" t="s">
        <v>108</v>
      </c>
    </row>
    <row r="203" spans="1:5">
      <c r="A203" t="s">
        <v>5689</v>
      </c>
      <c r="B203">
        <v>2.1</v>
      </c>
      <c r="C203" t="s">
        <v>2985</v>
      </c>
      <c r="D203" t="s">
        <v>5631</v>
      </c>
      <c r="E203" t="s">
        <v>108</v>
      </c>
    </row>
    <row r="204" spans="1:5">
      <c r="A204" t="s">
        <v>5690</v>
      </c>
      <c r="B204">
        <v>2.2000000000000002</v>
      </c>
      <c r="C204" t="s">
        <v>2614</v>
      </c>
      <c r="D204" t="s">
        <v>5631</v>
      </c>
      <c r="E204" t="s">
        <v>108</v>
      </c>
    </row>
    <row r="205" spans="1:5">
      <c r="A205" t="s">
        <v>5691</v>
      </c>
      <c r="B205">
        <v>2.2000000000000002</v>
      </c>
      <c r="C205" t="s">
        <v>2612</v>
      </c>
      <c r="D205" t="s">
        <v>5631</v>
      </c>
      <c r="E205" t="s">
        <v>108</v>
      </c>
    </row>
    <row r="206" spans="1:5">
      <c r="A206" t="s">
        <v>5692</v>
      </c>
      <c r="B206">
        <v>2.2000000000000002</v>
      </c>
      <c r="C206" t="s">
        <v>2627</v>
      </c>
      <c r="D206" t="s">
        <v>5631</v>
      </c>
      <c r="E206" t="s">
        <v>108</v>
      </c>
    </row>
    <row r="207" spans="1:5">
      <c r="A207" t="s">
        <v>5693</v>
      </c>
      <c r="B207">
        <v>2</v>
      </c>
      <c r="C207" t="s">
        <v>2403</v>
      </c>
      <c r="D207" t="s">
        <v>5631</v>
      </c>
      <c r="E207" t="s">
        <v>108</v>
      </c>
    </row>
    <row r="208" spans="1:5">
      <c r="A208" t="s">
        <v>5694</v>
      </c>
      <c r="B208">
        <v>2.1</v>
      </c>
      <c r="C208" t="s">
        <v>2614</v>
      </c>
      <c r="D208" t="s">
        <v>5631</v>
      </c>
      <c r="E208" t="s">
        <v>108</v>
      </c>
    </row>
    <row r="209" spans="1:5">
      <c r="A209" t="s">
        <v>5695</v>
      </c>
      <c r="B209">
        <v>2.1</v>
      </c>
      <c r="C209" t="s">
        <v>2609</v>
      </c>
      <c r="D209" t="s">
        <v>5631</v>
      </c>
      <c r="E209" t="s">
        <v>108</v>
      </c>
    </row>
    <row r="210" spans="1:5">
      <c r="A210" t="s">
        <v>5696</v>
      </c>
      <c r="B210">
        <v>2.2000000000000002</v>
      </c>
      <c r="C210" t="s">
        <v>108</v>
      </c>
      <c r="D210" t="s">
        <v>5631</v>
      </c>
      <c r="E210" t="s">
        <v>108</v>
      </c>
    </row>
    <row r="211" spans="1:5">
      <c r="A211" t="s">
        <v>5697</v>
      </c>
      <c r="B211">
        <v>2.1</v>
      </c>
      <c r="C211" t="s">
        <v>108</v>
      </c>
      <c r="D211" t="s">
        <v>5631</v>
      </c>
      <c r="E211" t="s">
        <v>108</v>
      </c>
    </row>
    <row r="212" spans="1:5">
      <c r="A212" t="s">
        <v>5698</v>
      </c>
      <c r="B212">
        <v>2.1</v>
      </c>
      <c r="C212" t="s">
        <v>2620</v>
      </c>
      <c r="D212" t="s">
        <v>5631</v>
      </c>
      <c r="E212" t="s">
        <v>108</v>
      </c>
    </row>
    <row r="213" spans="1:5">
      <c r="A213" t="s">
        <v>5699</v>
      </c>
      <c r="B213">
        <v>1.88</v>
      </c>
      <c r="C213" t="s">
        <v>2627</v>
      </c>
      <c r="D213" t="s">
        <v>5631</v>
      </c>
      <c r="E213" t="s">
        <v>108</v>
      </c>
    </row>
    <row r="214" spans="1:5">
      <c r="A214" t="s">
        <v>5700</v>
      </c>
      <c r="B214">
        <v>1.88</v>
      </c>
      <c r="C214" t="s">
        <v>2632</v>
      </c>
      <c r="D214" t="s">
        <v>5631</v>
      </c>
      <c r="E214" t="s">
        <v>108</v>
      </c>
    </row>
    <row r="215" spans="1:5">
      <c r="A215" t="s">
        <v>5701</v>
      </c>
      <c r="B215">
        <v>1.98</v>
      </c>
      <c r="C215" t="s">
        <v>2410</v>
      </c>
      <c r="D215" t="s">
        <v>5631</v>
      </c>
      <c r="E215" t="s">
        <v>108</v>
      </c>
    </row>
    <row r="216" spans="1:5">
      <c r="A216" t="s">
        <v>5702</v>
      </c>
      <c r="B216">
        <v>2.1</v>
      </c>
      <c r="C216" t="s">
        <v>4388</v>
      </c>
      <c r="D216" t="s">
        <v>5631</v>
      </c>
      <c r="E216" t="s">
        <v>108</v>
      </c>
    </row>
    <row r="217" spans="1:5">
      <c r="A217" t="s">
        <v>5703</v>
      </c>
      <c r="B217">
        <v>2.1</v>
      </c>
      <c r="C217" t="s">
        <v>2515</v>
      </c>
      <c r="D217" t="s">
        <v>5631</v>
      </c>
      <c r="E217" t="s">
        <v>108</v>
      </c>
    </row>
    <row r="218" spans="1:5">
      <c r="A218" t="s">
        <v>5704</v>
      </c>
      <c r="B218">
        <v>2.19</v>
      </c>
      <c r="C218" t="s">
        <v>2632</v>
      </c>
      <c r="D218" t="s">
        <v>5631</v>
      </c>
      <c r="E218" t="s">
        <v>108</v>
      </c>
    </row>
    <row r="219" spans="1:5">
      <c r="A219" t="s">
        <v>5705</v>
      </c>
      <c r="B219">
        <v>2.1</v>
      </c>
      <c r="C219" t="s">
        <v>2515</v>
      </c>
      <c r="D219" t="s">
        <v>5631</v>
      </c>
      <c r="E219" t="s">
        <v>108</v>
      </c>
    </row>
    <row r="220" spans="1:5">
      <c r="A220" t="s">
        <v>5706</v>
      </c>
      <c r="B220">
        <v>2.1</v>
      </c>
      <c r="C220" t="s">
        <v>108</v>
      </c>
      <c r="D220" t="s">
        <v>5631</v>
      </c>
      <c r="E220" t="s">
        <v>108</v>
      </c>
    </row>
    <row r="221" spans="1:5">
      <c r="A221" t="s">
        <v>5707</v>
      </c>
      <c r="B221">
        <v>2.1</v>
      </c>
      <c r="C221" t="s">
        <v>2568</v>
      </c>
      <c r="D221" t="s">
        <v>5631</v>
      </c>
      <c r="E221" t="s">
        <v>108</v>
      </c>
    </row>
    <row r="222" spans="1:5">
      <c r="A222" t="s">
        <v>5708</v>
      </c>
      <c r="B222">
        <v>2.1</v>
      </c>
      <c r="C222" t="s">
        <v>2576</v>
      </c>
      <c r="D222" t="s">
        <v>5631</v>
      </c>
      <c r="E222" t="s">
        <v>108</v>
      </c>
    </row>
    <row r="223" spans="1:5">
      <c r="A223" t="s">
        <v>5709</v>
      </c>
      <c r="B223">
        <v>1.9</v>
      </c>
      <c r="C223" t="s">
        <v>2612</v>
      </c>
      <c r="D223" t="s">
        <v>5631</v>
      </c>
      <c r="E223" t="s">
        <v>108</v>
      </c>
    </row>
    <row r="224" spans="1:5">
      <c r="A224" t="s">
        <v>5710</v>
      </c>
      <c r="B224">
        <v>2.1</v>
      </c>
      <c r="C224" t="s">
        <v>2458</v>
      </c>
      <c r="D224" t="s">
        <v>5631</v>
      </c>
      <c r="E224" t="s">
        <v>108</v>
      </c>
    </row>
    <row r="225" spans="1:5">
      <c r="A225" t="s">
        <v>5711</v>
      </c>
      <c r="B225">
        <v>1.9</v>
      </c>
      <c r="C225" t="s">
        <v>2983</v>
      </c>
      <c r="D225" t="s">
        <v>5631</v>
      </c>
      <c r="E225" t="s">
        <v>108</v>
      </c>
    </row>
    <row r="226" spans="1:5">
      <c r="A226" t="s">
        <v>5712</v>
      </c>
      <c r="B226">
        <v>1.9</v>
      </c>
      <c r="C226" t="s">
        <v>2614</v>
      </c>
      <c r="D226" t="s">
        <v>5631</v>
      </c>
      <c r="E226" t="s">
        <v>108</v>
      </c>
    </row>
    <row r="227" spans="1:5">
      <c r="A227" t="s">
        <v>5713</v>
      </c>
      <c r="B227">
        <v>1.9</v>
      </c>
      <c r="C227" t="s">
        <v>2455</v>
      </c>
      <c r="D227" t="s">
        <v>5631</v>
      </c>
      <c r="E227" t="s">
        <v>108</v>
      </c>
    </row>
    <row r="228" spans="1:5">
      <c r="A228" t="s">
        <v>5714</v>
      </c>
      <c r="B228">
        <v>2.1</v>
      </c>
      <c r="C228" t="s">
        <v>2576</v>
      </c>
      <c r="D228" t="s">
        <v>5631</v>
      </c>
      <c r="E228" t="s">
        <v>108</v>
      </c>
    </row>
    <row r="229" spans="1:5">
      <c r="A229" t="s">
        <v>5715</v>
      </c>
      <c r="B229">
        <v>2.1</v>
      </c>
      <c r="C229" t="s">
        <v>108</v>
      </c>
      <c r="D229" t="s">
        <v>5631</v>
      </c>
      <c r="E229" t="s">
        <v>108</v>
      </c>
    </row>
    <row r="230" spans="1:5">
      <c r="A230" t="s">
        <v>5716</v>
      </c>
      <c r="B230">
        <v>2.1</v>
      </c>
      <c r="C230" t="s">
        <v>2627</v>
      </c>
      <c r="D230" t="s">
        <v>5631</v>
      </c>
      <c r="E230" t="s">
        <v>108</v>
      </c>
    </row>
    <row r="231" spans="1:5">
      <c r="A231" t="s">
        <v>5717</v>
      </c>
      <c r="B231">
        <v>2.1</v>
      </c>
      <c r="C231" t="s">
        <v>108</v>
      </c>
      <c r="D231" t="s">
        <v>5631</v>
      </c>
      <c r="E231" t="s">
        <v>108</v>
      </c>
    </row>
    <row r="232" spans="1:5">
      <c r="A232" t="s">
        <v>5718</v>
      </c>
      <c r="B232">
        <v>2.1</v>
      </c>
      <c r="C232" t="s">
        <v>2612</v>
      </c>
      <c r="D232" t="s">
        <v>5631</v>
      </c>
      <c r="E232" t="s">
        <v>108</v>
      </c>
    </row>
    <row r="233" spans="1:5">
      <c r="A233" t="s">
        <v>5719</v>
      </c>
      <c r="B233">
        <v>2</v>
      </c>
      <c r="C233" t="s">
        <v>3039</v>
      </c>
      <c r="D233" t="s">
        <v>5631</v>
      </c>
      <c r="E233" t="s">
        <v>108</v>
      </c>
    </row>
    <row r="234" spans="1:5">
      <c r="A234" t="s">
        <v>5720</v>
      </c>
      <c r="B234">
        <v>1.9</v>
      </c>
      <c r="C234" t="s">
        <v>2627</v>
      </c>
      <c r="D234" t="s">
        <v>5631</v>
      </c>
      <c r="E234" t="s">
        <v>108</v>
      </c>
    </row>
    <row r="235" spans="1:5">
      <c r="A235" t="s">
        <v>5721</v>
      </c>
      <c r="B235">
        <v>2.1</v>
      </c>
      <c r="C235" t="s">
        <v>2418</v>
      </c>
      <c r="D235" t="s">
        <v>5631</v>
      </c>
      <c r="E235" t="s">
        <v>108</v>
      </c>
    </row>
    <row r="236" spans="1:5">
      <c r="A236" t="s">
        <v>5722</v>
      </c>
      <c r="B236">
        <v>2.1</v>
      </c>
      <c r="C236" t="s">
        <v>108</v>
      </c>
      <c r="D236" t="s">
        <v>5631</v>
      </c>
      <c r="E236" t="s">
        <v>108</v>
      </c>
    </row>
    <row r="237" spans="1:5">
      <c r="A237" t="s">
        <v>5723</v>
      </c>
      <c r="B237">
        <v>1.9</v>
      </c>
      <c r="C237" t="s">
        <v>2634</v>
      </c>
      <c r="D237" t="s">
        <v>5631</v>
      </c>
      <c r="E237" t="s">
        <v>108</v>
      </c>
    </row>
    <row r="238" spans="1:5">
      <c r="A238" t="s">
        <v>5724</v>
      </c>
      <c r="B238">
        <v>2.1</v>
      </c>
      <c r="C238" t="s">
        <v>2614</v>
      </c>
      <c r="D238" t="s">
        <v>5631</v>
      </c>
      <c r="E238" t="s">
        <v>108</v>
      </c>
    </row>
    <row r="239" spans="1:5">
      <c r="A239" t="s">
        <v>5725</v>
      </c>
      <c r="B239">
        <v>2.1</v>
      </c>
      <c r="C239" t="s">
        <v>2418</v>
      </c>
      <c r="D239" t="s">
        <v>5631</v>
      </c>
      <c r="E239" t="s">
        <v>108</v>
      </c>
    </row>
    <row r="240" spans="1:5">
      <c r="A240" t="s">
        <v>5726</v>
      </c>
      <c r="B240">
        <v>2.1</v>
      </c>
      <c r="C240" t="s">
        <v>2983</v>
      </c>
      <c r="D240" t="s">
        <v>5631</v>
      </c>
      <c r="E240" t="s">
        <v>108</v>
      </c>
    </row>
    <row r="241" spans="1:5">
      <c r="A241" t="s">
        <v>5727</v>
      </c>
      <c r="B241">
        <v>1.9</v>
      </c>
      <c r="C241" t="s">
        <v>2464</v>
      </c>
      <c r="D241" t="s">
        <v>5631</v>
      </c>
      <c r="E241" t="s">
        <v>108</v>
      </c>
    </row>
    <row r="242" spans="1:5">
      <c r="A242" t="s">
        <v>5728</v>
      </c>
      <c r="B242">
        <v>1.9</v>
      </c>
      <c r="C242" t="s">
        <v>3039</v>
      </c>
      <c r="D242" t="s">
        <v>5631</v>
      </c>
      <c r="E242" t="s">
        <v>108</v>
      </c>
    </row>
    <row r="243" spans="1:5">
      <c r="A243" t="s">
        <v>5729</v>
      </c>
      <c r="B243">
        <v>1.9</v>
      </c>
      <c r="C243" t="s">
        <v>2627</v>
      </c>
      <c r="D243" t="s">
        <v>5631</v>
      </c>
      <c r="E243" t="s">
        <v>108</v>
      </c>
    </row>
    <row r="244" spans="1:5">
      <c r="A244" t="s">
        <v>5730</v>
      </c>
      <c r="B244">
        <v>2.1</v>
      </c>
      <c r="C244" t="s">
        <v>2470</v>
      </c>
      <c r="D244" t="s">
        <v>5631</v>
      </c>
      <c r="E244" t="s">
        <v>108</v>
      </c>
    </row>
    <row r="245" spans="1:5">
      <c r="A245" t="s">
        <v>5731</v>
      </c>
      <c r="B245">
        <v>2</v>
      </c>
      <c r="C245" t="s">
        <v>2515</v>
      </c>
      <c r="D245" t="s">
        <v>5631</v>
      </c>
      <c r="E245" t="s">
        <v>108</v>
      </c>
    </row>
    <row r="246" spans="1:5">
      <c r="A246" t="s">
        <v>5732</v>
      </c>
      <c r="B246">
        <v>2.1</v>
      </c>
      <c r="C246" t="s">
        <v>5733</v>
      </c>
      <c r="D246" t="s">
        <v>5631</v>
      </c>
      <c r="E246" t="s">
        <v>108</v>
      </c>
    </row>
    <row r="247" spans="1:5">
      <c r="A247" t="s">
        <v>5734</v>
      </c>
      <c r="B247">
        <v>2.1</v>
      </c>
      <c r="C247" t="s">
        <v>2604</v>
      </c>
      <c r="D247" t="s">
        <v>5631</v>
      </c>
      <c r="E247" t="s">
        <v>108</v>
      </c>
    </row>
    <row r="248" spans="1:5">
      <c r="A248" t="s">
        <v>5735</v>
      </c>
      <c r="B248">
        <v>2.2000000000000002</v>
      </c>
      <c r="C248" t="s">
        <v>108</v>
      </c>
      <c r="D248" t="s">
        <v>5631</v>
      </c>
      <c r="E248" t="s">
        <v>108</v>
      </c>
    </row>
    <row r="249" spans="1:5">
      <c r="A249" t="s">
        <v>5736</v>
      </c>
      <c r="B249">
        <v>1.9</v>
      </c>
      <c r="C249" t="s">
        <v>3083</v>
      </c>
      <c r="D249" t="s">
        <v>5631</v>
      </c>
      <c r="E249" t="s">
        <v>108</v>
      </c>
    </row>
    <row r="250" spans="1:5">
      <c r="A250" t="s">
        <v>5737</v>
      </c>
      <c r="B250">
        <v>1.87</v>
      </c>
      <c r="C250" t="s">
        <v>3087</v>
      </c>
      <c r="D250" t="s">
        <v>5631</v>
      </c>
      <c r="E250" t="s">
        <v>108</v>
      </c>
    </row>
    <row r="251" spans="1:5">
      <c r="A251" t="s">
        <v>5738</v>
      </c>
      <c r="B251">
        <v>2.1</v>
      </c>
      <c r="C251" t="s">
        <v>2632</v>
      </c>
      <c r="D251" t="s">
        <v>5631</v>
      </c>
      <c r="E251" t="s">
        <v>108</v>
      </c>
    </row>
    <row r="252" spans="1:5">
      <c r="A252" t="s">
        <v>5739</v>
      </c>
      <c r="B252">
        <v>2.1</v>
      </c>
      <c r="C252" t="s">
        <v>3022</v>
      </c>
      <c r="D252" t="s">
        <v>5631</v>
      </c>
      <c r="E252" t="s">
        <v>108</v>
      </c>
    </row>
    <row r="253" spans="1:5">
      <c r="A253" t="s">
        <v>5740</v>
      </c>
      <c r="B253">
        <v>2.1</v>
      </c>
      <c r="C253" t="s">
        <v>3034</v>
      </c>
      <c r="D253" t="s">
        <v>5631</v>
      </c>
      <c r="E253" t="s">
        <v>108</v>
      </c>
    </row>
    <row r="254" spans="1:5">
      <c r="A254" t="s">
        <v>5741</v>
      </c>
      <c r="B254">
        <v>2</v>
      </c>
      <c r="C254" t="s">
        <v>5742</v>
      </c>
      <c r="D254" t="s">
        <v>5631</v>
      </c>
      <c r="E254" t="s">
        <v>108</v>
      </c>
    </row>
    <row r="255" spans="1:5">
      <c r="A255" t="s">
        <v>5743</v>
      </c>
      <c r="B255">
        <v>1.78</v>
      </c>
      <c r="C255" t="s">
        <v>3379</v>
      </c>
      <c r="D255" t="s">
        <v>5631</v>
      </c>
      <c r="E255" t="s">
        <v>108</v>
      </c>
    </row>
    <row r="256" spans="1:5">
      <c r="A256" t="s">
        <v>5744</v>
      </c>
      <c r="B256">
        <v>2.1</v>
      </c>
      <c r="C256" t="s">
        <v>2392</v>
      </c>
      <c r="D256" t="s">
        <v>5631</v>
      </c>
      <c r="E256" t="s">
        <v>108</v>
      </c>
    </row>
    <row r="257" spans="1:5">
      <c r="A257" t="s">
        <v>5745</v>
      </c>
      <c r="B257">
        <v>2.1</v>
      </c>
      <c r="C257" t="s">
        <v>2392</v>
      </c>
      <c r="D257" t="s">
        <v>5631</v>
      </c>
      <c r="E257" t="s">
        <v>108</v>
      </c>
    </row>
    <row r="258" spans="1:5">
      <c r="A258" t="s">
        <v>5746</v>
      </c>
      <c r="B258">
        <v>2.1</v>
      </c>
      <c r="C258" t="s">
        <v>2395</v>
      </c>
      <c r="D258" t="s">
        <v>5631</v>
      </c>
      <c r="E258" t="s">
        <v>108</v>
      </c>
    </row>
    <row r="259" spans="1:5">
      <c r="A259" t="s">
        <v>5747</v>
      </c>
      <c r="B259">
        <v>2</v>
      </c>
      <c r="C259" t="s">
        <v>5748</v>
      </c>
      <c r="D259" t="s">
        <v>5631</v>
      </c>
      <c r="E259" t="s">
        <v>108</v>
      </c>
    </row>
    <row r="260" spans="1:5">
      <c r="A260" t="s">
        <v>5749</v>
      </c>
      <c r="B260">
        <v>1.7</v>
      </c>
      <c r="C260" t="s">
        <v>5645</v>
      </c>
      <c r="D260" t="s">
        <v>5631</v>
      </c>
      <c r="E260" t="s">
        <v>108</v>
      </c>
    </row>
    <row r="261" spans="1:5">
      <c r="A261" t="s">
        <v>5750</v>
      </c>
      <c r="B261">
        <v>1.6</v>
      </c>
      <c r="C261" t="s">
        <v>5645</v>
      </c>
      <c r="D261" t="s">
        <v>5631</v>
      </c>
      <c r="E261" t="s">
        <v>108</v>
      </c>
    </row>
    <row r="262" spans="1:5">
      <c r="A262" t="s">
        <v>5751</v>
      </c>
      <c r="B262">
        <v>1.65</v>
      </c>
      <c r="C262" t="s">
        <v>3407</v>
      </c>
      <c r="D262" t="s">
        <v>5631</v>
      </c>
      <c r="E262" t="s">
        <v>108</v>
      </c>
    </row>
    <row r="263" spans="1:5">
      <c r="A263" t="s">
        <v>5752</v>
      </c>
      <c r="B263">
        <v>1.97</v>
      </c>
      <c r="C263" t="s">
        <v>2658</v>
      </c>
      <c r="D263" t="s">
        <v>5631</v>
      </c>
      <c r="E263" t="s">
        <v>108</v>
      </c>
    </row>
    <row r="264" spans="1:5">
      <c r="A264" t="s">
        <v>5753</v>
      </c>
      <c r="B264">
        <v>2.1</v>
      </c>
      <c r="C264" t="s">
        <v>5754</v>
      </c>
      <c r="D264" t="s">
        <v>5631</v>
      </c>
      <c r="E264" t="s">
        <v>108</v>
      </c>
    </row>
    <row r="265" spans="1:5">
      <c r="A265" t="s">
        <v>5755</v>
      </c>
      <c r="B265">
        <v>2.2000000000000002</v>
      </c>
      <c r="C265" t="s">
        <v>2983</v>
      </c>
      <c r="D265" t="s">
        <v>5631</v>
      </c>
      <c r="E265" t="s">
        <v>108</v>
      </c>
    </row>
    <row r="266" spans="1:5">
      <c r="A266" t="s">
        <v>5756</v>
      </c>
      <c r="B266">
        <v>2.2000000000000002</v>
      </c>
      <c r="C266" t="s">
        <v>108</v>
      </c>
      <c r="D266" t="s">
        <v>5631</v>
      </c>
      <c r="E266" t="s">
        <v>108</v>
      </c>
    </row>
    <row r="267" spans="1:5">
      <c r="A267" t="s">
        <v>5757</v>
      </c>
      <c r="B267">
        <v>2.2000000000000002</v>
      </c>
      <c r="C267" t="s">
        <v>2599</v>
      </c>
      <c r="D267" t="s">
        <v>5631</v>
      </c>
      <c r="E267" t="s">
        <v>108</v>
      </c>
    </row>
    <row r="268" spans="1:5">
      <c r="A268" t="s">
        <v>5758</v>
      </c>
      <c r="B268">
        <v>2.2000000000000002</v>
      </c>
      <c r="C268" t="s">
        <v>2478</v>
      </c>
      <c r="D268" t="s">
        <v>5631</v>
      </c>
      <c r="E268" t="s">
        <v>108</v>
      </c>
    </row>
    <row r="269" spans="1:5">
      <c r="A269" t="s">
        <v>5759</v>
      </c>
      <c r="B269">
        <v>2.2000000000000002</v>
      </c>
      <c r="C269" t="s">
        <v>2573</v>
      </c>
      <c r="D269" t="s">
        <v>5631</v>
      </c>
      <c r="E269" t="s">
        <v>108</v>
      </c>
    </row>
    <row r="270" spans="1:5">
      <c r="A270" t="s">
        <v>5760</v>
      </c>
      <c r="B270">
        <v>2.1</v>
      </c>
      <c r="C270" t="s">
        <v>5761</v>
      </c>
      <c r="D270" t="s">
        <v>5631</v>
      </c>
      <c r="E270" t="s">
        <v>108</v>
      </c>
    </row>
    <row r="271" spans="1:5">
      <c r="A271" t="s">
        <v>5762</v>
      </c>
      <c r="B271">
        <v>2.2000000000000002</v>
      </c>
      <c r="C271" t="s">
        <v>2470</v>
      </c>
      <c r="D271" t="s">
        <v>5631</v>
      </c>
      <c r="E271" t="s">
        <v>108</v>
      </c>
    </row>
    <row r="272" spans="1:5">
      <c r="A272" t="s">
        <v>5763</v>
      </c>
      <c r="B272">
        <v>2.1</v>
      </c>
      <c r="C272" t="s">
        <v>2478</v>
      </c>
      <c r="D272" t="s">
        <v>5631</v>
      </c>
      <c r="E272" t="s">
        <v>108</v>
      </c>
    </row>
    <row r="273" spans="1:5">
      <c r="A273" t="s">
        <v>5764</v>
      </c>
      <c r="B273">
        <v>2.2000000000000002</v>
      </c>
      <c r="C273" t="s">
        <v>3039</v>
      </c>
      <c r="D273" t="s">
        <v>5631</v>
      </c>
      <c r="E273" t="s">
        <v>108</v>
      </c>
    </row>
    <row r="274" spans="1:5">
      <c r="A274" t="s">
        <v>5765</v>
      </c>
      <c r="B274">
        <v>2.1</v>
      </c>
      <c r="C274" t="s">
        <v>5766</v>
      </c>
      <c r="D274" t="s">
        <v>5631</v>
      </c>
      <c r="E274" t="s">
        <v>108</v>
      </c>
    </row>
    <row r="275" spans="1:5">
      <c r="A275" t="s">
        <v>5767</v>
      </c>
      <c r="B275">
        <v>2.1</v>
      </c>
      <c r="C275" t="s">
        <v>5768</v>
      </c>
      <c r="D275" t="s">
        <v>5631</v>
      </c>
      <c r="E275" t="s">
        <v>108</v>
      </c>
    </row>
    <row r="276" spans="1:5">
      <c r="A276" t="s">
        <v>5769</v>
      </c>
      <c r="B276">
        <v>2.1</v>
      </c>
      <c r="C276" t="s">
        <v>2478</v>
      </c>
      <c r="D276" t="s">
        <v>5631</v>
      </c>
      <c r="E276" t="s">
        <v>108</v>
      </c>
    </row>
    <row r="277" spans="1:5">
      <c r="A277" t="s">
        <v>5770</v>
      </c>
      <c r="B277">
        <v>1.86</v>
      </c>
      <c r="C277" t="s">
        <v>2690</v>
      </c>
      <c r="D277" t="s">
        <v>5631</v>
      </c>
      <c r="E277" t="s">
        <v>108</v>
      </c>
    </row>
    <row r="278" spans="1:5">
      <c r="A278" t="s">
        <v>5771</v>
      </c>
      <c r="B278">
        <v>1.76</v>
      </c>
      <c r="C278" t="s">
        <v>2690</v>
      </c>
      <c r="D278" t="s">
        <v>5631</v>
      </c>
      <c r="E278" t="s">
        <v>108</v>
      </c>
    </row>
    <row r="279" spans="1:5">
      <c r="A279" t="s">
        <v>5772</v>
      </c>
      <c r="B279">
        <v>2.1</v>
      </c>
      <c r="C279" t="s">
        <v>2620</v>
      </c>
      <c r="D279" t="s">
        <v>5631</v>
      </c>
      <c r="E279" t="s">
        <v>108</v>
      </c>
    </row>
    <row r="280" spans="1:5">
      <c r="A280" t="s">
        <v>5773</v>
      </c>
      <c r="B280">
        <v>2.1</v>
      </c>
      <c r="C280" t="s">
        <v>2515</v>
      </c>
      <c r="D280" t="s">
        <v>5631</v>
      </c>
      <c r="E280" t="s">
        <v>108</v>
      </c>
    </row>
    <row r="281" spans="1:5">
      <c r="A281" t="s">
        <v>5774</v>
      </c>
      <c r="B281">
        <v>2</v>
      </c>
      <c r="C281" t="s">
        <v>108</v>
      </c>
      <c r="D281" t="s">
        <v>5631</v>
      </c>
      <c r="E281" t="s">
        <v>108</v>
      </c>
    </row>
    <row r="282" spans="1:5">
      <c r="A282" t="s">
        <v>5775</v>
      </c>
      <c r="B282">
        <v>1.9</v>
      </c>
      <c r="C282" t="s">
        <v>2395</v>
      </c>
      <c r="D282" t="s">
        <v>5631</v>
      </c>
      <c r="E282" t="s">
        <v>108</v>
      </c>
    </row>
    <row r="283" spans="1:5">
      <c r="A283" t="s">
        <v>5776</v>
      </c>
      <c r="B283">
        <v>1.9</v>
      </c>
      <c r="C283" t="s">
        <v>2395</v>
      </c>
      <c r="D283" t="s">
        <v>5631</v>
      </c>
      <c r="E283" t="s">
        <v>108</v>
      </c>
    </row>
    <row r="284" spans="1:5">
      <c r="A284" t="s">
        <v>5777</v>
      </c>
      <c r="B284">
        <v>1.9</v>
      </c>
      <c r="C284" t="s">
        <v>2392</v>
      </c>
      <c r="D284" t="s">
        <v>5631</v>
      </c>
      <c r="E284" t="s">
        <v>108</v>
      </c>
    </row>
    <row r="285" spans="1:5">
      <c r="A285" t="s">
        <v>5778</v>
      </c>
      <c r="B285">
        <v>2.1</v>
      </c>
      <c r="C285" t="s">
        <v>2470</v>
      </c>
      <c r="D285" t="s">
        <v>5631</v>
      </c>
      <c r="E285" t="s">
        <v>108</v>
      </c>
    </row>
    <row r="286" spans="1:5">
      <c r="A286" t="s">
        <v>5779</v>
      </c>
      <c r="B286">
        <v>1.9</v>
      </c>
      <c r="C286" t="s">
        <v>108</v>
      </c>
      <c r="D286" t="s">
        <v>5631</v>
      </c>
      <c r="E286" t="s">
        <v>108</v>
      </c>
    </row>
    <row r="287" spans="1:5">
      <c r="A287" t="s">
        <v>5780</v>
      </c>
      <c r="B287">
        <v>1.9</v>
      </c>
      <c r="C287" t="s">
        <v>2599</v>
      </c>
      <c r="D287" t="s">
        <v>5631</v>
      </c>
      <c r="E287" t="s">
        <v>108</v>
      </c>
    </row>
    <row r="288" spans="1:5">
      <c r="A288" t="s">
        <v>5781</v>
      </c>
      <c r="B288">
        <v>1.9</v>
      </c>
      <c r="C288" t="s">
        <v>2568</v>
      </c>
      <c r="D288" t="s">
        <v>5631</v>
      </c>
      <c r="E288" t="s">
        <v>108</v>
      </c>
    </row>
    <row r="289" spans="1:5">
      <c r="A289" t="s">
        <v>5782</v>
      </c>
      <c r="B289">
        <v>2.1</v>
      </c>
      <c r="C289" t="s">
        <v>3034</v>
      </c>
      <c r="D289" t="s">
        <v>5631</v>
      </c>
      <c r="E289" t="s">
        <v>108</v>
      </c>
    </row>
    <row r="290" spans="1:5">
      <c r="A290" t="s">
        <v>5783</v>
      </c>
      <c r="B290">
        <v>2.1</v>
      </c>
      <c r="C290" t="s">
        <v>108</v>
      </c>
      <c r="D290" t="s">
        <v>5631</v>
      </c>
      <c r="E290" t="s">
        <v>108</v>
      </c>
    </row>
    <row r="291" spans="1:5">
      <c r="A291" t="s">
        <v>5784</v>
      </c>
      <c r="B291">
        <v>2.1</v>
      </c>
      <c r="C291" t="s">
        <v>2620</v>
      </c>
      <c r="D291" t="s">
        <v>5631</v>
      </c>
      <c r="E291" t="s">
        <v>108</v>
      </c>
    </row>
    <row r="292" spans="1:5">
      <c r="A292" t="s">
        <v>5785</v>
      </c>
      <c r="B292">
        <v>2.1</v>
      </c>
      <c r="C292" t="s">
        <v>5786</v>
      </c>
      <c r="D292" t="s">
        <v>5631</v>
      </c>
      <c r="E292" t="s">
        <v>108</v>
      </c>
    </row>
    <row r="293" spans="1:5">
      <c r="A293" t="s">
        <v>5787</v>
      </c>
      <c r="B293">
        <v>1.9</v>
      </c>
      <c r="C293" t="s">
        <v>2484</v>
      </c>
      <c r="D293" t="s">
        <v>5631</v>
      </c>
      <c r="E293" t="s">
        <v>108</v>
      </c>
    </row>
    <row r="294" spans="1:5">
      <c r="A294" t="s">
        <v>5788</v>
      </c>
      <c r="B294">
        <v>2.1</v>
      </c>
      <c r="C294" t="s">
        <v>2634</v>
      </c>
      <c r="D294" t="s">
        <v>5631</v>
      </c>
      <c r="E294" t="s">
        <v>108</v>
      </c>
    </row>
    <row r="295" spans="1:5">
      <c r="A295" t="s">
        <v>5789</v>
      </c>
      <c r="B295">
        <v>2.1</v>
      </c>
      <c r="C295" t="s">
        <v>2484</v>
      </c>
      <c r="D295" t="s">
        <v>5631</v>
      </c>
      <c r="E295" t="s">
        <v>108</v>
      </c>
    </row>
    <row r="296" spans="1:5">
      <c r="A296" t="s">
        <v>5790</v>
      </c>
      <c r="B296">
        <v>1.9</v>
      </c>
      <c r="C296" t="s">
        <v>2614</v>
      </c>
      <c r="D296" t="s">
        <v>5631</v>
      </c>
      <c r="E296" t="s">
        <v>108</v>
      </c>
    </row>
    <row r="297" spans="1:5">
      <c r="A297" t="s">
        <v>5791</v>
      </c>
      <c r="B297">
        <v>1.9</v>
      </c>
      <c r="C297" t="s">
        <v>2484</v>
      </c>
      <c r="D297" t="s">
        <v>5631</v>
      </c>
      <c r="E297" t="s">
        <v>108</v>
      </c>
    </row>
    <row r="298" spans="1:5">
      <c r="A298" t="s">
        <v>5792</v>
      </c>
      <c r="B298">
        <v>1.9</v>
      </c>
      <c r="C298" t="s">
        <v>2636</v>
      </c>
      <c r="D298" t="s">
        <v>5631</v>
      </c>
      <c r="E298" t="s">
        <v>108</v>
      </c>
    </row>
    <row r="299" spans="1:5">
      <c r="A299" t="s">
        <v>5793</v>
      </c>
      <c r="B299">
        <v>2</v>
      </c>
      <c r="C299" t="s">
        <v>5682</v>
      </c>
      <c r="D299" t="s">
        <v>5631</v>
      </c>
      <c r="E299" t="s">
        <v>108</v>
      </c>
    </row>
    <row r="300" spans="1:5">
      <c r="A300" t="s">
        <v>5794</v>
      </c>
      <c r="B300">
        <v>2.2000000000000002</v>
      </c>
      <c r="C300" t="s">
        <v>2612</v>
      </c>
      <c r="D300" t="s">
        <v>5631</v>
      </c>
      <c r="E300" t="s">
        <v>108</v>
      </c>
    </row>
    <row r="301" spans="1:5">
      <c r="A301" t="s">
        <v>5795</v>
      </c>
      <c r="B301">
        <v>2.2000000000000002</v>
      </c>
      <c r="C301" t="s">
        <v>2576</v>
      </c>
      <c r="D301" t="s">
        <v>5631</v>
      </c>
      <c r="E301" t="s">
        <v>108</v>
      </c>
    </row>
    <row r="302" spans="1:5">
      <c r="A302" t="s">
        <v>5796</v>
      </c>
      <c r="B302">
        <v>2.2000000000000002</v>
      </c>
      <c r="C302" t="s">
        <v>2614</v>
      </c>
      <c r="D302" t="s">
        <v>5631</v>
      </c>
      <c r="E302" t="s">
        <v>108</v>
      </c>
    </row>
    <row r="303" spans="1:5">
      <c r="A303" t="s">
        <v>5797</v>
      </c>
      <c r="B303">
        <v>2.2000000000000002</v>
      </c>
      <c r="C303" t="s">
        <v>2599</v>
      </c>
      <c r="D303" t="s">
        <v>5631</v>
      </c>
      <c r="E303" t="s">
        <v>108</v>
      </c>
    </row>
    <row r="304" spans="1:5">
      <c r="A304" t="s">
        <v>5798</v>
      </c>
      <c r="B304">
        <v>2.1</v>
      </c>
      <c r="C304" t="s">
        <v>2576</v>
      </c>
      <c r="D304" t="s">
        <v>5631</v>
      </c>
      <c r="E304" t="s">
        <v>108</v>
      </c>
    </row>
    <row r="305" spans="1:5">
      <c r="A305" t="s">
        <v>5799</v>
      </c>
      <c r="B305">
        <v>2.1</v>
      </c>
      <c r="C305" t="s">
        <v>2609</v>
      </c>
      <c r="D305" t="s">
        <v>5631</v>
      </c>
      <c r="E305" t="s">
        <v>108</v>
      </c>
    </row>
    <row r="306" spans="1:5">
      <c r="A306" t="s">
        <v>5800</v>
      </c>
      <c r="B306">
        <v>2.1</v>
      </c>
      <c r="C306" t="s">
        <v>2632</v>
      </c>
      <c r="D306" t="s">
        <v>5631</v>
      </c>
      <c r="E306" t="s">
        <v>108</v>
      </c>
    </row>
    <row r="307" spans="1:5">
      <c r="A307" t="s">
        <v>5801</v>
      </c>
      <c r="B307">
        <v>2.1</v>
      </c>
      <c r="C307" t="s">
        <v>3022</v>
      </c>
      <c r="D307" t="s">
        <v>5631</v>
      </c>
      <c r="E307" t="s">
        <v>108</v>
      </c>
    </row>
    <row r="308" spans="1:5">
      <c r="A308" t="s">
        <v>5802</v>
      </c>
      <c r="B308">
        <v>2.1</v>
      </c>
      <c r="C308" t="s">
        <v>2634</v>
      </c>
      <c r="D308" t="s">
        <v>5631</v>
      </c>
      <c r="E308" t="s">
        <v>108</v>
      </c>
    </row>
    <row r="309" spans="1:5">
      <c r="A309" t="s">
        <v>5803</v>
      </c>
      <c r="B309">
        <v>2.1</v>
      </c>
      <c r="C309" t="s">
        <v>108</v>
      </c>
      <c r="D309" t="s">
        <v>5631</v>
      </c>
      <c r="E309" t="s">
        <v>108</v>
      </c>
    </row>
    <row r="310" spans="1:5">
      <c r="A310" t="s">
        <v>5804</v>
      </c>
      <c r="B310">
        <v>2.2000000000000002</v>
      </c>
      <c r="C310" t="s">
        <v>2573</v>
      </c>
      <c r="D310" t="s">
        <v>5631</v>
      </c>
      <c r="E310" t="s">
        <v>108</v>
      </c>
    </row>
    <row r="311" spans="1:5">
      <c r="A311" t="s">
        <v>5805</v>
      </c>
      <c r="B311">
        <v>2</v>
      </c>
      <c r="C311" t="s">
        <v>2576</v>
      </c>
      <c r="D311" t="s">
        <v>5631</v>
      </c>
      <c r="E311" t="s">
        <v>108</v>
      </c>
    </row>
    <row r="312" spans="1:5">
      <c r="A312" t="s">
        <v>5806</v>
      </c>
      <c r="B312">
        <v>2.1</v>
      </c>
      <c r="C312" t="s">
        <v>2634</v>
      </c>
      <c r="D312" t="s">
        <v>5631</v>
      </c>
      <c r="E312" t="s">
        <v>108</v>
      </c>
    </row>
    <row r="313" spans="1:5">
      <c r="A313" t="s">
        <v>5807</v>
      </c>
      <c r="B313">
        <v>2</v>
      </c>
      <c r="C313" t="s">
        <v>2604</v>
      </c>
      <c r="D313" t="s">
        <v>5631</v>
      </c>
      <c r="E313" t="s">
        <v>108</v>
      </c>
    </row>
    <row r="314" spans="1:5">
      <c r="A314" t="s">
        <v>5808</v>
      </c>
      <c r="B314">
        <v>2</v>
      </c>
      <c r="C314" t="s">
        <v>2455</v>
      </c>
      <c r="D314" t="s">
        <v>5631</v>
      </c>
      <c r="E314" t="s">
        <v>108</v>
      </c>
    </row>
    <row r="315" spans="1:5">
      <c r="A315" t="s">
        <v>5809</v>
      </c>
      <c r="B315">
        <v>2.1</v>
      </c>
      <c r="C315" t="s">
        <v>2612</v>
      </c>
      <c r="D315" t="s">
        <v>5631</v>
      </c>
      <c r="E315" t="s">
        <v>108</v>
      </c>
    </row>
    <row r="316" spans="1:5">
      <c r="A316" t="s">
        <v>5810</v>
      </c>
      <c r="B316">
        <v>1.9</v>
      </c>
      <c r="C316" t="s">
        <v>2395</v>
      </c>
      <c r="D316" t="s">
        <v>5631</v>
      </c>
      <c r="E316" t="s">
        <v>108</v>
      </c>
    </row>
    <row r="317" spans="1:5">
      <c r="A317" t="s">
        <v>5811</v>
      </c>
      <c r="B317">
        <v>2.1</v>
      </c>
      <c r="C317" t="s">
        <v>2614</v>
      </c>
      <c r="D317" t="s">
        <v>5631</v>
      </c>
      <c r="E317" t="s">
        <v>108</v>
      </c>
    </row>
    <row r="318" spans="1:5">
      <c r="A318" t="s">
        <v>5812</v>
      </c>
      <c r="B318">
        <v>2</v>
      </c>
      <c r="C318" t="s">
        <v>2636</v>
      </c>
      <c r="D318" t="s">
        <v>5631</v>
      </c>
      <c r="E318" t="s">
        <v>108</v>
      </c>
    </row>
    <row r="319" spans="1:5">
      <c r="A319" t="s">
        <v>5813</v>
      </c>
      <c r="B319">
        <v>2.1</v>
      </c>
      <c r="C319" t="s">
        <v>2478</v>
      </c>
      <c r="D319" t="s">
        <v>5631</v>
      </c>
      <c r="E319" t="s">
        <v>108</v>
      </c>
    </row>
    <row r="320" spans="1:5">
      <c r="A320" t="s">
        <v>5814</v>
      </c>
      <c r="B320">
        <v>2.1</v>
      </c>
      <c r="C320" t="s">
        <v>2573</v>
      </c>
      <c r="D320" t="s">
        <v>5631</v>
      </c>
      <c r="E320" t="s">
        <v>108</v>
      </c>
    </row>
    <row r="321" spans="1:5">
      <c r="A321" t="s">
        <v>5815</v>
      </c>
      <c r="B321">
        <v>2.1</v>
      </c>
      <c r="C321" t="s">
        <v>3039</v>
      </c>
      <c r="D321" t="s">
        <v>5631</v>
      </c>
      <c r="E321" t="s">
        <v>108</v>
      </c>
    </row>
    <row r="322" spans="1:5">
      <c r="A322" t="s">
        <v>5816</v>
      </c>
      <c r="B322">
        <v>1.76</v>
      </c>
      <c r="C322" t="s">
        <v>2983</v>
      </c>
      <c r="D322" t="s">
        <v>5631</v>
      </c>
      <c r="E322" t="s">
        <v>108</v>
      </c>
    </row>
    <row r="323" spans="1:5">
      <c r="A323" t="s">
        <v>5817</v>
      </c>
      <c r="B323">
        <v>2.1</v>
      </c>
      <c r="C323" t="s">
        <v>2455</v>
      </c>
      <c r="D323" t="s">
        <v>5631</v>
      </c>
      <c r="E323" t="s">
        <v>108</v>
      </c>
    </row>
    <row r="324" spans="1:5">
      <c r="A324" t="s">
        <v>5818</v>
      </c>
      <c r="B324">
        <v>2.1</v>
      </c>
      <c r="C324" t="s">
        <v>2993</v>
      </c>
      <c r="D324" t="s">
        <v>5631</v>
      </c>
      <c r="E324" t="s">
        <v>108</v>
      </c>
    </row>
    <row r="325" spans="1:5">
      <c r="A325" t="s">
        <v>5819</v>
      </c>
      <c r="B325">
        <v>2.7</v>
      </c>
      <c r="C325" t="s">
        <v>2614</v>
      </c>
      <c r="D325" t="s">
        <v>5618</v>
      </c>
      <c r="E325" t="s">
        <v>108</v>
      </c>
    </row>
    <row r="326" spans="1:5">
      <c r="A326" t="s">
        <v>5820</v>
      </c>
      <c r="B326">
        <v>2.8</v>
      </c>
      <c r="C326" t="s">
        <v>108</v>
      </c>
      <c r="D326" t="s">
        <v>5821</v>
      </c>
      <c r="E326" t="s">
        <v>108</v>
      </c>
    </row>
    <row r="327" spans="1:5">
      <c r="A327" t="s">
        <v>5822</v>
      </c>
      <c r="B327">
        <v>2.9</v>
      </c>
      <c r="C327" t="s">
        <v>2632</v>
      </c>
      <c r="D327" t="s">
        <v>5618</v>
      </c>
      <c r="E327" t="s">
        <v>108</v>
      </c>
    </row>
    <row r="328" spans="1:5">
      <c r="A328" t="s">
        <v>5823</v>
      </c>
      <c r="B328">
        <v>2.9</v>
      </c>
      <c r="C328" t="s">
        <v>2515</v>
      </c>
      <c r="D328" t="s">
        <v>5618</v>
      </c>
      <c r="E328" t="s">
        <v>108</v>
      </c>
    </row>
    <row r="329" spans="1:5">
      <c r="A329" t="s">
        <v>5824</v>
      </c>
      <c r="B329">
        <v>2.7</v>
      </c>
      <c r="C329" t="s">
        <v>108</v>
      </c>
      <c r="D329" t="s">
        <v>5821</v>
      </c>
      <c r="E329" t="s">
        <v>108</v>
      </c>
    </row>
    <row r="330" spans="1:5">
      <c r="A330" t="s">
        <v>5825</v>
      </c>
      <c r="B330">
        <v>2.7</v>
      </c>
      <c r="C330" t="s">
        <v>108</v>
      </c>
      <c r="D330" t="s">
        <v>5821</v>
      </c>
      <c r="E330" t="s">
        <v>108</v>
      </c>
    </row>
    <row r="331" spans="1:5">
      <c r="A331" t="s">
        <v>5826</v>
      </c>
      <c r="B331">
        <v>2.7</v>
      </c>
      <c r="C331" t="s">
        <v>2609</v>
      </c>
      <c r="D331" t="s">
        <v>5618</v>
      </c>
      <c r="E331" t="s">
        <v>108</v>
      </c>
    </row>
    <row r="332" spans="1:5">
      <c r="A332" t="s">
        <v>5827</v>
      </c>
      <c r="B332">
        <v>2.8</v>
      </c>
      <c r="C332" t="s">
        <v>3416</v>
      </c>
      <c r="D332" t="s">
        <v>5821</v>
      </c>
      <c r="E332" t="s">
        <v>108</v>
      </c>
    </row>
    <row r="333" spans="1:5">
      <c r="A333" t="s">
        <v>5828</v>
      </c>
      <c r="B333">
        <v>2.79</v>
      </c>
      <c r="C333" t="s">
        <v>108</v>
      </c>
      <c r="D333" t="s">
        <v>5821</v>
      </c>
      <c r="E333" t="s">
        <v>108</v>
      </c>
    </row>
    <row r="334" spans="1:5">
      <c r="A334" t="s">
        <v>5829</v>
      </c>
      <c r="B334">
        <v>2.79</v>
      </c>
      <c r="C334" t="s">
        <v>108</v>
      </c>
      <c r="D334" t="s">
        <v>5821</v>
      </c>
      <c r="E334" t="s">
        <v>108</v>
      </c>
    </row>
    <row r="335" spans="1:5">
      <c r="A335" t="s">
        <v>5830</v>
      </c>
      <c r="B335">
        <v>2.79</v>
      </c>
      <c r="C335" t="s">
        <v>108</v>
      </c>
      <c r="D335" t="s">
        <v>5821</v>
      </c>
      <c r="E335" t="s">
        <v>108</v>
      </c>
    </row>
    <row r="336" spans="1:5">
      <c r="A336" t="s">
        <v>5831</v>
      </c>
      <c r="B336">
        <v>2.7</v>
      </c>
      <c r="C336" t="s">
        <v>2395</v>
      </c>
      <c r="D336" t="s">
        <v>5821</v>
      </c>
      <c r="E336" t="s">
        <v>108</v>
      </c>
    </row>
    <row r="337" spans="1:5">
      <c r="A337" t="s">
        <v>5832</v>
      </c>
      <c r="B337">
        <v>2.9</v>
      </c>
      <c r="C337" t="s">
        <v>2392</v>
      </c>
      <c r="D337" t="s">
        <v>5821</v>
      </c>
      <c r="E337" t="s">
        <v>108</v>
      </c>
    </row>
    <row r="338" spans="1:5">
      <c r="A338" t="s">
        <v>5833</v>
      </c>
      <c r="B338">
        <v>2.7</v>
      </c>
      <c r="C338" t="s">
        <v>5834</v>
      </c>
      <c r="D338" t="s">
        <v>5835</v>
      </c>
      <c r="E338" t="s">
        <v>108</v>
      </c>
    </row>
    <row r="339" spans="1:5">
      <c r="A339" t="s">
        <v>5836</v>
      </c>
      <c r="B339">
        <v>2.7</v>
      </c>
      <c r="C339" t="s">
        <v>5837</v>
      </c>
      <c r="D339" t="s">
        <v>5618</v>
      </c>
      <c r="E339" t="s">
        <v>108</v>
      </c>
    </row>
    <row r="340" spans="1:5">
      <c r="A340" t="s">
        <v>5838</v>
      </c>
      <c r="B340">
        <v>2.6</v>
      </c>
      <c r="C340" t="s">
        <v>2455</v>
      </c>
      <c r="D340" t="s">
        <v>5618</v>
      </c>
      <c r="E340" t="s">
        <v>108</v>
      </c>
    </row>
    <row r="341" spans="1:5">
      <c r="A341" t="s">
        <v>5839</v>
      </c>
      <c r="B341">
        <v>2.79</v>
      </c>
      <c r="C341" t="s">
        <v>108</v>
      </c>
      <c r="D341" t="s">
        <v>5821</v>
      </c>
      <c r="E341" t="s">
        <v>108</v>
      </c>
    </row>
    <row r="342" spans="1:5">
      <c r="A342" t="s">
        <v>5840</v>
      </c>
      <c r="B342">
        <v>2.7</v>
      </c>
      <c r="C342" t="s">
        <v>2455</v>
      </c>
      <c r="D342" t="s">
        <v>5841</v>
      </c>
      <c r="E342" t="s">
        <v>108</v>
      </c>
    </row>
    <row r="343" spans="1:5">
      <c r="A343" t="s">
        <v>5842</v>
      </c>
      <c r="B343">
        <v>1.96</v>
      </c>
      <c r="C343" t="s">
        <v>2515</v>
      </c>
      <c r="D343" t="s">
        <v>5841</v>
      </c>
      <c r="E343" t="s">
        <v>108</v>
      </c>
    </row>
    <row r="344" spans="1:5">
      <c r="A344" t="s">
        <v>5843</v>
      </c>
      <c r="B344">
        <v>1.96</v>
      </c>
      <c r="C344" t="s">
        <v>108</v>
      </c>
      <c r="D344" t="s">
        <v>5841</v>
      </c>
      <c r="E344" t="s">
        <v>108</v>
      </c>
    </row>
    <row r="345" spans="1:5">
      <c r="A345" t="s">
        <v>5844</v>
      </c>
      <c r="B345">
        <v>2.64</v>
      </c>
      <c r="C345" t="s">
        <v>5845</v>
      </c>
      <c r="D345" t="s">
        <v>4308</v>
      </c>
      <c r="E345" t="s">
        <v>108</v>
      </c>
    </row>
    <row r="346" spans="1:5">
      <c r="A346" t="s">
        <v>5846</v>
      </c>
      <c r="B346">
        <v>2.72</v>
      </c>
      <c r="C346" t="s">
        <v>5645</v>
      </c>
      <c r="D346" t="s">
        <v>5847</v>
      </c>
      <c r="E346" t="s">
        <v>108</v>
      </c>
    </row>
    <row r="347" spans="1:5">
      <c r="A347" t="s">
        <v>5848</v>
      </c>
      <c r="B347">
        <v>2.72</v>
      </c>
      <c r="C347" t="s">
        <v>5645</v>
      </c>
      <c r="D347" t="s">
        <v>5847</v>
      </c>
      <c r="E347" t="s">
        <v>108</v>
      </c>
    </row>
    <row r="348" spans="1:5">
      <c r="A348" t="s">
        <v>8155</v>
      </c>
      <c r="B348">
        <v>2.7</v>
      </c>
      <c r="C348" t="s">
        <v>108</v>
      </c>
      <c r="D348" t="s">
        <v>108</v>
      </c>
      <c r="E348" t="s">
        <v>108</v>
      </c>
    </row>
    <row r="349" spans="1:5">
      <c r="A349" t="s">
        <v>5849</v>
      </c>
      <c r="B349">
        <v>2.7</v>
      </c>
      <c r="C349" t="s">
        <v>2515</v>
      </c>
      <c r="D349" t="s">
        <v>5618</v>
      </c>
      <c r="E349" t="s">
        <v>108</v>
      </c>
    </row>
    <row r="350" spans="1:5">
      <c r="A350" t="s">
        <v>5850</v>
      </c>
      <c r="B350">
        <v>2.69</v>
      </c>
      <c r="C350" t="s">
        <v>2690</v>
      </c>
      <c r="D350" t="s">
        <v>5847</v>
      </c>
      <c r="E350" t="s">
        <v>108</v>
      </c>
    </row>
    <row r="351" spans="1:5">
      <c r="A351" t="s">
        <v>5851</v>
      </c>
      <c r="B351">
        <v>2.5</v>
      </c>
      <c r="C351" t="s">
        <v>2455</v>
      </c>
      <c r="D351" t="s">
        <v>5618</v>
      </c>
      <c r="E351" t="s">
        <v>108</v>
      </c>
    </row>
    <row r="352" spans="1:5">
      <c r="A352" t="s">
        <v>5852</v>
      </c>
      <c r="B352">
        <v>2.5</v>
      </c>
      <c r="C352" t="s">
        <v>2515</v>
      </c>
      <c r="D352" t="s">
        <v>5618</v>
      </c>
      <c r="E352" t="s">
        <v>108</v>
      </c>
    </row>
    <row r="353" spans="1:5">
      <c r="A353" t="s">
        <v>5853</v>
      </c>
      <c r="B353">
        <v>2.7</v>
      </c>
      <c r="C353" t="s">
        <v>2609</v>
      </c>
      <c r="D353" t="s">
        <v>5618</v>
      </c>
      <c r="E353" t="s">
        <v>108</v>
      </c>
    </row>
    <row r="354" spans="1:5">
      <c r="A354" t="s">
        <v>5854</v>
      </c>
      <c r="B354">
        <v>3.05</v>
      </c>
      <c r="C354" t="s">
        <v>5855</v>
      </c>
      <c r="D354" t="s">
        <v>4308</v>
      </c>
      <c r="E354" t="s">
        <v>108</v>
      </c>
    </row>
    <row r="355" spans="1:5">
      <c r="A355" t="s">
        <v>5856</v>
      </c>
      <c r="B355">
        <v>2.9</v>
      </c>
      <c r="C355" t="s">
        <v>2636</v>
      </c>
      <c r="D355" t="s">
        <v>5618</v>
      </c>
      <c r="E355" t="s">
        <v>108</v>
      </c>
    </row>
    <row r="356" spans="1:5">
      <c r="A356" t="s">
        <v>5857</v>
      </c>
      <c r="B356">
        <v>2.7</v>
      </c>
      <c r="C356" t="s">
        <v>108</v>
      </c>
      <c r="D356" t="s">
        <v>5618</v>
      </c>
      <c r="E356" t="s">
        <v>108</v>
      </c>
    </row>
    <row r="357" spans="1:5">
      <c r="A357" t="s">
        <v>5858</v>
      </c>
      <c r="B357">
        <v>2.7</v>
      </c>
      <c r="C357" t="s">
        <v>2421</v>
      </c>
      <c r="D357" t="s">
        <v>5618</v>
      </c>
      <c r="E357" t="s">
        <v>108</v>
      </c>
    </row>
    <row r="358" spans="1:5">
      <c r="A358" t="s">
        <v>5859</v>
      </c>
      <c r="B358">
        <v>2.7</v>
      </c>
      <c r="C358" t="s">
        <v>2464</v>
      </c>
      <c r="D358" t="s">
        <v>5841</v>
      </c>
      <c r="E358" t="s">
        <v>108</v>
      </c>
    </row>
    <row r="359" spans="1:5">
      <c r="A359" t="s">
        <v>5860</v>
      </c>
      <c r="B359">
        <v>2.6</v>
      </c>
      <c r="C359" t="s">
        <v>3022</v>
      </c>
      <c r="D359" t="s">
        <v>5618</v>
      </c>
      <c r="E359" t="s">
        <v>108</v>
      </c>
    </row>
    <row r="360" spans="1:5">
      <c r="A360" t="s">
        <v>5861</v>
      </c>
      <c r="B360">
        <v>1.62</v>
      </c>
      <c r="C360" t="s">
        <v>2421</v>
      </c>
      <c r="D360" t="s">
        <v>5606</v>
      </c>
      <c r="E360" t="s">
        <v>108</v>
      </c>
    </row>
    <row r="361" spans="1:5">
      <c r="A361" t="s">
        <v>5862</v>
      </c>
      <c r="B361">
        <v>2.85</v>
      </c>
      <c r="C361" t="s">
        <v>4501</v>
      </c>
      <c r="D361" t="s">
        <v>5821</v>
      </c>
      <c r="E361" t="s">
        <v>108</v>
      </c>
    </row>
    <row r="362" spans="1:5">
      <c r="A362" t="s">
        <v>5863</v>
      </c>
      <c r="B362">
        <v>2.81</v>
      </c>
      <c r="C362" t="s">
        <v>3863</v>
      </c>
      <c r="D362" t="s">
        <v>4308</v>
      </c>
      <c r="E362" t="s">
        <v>108</v>
      </c>
    </row>
    <row r="363" spans="1:5">
      <c r="A363" t="s">
        <v>5864</v>
      </c>
      <c r="B363">
        <v>2.7</v>
      </c>
      <c r="C363" t="s">
        <v>2636</v>
      </c>
      <c r="D363" t="s">
        <v>5865</v>
      </c>
      <c r="E363" t="s">
        <v>108</v>
      </c>
    </row>
    <row r="364" spans="1:5">
      <c r="A364" t="s">
        <v>5866</v>
      </c>
      <c r="B364">
        <v>2.1</v>
      </c>
      <c r="C364" t="s">
        <v>2568</v>
      </c>
      <c r="D364" t="s">
        <v>5865</v>
      </c>
      <c r="E364" t="s">
        <v>108</v>
      </c>
    </row>
    <row r="365" spans="1:5">
      <c r="A365" t="s">
        <v>5867</v>
      </c>
      <c r="B365">
        <v>2.7</v>
      </c>
      <c r="C365" t="s">
        <v>2470</v>
      </c>
      <c r="D365" t="s">
        <v>5618</v>
      </c>
      <c r="E365" t="s">
        <v>108</v>
      </c>
    </row>
    <row r="366" spans="1:5">
      <c r="A366" t="s">
        <v>8156</v>
      </c>
      <c r="B366">
        <v>2.7</v>
      </c>
      <c r="C366" t="s">
        <v>108</v>
      </c>
      <c r="D366" t="s">
        <v>108</v>
      </c>
      <c r="E366" t="s">
        <v>108</v>
      </c>
    </row>
    <row r="367" spans="1:5">
      <c r="A367" t="s">
        <v>5868</v>
      </c>
      <c r="B367">
        <v>2.7</v>
      </c>
      <c r="C367" t="s">
        <v>2632</v>
      </c>
      <c r="D367" t="s">
        <v>5865</v>
      </c>
      <c r="E367" t="s">
        <v>108</v>
      </c>
    </row>
    <row r="368" spans="1:5">
      <c r="A368" t="s">
        <v>5869</v>
      </c>
      <c r="B368">
        <v>2.7</v>
      </c>
      <c r="C368" t="s">
        <v>2568</v>
      </c>
      <c r="D368" t="s">
        <v>5618</v>
      </c>
      <c r="E368" t="s">
        <v>108</v>
      </c>
    </row>
    <row r="369" spans="1:5">
      <c r="A369" t="s">
        <v>5870</v>
      </c>
      <c r="B369">
        <v>3.16</v>
      </c>
      <c r="C369" t="s">
        <v>4904</v>
      </c>
      <c r="D369" t="s">
        <v>4308</v>
      </c>
      <c r="E369" t="s">
        <v>108</v>
      </c>
    </row>
    <row r="370" spans="1:5">
      <c r="A370" t="s">
        <v>5871</v>
      </c>
      <c r="B370">
        <v>2.9</v>
      </c>
      <c r="C370" t="s">
        <v>2604</v>
      </c>
      <c r="D370" t="s">
        <v>5618</v>
      </c>
      <c r="E370" t="s">
        <v>108</v>
      </c>
    </row>
    <row r="371" spans="1:5">
      <c r="A371" t="s">
        <v>5872</v>
      </c>
      <c r="B371">
        <v>2.9</v>
      </c>
      <c r="C371" t="s">
        <v>5873</v>
      </c>
      <c r="D371" t="s">
        <v>5618</v>
      </c>
      <c r="E371" t="s">
        <v>108</v>
      </c>
    </row>
    <row r="372" spans="1:5">
      <c r="A372" t="s">
        <v>5874</v>
      </c>
      <c r="B372">
        <v>2.7</v>
      </c>
      <c r="C372" t="s">
        <v>2609</v>
      </c>
      <c r="D372" t="s">
        <v>5841</v>
      </c>
      <c r="E372" t="s">
        <v>108</v>
      </c>
    </row>
    <row r="373" spans="1:5">
      <c r="A373" t="s">
        <v>5875</v>
      </c>
      <c r="B373">
        <v>2.8</v>
      </c>
      <c r="C373" t="s">
        <v>2636</v>
      </c>
      <c r="D373" t="s">
        <v>5865</v>
      </c>
      <c r="E373" t="s">
        <v>108</v>
      </c>
    </row>
    <row r="374" spans="1:5">
      <c r="A374" t="s">
        <v>5876</v>
      </c>
      <c r="B374">
        <v>2.7</v>
      </c>
      <c r="C374" t="s">
        <v>2570</v>
      </c>
      <c r="D374" t="s">
        <v>5618</v>
      </c>
      <c r="E374" t="s">
        <v>108</v>
      </c>
    </row>
    <row r="375" spans="1:5">
      <c r="A375" t="s">
        <v>5877</v>
      </c>
      <c r="B375">
        <v>2.7</v>
      </c>
      <c r="C375" t="s">
        <v>2573</v>
      </c>
      <c r="D375" t="s">
        <v>5835</v>
      </c>
      <c r="E375" t="s">
        <v>108</v>
      </c>
    </row>
    <row r="376" spans="1:5">
      <c r="A376" t="s">
        <v>5878</v>
      </c>
      <c r="B376">
        <v>2.7</v>
      </c>
      <c r="C376" t="s">
        <v>5879</v>
      </c>
      <c r="D376" t="s">
        <v>5841</v>
      </c>
      <c r="E376" t="s">
        <v>108</v>
      </c>
    </row>
    <row r="377" spans="1:5">
      <c r="A377" t="s">
        <v>5880</v>
      </c>
      <c r="B377">
        <v>2.75</v>
      </c>
      <c r="C377" t="s">
        <v>3370</v>
      </c>
      <c r="D377" t="s">
        <v>4308</v>
      </c>
      <c r="E377" t="s">
        <v>108</v>
      </c>
    </row>
    <row r="378" spans="1:5">
      <c r="A378" t="s">
        <v>5881</v>
      </c>
      <c r="B378">
        <v>2.7</v>
      </c>
      <c r="C378" t="s">
        <v>5882</v>
      </c>
      <c r="D378" t="s">
        <v>5835</v>
      </c>
      <c r="E378" t="s">
        <v>108</v>
      </c>
    </row>
    <row r="379" spans="1:5">
      <c r="A379" t="s">
        <v>5883</v>
      </c>
      <c r="B379">
        <v>2.7</v>
      </c>
      <c r="C379" t="s">
        <v>5884</v>
      </c>
      <c r="D379" t="s">
        <v>5835</v>
      </c>
      <c r="E379" t="s">
        <v>108</v>
      </c>
    </row>
    <row r="380" spans="1:5">
      <c r="A380" t="s">
        <v>5885</v>
      </c>
      <c r="B380">
        <v>2.7</v>
      </c>
      <c r="C380" t="s">
        <v>2464</v>
      </c>
      <c r="D380" t="s">
        <v>5835</v>
      </c>
      <c r="E380" t="s">
        <v>108</v>
      </c>
    </row>
    <row r="381" spans="1:5">
      <c r="A381" t="s">
        <v>5886</v>
      </c>
      <c r="B381">
        <v>2.1</v>
      </c>
      <c r="C381" t="s">
        <v>108</v>
      </c>
      <c r="D381" t="s">
        <v>5618</v>
      </c>
      <c r="E381" t="s">
        <v>108</v>
      </c>
    </row>
    <row r="382" spans="1:5">
      <c r="A382" t="s">
        <v>5887</v>
      </c>
      <c r="B382">
        <v>2.7</v>
      </c>
      <c r="C382" t="s">
        <v>2627</v>
      </c>
      <c r="D382" t="s">
        <v>5835</v>
      </c>
      <c r="E382" t="s">
        <v>108</v>
      </c>
    </row>
    <row r="383" spans="1:5">
      <c r="A383" t="s">
        <v>5888</v>
      </c>
      <c r="B383">
        <v>2.2000000000000002</v>
      </c>
      <c r="C383" t="s">
        <v>2470</v>
      </c>
      <c r="D383" t="s">
        <v>5865</v>
      </c>
      <c r="E383" t="s">
        <v>108</v>
      </c>
    </row>
    <row r="384" spans="1:5">
      <c r="A384" t="s">
        <v>5889</v>
      </c>
      <c r="B384">
        <v>2.7</v>
      </c>
      <c r="C384" t="s">
        <v>2612</v>
      </c>
      <c r="D384" t="s">
        <v>5618</v>
      </c>
      <c r="E384" t="s">
        <v>108</v>
      </c>
    </row>
    <row r="385" spans="1:5">
      <c r="A385" t="s">
        <v>5890</v>
      </c>
      <c r="B385">
        <v>2.7</v>
      </c>
      <c r="C385" t="s">
        <v>2484</v>
      </c>
      <c r="D385" t="s">
        <v>5618</v>
      </c>
      <c r="E385" t="s">
        <v>108</v>
      </c>
    </row>
    <row r="386" spans="1:5">
      <c r="A386" t="s">
        <v>5891</v>
      </c>
      <c r="B386">
        <v>3.11</v>
      </c>
      <c r="C386" t="s">
        <v>5892</v>
      </c>
      <c r="D386" t="s">
        <v>5893</v>
      </c>
      <c r="E386" t="s">
        <v>108</v>
      </c>
    </row>
    <row r="387" spans="1:5">
      <c r="A387" t="s">
        <v>5894</v>
      </c>
      <c r="B387">
        <v>3.03</v>
      </c>
      <c r="C387" t="s">
        <v>5895</v>
      </c>
      <c r="D387" t="s">
        <v>5893</v>
      </c>
      <c r="E387" t="s">
        <v>5896</v>
      </c>
    </row>
    <row r="388" spans="1:5">
      <c r="A388" t="s">
        <v>5897</v>
      </c>
      <c r="B388">
        <v>2.77</v>
      </c>
      <c r="C388" t="s">
        <v>3166</v>
      </c>
      <c r="D388" t="s">
        <v>4308</v>
      </c>
      <c r="E388" t="s">
        <v>108</v>
      </c>
    </row>
    <row r="389" spans="1:5">
      <c r="A389" t="s">
        <v>5898</v>
      </c>
      <c r="B389">
        <v>2.86</v>
      </c>
      <c r="C389" t="s">
        <v>3863</v>
      </c>
      <c r="D389" t="s">
        <v>5899</v>
      </c>
      <c r="E389" t="s">
        <v>108</v>
      </c>
    </row>
    <row r="390" spans="1:5">
      <c r="A390" t="s">
        <v>5900</v>
      </c>
      <c r="B390">
        <v>3.1</v>
      </c>
      <c r="C390" t="s">
        <v>5901</v>
      </c>
      <c r="D390" t="s">
        <v>5821</v>
      </c>
      <c r="E390" t="s">
        <v>108</v>
      </c>
    </row>
    <row r="391" spans="1:5">
      <c r="A391" t="s">
        <v>5902</v>
      </c>
      <c r="B391">
        <v>3.15</v>
      </c>
      <c r="C391" t="s">
        <v>2484</v>
      </c>
      <c r="D391" t="s">
        <v>5821</v>
      </c>
      <c r="E391" t="s">
        <v>108</v>
      </c>
    </row>
    <row r="392" spans="1:5">
      <c r="A392" t="s">
        <v>5903</v>
      </c>
      <c r="B392">
        <v>2.69</v>
      </c>
      <c r="C392" t="s">
        <v>3022</v>
      </c>
      <c r="D392" t="s">
        <v>5618</v>
      </c>
      <c r="E392" t="s">
        <v>108</v>
      </c>
    </row>
    <row r="393" spans="1:5">
      <c r="A393" t="s">
        <v>5904</v>
      </c>
      <c r="B393">
        <v>2.7</v>
      </c>
      <c r="C393" t="s">
        <v>2484</v>
      </c>
      <c r="D393" t="s">
        <v>5865</v>
      </c>
      <c r="E393" t="s">
        <v>108</v>
      </c>
    </row>
    <row r="394" spans="1:5">
      <c r="A394" t="s">
        <v>5905</v>
      </c>
      <c r="B394">
        <v>2.7</v>
      </c>
      <c r="C394" t="s">
        <v>5906</v>
      </c>
      <c r="D394" t="s">
        <v>5835</v>
      </c>
      <c r="E394" t="s">
        <v>108</v>
      </c>
    </row>
    <row r="395" spans="1:5">
      <c r="A395" t="s">
        <v>5907</v>
      </c>
      <c r="B395">
        <v>2.7</v>
      </c>
      <c r="C395" t="s">
        <v>2632</v>
      </c>
      <c r="D395" t="s">
        <v>5618</v>
      </c>
      <c r="E395" t="s">
        <v>108</v>
      </c>
    </row>
    <row r="396" spans="1:5">
      <c r="A396" t="s">
        <v>5908</v>
      </c>
      <c r="B396">
        <v>2.2000000000000002</v>
      </c>
      <c r="C396" t="s">
        <v>4501</v>
      </c>
      <c r="D396" t="s">
        <v>5618</v>
      </c>
      <c r="E396" t="s">
        <v>108</v>
      </c>
    </row>
    <row r="397" spans="1:5">
      <c r="A397" t="s">
        <v>5909</v>
      </c>
      <c r="B397">
        <v>2.2000000000000002</v>
      </c>
      <c r="C397" t="s">
        <v>108</v>
      </c>
      <c r="D397" t="s">
        <v>5821</v>
      </c>
      <c r="E397" t="s">
        <v>108</v>
      </c>
    </row>
    <row r="398" spans="1:5">
      <c r="A398" t="s">
        <v>5910</v>
      </c>
      <c r="B398">
        <v>1.5</v>
      </c>
      <c r="C398" t="s">
        <v>3954</v>
      </c>
      <c r="D398" t="s">
        <v>5911</v>
      </c>
      <c r="E398" t="s">
        <v>108</v>
      </c>
    </row>
    <row r="399" spans="1:5">
      <c r="A399" t="s">
        <v>5912</v>
      </c>
      <c r="B399">
        <v>2</v>
      </c>
      <c r="C399" t="s">
        <v>3166</v>
      </c>
      <c r="D399" t="s">
        <v>5911</v>
      </c>
      <c r="E399" t="s">
        <v>108</v>
      </c>
    </row>
    <row r="400" spans="1:5">
      <c r="A400" t="s">
        <v>5913</v>
      </c>
      <c r="B400">
        <v>2</v>
      </c>
      <c r="C400" t="s">
        <v>3166</v>
      </c>
      <c r="D400" t="s">
        <v>5911</v>
      </c>
      <c r="E400" t="s">
        <v>108</v>
      </c>
    </row>
    <row r="401" spans="1:5">
      <c r="A401" t="s">
        <v>5914</v>
      </c>
      <c r="B401">
        <v>2</v>
      </c>
      <c r="C401" t="s">
        <v>3166</v>
      </c>
      <c r="D401" t="s">
        <v>5911</v>
      </c>
      <c r="E401" t="s">
        <v>108</v>
      </c>
    </row>
    <row r="402" spans="1:5">
      <c r="A402" t="s">
        <v>5915</v>
      </c>
      <c r="B402">
        <v>2.2999999999999998</v>
      </c>
      <c r="C402" t="s">
        <v>2397</v>
      </c>
      <c r="D402" t="s">
        <v>5916</v>
      </c>
      <c r="E402" t="s">
        <v>108</v>
      </c>
    </row>
    <row r="403" spans="1:5">
      <c r="A403" t="s">
        <v>5917</v>
      </c>
      <c r="B403">
        <v>2.2999999999999998</v>
      </c>
      <c r="C403" t="s">
        <v>2410</v>
      </c>
      <c r="D403" t="s">
        <v>5916</v>
      </c>
      <c r="E403" t="s">
        <v>108</v>
      </c>
    </row>
    <row r="404" spans="1:5">
      <c r="A404" t="s">
        <v>5918</v>
      </c>
      <c r="B404">
        <v>2.8</v>
      </c>
      <c r="C404" t="s">
        <v>2397</v>
      </c>
      <c r="D404" t="s">
        <v>5505</v>
      </c>
      <c r="E404" t="s">
        <v>108</v>
      </c>
    </row>
    <row r="405" spans="1:5">
      <c r="A405" t="s">
        <v>5919</v>
      </c>
      <c r="B405">
        <v>1.4</v>
      </c>
      <c r="C405" t="s">
        <v>2888</v>
      </c>
      <c r="D405" t="s">
        <v>5584</v>
      </c>
      <c r="E405" t="s">
        <v>108</v>
      </c>
    </row>
    <row r="406" spans="1:5">
      <c r="A406" t="s">
        <v>5920</v>
      </c>
      <c r="B406">
        <v>1.9</v>
      </c>
      <c r="C406" t="s">
        <v>2397</v>
      </c>
      <c r="D406" t="s">
        <v>5505</v>
      </c>
      <c r="E406" t="s">
        <v>108</v>
      </c>
    </row>
    <row r="407" spans="1:5">
      <c r="A407" t="s">
        <v>5921</v>
      </c>
      <c r="B407">
        <v>1.9</v>
      </c>
      <c r="C407" t="s">
        <v>2410</v>
      </c>
      <c r="D407" t="s">
        <v>5505</v>
      </c>
      <c r="E407" t="s">
        <v>108</v>
      </c>
    </row>
    <row r="408" spans="1:5">
      <c r="A408" t="s">
        <v>5922</v>
      </c>
      <c r="B408">
        <v>2.2999999999999998</v>
      </c>
      <c r="C408" t="s">
        <v>2410</v>
      </c>
      <c r="D408" t="s">
        <v>5916</v>
      </c>
      <c r="E408" t="s">
        <v>108</v>
      </c>
    </row>
    <row r="409" spans="1:5">
      <c r="A409" t="s">
        <v>5923</v>
      </c>
      <c r="B409">
        <v>2.5</v>
      </c>
      <c r="C409" t="s">
        <v>2983</v>
      </c>
      <c r="D409" t="s">
        <v>5505</v>
      </c>
      <c r="E409" t="s">
        <v>108</v>
      </c>
    </row>
    <row r="410" spans="1:5">
      <c r="A410" t="s">
        <v>5924</v>
      </c>
      <c r="B410">
        <v>2.68</v>
      </c>
      <c r="C410" t="s">
        <v>2783</v>
      </c>
      <c r="D410" t="s">
        <v>5505</v>
      </c>
      <c r="E410" t="s">
        <v>108</v>
      </c>
    </row>
    <row r="411" spans="1:5">
      <c r="A411" t="s">
        <v>5925</v>
      </c>
      <c r="B411">
        <v>2.8</v>
      </c>
      <c r="C411" t="s">
        <v>2410</v>
      </c>
      <c r="D411" t="s">
        <v>5505</v>
      </c>
      <c r="E411" t="s">
        <v>108</v>
      </c>
    </row>
    <row r="412" spans="1:5">
      <c r="A412" t="s">
        <v>5926</v>
      </c>
      <c r="B412">
        <v>2.5</v>
      </c>
      <c r="C412" t="s">
        <v>2464</v>
      </c>
      <c r="D412" t="s">
        <v>5505</v>
      </c>
      <c r="E412" t="s">
        <v>108</v>
      </c>
    </row>
    <row r="413" spans="1:5">
      <c r="A413" t="s">
        <v>5927</v>
      </c>
      <c r="B413">
        <v>2.5</v>
      </c>
      <c r="C413" t="s">
        <v>2410</v>
      </c>
      <c r="D413" t="s">
        <v>5821</v>
      </c>
      <c r="E413" t="s">
        <v>108</v>
      </c>
    </row>
    <row r="414" spans="1:5">
      <c r="A414" t="s">
        <v>5928</v>
      </c>
      <c r="B414">
        <v>2.5</v>
      </c>
      <c r="C414" t="s">
        <v>2985</v>
      </c>
      <c r="D414" t="s">
        <v>5505</v>
      </c>
      <c r="E414" t="s">
        <v>108</v>
      </c>
    </row>
    <row r="415" spans="1:5">
      <c r="A415" t="s">
        <v>5929</v>
      </c>
      <c r="B415">
        <v>2.2999999999999998</v>
      </c>
      <c r="C415" t="s">
        <v>2397</v>
      </c>
      <c r="D415" t="s">
        <v>5916</v>
      </c>
      <c r="E415" t="s">
        <v>108</v>
      </c>
    </row>
    <row r="416" spans="1:5">
      <c r="A416" t="s">
        <v>5930</v>
      </c>
      <c r="B416">
        <v>2.8</v>
      </c>
      <c r="C416" t="s">
        <v>2397</v>
      </c>
      <c r="D416" t="s">
        <v>5505</v>
      </c>
      <c r="E416" t="s">
        <v>108</v>
      </c>
    </row>
    <row r="417" spans="1:5">
      <c r="A417" t="s">
        <v>5931</v>
      </c>
      <c r="B417">
        <v>2.8</v>
      </c>
      <c r="C417" t="s">
        <v>2397</v>
      </c>
      <c r="D417" t="s">
        <v>5505</v>
      </c>
      <c r="E417" t="s">
        <v>108</v>
      </c>
    </row>
    <row r="418" spans="1:5">
      <c r="A418" t="s">
        <v>5932</v>
      </c>
      <c r="B418">
        <v>2.95</v>
      </c>
      <c r="C418" t="s">
        <v>4388</v>
      </c>
      <c r="D418" t="s">
        <v>4308</v>
      </c>
      <c r="E418" t="s">
        <v>108</v>
      </c>
    </row>
    <row r="419" spans="1:5">
      <c r="A419" t="s">
        <v>5933</v>
      </c>
      <c r="B419">
        <v>2.8</v>
      </c>
      <c r="C419" t="s">
        <v>2985</v>
      </c>
      <c r="D419" t="s">
        <v>5618</v>
      </c>
      <c r="E419" t="s">
        <v>108</v>
      </c>
    </row>
    <row r="420" spans="1:5">
      <c r="A420" t="s">
        <v>5934</v>
      </c>
      <c r="B420">
        <v>2.8</v>
      </c>
      <c r="C420" t="s">
        <v>3039</v>
      </c>
      <c r="D420" t="s">
        <v>5618</v>
      </c>
      <c r="E420" t="s">
        <v>108</v>
      </c>
    </row>
    <row r="421" spans="1:5">
      <c r="A421" t="s">
        <v>8157</v>
      </c>
      <c r="B421">
        <v>2.8</v>
      </c>
      <c r="C421" t="s">
        <v>108</v>
      </c>
      <c r="D421" t="s">
        <v>108</v>
      </c>
      <c r="E421" t="s">
        <v>108</v>
      </c>
    </row>
    <row r="422" spans="1:5">
      <c r="A422" t="s">
        <v>5935</v>
      </c>
      <c r="B422">
        <v>2.8</v>
      </c>
      <c r="C422" t="s">
        <v>2470</v>
      </c>
      <c r="D422" t="s">
        <v>5618</v>
      </c>
      <c r="E422" t="s">
        <v>108</v>
      </c>
    </row>
    <row r="423" spans="1:5">
      <c r="A423" t="s">
        <v>5936</v>
      </c>
      <c r="B423">
        <v>2.78</v>
      </c>
      <c r="C423" t="s">
        <v>2410</v>
      </c>
      <c r="D423" t="s">
        <v>5937</v>
      </c>
      <c r="E423" t="s">
        <v>108</v>
      </c>
    </row>
    <row r="424" spans="1:5">
      <c r="A424" t="s">
        <v>5938</v>
      </c>
      <c r="B424">
        <v>2.8</v>
      </c>
      <c r="C424" t="s">
        <v>2632</v>
      </c>
      <c r="D424" t="s">
        <v>5618</v>
      </c>
      <c r="E424" t="s">
        <v>108</v>
      </c>
    </row>
    <row r="425" spans="1:5">
      <c r="A425" t="s">
        <v>5939</v>
      </c>
      <c r="B425">
        <v>2.8</v>
      </c>
      <c r="C425" t="s">
        <v>2484</v>
      </c>
      <c r="D425" t="s">
        <v>5618</v>
      </c>
      <c r="E425" t="s">
        <v>108</v>
      </c>
    </row>
    <row r="426" spans="1:5">
      <c r="A426" t="s">
        <v>5940</v>
      </c>
      <c r="B426">
        <v>2.7</v>
      </c>
      <c r="C426" t="s">
        <v>5941</v>
      </c>
      <c r="D426" t="s">
        <v>5937</v>
      </c>
      <c r="E426" t="s">
        <v>108</v>
      </c>
    </row>
    <row r="427" spans="1:5">
      <c r="A427" t="s">
        <v>5942</v>
      </c>
      <c r="B427">
        <v>2.72</v>
      </c>
      <c r="C427" t="s">
        <v>3083</v>
      </c>
      <c r="D427" t="s">
        <v>5937</v>
      </c>
      <c r="E427" t="s">
        <v>108</v>
      </c>
    </row>
    <row r="428" spans="1:5">
      <c r="A428" t="s">
        <v>5943</v>
      </c>
      <c r="B428">
        <v>2.8</v>
      </c>
      <c r="C428" t="s">
        <v>2576</v>
      </c>
      <c r="D428" t="s">
        <v>5618</v>
      </c>
      <c r="E428" t="s">
        <v>108</v>
      </c>
    </row>
    <row r="429" spans="1:5">
      <c r="A429" t="s">
        <v>5944</v>
      </c>
      <c r="B429">
        <v>1.6</v>
      </c>
      <c r="C429" t="s">
        <v>3954</v>
      </c>
      <c r="D429" t="s">
        <v>5945</v>
      </c>
      <c r="E429" t="s">
        <v>108</v>
      </c>
    </row>
    <row r="430" spans="1:5">
      <c r="A430" t="s">
        <v>5946</v>
      </c>
      <c r="B430">
        <v>1.6</v>
      </c>
      <c r="C430" t="s">
        <v>3954</v>
      </c>
      <c r="D430" t="s">
        <v>5945</v>
      </c>
      <c r="E430" t="s">
        <v>108</v>
      </c>
    </row>
    <row r="431" spans="1:5">
      <c r="A431" t="s">
        <v>5947</v>
      </c>
      <c r="B431">
        <v>1.6</v>
      </c>
      <c r="C431" t="s">
        <v>3166</v>
      </c>
      <c r="D431" t="s">
        <v>5945</v>
      </c>
      <c r="E431" t="s">
        <v>108</v>
      </c>
    </row>
    <row r="432" spans="1:5">
      <c r="A432" t="s">
        <v>5948</v>
      </c>
      <c r="B432">
        <v>1.6</v>
      </c>
      <c r="C432" t="s">
        <v>3954</v>
      </c>
      <c r="D432" t="s">
        <v>5945</v>
      </c>
      <c r="E432" t="s">
        <v>108</v>
      </c>
    </row>
    <row r="433" spans="1:5">
      <c r="A433" t="s">
        <v>5949</v>
      </c>
      <c r="B433">
        <v>1.6</v>
      </c>
      <c r="C433" t="s">
        <v>3166</v>
      </c>
      <c r="D433" t="s">
        <v>5945</v>
      </c>
      <c r="E433" t="s">
        <v>108</v>
      </c>
    </row>
    <row r="434" spans="1:5">
      <c r="A434" t="s">
        <v>5950</v>
      </c>
      <c r="B434">
        <v>1.6</v>
      </c>
      <c r="C434" t="s">
        <v>3954</v>
      </c>
      <c r="D434" t="s">
        <v>5945</v>
      </c>
      <c r="E434" t="s">
        <v>108</v>
      </c>
    </row>
    <row r="435" spans="1:5">
      <c r="A435" t="s">
        <v>5951</v>
      </c>
      <c r="B435">
        <v>1.6</v>
      </c>
      <c r="C435" t="s">
        <v>3954</v>
      </c>
      <c r="D435" t="s">
        <v>5945</v>
      </c>
      <c r="E435" t="s">
        <v>108</v>
      </c>
    </row>
    <row r="436" spans="1:5">
      <c r="A436" t="s">
        <v>5952</v>
      </c>
      <c r="B436">
        <v>1.8</v>
      </c>
      <c r="C436" t="s">
        <v>3166</v>
      </c>
      <c r="D436" t="s">
        <v>5606</v>
      </c>
      <c r="E436" t="s">
        <v>108</v>
      </c>
    </row>
    <row r="437" spans="1:5">
      <c r="A437" t="s">
        <v>5953</v>
      </c>
      <c r="B437">
        <v>1.6</v>
      </c>
      <c r="C437" t="s">
        <v>3166</v>
      </c>
      <c r="D437" t="s">
        <v>5945</v>
      </c>
      <c r="E437" t="s">
        <v>108</v>
      </c>
    </row>
    <row r="438" spans="1:5">
      <c r="A438" t="s">
        <v>5954</v>
      </c>
      <c r="B438">
        <v>1.8</v>
      </c>
      <c r="C438" t="s">
        <v>3954</v>
      </c>
      <c r="D438" t="s">
        <v>5606</v>
      </c>
      <c r="E438" t="s">
        <v>108</v>
      </c>
    </row>
    <row r="439" spans="1:5">
      <c r="A439" t="s">
        <v>5955</v>
      </c>
      <c r="B439">
        <v>1.8</v>
      </c>
      <c r="C439" t="s">
        <v>3166</v>
      </c>
      <c r="D439" t="s">
        <v>5606</v>
      </c>
      <c r="E439" t="s">
        <v>108</v>
      </c>
    </row>
    <row r="440" spans="1:5">
      <c r="A440" t="s">
        <v>5956</v>
      </c>
      <c r="B440">
        <v>1.6</v>
      </c>
      <c r="C440" t="s">
        <v>3166</v>
      </c>
      <c r="D440" t="s">
        <v>5945</v>
      </c>
      <c r="E440" t="s">
        <v>108</v>
      </c>
    </row>
    <row r="441" spans="1:5">
      <c r="A441" t="s">
        <v>5957</v>
      </c>
      <c r="B441">
        <v>1.7</v>
      </c>
      <c r="C441" t="s">
        <v>108</v>
      </c>
      <c r="D441" t="s">
        <v>5606</v>
      </c>
      <c r="E441" t="s">
        <v>108</v>
      </c>
    </row>
    <row r="442" spans="1:5">
      <c r="A442" t="s">
        <v>5958</v>
      </c>
      <c r="B442">
        <v>1.77</v>
      </c>
      <c r="C442" t="s">
        <v>3863</v>
      </c>
      <c r="D442" t="s">
        <v>5606</v>
      </c>
      <c r="E442" t="s">
        <v>108</v>
      </c>
    </row>
    <row r="443" spans="1:5">
      <c r="A443" t="s">
        <v>5959</v>
      </c>
      <c r="B443">
        <v>1.75</v>
      </c>
      <c r="C443" t="s">
        <v>3954</v>
      </c>
      <c r="D443" t="s">
        <v>5606</v>
      </c>
      <c r="E443" t="s">
        <v>108</v>
      </c>
    </row>
    <row r="444" spans="1:5">
      <c r="A444" t="s">
        <v>5960</v>
      </c>
      <c r="B444">
        <v>1.75</v>
      </c>
      <c r="C444" t="s">
        <v>3166</v>
      </c>
      <c r="D444" t="s">
        <v>5606</v>
      </c>
      <c r="E444" t="s">
        <v>108</v>
      </c>
    </row>
    <row r="445" spans="1:5">
      <c r="A445" t="s">
        <v>5961</v>
      </c>
      <c r="B445">
        <v>1.7</v>
      </c>
      <c r="C445" t="s">
        <v>3954</v>
      </c>
      <c r="D445" t="s">
        <v>5606</v>
      </c>
      <c r="E445" t="s">
        <v>108</v>
      </c>
    </row>
    <row r="446" spans="1:5">
      <c r="A446" t="s">
        <v>5962</v>
      </c>
      <c r="B446">
        <v>1.75</v>
      </c>
      <c r="C446" t="s">
        <v>3166</v>
      </c>
      <c r="D446" t="s">
        <v>5606</v>
      </c>
      <c r="E446" t="s">
        <v>108</v>
      </c>
    </row>
    <row r="447" spans="1:5">
      <c r="A447" t="s">
        <v>5963</v>
      </c>
      <c r="B447">
        <v>1.75</v>
      </c>
      <c r="C447" t="s">
        <v>3954</v>
      </c>
      <c r="D447" t="s">
        <v>5606</v>
      </c>
      <c r="E447" t="s">
        <v>108</v>
      </c>
    </row>
    <row r="448" spans="1:5">
      <c r="A448" t="s">
        <v>5964</v>
      </c>
      <c r="B448">
        <v>1.9</v>
      </c>
      <c r="C448" t="s">
        <v>3954</v>
      </c>
      <c r="D448" t="s">
        <v>5606</v>
      </c>
      <c r="E448" t="s">
        <v>108</v>
      </c>
    </row>
    <row r="449" spans="1:5">
      <c r="A449" t="s">
        <v>5965</v>
      </c>
      <c r="B449">
        <v>1.7</v>
      </c>
      <c r="C449" t="s">
        <v>3954</v>
      </c>
      <c r="D449" t="s">
        <v>5606</v>
      </c>
      <c r="E449" t="s">
        <v>108</v>
      </c>
    </row>
    <row r="450" spans="1:5">
      <c r="A450" t="s">
        <v>5966</v>
      </c>
      <c r="B450">
        <v>1.7</v>
      </c>
      <c r="C450" t="s">
        <v>3954</v>
      </c>
      <c r="D450" t="s">
        <v>5606</v>
      </c>
      <c r="E450" t="s">
        <v>108</v>
      </c>
    </row>
    <row r="451" spans="1:5">
      <c r="A451" t="s">
        <v>5967</v>
      </c>
      <c r="B451">
        <v>1.8</v>
      </c>
      <c r="C451" t="s">
        <v>108</v>
      </c>
      <c r="D451" t="s">
        <v>5606</v>
      </c>
      <c r="E451" t="s">
        <v>108</v>
      </c>
    </row>
    <row r="452" spans="1:5">
      <c r="A452" t="s">
        <v>5968</v>
      </c>
      <c r="B452">
        <v>1.75</v>
      </c>
      <c r="C452" t="s">
        <v>3954</v>
      </c>
      <c r="D452" t="s">
        <v>5606</v>
      </c>
      <c r="E452" t="s">
        <v>108</v>
      </c>
    </row>
    <row r="453" spans="1:5">
      <c r="A453" t="s">
        <v>5969</v>
      </c>
      <c r="B453">
        <v>1.8</v>
      </c>
      <c r="C453" t="s">
        <v>108</v>
      </c>
      <c r="D453" t="s">
        <v>5606</v>
      </c>
      <c r="E453" t="s">
        <v>108</v>
      </c>
    </row>
    <row r="454" spans="1:5">
      <c r="A454" t="s">
        <v>5970</v>
      </c>
      <c r="B454">
        <v>1.8</v>
      </c>
      <c r="C454" t="s">
        <v>108</v>
      </c>
      <c r="D454" t="s">
        <v>5606</v>
      </c>
      <c r="E454" t="s">
        <v>108</v>
      </c>
    </row>
    <row r="455" spans="1:5">
      <c r="A455" t="s">
        <v>5971</v>
      </c>
      <c r="B455">
        <v>1.75</v>
      </c>
      <c r="C455" t="s">
        <v>3166</v>
      </c>
      <c r="D455" t="s">
        <v>5606</v>
      </c>
      <c r="E455" t="s">
        <v>108</v>
      </c>
    </row>
    <row r="456" spans="1:5">
      <c r="A456" t="s">
        <v>5972</v>
      </c>
      <c r="B456">
        <v>1.7</v>
      </c>
      <c r="C456" t="s">
        <v>3954</v>
      </c>
      <c r="D456" t="s">
        <v>5606</v>
      </c>
      <c r="E456" t="s">
        <v>108</v>
      </c>
    </row>
    <row r="457" spans="1:5">
      <c r="A457" t="s">
        <v>5973</v>
      </c>
      <c r="B457">
        <v>1.85</v>
      </c>
      <c r="C457" t="s">
        <v>3954</v>
      </c>
      <c r="D457" t="s">
        <v>5606</v>
      </c>
      <c r="E457" t="s">
        <v>108</v>
      </c>
    </row>
    <row r="458" spans="1:5">
      <c r="A458" t="s">
        <v>5974</v>
      </c>
      <c r="B458">
        <v>1.85</v>
      </c>
      <c r="C458" t="s">
        <v>3954</v>
      </c>
      <c r="D458" t="s">
        <v>5606</v>
      </c>
      <c r="E458" t="s">
        <v>108</v>
      </c>
    </row>
    <row r="459" spans="1:5">
      <c r="A459" t="s">
        <v>5975</v>
      </c>
      <c r="B459">
        <v>1.85</v>
      </c>
      <c r="C459" t="s">
        <v>3166</v>
      </c>
      <c r="D459" t="s">
        <v>5606</v>
      </c>
      <c r="E459" t="s">
        <v>108</v>
      </c>
    </row>
    <row r="460" spans="1:5">
      <c r="A460" t="s">
        <v>5976</v>
      </c>
      <c r="B460">
        <v>1.85</v>
      </c>
      <c r="C460" t="s">
        <v>3954</v>
      </c>
      <c r="D460" t="s">
        <v>5606</v>
      </c>
      <c r="E460" t="s">
        <v>108</v>
      </c>
    </row>
    <row r="461" spans="1:5">
      <c r="A461" t="s">
        <v>5977</v>
      </c>
      <c r="B461">
        <v>1.85</v>
      </c>
      <c r="C461" t="s">
        <v>3166</v>
      </c>
      <c r="D461" t="s">
        <v>5606</v>
      </c>
      <c r="E461" t="s">
        <v>108</v>
      </c>
    </row>
    <row r="462" spans="1:5">
      <c r="A462" t="s">
        <v>5978</v>
      </c>
      <c r="B462">
        <v>1.85</v>
      </c>
      <c r="C462" t="s">
        <v>3954</v>
      </c>
      <c r="D462" t="s">
        <v>5606</v>
      </c>
      <c r="E462" t="s">
        <v>108</v>
      </c>
    </row>
    <row r="463" spans="1:5">
      <c r="A463" t="s">
        <v>5979</v>
      </c>
      <c r="B463">
        <v>1.9</v>
      </c>
      <c r="C463" t="s">
        <v>3166</v>
      </c>
      <c r="D463" t="s">
        <v>5606</v>
      </c>
      <c r="E463" t="s">
        <v>108</v>
      </c>
    </row>
    <row r="464" spans="1:5">
      <c r="A464" t="s">
        <v>5980</v>
      </c>
      <c r="B464">
        <v>1.5</v>
      </c>
      <c r="C464" t="s">
        <v>3166</v>
      </c>
      <c r="D464" t="s">
        <v>5606</v>
      </c>
      <c r="E464" t="s">
        <v>108</v>
      </c>
    </row>
    <row r="465" spans="1:5">
      <c r="A465" t="s">
        <v>5981</v>
      </c>
      <c r="B465">
        <v>1.65</v>
      </c>
      <c r="C465" t="s">
        <v>3954</v>
      </c>
      <c r="D465" t="s">
        <v>5606</v>
      </c>
      <c r="E465" t="s">
        <v>108</v>
      </c>
    </row>
    <row r="466" spans="1:5">
      <c r="A466" t="s">
        <v>5982</v>
      </c>
      <c r="B466">
        <v>1.7</v>
      </c>
      <c r="C466" t="s">
        <v>3166</v>
      </c>
      <c r="D466" t="s">
        <v>5606</v>
      </c>
      <c r="E466" t="s">
        <v>108</v>
      </c>
    </row>
    <row r="467" spans="1:5">
      <c r="A467" t="s">
        <v>5983</v>
      </c>
      <c r="B467">
        <v>1.9</v>
      </c>
      <c r="C467" t="s">
        <v>3166</v>
      </c>
      <c r="D467" t="s">
        <v>5606</v>
      </c>
      <c r="E467" t="s">
        <v>108</v>
      </c>
    </row>
    <row r="468" spans="1:5">
      <c r="A468" t="s">
        <v>5984</v>
      </c>
      <c r="B468">
        <v>1.9</v>
      </c>
      <c r="C468" t="s">
        <v>3863</v>
      </c>
      <c r="D468" t="s">
        <v>5606</v>
      </c>
      <c r="E468" t="s">
        <v>108</v>
      </c>
    </row>
    <row r="469" spans="1:5">
      <c r="A469" t="s">
        <v>5985</v>
      </c>
      <c r="B469">
        <v>1.9</v>
      </c>
      <c r="C469" t="s">
        <v>108</v>
      </c>
      <c r="D469" t="s">
        <v>5606</v>
      </c>
      <c r="E469" t="s">
        <v>108</v>
      </c>
    </row>
    <row r="470" spans="1:5">
      <c r="A470" t="s">
        <v>5986</v>
      </c>
      <c r="B470">
        <v>1.9</v>
      </c>
      <c r="C470" t="s">
        <v>108</v>
      </c>
      <c r="D470" t="s">
        <v>5606</v>
      </c>
      <c r="E470" t="s">
        <v>108</v>
      </c>
    </row>
    <row r="471" spans="1:5">
      <c r="A471" t="s">
        <v>5987</v>
      </c>
      <c r="B471">
        <v>1.9</v>
      </c>
      <c r="C471" t="s">
        <v>3863</v>
      </c>
      <c r="D471" t="s">
        <v>5606</v>
      </c>
      <c r="E471" t="s">
        <v>108</v>
      </c>
    </row>
    <row r="472" spans="1:5">
      <c r="A472" t="s">
        <v>5988</v>
      </c>
      <c r="B472">
        <v>1.9</v>
      </c>
      <c r="C472" t="s">
        <v>3954</v>
      </c>
      <c r="D472" t="s">
        <v>5606</v>
      </c>
      <c r="E472" t="s">
        <v>108</v>
      </c>
    </row>
    <row r="473" spans="1:5">
      <c r="A473" t="s">
        <v>5989</v>
      </c>
      <c r="B473">
        <v>1.9</v>
      </c>
      <c r="C473" t="s">
        <v>3954</v>
      </c>
      <c r="D473" t="s">
        <v>5606</v>
      </c>
      <c r="E473" t="s">
        <v>108</v>
      </c>
    </row>
    <row r="474" spans="1:5">
      <c r="A474" t="s">
        <v>5990</v>
      </c>
      <c r="B474">
        <v>1.9</v>
      </c>
      <c r="C474" t="s">
        <v>3166</v>
      </c>
      <c r="D474" t="s">
        <v>5606</v>
      </c>
      <c r="E474" t="s">
        <v>108</v>
      </c>
    </row>
    <row r="475" spans="1:5">
      <c r="A475" t="s">
        <v>5991</v>
      </c>
      <c r="B475">
        <v>1.9</v>
      </c>
      <c r="C475" t="s">
        <v>3954</v>
      </c>
      <c r="D475" t="s">
        <v>5606</v>
      </c>
      <c r="E475" t="s">
        <v>108</v>
      </c>
    </row>
    <row r="476" spans="1:5">
      <c r="A476" t="s">
        <v>5992</v>
      </c>
      <c r="B476">
        <v>1.8</v>
      </c>
      <c r="C476" t="s">
        <v>3166</v>
      </c>
      <c r="D476" t="s">
        <v>5606</v>
      </c>
      <c r="E476" t="s">
        <v>108</v>
      </c>
    </row>
    <row r="477" spans="1:5">
      <c r="A477" t="s">
        <v>5993</v>
      </c>
      <c r="B477">
        <v>1.9</v>
      </c>
      <c r="C477" t="s">
        <v>3954</v>
      </c>
      <c r="D477" t="s">
        <v>5606</v>
      </c>
      <c r="E477" t="s">
        <v>108</v>
      </c>
    </row>
    <row r="478" spans="1:5">
      <c r="A478" t="s">
        <v>5994</v>
      </c>
      <c r="B478">
        <v>1.8</v>
      </c>
      <c r="C478" t="s">
        <v>3166</v>
      </c>
      <c r="D478" t="s">
        <v>5606</v>
      </c>
      <c r="E478" t="s">
        <v>108</v>
      </c>
    </row>
    <row r="479" spans="1:5">
      <c r="A479" t="s">
        <v>5995</v>
      </c>
      <c r="B479">
        <v>1.8</v>
      </c>
      <c r="C479" t="s">
        <v>3863</v>
      </c>
      <c r="D479" t="s">
        <v>5606</v>
      </c>
      <c r="E479" t="s">
        <v>108</v>
      </c>
    </row>
    <row r="480" spans="1:5">
      <c r="A480" t="s">
        <v>5996</v>
      </c>
      <c r="B480">
        <v>1.9</v>
      </c>
      <c r="C480" t="s">
        <v>108</v>
      </c>
      <c r="D480" t="s">
        <v>5606</v>
      </c>
      <c r="E480" t="s">
        <v>108</v>
      </c>
    </row>
    <row r="481" spans="1:5">
      <c r="A481" t="s">
        <v>5997</v>
      </c>
      <c r="B481">
        <v>1.8</v>
      </c>
      <c r="C481" t="s">
        <v>3954</v>
      </c>
      <c r="D481" t="s">
        <v>5606</v>
      </c>
      <c r="E481" t="s">
        <v>108</v>
      </c>
    </row>
    <row r="482" spans="1:5">
      <c r="A482" t="s">
        <v>5998</v>
      </c>
      <c r="B482">
        <v>1.8</v>
      </c>
      <c r="C482" t="s">
        <v>3954</v>
      </c>
      <c r="D482" t="s">
        <v>5606</v>
      </c>
      <c r="E482" t="s">
        <v>108</v>
      </c>
    </row>
    <row r="483" spans="1:5">
      <c r="A483" t="s">
        <v>5999</v>
      </c>
      <c r="B483">
        <v>1.7</v>
      </c>
      <c r="C483" t="s">
        <v>3863</v>
      </c>
      <c r="D483" t="s">
        <v>5606</v>
      </c>
      <c r="E483" t="s">
        <v>108</v>
      </c>
    </row>
    <row r="484" spans="1:5">
      <c r="A484" t="s">
        <v>6000</v>
      </c>
      <c r="B484">
        <v>1.9</v>
      </c>
      <c r="C484" t="s">
        <v>108</v>
      </c>
      <c r="D484" t="s">
        <v>5606</v>
      </c>
      <c r="E484" t="s">
        <v>108</v>
      </c>
    </row>
    <row r="485" spans="1:5">
      <c r="A485" t="s">
        <v>8158</v>
      </c>
      <c r="B485">
        <v>2.2000000000000002</v>
      </c>
      <c r="C485" t="s">
        <v>108</v>
      </c>
      <c r="D485" t="s">
        <v>108</v>
      </c>
      <c r="E485" t="s">
        <v>108</v>
      </c>
    </row>
    <row r="486" spans="1:5">
      <c r="A486" t="s">
        <v>6001</v>
      </c>
      <c r="B486">
        <v>1.8</v>
      </c>
      <c r="C486" t="s">
        <v>3166</v>
      </c>
      <c r="D486" t="s">
        <v>5606</v>
      </c>
      <c r="E486" t="s">
        <v>108</v>
      </c>
    </row>
    <row r="487" spans="1:5">
      <c r="A487" t="s">
        <v>6002</v>
      </c>
      <c r="B487">
        <v>1.9</v>
      </c>
      <c r="C487" t="s">
        <v>3166</v>
      </c>
      <c r="D487" t="s">
        <v>5606</v>
      </c>
      <c r="E487" t="s">
        <v>108</v>
      </c>
    </row>
    <row r="488" spans="1:5">
      <c r="A488" t="s">
        <v>6003</v>
      </c>
      <c r="B488">
        <v>1.9</v>
      </c>
      <c r="C488" t="s">
        <v>108</v>
      </c>
      <c r="D488" t="s">
        <v>5606</v>
      </c>
      <c r="E488" t="s">
        <v>108</v>
      </c>
    </row>
    <row r="489" spans="1:5">
      <c r="A489" t="s">
        <v>6004</v>
      </c>
      <c r="B489">
        <v>1.74</v>
      </c>
      <c r="C489" t="s">
        <v>3863</v>
      </c>
      <c r="D489" t="s">
        <v>5606</v>
      </c>
      <c r="E489" t="s">
        <v>108</v>
      </c>
    </row>
    <row r="490" spans="1:5">
      <c r="A490" t="s">
        <v>6005</v>
      </c>
      <c r="B490">
        <v>1.85</v>
      </c>
      <c r="C490" t="s">
        <v>3166</v>
      </c>
      <c r="D490" t="s">
        <v>5606</v>
      </c>
      <c r="E490" t="s">
        <v>108</v>
      </c>
    </row>
    <row r="491" spans="1:5">
      <c r="A491" t="s">
        <v>6006</v>
      </c>
      <c r="B491">
        <v>1.9</v>
      </c>
      <c r="C491" t="s">
        <v>108</v>
      </c>
      <c r="D491" t="s">
        <v>5606</v>
      </c>
      <c r="E491" t="s">
        <v>108</v>
      </c>
    </row>
    <row r="492" spans="1:5">
      <c r="A492" t="s">
        <v>6007</v>
      </c>
      <c r="B492">
        <v>1.8</v>
      </c>
      <c r="C492" t="s">
        <v>3954</v>
      </c>
      <c r="D492" t="s">
        <v>5606</v>
      </c>
      <c r="E492" t="s">
        <v>108</v>
      </c>
    </row>
    <row r="493" spans="1:5">
      <c r="A493" t="s">
        <v>6008</v>
      </c>
      <c r="B493">
        <v>1.7</v>
      </c>
      <c r="C493" t="s">
        <v>3954</v>
      </c>
      <c r="D493" t="s">
        <v>5606</v>
      </c>
      <c r="E493" t="s">
        <v>108</v>
      </c>
    </row>
    <row r="494" spans="1:5">
      <c r="A494" t="s">
        <v>6009</v>
      </c>
      <c r="B494">
        <v>1.8</v>
      </c>
      <c r="C494" t="s">
        <v>3166</v>
      </c>
      <c r="D494" t="s">
        <v>5606</v>
      </c>
      <c r="E494" t="s">
        <v>108</v>
      </c>
    </row>
    <row r="495" spans="1:5">
      <c r="A495" t="s">
        <v>6010</v>
      </c>
      <c r="B495">
        <v>1.5</v>
      </c>
      <c r="C495" t="s">
        <v>3954</v>
      </c>
      <c r="D495" t="s">
        <v>5606</v>
      </c>
      <c r="E495" t="s">
        <v>108</v>
      </c>
    </row>
    <row r="496" spans="1:5">
      <c r="A496" t="s">
        <v>6011</v>
      </c>
      <c r="B496">
        <v>1.6</v>
      </c>
      <c r="C496" t="s">
        <v>3166</v>
      </c>
      <c r="D496" t="s">
        <v>5606</v>
      </c>
      <c r="E496" t="s">
        <v>108</v>
      </c>
    </row>
    <row r="497" spans="1:5">
      <c r="A497" t="s">
        <v>6012</v>
      </c>
      <c r="B497">
        <v>1.6</v>
      </c>
      <c r="C497" t="s">
        <v>3954</v>
      </c>
      <c r="D497" t="s">
        <v>5606</v>
      </c>
      <c r="E497" t="s">
        <v>108</v>
      </c>
    </row>
    <row r="498" spans="1:5">
      <c r="A498" t="s">
        <v>6013</v>
      </c>
      <c r="B498">
        <v>1.8</v>
      </c>
      <c r="C498" t="s">
        <v>3954</v>
      </c>
      <c r="D498" t="s">
        <v>5606</v>
      </c>
      <c r="E498" t="s">
        <v>108</v>
      </c>
    </row>
    <row r="499" spans="1:5">
      <c r="A499" t="s">
        <v>6014</v>
      </c>
      <c r="B499">
        <v>1.65</v>
      </c>
      <c r="C499" t="s">
        <v>108</v>
      </c>
      <c r="D499" t="s">
        <v>5606</v>
      </c>
      <c r="E499" t="s">
        <v>108</v>
      </c>
    </row>
    <row r="500" spans="1:5">
      <c r="A500" t="s">
        <v>6015</v>
      </c>
      <c r="B500">
        <v>1.8</v>
      </c>
      <c r="C500" t="s">
        <v>3954</v>
      </c>
      <c r="D500" t="s">
        <v>5606</v>
      </c>
      <c r="E500" t="s">
        <v>108</v>
      </c>
    </row>
    <row r="501" spans="1:5">
      <c r="A501" t="s">
        <v>6016</v>
      </c>
      <c r="B501">
        <v>1.75</v>
      </c>
      <c r="C501" t="s">
        <v>3954</v>
      </c>
      <c r="D501" t="s">
        <v>5606</v>
      </c>
      <c r="E501" t="s">
        <v>108</v>
      </c>
    </row>
    <row r="502" spans="1:5">
      <c r="A502" t="s">
        <v>6017</v>
      </c>
      <c r="B502">
        <v>2</v>
      </c>
      <c r="C502" t="s">
        <v>3954</v>
      </c>
      <c r="D502" t="s">
        <v>5606</v>
      </c>
      <c r="E502" t="s">
        <v>108</v>
      </c>
    </row>
    <row r="503" spans="1:5">
      <c r="A503" t="s">
        <v>6018</v>
      </c>
      <c r="B503">
        <v>1.75</v>
      </c>
      <c r="C503" t="s">
        <v>108</v>
      </c>
      <c r="D503" t="s">
        <v>5606</v>
      </c>
      <c r="E503" t="s">
        <v>108</v>
      </c>
    </row>
    <row r="504" spans="1:5">
      <c r="A504" t="s">
        <v>6019</v>
      </c>
      <c r="B504">
        <v>1.44</v>
      </c>
      <c r="C504" t="s">
        <v>3863</v>
      </c>
      <c r="D504" t="s">
        <v>5945</v>
      </c>
      <c r="E504" t="s">
        <v>108</v>
      </c>
    </row>
    <row r="505" spans="1:5">
      <c r="A505" t="s">
        <v>6020</v>
      </c>
      <c r="B505">
        <v>1.44</v>
      </c>
      <c r="C505" t="s">
        <v>3863</v>
      </c>
      <c r="D505" t="s">
        <v>5945</v>
      </c>
      <c r="E505" t="s">
        <v>108</v>
      </c>
    </row>
    <row r="506" spans="1:5">
      <c r="A506" t="s">
        <v>6021</v>
      </c>
      <c r="B506">
        <v>1.6</v>
      </c>
      <c r="C506" t="s">
        <v>3166</v>
      </c>
      <c r="D506" t="s">
        <v>5945</v>
      </c>
      <c r="E506" t="s">
        <v>108</v>
      </c>
    </row>
    <row r="507" spans="1:5">
      <c r="A507" t="s">
        <v>6022</v>
      </c>
      <c r="B507">
        <v>1.6</v>
      </c>
      <c r="C507" t="s">
        <v>3954</v>
      </c>
      <c r="D507" t="s">
        <v>5945</v>
      </c>
      <c r="E507" t="s">
        <v>108</v>
      </c>
    </row>
    <row r="508" spans="1:5">
      <c r="A508" t="s">
        <v>6023</v>
      </c>
      <c r="B508">
        <v>1.6</v>
      </c>
      <c r="C508" t="s">
        <v>3166</v>
      </c>
      <c r="D508" t="s">
        <v>5945</v>
      </c>
      <c r="E508" t="s">
        <v>108</v>
      </c>
    </row>
    <row r="509" spans="1:5">
      <c r="A509" t="s">
        <v>6024</v>
      </c>
      <c r="B509">
        <v>1.6</v>
      </c>
      <c r="C509" t="s">
        <v>3166</v>
      </c>
      <c r="D509" t="s">
        <v>5945</v>
      </c>
      <c r="E509" t="s">
        <v>108</v>
      </c>
    </row>
    <row r="510" spans="1:5">
      <c r="A510" t="s">
        <v>6025</v>
      </c>
      <c r="B510">
        <v>1.5</v>
      </c>
      <c r="C510" t="s">
        <v>3166</v>
      </c>
      <c r="D510" t="s">
        <v>5945</v>
      </c>
      <c r="E510" t="s">
        <v>108</v>
      </c>
    </row>
    <row r="511" spans="1:5">
      <c r="A511" t="s">
        <v>6026</v>
      </c>
      <c r="B511">
        <v>1.1000000000000001</v>
      </c>
      <c r="C511" t="s">
        <v>3863</v>
      </c>
      <c r="D511" t="s">
        <v>5945</v>
      </c>
      <c r="E511" t="s">
        <v>108</v>
      </c>
    </row>
    <row r="512" spans="1:5">
      <c r="A512" t="s">
        <v>6027</v>
      </c>
      <c r="B512">
        <v>1.1000000000000001</v>
      </c>
      <c r="C512" t="s">
        <v>3863</v>
      </c>
      <c r="D512" t="s">
        <v>5945</v>
      </c>
      <c r="E512" t="s">
        <v>108</v>
      </c>
    </row>
    <row r="513" spans="1:5">
      <c r="A513" t="s">
        <v>6028</v>
      </c>
      <c r="B513">
        <v>1.6</v>
      </c>
      <c r="C513" t="s">
        <v>3954</v>
      </c>
      <c r="D513" t="s">
        <v>5945</v>
      </c>
      <c r="E513" t="s">
        <v>108</v>
      </c>
    </row>
    <row r="514" spans="1:5">
      <c r="A514" t="s">
        <v>6029</v>
      </c>
      <c r="B514">
        <v>1.6</v>
      </c>
      <c r="C514" t="s">
        <v>3166</v>
      </c>
      <c r="D514" t="s">
        <v>5945</v>
      </c>
      <c r="E514" t="s">
        <v>108</v>
      </c>
    </row>
    <row r="515" spans="1:5">
      <c r="A515" t="s">
        <v>6030</v>
      </c>
      <c r="B515">
        <v>1.5</v>
      </c>
      <c r="C515" t="s">
        <v>3166</v>
      </c>
      <c r="D515" t="s">
        <v>5945</v>
      </c>
      <c r="E515" t="s">
        <v>108</v>
      </c>
    </row>
    <row r="516" spans="1:5">
      <c r="A516" t="s">
        <v>6031</v>
      </c>
      <c r="B516">
        <v>1.45</v>
      </c>
      <c r="C516" t="s">
        <v>3166</v>
      </c>
      <c r="D516" t="s">
        <v>5945</v>
      </c>
      <c r="E516" t="s">
        <v>108</v>
      </c>
    </row>
    <row r="517" spans="1:5">
      <c r="A517" t="s">
        <v>6032</v>
      </c>
      <c r="B517">
        <v>1.44</v>
      </c>
      <c r="C517" t="s">
        <v>3863</v>
      </c>
      <c r="D517" t="s">
        <v>5945</v>
      </c>
      <c r="E517" t="s">
        <v>108</v>
      </c>
    </row>
    <row r="518" spans="1:5">
      <c r="A518" t="s">
        <v>6033</v>
      </c>
      <c r="B518">
        <v>1.6</v>
      </c>
      <c r="C518" t="s">
        <v>3954</v>
      </c>
      <c r="D518" t="s">
        <v>5945</v>
      </c>
      <c r="E518" t="s">
        <v>108</v>
      </c>
    </row>
    <row r="519" spans="1:5">
      <c r="A519" t="s">
        <v>6034</v>
      </c>
      <c r="B519">
        <v>1.08</v>
      </c>
      <c r="C519" t="s">
        <v>3863</v>
      </c>
      <c r="D519" t="s">
        <v>5945</v>
      </c>
      <c r="E519" t="s">
        <v>108</v>
      </c>
    </row>
    <row r="520" spans="1:5">
      <c r="A520" t="s">
        <v>6035</v>
      </c>
      <c r="B520">
        <v>1.6</v>
      </c>
      <c r="C520" t="s">
        <v>3166</v>
      </c>
      <c r="D520" t="s">
        <v>5945</v>
      </c>
      <c r="E520" t="s">
        <v>108</v>
      </c>
    </row>
    <row r="521" spans="1:5">
      <c r="A521" t="s">
        <v>6036</v>
      </c>
      <c r="B521">
        <v>1.6</v>
      </c>
      <c r="C521" t="s">
        <v>3166</v>
      </c>
      <c r="D521" t="s">
        <v>5945</v>
      </c>
      <c r="E521" t="s">
        <v>108</v>
      </c>
    </row>
    <row r="522" spans="1:5">
      <c r="A522" t="s">
        <v>6037</v>
      </c>
      <c r="B522">
        <v>1.6</v>
      </c>
      <c r="C522" t="s">
        <v>3166</v>
      </c>
      <c r="D522" t="s">
        <v>5945</v>
      </c>
      <c r="E522" t="s">
        <v>108</v>
      </c>
    </row>
    <row r="523" spans="1:5">
      <c r="A523" t="s">
        <v>6038</v>
      </c>
      <c r="B523">
        <v>1.6</v>
      </c>
      <c r="C523" t="s">
        <v>3166</v>
      </c>
      <c r="D523" t="s">
        <v>5945</v>
      </c>
      <c r="E523" t="s">
        <v>108</v>
      </c>
    </row>
    <row r="524" spans="1:5">
      <c r="A524" t="s">
        <v>6039</v>
      </c>
      <c r="B524">
        <v>1.6</v>
      </c>
      <c r="C524" t="s">
        <v>3166</v>
      </c>
      <c r="D524" t="s">
        <v>5945</v>
      </c>
      <c r="E524" t="s">
        <v>108</v>
      </c>
    </row>
    <row r="525" spans="1:5">
      <c r="A525" t="s">
        <v>6040</v>
      </c>
      <c r="B525">
        <v>1.6</v>
      </c>
      <c r="C525" t="s">
        <v>3166</v>
      </c>
      <c r="D525" t="s">
        <v>5945</v>
      </c>
      <c r="E525" t="s">
        <v>108</v>
      </c>
    </row>
    <row r="526" spans="1:5">
      <c r="A526" t="s">
        <v>6041</v>
      </c>
      <c r="B526">
        <v>1.6</v>
      </c>
      <c r="C526" t="s">
        <v>3166</v>
      </c>
      <c r="D526" t="s">
        <v>5945</v>
      </c>
      <c r="E526" t="s">
        <v>108</v>
      </c>
    </row>
    <row r="527" spans="1:5">
      <c r="A527" t="s">
        <v>6042</v>
      </c>
      <c r="B527">
        <v>1.6</v>
      </c>
      <c r="C527" t="s">
        <v>3166</v>
      </c>
      <c r="D527" t="s">
        <v>5945</v>
      </c>
      <c r="E527" t="s">
        <v>108</v>
      </c>
    </row>
    <row r="528" spans="1:5">
      <c r="A528" t="s">
        <v>6043</v>
      </c>
      <c r="B528">
        <v>1.6</v>
      </c>
      <c r="C528" t="s">
        <v>3166</v>
      </c>
      <c r="D528" t="s">
        <v>5945</v>
      </c>
      <c r="E528" t="s">
        <v>108</v>
      </c>
    </row>
    <row r="529" spans="1:5">
      <c r="A529" t="s">
        <v>6044</v>
      </c>
      <c r="B529">
        <v>1.6</v>
      </c>
      <c r="C529" t="s">
        <v>3166</v>
      </c>
      <c r="D529" t="s">
        <v>5945</v>
      </c>
      <c r="E529" t="s">
        <v>108</v>
      </c>
    </row>
    <row r="530" spans="1:5">
      <c r="A530" t="s">
        <v>6045</v>
      </c>
      <c r="B530">
        <v>1.6</v>
      </c>
      <c r="C530" t="s">
        <v>3954</v>
      </c>
      <c r="D530" t="s">
        <v>5945</v>
      </c>
      <c r="E530" t="s">
        <v>108</v>
      </c>
    </row>
    <row r="531" spans="1:5">
      <c r="A531" t="s">
        <v>6046</v>
      </c>
      <c r="B531">
        <v>1.5</v>
      </c>
      <c r="C531" t="s">
        <v>3166</v>
      </c>
      <c r="D531" t="s">
        <v>5945</v>
      </c>
      <c r="E531" t="s">
        <v>108</v>
      </c>
    </row>
    <row r="532" spans="1:5">
      <c r="A532" t="s">
        <v>6047</v>
      </c>
      <c r="B532">
        <v>1.6</v>
      </c>
      <c r="C532" t="s">
        <v>3166</v>
      </c>
      <c r="D532" t="s">
        <v>5945</v>
      </c>
      <c r="E532" t="s">
        <v>108</v>
      </c>
    </row>
    <row r="533" spans="1:5">
      <c r="A533" t="s">
        <v>6048</v>
      </c>
      <c r="B533">
        <v>1.35</v>
      </c>
      <c r="C533" t="s">
        <v>3954</v>
      </c>
      <c r="D533" t="s">
        <v>5631</v>
      </c>
      <c r="E533" t="s">
        <v>108</v>
      </c>
    </row>
    <row r="534" spans="1:5">
      <c r="A534" t="s">
        <v>6049</v>
      </c>
      <c r="B534">
        <v>1.6</v>
      </c>
      <c r="C534" t="s">
        <v>3166</v>
      </c>
      <c r="D534" t="s">
        <v>5945</v>
      </c>
      <c r="E534" t="s">
        <v>108</v>
      </c>
    </row>
    <row r="535" spans="1:5">
      <c r="A535" t="s">
        <v>6050</v>
      </c>
      <c r="B535">
        <v>1.35</v>
      </c>
      <c r="C535" t="s">
        <v>3863</v>
      </c>
      <c r="D535" t="s">
        <v>5945</v>
      </c>
      <c r="E535" t="s">
        <v>108</v>
      </c>
    </row>
    <row r="536" spans="1:5">
      <c r="A536" t="s">
        <v>6051</v>
      </c>
      <c r="B536">
        <v>1.6</v>
      </c>
      <c r="C536" t="s">
        <v>3166</v>
      </c>
      <c r="D536" t="s">
        <v>5945</v>
      </c>
      <c r="E536" t="s">
        <v>108</v>
      </c>
    </row>
    <row r="537" spans="1:5">
      <c r="A537" t="s">
        <v>6052</v>
      </c>
      <c r="B537">
        <v>1.6</v>
      </c>
      <c r="C537" t="s">
        <v>3954</v>
      </c>
      <c r="D537" t="s">
        <v>5945</v>
      </c>
      <c r="E537" t="s">
        <v>108</v>
      </c>
    </row>
    <row r="538" spans="1:5">
      <c r="A538" t="s">
        <v>6053</v>
      </c>
      <c r="B538">
        <v>1.4</v>
      </c>
      <c r="C538" t="s">
        <v>3954</v>
      </c>
      <c r="D538" t="s">
        <v>5945</v>
      </c>
      <c r="E538" t="s">
        <v>108</v>
      </c>
    </row>
    <row r="539" spans="1:5">
      <c r="A539" t="s">
        <v>6054</v>
      </c>
      <c r="B539">
        <v>1.35</v>
      </c>
      <c r="C539" t="s">
        <v>3954</v>
      </c>
      <c r="D539" t="s">
        <v>5631</v>
      </c>
      <c r="E539" t="s">
        <v>108</v>
      </c>
    </row>
    <row r="540" spans="1:5">
      <c r="A540" t="s">
        <v>6055</v>
      </c>
      <c r="B540">
        <v>1.4</v>
      </c>
      <c r="C540" t="s">
        <v>3954</v>
      </c>
      <c r="D540" t="s">
        <v>5945</v>
      </c>
      <c r="E540" t="s">
        <v>108</v>
      </c>
    </row>
    <row r="541" spans="1:5">
      <c r="A541" t="s">
        <v>6056</v>
      </c>
      <c r="B541">
        <v>1.6</v>
      </c>
      <c r="C541" t="s">
        <v>3166</v>
      </c>
      <c r="D541" t="s">
        <v>5945</v>
      </c>
      <c r="E541" t="s">
        <v>108</v>
      </c>
    </row>
    <row r="542" spans="1:5">
      <c r="A542" t="s">
        <v>6057</v>
      </c>
      <c r="B542">
        <v>1.6</v>
      </c>
      <c r="C542" t="s">
        <v>3166</v>
      </c>
      <c r="D542" t="s">
        <v>5945</v>
      </c>
      <c r="E542" t="s">
        <v>108</v>
      </c>
    </row>
    <row r="543" spans="1:5">
      <c r="A543" t="s">
        <v>6058</v>
      </c>
      <c r="B543">
        <v>1.6</v>
      </c>
      <c r="C543" t="s">
        <v>3954</v>
      </c>
      <c r="D543" t="s">
        <v>5945</v>
      </c>
      <c r="E543" t="s">
        <v>108</v>
      </c>
    </row>
    <row r="544" spans="1:5">
      <c r="A544" t="s">
        <v>6059</v>
      </c>
      <c r="B544">
        <v>1.6</v>
      </c>
      <c r="C544" t="s">
        <v>3954</v>
      </c>
      <c r="D544" t="s">
        <v>5945</v>
      </c>
      <c r="E544" t="s">
        <v>108</v>
      </c>
    </row>
    <row r="545" spans="1:5">
      <c r="A545" t="s">
        <v>6060</v>
      </c>
      <c r="B545">
        <v>1.6</v>
      </c>
      <c r="C545" t="s">
        <v>3954</v>
      </c>
      <c r="D545" t="s">
        <v>5945</v>
      </c>
      <c r="E545" t="s">
        <v>108</v>
      </c>
    </row>
    <row r="546" spans="1:5">
      <c r="A546" t="s">
        <v>6061</v>
      </c>
      <c r="B546">
        <v>1.83</v>
      </c>
      <c r="C546" t="s">
        <v>3954</v>
      </c>
      <c r="D546" t="s">
        <v>6062</v>
      </c>
      <c r="E546" t="s">
        <v>6063</v>
      </c>
    </row>
    <row r="547" spans="1:5">
      <c r="A547" t="s">
        <v>6064</v>
      </c>
      <c r="B547">
        <v>1.8</v>
      </c>
      <c r="C547" t="s">
        <v>3166</v>
      </c>
      <c r="D547" t="s">
        <v>6062</v>
      </c>
      <c r="E547" t="s">
        <v>6065</v>
      </c>
    </row>
    <row r="548" spans="1:5">
      <c r="A548" t="s">
        <v>6066</v>
      </c>
      <c r="B548">
        <v>1.6</v>
      </c>
      <c r="C548" t="s">
        <v>3166</v>
      </c>
      <c r="D548" t="s">
        <v>5945</v>
      </c>
      <c r="E548" t="s">
        <v>108</v>
      </c>
    </row>
    <row r="549" spans="1:5">
      <c r="A549" t="s">
        <v>6067</v>
      </c>
      <c r="B549">
        <v>1.4</v>
      </c>
      <c r="C549" t="s">
        <v>3954</v>
      </c>
      <c r="D549" t="s">
        <v>5945</v>
      </c>
      <c r="E549" t="s">
        <v>108</v>
      </c>
    </row>
    <row r="550" spans="1:5">
      <c r="A550" t="s">
        <v>6068</v>
      </c>
      <c r="B550">
        <v>1.6</v>
      </c>
      <c r="C550" t="s">
        <v>3166</v>
      </c>
      <c r="D550" t="s">
        <v>5945</v>
      </c>
      <c r="E550" t="s">
        <v>108</v>
      </c>
    </row>
    <row r="551" spans="1:5">
      <c r="A551" t="s">
        <v>6069</v>
      </c>
      <c r="B551">
        <v>1.6</v>
      </c>
      <c r="C551" t="s">
        <v>108</v>
      </c>
      <c r="D551" t="s">
        <v>5945</v>
      </c>
      <c r="E551" t="s">
        <v>108</v>
      </c>
    </row>
    <row r="552" spans="1:5">
      <c r="A552" t="s">
        <v>6070</v>
      </c>
      <c r="B552">
        <v>1.6</v>
      </c>
      <c r="C552" t="s">
        <v>108</v>
      </c>
      <c r="D552" t="s">
        <v>5945</v>
      </c>
      <c r="E552" t="s">
        <v>108</v>
      </c>
    </row>
    <row r="553" spans="1:5">
      <c r="A553" t="s">
        <v>6071</v>
      </c>
      <c r="B553">
        <v>1.27</v>
      </c>
      <c r="C553" t="s">
        <v>3954</v>
      </c>
      <c r="D553" t="s">
        <v>5945</v>
      </c>
      <c r="E553" t="s">
        <v>108</v>
      </c>
    </row>
    <row r="554" spans="1:5">
      <c r="A554" t="s">
        <v>6072</v>
      </c>
      <c r="B554">
        <v>1.4</v>
      </c>
      <c r="C554" t="s">
        <v>3863</v>
      </c>
      <c r="D554" t="s">
        <v>5945</v>
      </c>
      <c r="E554" t="s">
        <v>108</v>
      </c>
    </row>
    <row r="555" spans="1:5">
      <c r="A555" t="s">
        <v>6073</v>
      </c>
      <c r="B555">
        <v>1.6</v>
      </c>
      <c r="C555" t="s">
        <v>3954</v>
      </c>
      <c r="D555" t="s">
        <v>5945</v>
      </c>
      <c r="E555" t="s">
        <v>108</v>
      </c>
    </row>
    <row r="556" spans="1:5">
      <c r="A556" t="s">
        <v>6074</v>
      </c>
      <c r="B556">
        <v>1.6</v>
      </c>
      <c r="C556" t="s">
        <v>3954</v>
      </c>
      <c r="D556" t="s">
        <v>5945</v>
      </c>
      <c r="E556" t="s">
        <v>108</v>
      </c>
    </row>
    <row r="557" spans="1:5">
      <c r="A557" t="s">
        <v>6075</v>
      </c>
      <c r="B557">
        <v>1.4</v>
      </c>
      <c r="C557" t="s">
        <v>3954</v>
      </c>
      <c r="D557" t="s">
        <v>5945</v>
      </c>
      <c r="E557" t="s">
        <v>108</v>
      </c>
    </row>
    <row r="558" spans="1:5">
      <c r="A558" t="s">
        <v>6076</v>
      </c>
      <c r="B558">
        <v>1.6</v>
      </c>
      <c r="C558" t="s">
        <v>3166</v>
      </c>
      <c r="D558" t="s">
        <v>5945</v>
      </c>
      <c r="E558" t="s">
        <v>108</v>
      </c>
    </row>
    <row r="559" spans="1:5">
      <c r="A559" t="s">
        <v>6077</v>
      </c>
      <c r="B559">
        <v>1.6</v>
      </c>
      <c r="C559" t="s">
        <v>3954</v>
      </c>
      <c r="D559" t="s">
        <v>5945</v>
      </c>
      <c r="E559" t="s">
        <v>108</v>
      </c>
    </row>
    <row r="560" spans="1:5">
      <c r="A560" t="s">
        <v>6078</v>
      </c>
      <c r="B560">
        <v>1.6</v>
      </c>
      <c r="C560" t="s">
        <v>3954</v>
      </c>
      <c r="D560" t="s">
        <v>5945</v>
      </c>
      <c r="E560" t="s">
        <v>108</v>
      </c>
    </row>
    <row r="561" spans="1:5">
      <c r="A561" t="s">
        <v>6079</v>
      </c>
      <c r="B561">
        <v>1.6</v>
      </c>
      <c r="C561" t="s">
        <v>3954</v>
      </c>
      <c r="D561" t="s">
        <v>5945</v>
      </c>
      <c r="E561" t="s">
        <v>108</v>
      </c>
    </row>
    <row r="562" spans="1:5">
      <c r="A562" t="s">
        <v>6080</v>
      </c>
      <c r="B562">
        <v>1.6</v>
      </c>
      <c r="C562" t="s">
        <v>3954</v>
      </c>
      <c r="D562" t="s">
        <v>5945</v>
      </c>
      <c r="E562" t="s">
        <v>108</v>
      </c>
    </row>
    <row r="563" spans="1:5">
      <c r="A563" t="s">
        <v>6081</v>
      </c>
      <c r="B563">
        <v>1.5</v>
      </c>
      <c r="C563" t="s">
        <v>3954</v>
      </c>
      <c r="D563" t="s">
        <v>5945</v>
      </c>
      <c r="E563" t="s">
        <v>108</v>
      </c>
    </row>
    <row r="564" spans="1:5">
      <c r="A564" t="s">
        <v>6082</v>
      </c>
      <c r="B564">
        <v>1.85</v>
      </c>
      <c r="C564" t="s">
        <v>3166</v>
      </c>
      <c r="D564" t="s">
        <v>5606</v>
      </c>
      <c r="E564" t="s">
        <v>108</v>
      </c>
    </row>
    <row r="565" spans="1:5">
      <c r="A565" t="s">
        <v>6083</v>
      </c>
      <c r="B565">
        <v>1.6</v>
      </c>
      <c r="C565" t="s">
        <v>3166</v>
      </c>
      <c r="D565" t="s">
        <v>5945</v>
      </c>
      <c r="E565" t="s">
        <v>108</v>
      </c>
    </row>
    <row r="566" spans="1:5">
      <c r="A566" t="s">
        <v>6084</v>
      </c>
      <c r="B566">
        <v>1.5</v>
      </c>
      <c r="C566" t="s">
        <v>3166</v>
      </c>
      <c r="D566" t="s">
        <v>5945</v>
      </c>
      <c r="E566" t="s">
        <v>108</v>
      </c>
    </row>
    <row r="567" spans="1:5">
      <c r="A567" t="s">
        <v>6085</v>
      </c>
      <c r="B567">
        <v>1.45</v>
      </c>
      <c r="C567" t="s">
        <v>3954</v>
      </c>
      <c r="D567" t="s">
        <v>5945</v>
      </c>
      <c r="E567" t="s">
        <v>108</v>
      </c>
    </row>
    <row r="568" spans="1:5">
      <c r="A568" t="s">
        <v>6086</v>
      </c>
      <c r="B568">
        <v>1.6</v>
      </c>
      <c r="C568" t="s">
        <v>3954</v>
      </c>
      <c r="D568" t="s">
        <v>5945</v>
      </c>
      <c r="E568" t="s">
        <v>108</v>
      </c>
    </row>
    <row r="569" spans="1:5">
      <c r="A569" t="s">
        <v>6087</v>
      </c>
      <c r="B569">
        <v>1.5</v>
      </c>
      <c r="C569" t="s">
        <v>3166</v>
      </c>
      <c r="D569" t="s">
        <v>5945</v>
      </c>
      <c r="E569" t="s">
        <v>108</v>
      </c>
    </row>
    <row r="570" spans="1:5">
      <c r="A570" t="s">
        <v>6088</v>
      </c>
      <c r="B570">
        <v>1.6</v>
      </c>
      <c r="C570" t="s">
        <v>3166</v>
      </c>
      <c r="D570" t="s">
        <v>5945</v>
      </c>
      <c r="E570" t="s">
        <v>108</v>
      </c>
    </row>
    <row r="571" spans="1:5">
      <c r="A571" t="s">
        <v>6089</v>
      </c>
      <c r="B571">
        <v>1.08</v>
      </c>
      <c r="C571" t="s">
        <v>3863</v>
      </c>
      <c r="D571" t="s">
        <v>5945</v>
      </c>
      <c r="E571" t="s">
        <v>108</v>
      </c>
    </row>
    <row r="572" spans="1:5">
      <c r="A572" t="s">
        <v>8159</v>
      </c>
      <c r="B572">
        <v>1.6</v>
      </c>
      <c r="C572" t="s">
        <v>108</v>
      </c>
      <c r="D572" t="s">
        <v>108</v>
      </c>
      <c r="E572" t="s">
        <v>108</v>
      </c>
    </row>
    <row r="573" spans="1:5">
      <c r="A573" t="s">
        <v>6090</v>
      </c>
      <c r="B573">
        <v>1.6</v>
      </c>
      <c r="C573" t="s">
        <v>3954</v>
      </c>
      <c r="D573" t="s">
        <v>5945</v>
      </c>
      <c r="E573" t="s">
        <v>108</v>
      </c>
    </row>
    <row r="574" spans="1:5">
      <c r="A574" t="s">
        <v>6091</v>
      </c>
      <c r="B574">
        <v>1.6</v>
      </c>
      <c r="C574" t="s">
        <v>3954</v>
      </c>
      <c r="D574" t="s">
        <v>5945</v>
      </c>
      <c r="E574" t="s">
        <v>108</v>
      </c>
    </row>
    <row r="575" spans="1:5">
      <c r="A575" t="s">
        <v>6092</v>
      </c>
      <c r="B575">
        <v>1.6</v>
      </c>
      <c r="C575" t="s">
        <v>3954</v>
      </c>
      <c r="D575" t="s">
        <v>5945</v>
      </c>
      <c r="E575" t="s">
        <v>108</v>
      </c>
    </row>
    <row r="576" spans="1:5">
      <c r="A576" t="s">
        <v>6093</v>
      </c>
      <c r="B576">
        <v>1.6</v>
      </c>
      <c r="C576" t="s">
        <v>3954</v>
      </c>
      <c r="D576" t="s">
        <v>5945</v>
      </c>
      <c r="E576" t="s">
        <v>108</v>
      </c>
    </row>
    <row r="577" spans="1:5">
      <c r="A577" t="s">
        <v>6094</v>
      </c>
      <c r="B577">
        <v>1.6</v>
      </c>
      <c r="C577" t="s">
        <v>3954</v>
      </c>
      <c r="D577" t="s">
        <v>5945</v>
      </c>
      <c r="E577" t="s">
        <v>108</v>
      </c>
    </row>
    <row r="578" spans="1:5">
      <c r="A578" t="s">
        <v>6095</v>
      </c>
      <c r="B578">
        <v>1.6</v>
      </c>
      <c r="C578" t="s">
        <v>3954</v>
      </c>
      <c r="D578" t="s">
        <v>5945</v>
      </c>
      <c r="E578" t="s">
        <v>108</v>
      </c>
    </row>
    <row r="579" spans="1:5">
      <c r="A579" t="s">
        <v>6096</v>
      </c>
      <c r="B579">
        <v>1.73</v>
      </c>
      <c r="C579" t="s">
        <v>3863</v>
      </c>
      <c r="D579" t="s">
        <v>6062</v>
      </c>
      <c r="E579" t="s">
        <v>108</v>
      </c>
    </row>
    <row r="580" spans="1:5">
      <c r="A580" t="s">
        <v>6097</v>
      </c>
      <c r="B580">
        <v>1.6</v>
      </c>
      <c r="C580" t="s">
        <v>3166</v>
      </c>
      <c r="D580" t="s">
        <v>6098</v>
      </c>
      <c r="E580" t="s">
        <v>108</v>
      </c>
    </row>
    <row r="581" spans="1:5">
      <c r="A581" t="s">
        <v>6099</v>
      </c>
      <c r="B581">
        <v>1.6</v>
      </c>
      <c r="C581" t="s">
        <v>3166</v>
      </c>
      <c r="D581" t="s">
        <v>6098</v>
      </c>
      <c r="E581" t="s">
        <v>108</v>
      </c>
    </row>
    <row r="582" spans="1:5">
      <c r="A582" t="s">
        <v>6100</v>
      </c>
      <c r="B582">
        <v>1.6</v>
      </c>
      <c r="C582" t="s">
        <v>108</v>
      </c>
      <c r="D582" t="s">
        <v>6098</v>
      </c>
      <c r="E582" t="s">
        <v>108</v>
      </c>
    </row>
    <row r="583" spans="1:5">
      <c r="A583" t="s">
        <v>6101</v>
      </c>
      <c r="B583">
        <v>1.6</v>
      </c>
      <c r="C583" t="s">
        <v>3954</v>
      </c>
      <c r="D583" t="s">
        <v>6098</v>
      </c>
      <c r="E583" t="s">
        <v>108</v>
      </c>
    </row>
    <row r="584" spans="1:5">
      <c r="A584" t="s">
        <v>6102</v>
      </c>
      <c r="B584">
        <v>1.6</v>
      </c>
      <c r="C584" t="s">
        <v>108</v>
      </c>
      <c r="D584" t="s">
        <v>6098</v>
      </c>
      <c r="E584" t="s">
        <v>108</v>
      </c>
    </row>
    <row r="585" spans="1:5">
      <c r="A585" t="s">
        <v>6103</v>
      </c>
      <c r="B585">
        <v>1.6</v>
      </c>
      <c r="C585" t="s">
        <v>3954</v>
      </c>
      <c r="D585" t="s">
        <v>6098</v>
      </c>
      <c r="E585" t="s">
        <v>108</v>
      </c>
    </row>
    <row r="586" spans="1:5">
      <c r="A586" t="s">
        <v>6104</v>
      </c>
      <c r="B586">
        <v>1.6</v>
      </c>
      <c r="C586" t="s">
        <v>3954</v>
      </c>
      <c r="D586" t="s">
        <v>6098</v>
      </c>
      <c r="E586" t="s">
        <v>108</v>
      </c>
    </row>
    <row r="587" spans="1:5">
      <c r="A587" t="s">
        <v>6105</v>
      </c>
      <c r="B587">
        <v>1.6</v>
      </c>
      <c r="C587" t="s">
        <v>3166</v>
      </c>
      <c r="D587" t="s">
        <v>6098</v>
      </c>
      <c r="E587" t="s">
        <v>108</v>
      </c>
    </row>
    <row r="588" spans="1:5">
      <c r="A588" t="s">
        <v>6106</v>
      </c>
      <c r="B588">
        <v>1.6</v>
      </c>
      <c r="C588" t="s">
        <v>3954</v>
      </c>
      <c r="D588" t="s">
        <v>6098</v>
      </c>
      <c r="E588" t="s">
        <v>108</v>
      </c>
    </row>
    <row r="589" spans="1:5">
      <c r="A589" t="s">
        <v>6107</v>
      </c>
      <c r="B589">
        <v>1.6</v>
      </c>
      <c r="C589" t="s">
        <v>3863</v>
      </c>
      <c r="D589" t="s">
        <v>6062</v>
      </c>
      <c r="E589" t="s">
        <v>108</v>
      </c>
    </row>
    <row r="590" spans="1:5">
      <c r="A590" t="s">
        <v>6108</v>
      </c>
      <c r="B590">
        <v>1.8</v>
      </c>
      <c r="C590" t="s">
        <v>3954</v>
      </c>
      <c r="D590" t="s">
        <v>6098</v>
      </c>
      <c r="E590" t="s">
        <v>108</v>
      </c>
    </row>
    <row r="591" spans="1:5">
      <c r="A591" t="s">
        <v>6109</v>
      </c>
      <c r="B591">
        <v>1.6</v>
      </c>
      <c r="C591" t="s">
        <v>3954</v>
      </c>
      <c r="D591" t="s">
        <v>6098</v>
      </c>
      <c r="E591" t="s">
        <v>108</v>
      </c>
    </row>
    <row r="592" spans="1:5">
      <c r="A592" t="s">
        <v>6110</v>
      </c>
      <c r="B592">
        <v>1.6</v>
      </c>
      <c r="C592" t="s">
        <v>3954</v>
      </c>
      <c r="D592" t="s">
        <v>6098</v>
      </c>
      <c r="E592" t="s">
        <v>108</v>
      </c>
    </row>
    <row r="593" spans="1:5">
      <c r="A593" t="s">
        <v>6111</v>
      </c>
      <c r="B593">
        <v>1.6</v>
      </c>
      <c r="C593" t="s">
        <v>3954</v>
      </c>
      <c r="D593" t="s">
        <v>6098</v>
      </c>
      <c r="E593" t="s">
        <v>108</v>
      </c>
    </row>
    <row r="594" spans="1:5">
      <c r="A594" t="s">
        <v>6112</v>
      </c>
      <c r="B594">
        <v>1.6</v>
      </c>
      <c r="C594" t="s">
        <v>3166</v>
      </c>
      <c r="D594" t="s">
        <v>6098</v>
      </c>
      <c r="E594" t="s">
        <v>108</v>
      </c>
    </row>
    <row r="595" spans="1:5">
      <c r="A595" t="s">
        <v>6113</v>
      </c>
      <c r="B595">
        <v>1.6</v>
      </c>
      <c r="C595" t="s">
        <v>3166</v>
      </c>
      <c r="D595" t="s">
        <v>6098</v>
      </c>
      <c r="E595" t="s">
        <v>108</v>
      </c>
    </row>
    <row r="596" spans="1:5">
      <c r="A596" t="s">
        <v>6114</v>
      </c>
      <c r="B596">
        <v>1.6</v>
      </c>
      <c r="C596" t="s">
        <v>3166</v>
      </c>
      <c r="D596" t="s">
        <v>6098</v>
      </c>
      <c r="E596" t="s">
        <v>108</v>
      </c>
    </row>
    <row r="597" spans="1:5">
      <c r="A597" t="s">
        <v>6115</v>
      </c>
      <c r="B597">
        <v>1.6</v>
      </c>
      <c r="C597" t="s">
        <v>3166</v>
      </c>
      <c r="D597" t="s">
        <v>6098</v>
      </c>
      <c r="E597" t="s">
        <v>108</v>
      </c>
    </row>
    <row r="598" spans="1:5">
      <c r="A598" t="s">
        <v>6116</v>
      </c>
      <c r="B598">
        <v>1.6</v>
      </c>
      <c r="C598" t="s">
        <v>108</v>
      </c>
      <c r="D598" t="s">
        <v>6098</v>
      </c>
      <c r="E598" t="s">
        <v>108</v>
      </c>
    </row>
    <row r="599" spans="1:5">
      <c r="A599" t="s">
        <v>6117</v>
      </c>
      <c r="B599">
        <v>1.6</v>
      </c>
      <c r="C599" t="s">
        <v>3954</v>
      </c>
      <c r="D599" t="s">
        <v>6098</v>
      </c>
      <c r="E599" t="s">
        <v>108</v>
      </c>
    </row>
    <row r="600" spans="1:5">
      <c r="A600" t="s">
        <v>6118</v>
      </c>
      <c r="B600">
        <v>1.6</v>
      </c>
      <c r="C600" t="s">
        <v>3166</v>
      </c>
      <c r="D600" t="s">
        <v>6098</v>
      </c>
      <c r="E600" t="s">
        <v>108</v>
      </c>
    </row>
    <row r="601" spans="1:5">
      <c r="A601" t="s">
        <v>6119</v>
      </c>
      <c r="B601">
        <v>1.6</v>
      </c>
      <c r="C601" t="s">
        <v>3166</v>
      </c>
      <c r="D601" t="s">
        <v>6098</v>
      </c>
      <c r="E601" t="s">
        <v>108</v>
      </c>
    </row>
    <row r="602" spans="1:5">
      <c r="A602" t="s">
        <v>6120</v>
      </c>
      <c r="B602">
        <v>1.6</v>
      </c>
      <c r="C602" t="s">
        <v>3954</v>
      </c>
      <c r="D602" t="s">
        <v>6098</v>
      </c>
      <c r="E602" t="s">
        <v>108</v>
      </c>
    </row>
    <row r="603" spans="1:5">
      <c r="A603" t="s">
        <v>6121</v>
      </c>
      <c r="B603">
        <v>1.6</v>
      </c>
      <c r="C603" t="s">
        <v>3954</v>
      </c>
      <c r="D603" t="s">
        <v>6098</v>
      </c>
      <c r="E603" t="s">
        <v>108</v>
      </c>
    </row>
    <row r="604" spans="1:5">
      <c r="A604" t="s">
        <v>6122</v>
      </c>
      <c r="B604">
        <v>1.8</v>
      </c>
      <c r="C604" t="s">
        <v>3954</v>
      </c>
      <c r="D604" t="s">
        <v>6098</v>
      </c>
      <c r="E604" t="s">
        <v>108</v>
      </c>
    </row>
    <row r="605" spans="1:5">
      <c r="A605" t="s">
        <v>6123</v>
      </c>
      <c r="B605">
        <v>1.6</v>
      </c>
      <c r="C605" t="s">
        <v>3954</v>
      </c>
      <c r="D605" t="s">
        <v>6098</v>
      </c>
      <c r="E605" t="s">
        <v>108</v>
      </c>
    </row>
    <row r="606" spans="1:5">
      <c r="A606" t="s">
        <v>6124</v>
      </c>
      <c r="B606">
        <v>1.8</v>
      </c>
      <c r="C606" t="s">
        <v>3954</v>
      </c>
      <c r="D606" t="s">
        <v>6098</v>
      </c>
      <c r="E606" t="s">
        <v>108</v>
      </c>
    </row>
    <row r="607" spans="1:5">
      <c r="A607" t="s">
        <v>6125</v>
      </c>
      <c r="B607">
        <v>1.6</v>
      </c>
      <c r="C607" t="s">
        <v>3166</v>
      </c>
      <c r="D607" t="s">
        <v>6098</v>
      </c>
      <c r="E607" t="s">
        <v>108</v>
      </c>
    </row>
    <row r="608" spans="1:5">
      <c r="A608" t="s">
        <v>6126</v>
      </c>
      <c r="B608">
        <v>1.6</v>
      </c>
      <c r="C608" t="s">
        <v>3954</v>
      </c>
      <c r="D608" t="s">
        <v>6098</v>
      </c>
      <c r="E608" t="s">
        <v>108</v>
      </c>
    </row>
    <row r="609" spans="1:5">
      <c r="A609" t="s">
        <v>6127</v>
      </c>
      <c r="B609">
        <v>1.6</v>
      </c>
      <c r="C609" t="s">
        <v>3166</v>
      </c>
      <c r="D609" t="s">
        <v>6098</v>
      </c>
      <c r="E609" t="s">
        <v>108</v>
      </c>
    </row>
    <row r="610" spans="1:5">
      <c r="A610" t="s">
        <v>6128</v>
      </c>
      <c r="B610">
        <v>1.6</v>
      </c>
      <c r="C610" t="s">
        <v>3954</v>
      </c>
      <c r="D610" t="s">
        <v>6098</v>
      </c>
      <c r="E610" t="s">
        <v>108</v>
      </c>
    </row>
    <row r="611" spans="1:5">
      <c r="A611" t="s">
        <v>6129</v>
      </c>
      <c r="B611">
        <v>1.6</v>
      </c>
      <c r="C611" t="s">
        <v>3954</v>
      </c>
      <c r="D611" t="s">
        <v>6098</v>
      </c>
      <c r="E611" t="s">
        <v>108</v>
      </c>
    </row>
    <row r="612" spans="1:5">
      <c r="A612" t="s">
        <v>6130</v>
      </c>
      <c r="B612">
        <v>1.6</v>
      </c>
      <c r="C612" t="s">
        <v>3166</v>
      </c>
      <c r="D612" t="s">
        <v>6098</v>
      </c>
      <c r="E612" t="s">
        <v>108</v>
      </c>
    </row>
    <row r="613" spans="1:5">
      <c r="A613" t="s">
        <v>6131</v>
      </c>
      <c r="B613">
        <v>1.6</v>
      </c>
      <c r="C613" t="s">
        <v>3954</v>
      </c>
      <c r="D613" t="s">
        <v>6098</v>
      </c>
      <c r="E613" t="s">
        <v>108</v>
      </c>
    </row>
    <row r="614" spans="1:5">
      <c r="A614" t="s">
        <v>6132</v>
      </c>
      <c r="B614">
        <v>1.6</v>
      </c>
      <c r="C614" t="s">
        <v>3166</v>
      </c>
      <c r="D614" t="s">
        <v>6098</v>
      </c>
      <c r="E614" t="s">
        <v>108</v>
      </c>
    </row>
    <row r="615" spans="1:5">
      <c r="A615" t="s">
        <v>6133</v>
      </c>
      <c r="B615">
        <v>1.6</v>
      </c>
      <c r="C615" t="s">
        <v>3166</v>
      </c>
      <c r="D615" t="s">
        <v>6098</v>
      </c>
      <c r="E615" t="s">
        <v>108</v>
      </c>
    </row>
    <row r="616" spans="1:5">
      <c r="A616" t="s">
        <v>6134</v>
      </c>
      <c r="B616">
        <v>1.6</v>
      </c>
      <c r="C616" t="s">
        <v>3954</v>
      </c>
      <c r="D616" t="s">
        <v>6098</v>
      </c>
      <c r="E616" t="s">
        <v>108</v>
      </c>
    </row>
    <row r="617" spans="1:5">
      <c r="A617" t="s">
        <v>6135</v>
      </c>
      <c r="B617">
        <v>1.6</v>
      </c>
      <c r="C617" t="s">
        <v>3954</v>
      </c>
      <c r="D617" t="s">
        <v>6098</v>
      </c>
      <c r="E617" t="s">
        <v>108</v>
      </c>
    </row>
    <row r="618" spans="1:5">
      <c r="A618" t="s">
        <v>6136</v>
      </c>
      <c r="B618">
        <v>1.6</v>
      </c>
      <c r="C618" t="s">
        <v>3166</v>
      </c>
      <c r="D618" t="s">
        <v>6098</v>
      </c>
      <c r="E618" t="s">
        <v>108</v>
      </c>
    </row>
    <row r="619" spans="1:5">
      <c r="A619" t="s">
        <v>6137</v>
      </c>
      <c r="B619">
        <v>1.6</v>
      </c>
      <c r="C619" t="s">
        <v>3166</v>
      </c>
      <c r="D619" t="s">
        <v>5945</v>
      </c>
      <c r="E619" t="s">
        <v>108</v>
      </c>
    </row>
    <row r="620" spans="1:5">
      <c r="A620" t="s">
        <v>6138</v>
      </c>
      <c r="B620">
        <v>1.4</v>
      </c>
      <c r="C620" t="s">
        <v>108</v>
      </c>
      <c r="D620" t="s">
        <v>5945</v>
      </c>
      <c r="E620" t="s">
        <v>108</v>
      </c>
    </row>
    <row r="621" spans="1:5">
      <c r="A621" t="s">
        <v>6139</v>
      </c>
      <c r="B621">
        <v>1.6</v>
      </c>
      <c r="C621" t="s">
        <v>3166</v>
      </c>
      <c r="D621" t="s">
        <v>5945</v>
      </c>
      <c r="E621" t="s">
        <v>108</v>
      </c>
    </row>
    <row r="622" spans="1:5">
      <c r="A622" t="s">
        <v>6140</v>
      </c>
      <c r="B622">
        <v>1.6</v>
      </c>
      <c r="C622" t="s">
        <v>3166</v>
      </c>
      <c r="D622" t="s">
        <v>5945</v>
      </c>
      <c r="E622" t="s">
        <v>108</v>
      </c>
    </row>
    <row r="623" spans="1:5">
      <c r="A623" t="s">
        <v>6141</v>
      </c>
      <c r="B623">
        <v>1.6</v>
      </c>
      <c r="C623" t="s">
        <v>3954</v>
      </c>
      <c r="D623" t="s">
        <v>5945</v>
      </c>
      <c r="E623" t="s">
        <v>108</v>
      </c>
    </row>
    <row r="624" spans="1:5">
      <c r="A624" t="s">
        <v>6142</v>
      </c>
      <c r="B624">
        <v>1.6</v>
      </c>
      <c r="C624" t="s">
        <v>3166</v>
      </c>
      <c r="D624" t="s">
        <v>5945</v>
      </c>
      <c r="E624" t="s">
        <v>108</v>
      </c>
    </row>
    <row r="625" spans="1:5">
      <c r="A625" t="s">
        <v>6143</v>
      </c>
      <c r="B625">
        <v>1.6</v>
      </c>
      <c r="C625" t="s">
        <v>3954</v>
      </c>
      <c r="D625" t="s">
        <v>5945</v>
      </c>
      <c r="E625" t="s">
        <v>108</v>
      </c>
    </row>
    <row r="626" spans="1:5">
      <c r="A626" t="s">
        <v>6144</v>
      </c>
      <c r="B626">
        <v>1.6</v>
      </c>
      <c r="C626" t="s">
        <v>3954</v>
      </c>
      <c r="D626" t="s">
        <v>5945</v>
      </c>
      <c r="E626" t="s">
        <v>108</v>
      </c>
    </row>
    <row r="627" spans="1:5">
      <c r="A627" t="s">
        <v>6145</v>
      </c>
      <c r="B627">
        <v>1.6</v>
      </c>
      <c r="C627" t="s">
        <v>3166</v>
      </c>
      <c r="D627" t="s">
        <v>5945</v>
      </c>
      <c r="E627" t="s">
        <v>108</v>
      </c>
    </row>
    <row r="628" spans="1:5">
      <c r="A628" t="s">
        <v>6146</v>
      </c>
      <c r="B628">
        <v>1.6</v>
      </c>
      <c r="C628" t="s">
        <v>3954</v>
      </c>
      <c r="D628" t="s">
        <v>5945</v>
      </c>
      <c r="E628" t="s">
        <v>108</v>
      </c>
    </row>
    <row r="629" spans="1:5">
      <c r="A629" t="s">
        <v>6147</v>
      </c>
      <c r="B629">
        <v>1.6</v>
      </c>
      <c r="C629" t="s">
        <v>108</v>
      </c>
      <c r="D629" t="s">
        <v>5945</v>
      </c>
      <c r="E629" t="s">
        <v>108</v>
      </c>
    </row>
    <row r="630" spans="1:5">
      <c r="A630" t="s">
        <v>6148</v>
      </c>
      <c r="B630">
        <v>1.6</v>
      </c>
      <c r="C630" t="s">
        <v>3166</v>
      </c>
      <c r="D630" t="s">
        <v>5945</v>
      </c>
      <c r="E630" t="s">
        <v>108</v>
      </c>
    </row>
    <row r="631" spans="1:5">
      <c r="A631" t="s">
        <v>6149</v>
      </c>
      <c r="B631">
        <v>2</v>
      </c>
      <c r="C631" t="s">
        <v>4501</v>
      </c>
      <c r="D631" t="s">
        <v>5524</v>
      </c>
      <c r="E631" t="s">
        <v>108</v>
      </c>
    </row>
    <row r="632" spans="1:5">
      <c r="A632" t="s">
        <v>6150</v>
      </c>
      <c r="B632">
        <v>2.1</v>
      </c>
      <c r="C632" t="s">
        <v>4501</v>
      </c>
      <c r="D632" t="s">
        <v>5524</v>
      </c>
      <c r="E632" t="s">
        <v>108</v>
      </c>
    </row>
    <row r="633" spans="1:5">
      <c r="A633" t="s">
        <v>6151</v>
      </c>
      <c r="B633">
        <v>2.2000000000000002</v>
      </c>
      <c r="C633" t="s">
        <v>2690</v>
      </c>
      <c r="D633" t="s">
        <v>5584</v>
      </c>
      <c r="E633" t="s">
        <v>108</v>
      </c>
    </row>
    <row r="634" spans="1:5">
      <c r="A634" t="s">
        <v>6152</v>
      </c>
      <c r="B634">
        <v>1.8</v>
      </c>
      <c r="C634" t="s">
        <v>2690</v>
      </c>
      <c r="D634" t="s">
        <v>5584</v>
      </c>
      <c r="E634" t="s">
        <v>108</v>
      </c>
    </row>
    <row r="635" spans="1:5">
      <c r="A635" t="s">
        <v>6153</v>
      </c>
      <c r="B635">
        <v>2.2000000000000002</v>
      </c>
      <c r="C635" t="s">
        <v>2690</v>
      </c>
      <c r="D635" t="s">
        <v>5584</v>
      </c>
      <c r="E635" t="s">
        <v>108</v>
      </c>
    </row>
    <row r="636" spans="1:5">
      <c r="A636" t="s">
        <v>6154</v>
      </c>
      <c r="B636">
        <v>2.1</v>
      </c>
      <c r="C636" t="s">
        <v>2690</v>
      </c>
      <c r="D636" t="s">
        <v>5584</v>
      </c>
      <c r="E636" t="s">
        <v>108</v>
      </c>
    </row>
    <row r="637" spans="1:5">
      <c r="A637" t="s">
        <v>6155</v>
      </c>
      <c r="B637">
        <v>2.58</v>
      </c>
      <c r="C637" t="s">
        <v>3083</v>
      </c>
      <c r="D637" t="s">
        <v>5505</v>
      </c>
      <c r="E637" t="s">
        <v>108</v>
      </c>
    </row>
    <row r="638" spans="1:5">
      <c r="A638" t="s">
        <v>6156</v>
      </c>
      <c r="B638">
        <v>2.3199999999999998</v>
      </c>
      <c r="C638" t="s">
        <v>2783</v>
      </c>
      <c r="D638" t="s">
        <v>5505</v>
      </c>
      <c r="E638" t="s">
        <v>108</v>
      </c>
    </row>
    <row r="639" spans="1:5">
      <c r="A639" t="s">
        <v>6157</v>
      </c>
      <c r="B639">
        <v>2.4500000000000002</v>
      </c>
      <c r="C639" t="s">
        <v>2783</v>
      </c>
      <c r="D639" t="s">
        <v>5505</v>
      </c>
      <c r="E639" t="s">
        <v>108</v>
      </c>
    </row>
    <row r="640" spans="1:5">
      <c r="A640" t="s">
        <v>6158</v>
      </c>
      <c r="B640">
        <v>2.64</v>
      </c>
      <c r="C640" t="s">
        <v>3083</v>
      </c>
      <c r="D640" t="s">
        <v>5505</v>
      </c>
      <c r="E640" t="s">
        <v>108</v>
      </c>
    </row>
    <row r="641" spans="1:5">
      <c r="A641" t="s">
        <v>6159</v>
      </c>
      <c r="B641">
        <v>3.2</v>
      </c>
      <c r="C641" t="s">
        <v>4388</v>
      </c>
      <c r="D641" t="s">
        <v>4308</v>
      </c>
      <c r="E641" t="s">
        <v>108</v>
      </c>
    </row>
    <row r="642" spans="1:5">
      <c r="A642" t="s">
        <v>6160</v>
      </c>
      <c r="B642">
        <v>1.6</v>
      </c>
      <c r="C642" t="s">
        <v>2783</v>
      </c>
      <c r="D642" t="s">
        <v>5468</v>
      </c>
      <c r="E642" t="s">
        <v>108</v>
      </c>
    </row>
    <row r="643" spans="1:5">
      <c r="A643" t="s">
        <v>8160</v>
      </c>
      <c r="B643">
        <v>2.5</v>
      </c>
      <c r="C643" t="s">
        <v>108</v>
      </c>
      <c r="D643" t="s">
        <v>108</v>
      </c>
      <c r="E643" t="s">
        <v>108</v>
      </c>
    </row>
    <row r="644" spans="1:5">
      <c r="A644" t="s">
        <v>6161</v>
      </c>
      <c r="B644">
        <v>2.5</v>
      </c>
      <c r="C644" t="s">
        <v>3735</v>
      </c>
      <c r="D644" t="s">
        <v>5468</v>
      </c>
      <c r="E644" t="s">
        <v>108</v>
      </c>
    </row>
    <row r="645" spans="1:5">
      <c r="A645" t="s">
        <v>8161</v>
      </c>
      <c r="B645">
        <v>1.5</v>
      </c>
      <c r="C645" t="s">
        <v>108</v>
      </c>
      <c r="D645" t="s">
        <v>108</v>
      </c>
      <c r="E645" t="s">
        <v>108</v>
      </c>
    </row>
    <row r="646" spans="1:5">
      <c r="A646" t="s">
        <v>6162</v>
      </c>
      <c r="B646">
        <v>1.7</v>
      </c>
      <c r="C646" t="s">
        <v>4501</v>
      </c>
      <c r="D646" t="s">
        <v>5468</v>
      </c>
      <c r="E646" t="s">
        <v>108</v>
      </c>
    </row>
    <row r="647" spans="1:5">
      <c r="A647" t="s">
        <v>6163</v>
      </c>
      <c r="B647">
        <v>2.5</v>
      </c>
      <c r="C647" t="s">
        <v>2418</v>
      </c>
      <c r="D647" t="s">
        <v>5584</v>
      </c>
      <c r="E647" t="s">
        <v>108</v>
      </c>
    </row>
    <row r="648" spans="1:5">
      <c r="A648" t="s">
        <v>6164</v>
      </c>
      <c r="B648">
        <v>2.1</v>
      </c>
      <c r="C648" t="s">
        <v>2690</v>
      </c>
      <c r="D648" t="s">
        <v>5584</v>
      </c>
      <c r="E648" t="s">
        <v>108</v>
      </c>
    </row>
    <row r="649" spans="1:5">
      <c r="A649" t="s">
        <v>6165</v>
      </c>
      <c r="B649">
        <v>2.6</v>
      </c>
      <c r="C649" t="s">
        <v>2690</v>
      </c>
      <c r="D649" t="s">
        <v>5584</v>
      </c>
      <c r="E649" t="s">
        <v>108</v>
      </c>
    </row>
    <row r="650" spans="1:5">
      <c r="A650" t="s">
        <v>8162</v>
      </c>
      <c r="B650">
        <v>2</v>
      </c>
      <c r="C650" t="s">
        <v>108</v>
      </c>
      <c r="D650" t="s">
        <v>108</v>
      </c>
      <c r="E650" t="s">
        <v>108</v>
      </c>
    </row>
    <row r="651" spans="1:5">
      <c r="A651" t="s">
        <v>8163</v>
      </c>
      <c r="B651">
        <v>2.8</v>
      </c>
      <c r="C651" t="s">
        <v>108</v>
      </c>
      <c r="D651" t="s">
        <v>108</v>
      </c>
      <c r="E651" t="s">
        <v>108</v>
      </c>
    </row>
    <row r="652" spans="1:5">
      <c r="A652" t="s">
        <v>2264</v>
      </c>
      <c r="B652">
        <v>2.8</v>
      </c>
      <c r="C652" t="s">
        <v>108</v>
      </c>
      <c r="D652" t="s">
        <v>108</v>
      </c>
      <c r="E652" t="s">
        <v>108</v>
      </c>
    </row>
    <row r="653" spans="1:5">
      <c r="A653" t="s">
        <v>8164</v>
      </c>
      <c r="B653">
        <v>2.8</v>
      </c>
      <c r="C653" t="s">
        <v>108</v>
      </c>
      <c r="D653" t="s">
        <v>108</v>
      </c>
      <c r="E653" t="s">
        <v>108</v>
      </c>
    </row>
    <row r="654" spans="1:5">
      <c r="A654" t="s">
        <v>8165</v>
      </c>
      <c r="B654">
        <v>2.8</v>
      </c>
      <c r="C654" t="s">
        <v>108</v>
      </c>
      <c r="D654" t="s">
        <v>108</v>
      </c>
      <c r="E654" t="s">
        <v>108</v>
      </c>
    </row>
    <row r="655" spans="1:5">
      <c r="A655" t="s">
        <v>6166</v>
      </c>
      <c r="B655">
        <v>2.6</v>
      </c>
      <c r="C655" t="s">
        <v>3379</v>
      </c>
      <c r="D655" t="s">
        <v>5618</v>
      </c>
      <c r="E655" t="s">
        <v>108</v>
      </c>
    </row>
    <row r="656" spans="1:5">
      <c r="A656" t="s">
        <v>8166</v>
      </c>
      <c r="B656">
        <v>2.6</v>
      </c>
      <c r="C656" t="s">
        <v>108</v>
      </c>
      <c r="D656" t="s">
        <v>108</v>
      </c>
      <c r="E656" t="s">
        <v>108</v>
      </c>
    </row>
    <row r="657" spans="1:5">
      <c r="A657" t="s">
        <v>8167</v>
      </c>
      <c r="B657">
        <v>2.8</v>
      </c>
      <c r="C657" t="s">
        <v>108</v>
      </c>
      <c r="D657" t="s">
        <v>108</v>
      </c>
      <c r="E657" t="s">
        <v>108</v>
      </c>
    </row>
    <row r="658" spans="1:5">
      <c r="A658" t="s">
        <v>8168</v>
      </c>
      <c r="B658">
        <v>2.75</v>
      </c>
      <c r="C658" t="s">
        <v>108</v>
      </c>
      <c r="D658" t="s">
        <v>108</v>
      </c>
      <c r="E658" t="s">
        <v>108</v>
      </c>
    </row>
    <row r="659" spans="1:5">
      <c r="A659" t="s">
        <v>8169</v>
      </c>
      <c r="B659">
        <v>2.6</v>
      </c>
      <c r="C659" t="s">
        <v>108</v>
      </c>
      <c r="D659" t="s">
        <v>108</v>
      </c>
      <c r="E659" t="s">
        <v>108</v>
      </c>
    </row>
    <row r="660" spans="1:5">
      <c r="A660" t="s">
        <v>8170</v>
      </c>
      <c r="B660">
        <v>2.6</v>
      </c>
      <c r="C660" t="s">
        <v>108</v>
      </c>
      <c r="D660" t="s">
        <v>108</v>
      </c>
      <c r="E660" t="s">
        <v>108</v>
      </c>
    </row>
    <row r="661" spans="1:5">
      <c r="A661" t="s">
        <v>8171</v>
      </c>
      <c r="B661">
        <v>2.5</v>
      </c>
      <c r="C661" t="s">
        <v>108</v>
      </c>
      <c r="D661" t="s">
        <v>108</v>
      </c>
      <c r="E661" t="s">
        <v>108</v>
      </c>
    </row>
    <row r="662" spans="1:5">
      <c r="A662" t="s">
        <v>8172</v>
      </c>
      <c r="B662">
        <v>2.5</v>
      </c>
      <c r="C662" t="s">
        <v>108</v>
      </c>
      <c r="D662" t="s">
        <v>108</v>
      </c>
      <c r="E662" t="s">
        <v>108</v>
      </c>
    </row>
    <row r="663" spans="1:5">
      <c r="A663" t="s">
        <v>8173</v>
      </c>
      <c r="B663">
        <v>2.5</v>
      </c>
      <c r="C663" t="s">
        <v>108</v>
      </c>
      <c r="D663" t="s">
        <v>108</v>
      </c>
      <c r="E663" t="s">
        <v>108</v>
      </c>
    </row>
    <row r="664" spans="1:5">
      <c r="A664" t="s">
        <v>8174</v>
      </c>
      <c r="B664">
        <v>2.8</v>
      </c>
      <c r="C664" t="s">
        <v>108</v>
      </c>
      <c r="D664" t="s">
        <v>108</v>
      </c>
      <c r="E664" t="s">
        <v>108</v>
      </c>
    </row>
    <row r="665" spans="1:5">
      <c r="A665" t="s">
        <v>6167</v>
      </c>
      <c r="B665">
        <v>2.2999999999999998</v>
      </c>
      <c r="C665" t="s">
        <v>6168</v>
      </c>
      <c r="D665" t="s">
        <v>5524</v>
      </c>
      <c r="E665" t="s">
        <v>108</v>
      </c>
    </row>
    <row r="666" spans="1:5">
      <c r="A666" t="s">
        <v>6169</v>
      </c>
      <c r="B666">
        <v>1.9</v>
      </c>
      <c r="C666" t="s">
        <v>108</v>
      </c>
      <c r="D666" t="s">
        <v>5606</v>
      </c>
      <c r="E666" t="s">
        <v>108</v>
      </c>
    </row>
    <row r="667" spans="1:5">
      <c r="A667" t="s">
        <v>6170</v>
      </c>
      <c r="B667">
        <v>1.7</v>
      </c>
      <c r="C667" t="s">
        <v>108</v>
      </c>
      <c r="D667" t="s">
        <v>5606</v>
      </c>
      <c r="E667" t="s">
        <v>108</v>
      </c>
    </row>
    <row r="668" spans="1:5">
      <c r="A668" t="s">
        <v>6171</v>
      </c>
      <c r="B668">
        <v>1.9</v>
      </c>
      <c r="C668" t="s">
        <v>108</v>
      </c>
      <c r="D668" t="s">
        <v>5606</v>
      </c>
      <c r="E668" t="s">
        <v>108</v>
      </c>
    </row>
    <row r="669" spans="1:5">
      <c r="A669" t="s">
        <v>6172</v>
      </c>
      <c r="B669">
        <v>1.7</v>
      </c>
      <c r="C669" t="s">
        <v>2408</v>
      </c>
      <c r="D669" t="s">
        <v>5471</v>
      </c>
      <c r="E669" t="s">
        <v>108</v>
      </c>
    </row>
    <row r="670" spans="1:5">
      <c r="A670" t="s">
        <v>6173</v>
      </c>
      <c r="B670">
        <v>1.37</v>
      </c>
      <c r="C670" t="s">
        <v>2458</v>
      </c>
      <c r="D670" t="s">
        <v>5471</v>
      </c>
      <c r="E670" t="s">
        <v>108</v>
      </c>
    </row>
    <row r="671" spans="1:5">
      <c r="A671" t="s">
        <v>6174</v>
      </c>
      <c r="B671">
        <v>1.7</v>
      </c>
      <c r="C671" t="s">
        <v>2415</v>
      </c>
      <c r="D671" t="s">
        <v>5471</v>
      </c>
      <c r="E671" t="s">
        <v>108</v>
      </c>
    </row>
    <row r="672" spans="1:5">
      <c r="A672" t="s">
        <v>6175</v>
      </c>
      <c r="B672">
        <v>1.7</v>
      </c>
      <c r="C672" t="s">
        <v>2421</v>
      </c>
      <c r="D672" t="s">
        <v>5471</v>
      </c>
      <c r="E672" t="s">
        <v>108</v>
      </c>
    </row>
    <row r="673" spans="1:5">
      <c r="A673" t="s">
        <v>6176</v>
      </c>
      <c r="B673">
        <v>1.7</v>
      </c>
      <c r="C673" t="s">
        <v>2418</v>
      </c>
      <c r="D673" t="s">
        <v>5471</v>
      </c>
      <c r="E673" t="s">
        <v>108</v>
      </c>
    </row>
    <row r="674" spans="1:5">
      <c r="A674" t="s">
        <v>6177</v>
      </c>
      <c r="B674">
        <v>1.7</v>
      </c>
      <c r="C674" t="s">
        <v>2408</v>
      </c>
      <c r="D674" t="s">
        <v>5471</v>
      </c>
      <c r="E674" t="s">
        <v>108</v>
      </c>
    </row>
    <row r="675" spans="1:5">
      <c r="A675" t="s">
        <v>6178</v>
      </c>
      <c r="B675">
        <v>1.7</v>
      </c>
      <c r="C675" t="s">
        <v>2458</v>
      </c>
      <c r="D675" t="s">
        <v>5471</v>
      </c>
      <c r="E675" t="s">
        <v>108</v>
      </c>
    </row>
    <row r="676" spans="1:5">
      <c r="A676" t="s">
        <v>6179</v>
      </c>
      <c r="B676">
        <v>1.7</v>
      </c>
      <c r="C676" t="s">
        <v>2415</v>
      </c>
      <c r="D676" t="s">
        <v>5471</v>
      </c>
      <c r="E676" t="s">
        <v>108</v>
      </c>
    </row>
    <row r="677" spans="1:5">
      <c r="A677" t="s">
        <v>6180</v>
      </c>
      <c r="B677">
        <v>2.8</v>
      </c>
      <c r="C677" t="s">
        <v>2410</v>
      </c>
      <c r="D677" t="s">
        <v>5618</v>
      </c>
      <c r="E677" t="s">
        <v>108</v>
      </c>
    </row>
    <row r="678" spans="1:5">
      <c r="A678" t="s">
        <v>6181</v>
      </c>
      <c r="B678">
        <v>1.5</v>
      </c>
      <c r="C678" t="s">
        <v>2690</v>
      </c>
      <c r="D678" t="s">
        <v>5505</v>
      </c>
      <c r="E678" t="s">
        <v>108</v>
      </c>
    </row>
    <row r="679" spans="1:5">
      <c r="A679" t="s">
        <v>8175</v>
      </c>
      <c r="B679">
        <v>2.2799999999999998</v>
      </c>
      <c r="C679" t="s">
        <v>108</v>
      </c>
      <c r="D679" t="s">
        <v>108</v>
      </c>
      <c r="E679" t="s">
        <v>108</v>
      </c>
    </row>
    <row r="680" spans="1:5">
      <c r="A680" t="s">
        <v>8176</v>
      </c>
      <c r="B680">
        <v>2.2999999999999998</v>
      </c>
      <c r="C680" t="s">
        <v>108</v>
      </c>
      <c r="D680" t="s">
        <v>108</v>
      </c>
      <c r="E680" t="s">
        <v>108</v>
      </c>
    </row>
    <row r="681" spans="1:5">
      <c r="A681" t="s">
        <v>8177</v>
      </c>
      <c r="B681">
        <v>2.35</v>
      </c>
      <c r="C681" t="s">
        <v>108</v>
      </c>
      <c r="D681" t="s">
        <v>108</v>
      </c>
      <c r="E681" t="s">
        <v>108</v>
      </c>
    </row>
    <row r="682" spans="1:5">
      <c r="A682" t="s">
        <v>6182</v>
      </c>
      <c r="B682">
        <v>2.65</v>
      </c>
      <c r="C682" t="s">
        <v>3735</v>
      </c>
      <c r="D682" t="s">
        <v>5893</v>
      </c>
      <c r="E682" t="s">
        <v>108</v>
      </c>
    </row>
    <row r="683" spans="1:5">
      <c r="A683" t="s">
        <v>8178</v>
      </c>
      <c r="B683">
        <v>2.4500000000000002</v>
      </c>
      <c r="C683" t="s">
        <v>108</v>
      </c>
      <c r="D683" t="s">
        <v>108</v>
      </c>
      <c r="E683" t="s">
        <v>108</v>
      </c>
    </row>
    <row r="684" spans="1:5">
      <c r="A684" t="s">
        <v>8179</v>
      </c>
      <c r="B684">
        <v>2.4500000000000002</v>
      </c>
      <c r="C684" t="s">
        <v>108</v>
      </c>
      <c r="D684" t="s">
        <v>108</v>
      </c>
      <c r="E684" t="s">
        <v>108</v>
      </c>
    </row>
    <row r="685" spans="1:5">
      <c r="A685" t="s">
        <v>6183</v>
      </c>
      <c r="B685">
        <v>2.4500000000000002</v>
      </c>
      <c r="C685" t="s">
        <v>2690</v>
      </c>
      <c r="D685" t="s">
        <v>5584</v>
      </c>
      <c r="E685" t="s">
        <v>108</v>
      </c>
    </row>
    <row r="686" spans="1:5">
      <c r="A686" t="s">
        <v>6184</v>
      </c>
      <c r="B686">
        <v>2.4300000000000002</v>
      </c>
      <c r="C686" t="s">
        <v>2690</v>
      </c>
      <c r="D686" t="s">
        <v>5584</v>
      </c>
      <c r="E686" t="s">
        <v>108</v>
      </c>
    </row>
    <row r="687" spans="1:5">
      <c r="A687" t="s">
        <v>6185</v>
      </c>
      <c r="B687">
        <v>2.4</v>
      </c>
      <c r="C687" t="s">
        <v>2690</v>
      </c>
      <c r="D687" t="s">
        <v>5584</v>
      </c>
      <c r="E687" t="s">
        <v>108</v>
      </c>
    </row>
    <row r="688" spans="1:5">
      <c r="A688" t="s">
        <v>6186</v>
      </c>
      <c r="B688">
        <v>2.4500000000000002</v>
      </c>
      <c r="C688" t="s">
        <v>2690</v>
      </c>
      <c r="D688" t="s">
        <v>5584</v>
      </c>
      <c r="E688" t="s">
        <v>108</v>
      </c>
    </row>
    <row r="689" spans="1:5">
      <c r="A689" t="s">
        <v>6187</v>
      </c>
      <c r="B689">
        <v>2.4</v>
      </c>
      <c r="C689" t="s">
        <v>2690</v>
      </c>
      <c r="D689" t="s">
        <v>5584</v>
      </c>
      <c r="E689" t="s">
        <v>108</v>
      </c>
    </row>
    <row r="690" spans="1:5">
      <c r="A690" t="s">
        <v>6188</v>
      </c>
      <c r="B690">
        <v>1.6</v>
      </c>
      <c r="C690" t="s">
        <v>2418</v>
      </c>
      <c r="D690" t="s">
        <v>5471</v>
      </c>
      <c r="E690" t="s">
        <v>108</v>
      </c>
    </row>
    <row r="691" spans="1:5">
      <c r="A691" t="s">
        <v>6189</v>
      </c>
      <c r="B691">
        <v>2.2000000000000002</v>
      </c>
      <c r="C691" t="s">
        <v>108</v>
      </c>
      <c r="D691" t="s">
        <v>5505</v>
      </c>
      <c r="E691" t="s">
        <v>108</v>
      </c>
    </row>
    <row r="692" spans="1:5">
      <c r="A692" t="s">
        <v>6190</v>
      </c>
      <c r="B692">
        <v>2.2000000000000002</v>
      </c>
      <c r="C692" t="s">
        <v>2421</v>
      </c>
      <c r="D692" t="s">
        <v>5505</v>
      </c>
      <c r="E692" t="s">
        <v>108</v>
      </c>
    </row>
    <row r="693" spans="1:5">
      <c r="A693" t="s">
        <v>6191</v>
      </c>
      <c r="B693">
        <v>2.1</v>
      </c>
      <c r="C693" t="s">
        <v>108</v>
      </c>
      <c r="D693" t="s">
        <v>5505</v>
      </c>
      <c r="E693" t="s">
        <v>108</v>
      </c>
    </row>
    <row r="694" spans="1:5">
      <c r="A694" t="s">
        <v>6192</v>
      </c>
      <c r="B694">
        <v>2.7</v>
      </c>
      <c r="C694" t="s">
        <v>6193</v>
      </c>
      <c r="D694" t="s">
        <v>5618</v>
      </c>
      <c r="E694" t="s">
        <v>108</v>
      </c>
    </row>
    <row r="695" spans="1:5">
      <c r="A695" t="s">
        <v>6194</v>
      </c>
      <c r="B695">
        <v>2.8</v>
      </c>
      <c r="C695" t="s">
        <v>2632</v>
      </c>
      <c r="D695" t="s">
        <v>5618</v>
      </c>
      <c r="E695" t="s">
        <v>108</v>
      </c>
    </row>
    <row r="696" spans="1:5">
      <c r="A696" t="s">
        <v>6195</v>
      </c>
      <c r="B696">
        <v>2.8</v>
      </c>
      <c r="C696" t="s">
        <v>2614</v>
      </c>
      <c r="D696" t="s">
        <v>5618</v>
      </c>
      <c r="E696" t="s">
        <v>108</v>
      </c>
    </row>
    <row r="697" spans="1:5">
      <c r="A697" t="s">
        <v>6196</v>
      </c>
      <c r="B697">
        <v>2.6</v>
      </c>
      <c r="C697" t="s">
        <v>6197</v>
      </c>
      <c r="D697" t="s">
        <v>5584</v>
      </c>
      <c r="E697" t="s">
        <v>108</v>
      </c>
    </row>
    <row r="698" spans="1:5">
      <c r="A698" t="s">
        <v>6198</v>
      </c>
      <c r="B698">
        <v>2.6</v>
      </c>
      <c r="C698" t="s">
        <v>2421</v>
      </c>
      <c r="D698" t="s">
        <v>5584</v>
      </c>
      <c r="E698" t="s">
        <v>108</v>
      </c>
    </row>
    <row r="699" spans="1:5">
      <c r="A699" t="s">
        <v>6199</v>
      </c>
      <c r="B699">
        <v>2.1</v>
      </c>
      <c r="C699" t="s">
        <v>2690</v>
      </c>
      <c r="D699" t="s">
        <v>5584</v>
      </c>
      <c r="E699" t="s">
        <v>108</v>
      </c>
    </row>
    <row r="700" spans="1:5">
      <c r="A700" t="s">
        <v>8180</v>
      </c>
      <c r="B700">
        <v>2.5499999999999998</v>
      </c>
      <c r="C700" t="s">
        <v>108</v>
      </c>
      <c r="D700" t="s">
        <v>108</v>
      </c>
      <c r="E700" t="s">
        <v>108</v>
      </c>
    </row>
    <row r="701" spans="1:5">
      <c r="A701" t="s">
        <v>8181</v>
      </c>
      <c r="B701">
        <v>2.5499999999999998</v>
      </c>
      <c r="C701" t="s">
        <v>108</v>
      </c>
      <c r="D701" t="s">
        <v>108</v>
      </c>
      <c r="E701" t="s">
        <v>108</v>
      </c>
    </row>
    <row r="702" spans="1:5">
      <c r="A702" t="s">
        <v>8182</v>
      </c>
      <c r="B702">
        <v>2.5499999999999998</v>
      </c>
      <c r="C702" t="s">
        <v>108</v>
      </c>
      <c r="D702" t="s">
        <v>108</v>
      </c>
      <c r="E702" t="s">
        <v>108</v>
      </c>
    </row>
    <row r="703" spans="1:5">
      <c r="A703" t="s">
        <v>6200</v>
      </c>
      <c r="B703">
        <v>2.4</v>
      </c>
      <c r="C703" t="s">
        <v>2421</v>
      </c>
      <c r="D703" t="s">
        <v>5505</v>
      </c>
      <c r="E703" t="s">
        <v>108</v>
      </c>
    </row>
    <row r="704" spans="1:5">
      <c r="A704" t="s">
        <v>6201</v>
      </c>
      <c r="B704">
        <v>2.4</v>
      </c>
      <c r="C704" t="s">
        <v>2421</v>
      </c>
      <c r="D704" t="s">
        <v>5505</v>
      </c>
      <c r="E704" t="s">
        <v>108</v>
      </c>
    </row>
    <row r="705" spans="1:5">
      <c r="A705" t="s">
        <v>6202</v>
      </c>
      <c r="B705">
        <v>2.6</v>
      </c>
      <c r="C705" t="s">
        <v>6203</v>
      </c>
      <c r="D705" t="s">
        <v>5584</v>
      </c>
      <c r="E705" t="s">
        <v>108</v>
      </c>
    </row>
    <row r="706" spans="1:5">
      <c r="A706" t="s">
        <v>6204</v>
      </c>
      <c r="B706">
        <v>2.6</v>
      </c>
      <c r="C706" t="s">
        <v>6205</v>
      </c>
      <c r="D706" t="s">
        <v>5584</v>
      </c>
      <c r="E706" t="s">
        <v>108</v>
      </c>
    </row>
    <row r="707" spans="1:5">
      <c r="A707" t="s">
        <v>6206</v>
      </c>
      <c r="B707">
        <v>1.9</v>
      </c>
      <c r="C707" t="s">
        <v>2690</v>
      </c>
      <c r="D707" t="s">
        <v>5606</v>
      </c>
      <c r="E707" t="s">
        <v>108</v>
      </c>
    </row>
    <row r="708" spans="1:5">
      <c r="A708" t="s">
        <v>6207</v>
      </c>
      <c r="B708">
        <v>2.6</v>
      </c>
      <c r="C708" t="s">
        <v>2421</v>
      </c>
      <c r="D708" t="s">
        <v>5584</v>
      </c>
      <c r="E708" t="s">
        <v>108</v>
      </c>
    </row>
    <row r="709" spans="1:5">
      <c r="A709" t="s">
        <v>6208</v>
      </c>
      <c r="B709">
        <v>2.6</v>
      </c>
      <c r="C709" t="s">
        <v>6209</v>
      </c>
      <c r="D709" t="s">
        <v>5584</v>
      </c>
      <c r="E709" t="s">
        <v>108</v>
      </c>
    </row>
    <row r="710" spans="1:5">
      <c r="A710" t="s">
        <v>6210</v>
      </c>
      <c r="B710">
        <v>2.6</v>
      </c>
      <c r="C710" t="s">
        <v>2418</v>
      </c>
      <c r="D710" t="s">
        <v>5584</v>
      </c>
      <c r="E710" t="s">
        <v>108</v>
      </c>
    </row>
    <row r="711" spans="1:5">
      <c r="A711" t="s">
        <v>6211</v>
      </c>
      <c r="B711">
        <v>2.6</v>
      </c>
      <c r="C711" t="s">
        <v>2421</v>
      </c>
      <c r="D711" t="s">
        <v>5584</v>
      </c>
      <c r="E711" t="s">
        <v>108</v>
      </c>
    </row>
    <row r="712" spans="1:5">
      <c r="A712" t="s">
        <v>6212</v>
      </c>
      <c r="B712">
        <v>2.6</v>
      </c>
      <c r="C712" t="s">
        <v>6213</v>
      </c>
      <c r="D712" t="s">
        <v>5584</v>
      </c>
      <c r="E712" t="s">
        <v>108</v>
      </c>
    </row>
    <row r="713" spans="1:5">
      <c r="A713" t="s">
        <v>6214</v>
      </c>
      <c r="B713">
        <v>2.6</v>
      </c>
      <c r="C713" t="s">
        <v>2418</v>
      </c>
      <c r="D713" t="s">
        <v>5584</v>
      </c>
      <c r="E713" t="s">
        <v>108</v>
      </c>
    </row>
    <row r="714" spans="1:5">
      <c r="A714" t="s">
        <v>6215</v>
      </c>
      <c r="B714">
        <v>2.6</v>
      </c>
      <c r="C714" t="s">
        <v>6216</v>
      </c>
      <c r="D714" t="s">
        <v>5584</v>
      </c>
      <c r="E714" t="s">
        <v>108</v>
      </c>
    </row>
    <row r="715" spans="1:5">
      <c r="A715" t="s">
        <v>6217</v>
      </c>
      <c r="B715">
        <v>2.6</v>
      </c>
      <c r="C715" t="s">
        <v>6213</v>
      </c>
      <c r="D715" t="s">
        <v>5584</v>
      </c>
      <c r="E715" t="s">
        <v>108</v>
      </c>
    </row>
    <row r="716" spans="1:5">
      <c r="A716" t="s">
        <v>6218</v>
      </c>
      <c r="B716">
        <v>2.6</v>
      </c>
      <c r="C716" t="s">
        <v>6209</v>
      </c>
      <c r="D716" t="s">
        <v>5584</v>
      </c>
      <c r="E716" t="s">
        <v>108</v>
      </c>
    </row>
    <row r="717" spans="1:5">
      <c r="A717" t="s">
        <v>6219</v>
      </c>
      <c r="B717">
        <v>2.6</v>
      </c>
      <c r="C717" t="s">
        <v>108</v>
      </c>
      <c r="D717" t="s">
        <v>5584</v>
      </c>
      <c r="E717" t="s">
        <v>108</v>
      </c>
    </row>
    <row r="718" spans="1:5">
      <c r="A718" t="s">
        <v>6220</v>
      </c>
      <c r="B718">
        <v>2</v>
      </c>
      <c r="C718" t="s">
        <v>6221</v>
      </c>
      <c r="D718" t="s">
        <v>5505</v>
      </c>
      <c r="E718" t="s">
        <v>108</v>
      </c>
    </row>
    <row r="719" spans="1:5">
      <c r="A719" t="s">
        <v>6222</v>
      </c>
      <c r="B719">
        <v>2</v>
      </c>
      <c r="C719" t="s">
        <v>6223</v>
      </c>
      <c r="D719" t="s">
        <v>5505</v>
      </c>
      <c r="E719" t="s">
        <v>108</v>
      </c>
    </row>
    <row r="720" spans="1:5">
      <c r="A720" t="s">
        <v>6224</v>
      </c>
      <c r="B720">
        <v>2</v>
      </c>
      <c r="C720" t="s">
        <v>6221</v>
      </c>
      <c r="D720" t="s">
        <v>5505</v>
      </c>
      <c r="E720" t="s">
        <v>108</v>
      </c>
    </row>
    <row r="721" spans="1:5">
      <c r="A721" t="s">
        <v>6225</v>
      </c>
      <c r="B721">
        <v>2.2999999999999998</v>
      </c>
      <c r="C721" t="s">
        <v>108</v>
      </c>
      <c r="D721" t="s">
        <v>108</v>
      </c>
      <c r="E721" t="s">
        <v>108</v>
      </c>
    </row>
    <row r="722" spans="1:5">
      <c r="A722" t="s">
        <v>6226</v>
      </c>
      <c r="B722">
        <v>2</v>
      </c>
      <c r="C722" t="s">
        <v>108</v>
      </c>
      <c r="D722" t="s">
        <v>6227</v>
      </c>
      <c r="E722" t="s">
        <v>108</v>
      </c>
    </row>
    <row r="723" spans="1:5">
      <c r="A723" t="s">
        <v>6228</v>
      </c>
      <c r="B723">
        <v>2.1</v>
      </c>
      <c r="C723" t="s">
        <v>108</v>
      </c>
      <c r="D723" t="s">
        <v>6227</v>
      </c>
      <c r="E723" t="s">
        <v>108</v>
      </c>
    </row>
    <row r="724" spans="1:5">
      <c r="A724" t="s">
        <v>6229</v>
      </c>
      <c r="B724">
        <v>2.1</v>
      </c>
      <c r="C724" t="s">
        <v>108</v>
      </c>
      <c r="D724" t="s">
        <v>4308</v>
      </c>
      <c r="E724" t="s">
        <v>108</v>
      </c>
    </row>
    <row r="725" spans="1:5">
      <c r="A725" t="s">
        <v>6230</v>
      </c>
      <c r="B725">
        <v>2.1</v>
      </c>
      <c r="C725" t="s">
        <v>108</v>
      </c>
      <c r="D725" t="s">
        <v>4308</v>
      </c>
      <c r="E725" t="s">
        <v>108</v>
      </c>
    </row>
    <row r="726" spans="1:5">
      <c r="A726" t="s">
        <v>6231</v>
      </c>
      <c r="B726">
        <v>2.1</v>
      </c>
      <c r="C726" t="s">
        <v>3363</v>
      </c>
      <c r="D726" t="s">
        <v>5911</v>
      </c>
      <c r="E726" t="s">
        <v>108</v>
      </c>
    </row>
    <row r="727" spans="1:5">
      <c r="A727" t="s">
        <v>6232</v>
      </c>
      <c r="B727">
        <v>2.8</v>
      </c>
      <c r="C727" t="s">
        <v>4388</v>
      </c>
      <c r="D727" t="s">
        <v>5618</v>
      </c>
      <c r="E727" t="s">
        <v>108</v>
      </c>
    </row>
    <row r="728" spans="1:5">
      <c r="A728" t="s">
        <v>6233</v>
      </c>
      <c r="B728">
        <v>2.7</v>
      </c>
      <c r="C728" t="s">
        <v>6234</v>
      </c>
      <c r="D728" t="s">
        <v>5841</v>
      </c>
      <c r="E728" t="s">
        <v>108</v>
      </c>
    </row>
    <row r="729" spans="1:5">
      <c r="A729" t="s">
        <v>6235</v>
      </c>
      <c r="B729">
        <v>2.7</v>
      </c>
      <c r="C729" t="s">
        <v>6236</v>
      </c>
      <c r="D729" t="s">
        <v>5841</v>
      </c>
      <c r="E729" t="s">
        <v>108</v>
      </c>
    </row>
    <row r="730" spans="1:5">
      <c r="A730" t="s">
        <v>6237</v>
      </c>
      <c r="B730">
        <v>2.7</v>
      </c>
      <c r="C730" t="s">
        <v>108</v>
      </c>
      <c r="D730" t="s">
        <v>5835</v>
      </c>
      <c r="E730" t="s">
        <v>108</v>
      </c>
    </row>
    <row r="731" spans="1:5">
      <c r="A731" t="s">
        <v>6238</v>
      </c>
      <c r="B731">
        <v>2.77</v>
      </c>
      <c r="C731" t="s">
        <v>108</v>
      </c>
      <c r="D731" t="s">
        <v>5841</v>
      </c>
      <c r="E731" t="s">
        <v>108</v>
      </c>
    </row>
    <row r="732" spans="1:5">
      <c r="A732" t="s">
        <v>6239</v>
      </c>
      <c r="B732">
        <v>1.96</v>
      </c>
      <c r="C732" t="s">
        <v>2627</v>
      </c>
      <c r="D732" t="s">
        <v>5841</v>
      </c>
      <c r="E732" t="s">
        <v>108</v>
      </c>
    </row>
    <row r="733" spans="1:5">
      <c r="A733" t="s">
        <v>6240</v>
      </c>
      <c r="B733">
        <v>2.7</v>
      </c>
      <c r="C733" t="s">
        <v>6241</v>
      </c>
      <c r="D733" t="s">
        <v>5841</v>
      </c>
      <c r="E733" t="s">
        <v>108</v>
      </c>
    </row>
    <row r="734" spans="1:5">
      <c r="A734" t="s">
        <v>6242</v>
      </c>
      <c r="B734">
        <v>2.7</v>
      </c>
      <c r="C734" t="s">
        <v>2570</v>
      </c>
      <c r="D734" t="s">
        <v>5841</v>
      </c>
      <c r="E734" t="s">
        <v>108</v>
      </c>
    </row>
    <row r="735" spans="1:5">
      <c r="A735" t="s">
        <v>6243</v>
      </c>
      <c r="B735">
        <v>2.7</v>
      </c>
      <c r="C735" t="s">
        <v>2612</v>
      </c>
      <c r="D735" t="s">
        <v>5865</v>
      </c>
      <c r="E735" t="s">
        <v>108</v>
      </c>
    </row>
    <row r="736" spans="1:5">
      <c r="A736" t="s">
        <v>6244</v>
      </c>
      <c r="B736">
        <v>2.7</v>
      </c>
      <c r="C736" t="s">
        <v>2604</v>
      </c>
      <c r="D736" t="s">
        <v>5841</v>
      </c>
      <c r="E736" t="s">
        <v>108</v>
      </c>
    </row>
    <row r="737" spans="1:5">
      <c r="A737" t="s">
        <v>6245</v>
      </c>
      <c r="B737">
        <v>2.7</v>
      </c>
      <c r="C737" t="s">
        <v>6246</v>
      </c>
      <c r="D737" t="s">
        <v>5841</v>
      </c>
      <c r="E737" t="s">
        <v>108</v>
      </c>
    </row>
    <row r="738" spans="1:5">
      <c r="A738" t="s">
        <v>6247</v>
      </c>
      <c r="B738">
        <v>2.4</v>
      </c>
      <c r="C738" t="s">
        <v>2418</v>
      </c>
      <c r="D738" t="s">
        <v>5505</v>
      </c>
      <c r="E738" t="s">
        <v>108</v>
      </c>
    </row>
    <row r="739" spans="1:5">
      <c r="A739" t="s">
        <v>6248</v>
      </c>
      <c r="B739">
        <v>2.93</v>
      </c>
      <c r="C739" t="s">
        <v>5620</v>
      </c>
      <c r="D739" t="s">
        <v>6249</v>
      </c>
      <c r="E739" t="s">
        <v>108</v>
      </c>
    </row>
    <row r="740" spans="1:5">
      <c r="A740" t="s">
        <v>6250</v>
      </c>
      <c r="B740">
        <v>2.94</v>
      </c>
      <c r="C740" t="s">
        <v>5617</v>
      </c>
      <c r="D740" t="s">
        <v>6249</v>
      </c>
      <c r="E740" t="s">
        <v>108</v>
      </c>
    </row>
    <row r="741" spans="1:5">
      <c r="A741" t="s">
        <v>6251</v>
      </c>
      <c r="B741">
        <v>2.83</v>
      </c>
      <c r="C741" t="s">
        <v>5620</v>
      </c>
      <c r="D741" t="s">
        <v>5618</v>
      </c>
      <c r="E741" t="s">
        <v>108</v>
      </c>
    </row>
    <row r="742" spans="1:5">
      <c r="A742" t="s">
        <v>6252</v>
      </c>
      <c r="B742">
        <v>2.98</v>
      </c>
      <c r="C742" t="s">
        <v>108</v>
      </c>
      <c r="D742" t="s">
        <v>6253</v>
      </c>
      <c r="E742" t="s">
        <v>108</v>
      </c>
    </row>
    <row r="743" spans="1:5">
      <c r="A743" t="s">
        <v>6254</v>
      </c>
      <c r="B743">
        <v>2.95</v>
      </c>
      <c r="C743" t="s">
        <v>108</v>
      </c>
      <c r="D743" t="s">
        <v>6253</v>
      </c>
      <c r="E743" t="s">
        <v>108</v>
      </c>
    </row>
    <row r="744" spans="1:5">
      <c r="A744" t="s">
        <v>6255</v>
      </c>
      <c r="B744">
        <v>2.94</v>
      </c>
      <c r="C744" t="s">
        <v>2783</v>
      </c>
      <c r="D744" t="s">
        <v>6253</v>
      </c>
      <c r="E744" t="s">
        <v>108</v>
      </c>
    </row>
    <row r="745" spans="1:5">
      <c r="A745" t="s">
        <v>6256</v>
      </c>
      <c r="B745">
        <v>2.96</v>
      </c>
      <c r="C745" t="s">
        <v>2783</v>
      </c>
      <c r="D745" t="s">
        <v>6257</v>
      </c>
      <c r="E745" t="s">
        <v>108</v>
      </c>
    </row>
    <row r="746" spans="1:5">
      <c r="A746" t="s">
        <v>6258</v>
      </c>
      <c r="B746">
        <v>3</v>
      </c>
      <c r="C746" t="s">
        <v>2783</v>
      </c>
      <c r="D746" t="s">
        <v>6257</v>
      </c>
      <c r="E746" t="s">
        <v>108</v>
      </c>
    </row>
    <row r="747" spans="1:5">
      <c r="A747" t="s">
        <v>6259</v>
      </c>
      <c r="B747">
        <v>3</v>
      </c>
      <c r="C747" t="s">
        <v>2783</v>
      </c>
      <c r="D747" t="s">
        <v>6257</v>
      </c>
      <c r="E747" t="s">
        <v>108</v>
      </c>
    </row>
    <row r="748" spans="1:5">
      <c r="A748" t="s">
        <v>6260</v>
      </c>
      <c r="B748">
        <v>2.99</v>
      </c>
      <c r="C748" t="s">
        <v>2783</v>
      </c>
      <c r="D748" t="s">
        <v>6253</v>
      </c>
      <c r="E748" t="s">
        <v>108</v>
      </c>
    </row>
    <row r="749" spans="1:5">
      <c r="A749" t="s">
        <v>6261</v>
      </c>
      <c r="B749">
        <v>2.99</v>
      </c>
      <c r="C749" t="s">
        <v>2783</v>
      </c>
      <c r="D749" t="s">
        <v>6253</v>
      </c>
      <c r="E749" t="s">
        <v>108</v>
      </c>
    </row>
    <row r="750" spans="1:5">
      <c r="A750" t="s">
        <v>6262</v>
      </c>
      <c r="B750">
        <v>2.98</v>
      </c>
      <c r="C750" t="s">
        <v>108</v>
      </c>
      <c r="D750" t="s">
        <v>6263</v>
      </c>
      <c r="E750" t="s">
        <v>108</v>
      </c>
    </row>
    <row r="751" spans="1:5">
      <c r="A751" t="s">
        <v>6265</v>
      </c>
      <c r="B751">
        <v>2.97</v>
      </c>
      <c r="C751" t="s">
        <v>2783</v>
      </c>
      <c r="D751" t="s">
        <v>6253</v>
      </c>
      <c r="E751" t="s">
        <v>108</v>
      </c>
    </row>
    <row r="752" spans="1:5">
      <c r="A752" t="s">
        <v>6266</v>
      </c>
      <c r="B752">
        <v>2.97</v>
      </c>
      <c r="C752" t="s">
        <v>2783</v>
      </c>
      <c r="D752" t="s">
        <v>6253</v>
      </c>
      <c r="E752" t="s">
        <v>108</v>
      </c>
    </row>
    <row r="753" spans="1:5">
      <c r="A753" t="s">
        <v>6267</v>
      </c>
      <c r="B753">
        <v>3</v>
      </c>
      <c r="C753" t="s">
        <v>2783</v>
      </c>
      <c r="D753" t="s">
        <v>6253</v>
      </c>
      <c r="E753" t="s">
        <v>108</v>
      </c>
    </row>
    <row r="754" spans="1:5">
      <c r="A754" t="s">
        <v>6268</v>
      </c>
      <c r="B754">
        <v>2.95</v>
      </c>
      <c r="C754" t="s">
        <v>2783</v>
      </c>
      <c r="D754" t="s">
        <v>6253</v>
      </c>
      <c r="E754" t="s">
        <v>108</v>
      </c>
    </row>
    <row r="755" spans="1:5">
      <c r="A755" t="s">
        <v>6269</v>
      </c>
      <c r="B755">
        <v>2.74</v>
      </c>
      <c r="C755" t="s">
        <v>2395</v>
      </c>
      <c r="D755" t="s">
        <v>6253</v>
      </c>
      <c r="E755" t="s">
        <v>108</v>
      </c>
    </row>
    <row r="756" spans="1:5">
      <c r="A756" t="s">
        <v>6271</v>
      </c>
      <c r="B756">
        <v>1.6</v>
      </c>
      <c r="C756" t="s">
        <v>108</v>
      </c>
      <c r="D756" t="s">
        <v>6272</v>
      </c>
      <c r="E756" t="s">
        <v>108</v>
      </c>
    </row>
    <row r="757" spans="1:5">
      <c r="A757" t="s">
        <v>6273</v>
      </c>
      <c r="B757">
        <v>2</v>
      </c>
      <c r="C757" t="s">
        <v>108</v>
      </c>
      <c r="D757" t="s">
        <v>6272</v>
      </c>
      <c r="E757" t="s">
        <v>108</v>
      </c>
    </row>
    <row r="758" spans="1:5">
      <c r="A758" t="s">
        <v>6274</v>
      </c>
      <c r="B758">
        <v>2</v>
      </c>
      <c r="C758" t="s">
        <v>108</v>
      </c>
      <c r="D758" t="s">
        <v>6272</v>
      </c>
      <c r="E758" t="s">
        <v>108</v>
      </c>
    </row>
    <row r="759" spans="1:5">
      <c r="A759" t="s">
        <v>6275</v>
      </c>
      <c r="B759">
        <v>2</v>
      </c>
      <c r="C759" t="s">
        <v>108</v>
      </c>
      <c r="D759" t="s">
        <v>6272</v>
      </c>
      <c r="E759" t="s">
        <v>6276</v>
      </c>
    </row>
    <row r="760" spans="1:5">
      <c r="A760" t="s">
        <v>6277</v>
      </c>
      <c r="B760">
        <v>1.8</v>
      </c>
      <c r="C760" t="s">
        <v>108</v>
      </c>
      <c r="D760" t="s">
        <v>6272</v>
      </c>
      <c r="E760" t="s">
        <v>108</v>
      </c>
    </row>
    <row r="761" spans="1:5">
      <c r="A761" t="s">
        <v>6278</v>
      </c>
      <c r="B761">
        <v>2.2000000000000002</v>
      </c>
      <c r="C761" t="s">
        <v>108</v>
      </c>
      <c r="D761" t="s">
        <v>6272</v>
      </c>
      <c r="E761" t="s">
        <v>6279</v>
      </c>
    </row>
    <row r="762" spans="1:5">
      <c r="A762" t="s">
        <v>6280</v>
      </c>
      <c r="B762">
        <v>2.52</v>
      </c>
      <c r="C762" t="s">
        <v>4058</v>
      </c>
      <c r="D762" t="s">
        <v>6253</v>
      </c>
      <c r="E762" t="s">
        <v>6281</v>
      </c>
    </row>
    <row r="763" spans="1:5">
      <c r="A763" t="s">
        <v>6282</v>
      </c>
      <c r="B763">
        <v>2.48</v>
      </c>
      <c r="C763" t="s">
        <v>108</v>
      </c>
      <c r="D763" t="s">
        <v>6253</v>
      </c>
      <c r="E763" t="s">
        <v>6281</v>
      </c>
    </row>
    <row r="764" spans="1:5">
      <c r="A764" t="s">
        <v>6283</v>
      </c>
      <c r="B764">
        <v>2.58</v>
      </c>
      <c r="C764" t="s">
        <v>6284</v>
      </c>
      <c r="D764" t="s">
        <v>6263</v>
      </c>
      <c r="E764" t="s">
        <v>6285</v>
      </c>
    </row>
    <row r="765" spans="1:5">
      <c r="A765" t="s">
        <v>6286</v>
      </c>
      <c r="B765">
        <v>2.4700000000000002</v>
      </c>
      <c r="C765" t="s">
        <v>4139</v>
      </c>
      <c r="D765" t="s">
        <v>6253</v>
      </c>
      <c r="E765" t="s">
        <v>6287</v>
      </c>
    </row>
    <row r="766" spans="1:5">
      <c r="A766" t="s">
        <v>6289</v>
      </c>
      <c r="B766">
        <v>3</v>
      </c>
      <c r="C766" t="s">
        <v>6290</v>
      </c>
      <c r="D766" t="s">
        <v>6253</v>
      </c>
      <c r="E766" t="s">
        <v>6285</v>
      </c>
    </row>
    <row r="767" spans="1:5">
      <c r="A767" t="s">
        <v>6291</v>
      </c>
      <c r="B767">
        <v>2.39</v>
      </c>
      <c r="C767" t="s">
        <v>6292</v>
      </c>
      <c r="D767" t="s">
        <v>5631</v>
      </c>
      <c r="E767" t="s">
        <v>6293</v>
      </c>
    </row>
    <row r="768" spans="1:5">
      <c r="A768" t="s">
        <v>6294</v>
      </c>
      <c r="B768">
        <v>2.35</v>
      </c>
      <c r="C768" t="s">
        <v>6292</v>
      </c>
      <c r="D768" t="s">
        <v>5631</v>
      </c>
      <c r="E768" t="s">
        <v>6285</v>
      </c>
    </row>
    <row r="769" spans="1:5">
      <c r="A769" t="s">
        <v>6295</v>
      </c>
      <c r="B769">
        <v>2.76</v>
      </c>
      <c r="C769" t="s">
        <v>6296</v>
      </c>
      <c r="D769" t="s">
        <v>6253</v>
      </c>
      <c r="E769" t="s">
        <v>6297</v>
      </c>
    </row>
    <row r="770" spans="1:5">
      <c r="A770" t="s">
        <v>6298</v>
      </c>
      <c r="B770">
        <v>2.85</v>
      </c>
      <c r="C770" t="s">
        <v>108</v>
      </c>
      <c r="D770" t="s">
        <v>6253</v>
      </c>
      <c r="E770" t="s">
        <v>6299</v>
      </c>
    </row>
    <row r="771" spans="1:5">
      <c r="A771" t="s">
        <v>6301</v>
      </c>
      <c r="B771">
        <v>2.35</v>
      </c>
      <c r="C771" t="s">
        <v>108</v>
      </c>
      <c r="D771" t="s">
        <v>5631</v>
      </c>
      <c r="E771" t="s">
        <v>6300</v>
      </c>
    </row>
    <row r="772" spans="1:5">
      <c r="A772" t="s">
        <v>6302</v>
      </c>
      <c r="B772">
        <v>2.68</v>
      </c>
      <c r="C772" t="s">
        <v>6303</v>
      </c>
      <c r="D772" t="s">
        <v>6253</v>
      </c>
      <c r="E772" t="s">
        <v>6304</v>
      </c>
    </row>
    <row r="773" spans="1:5">
      <c r="A773" t="s">
        <v>6305</v>
      </c>
      <c r="B773">
        <v>2.76</v>
      </c>
      <c r="C773" t="s">
        <v>6303</v>
      </c>
      <c r="D773" t="s">
        <v>6253</v>
      </c>
      <c r="E773" t="s">
        <v>6306</v>
      </c>
    </row>
    <row r="774" spans="1:5">
      <c r="A774" t="s">
        <v>6307</v>
      </c>
      <c r="B774">
        <v>2.56</v>
      </c>
      <c r="C774" t="s">
        <v>4473</v>
      </c>
      <c r="D774" t="s">
        <v>6308</v>
      </c>
      <c r="E774" t="s">
        <v>6299</v>
      </c>
    </row>
    <row r="775" spans="1:5">
      <c r="A775" t="s">
        <v>6309</v>
      </c>
      <c r="B775">
        <v>2.38</v>
      </c>
      <c r="C775" t="s">
        <v>6310</v>
      </c>
      <c r="D775" t="s">
        <v>6253</v>
      </c>
      <c r="E775" t="s">
        <v>108</v>
      </c>
    </row>
    <row r="776" spans="1:5">
      <c r="A776" t="s">
        <v>6311</v>
      </c>
      <c r="B776">
        <v>2.35</v>
      </c>
      <c r="C776" t="s">
        <v>6312</v>
      </c>
      <c r="D776" t="s">
        <v>6253</v>
      </c>
      <c r="E776" t="s">
        <v>6313</v>
      </c>
    </row>
    <row r="777" spans="1:5">
      <c r="A777" t="s">
        <v>6314</v>
      </c>
      <c r="B777">
        <v>2.35</v>
      </c>
      <c r="C777" t="s">
        <v>6315</v>
      </c>
      <c r="D777" t="s">
        <v>6253</v>
      </c>
      <c r="E777" t="s">
        <v>6316</v>
      </c>
    </row>
    <row r="778" spans="1:5">
      <c r="A778" t="s">
        <v>6317</v>
      </c>
      <c r="B778">
        <v>2.35</v>
      </c>
      <c r="C778" t="s">
        <v>6318</v>
      </c>
      <c r="D778" t="s">
        <v>6253</v>
      </c>
      <c r="E778" t="s">
        <v>6293</v>
      </c>
    </row>
    <row r="779" spans="1:5">
      <c r="A779" t="s">
        <v>6319</v>
      </c>
      <c r="B779">
        <v>2.35</v>
      </c>
      <c r="C779" t="s">
        <v>6320</v>
      </c>
      <c r="D779" t="s">
        <v>6253</v>
      </c>
      <c r="E779" t="s">
        <v>6321</v>
      </c>
    </row>
    <row r="780" spans="1:5">
      <c r="A780" t="s">
        <v>6322</v>
      </c>
      <c r="B780">
        <v>2.2000000000000002</v>
      </c>
      <c r="C780" t="s">
        <v>108</v>
      </c>
      <c r="D780" t="s">
        <v>6253</v>
      </c>
      <c r="E780" t="s">
        <v>6293</v>
      </c>
    </row>
    <row r="781" spans="1:5">
      <c r="A781" t="s">
        <v>6323</v>
      </c>
      <c r="B781">
        <v>2.2000000000000002</v>
      </c>
      <c r="C781" t="s">
        <v>108</v>
      </c>
      <c r="D781" t="s">
        <v>5631</v>
      </c>
      <c r="E781" t="s">
        <v>6321</v>
      </c>
    </row>
    <row r="782" spans="1:5">
      <c r="A782" t="s">
        <v>6324</v>
      </c>
      <c r="B782">
        <v>2.2000000000000002</v>
      </c>
      <c r="C782" t="s">
        <v>6312</v>
      </c>
      <c r="D782" t="s">
        <v>5631</v>
      </c>
      <c r="E782" t="s">
        <v>6325</v>
      </c>
    </row>
    <row r="783" spans="1:5">
      <c r="A783" t="s">
        <v>6326</v>
      </c>
      <c r="B783">
        <v>2.2000000000000002</v>
      </c>
      <c r="C783" t="s">
        <v>6312</v>
      </c>
      <c r="D783" t="s">
        <v>5631</v>
      </c>
      <c r="E783" t="s">
        <v>6293</v>
      </c>
    </row>
    <row r="784" spans="1:5">
      <c r="A784" t="s">
        <v>6327</v>
      </c>
      <c r="B784">
        <v>2.5499999999999998</v>
      </c>
      <c r="C784" t="s">
        <v>6328</v>
      </c>
      <c r="D784" t="s">
        <v>6253</v>
      </c>
      <c r="E784" t="s">
        <v>6329</v>
      </c>
    </row>
    <row r="785" spans="1:5">
      <c r="A785" t="s">
        <v>6330</v>
      </c>
      <c r="B785">
        <v>2.11</v>
      </c>
      <c r="C785" t="s">
        <v>5538</v>
      </c>
      <c r="D785" t="s">
        <v>5631</v>
      </c>
      <c r="E785" t="s">
        <v>6288</v>
      </c>
    </row>
    <row r="786" spans="1:5">
      <c r="A786" t="s">
        <v>6331</v>
      </c>
      <c r="B786">
        <v>2.2999999999999998</v>
      </c>
      <c r="C786" t="s">
        <v>6332</v>
      </c>
      <c r="D786" t="s">
        <v>6253</v>
      </c>
      <c r="E786" t="s">
        <v>6333</v>
      </c>
    </row>
    <row r="787" spans="1:5">
      <c r="A787" t="s">
        <v>6334</v>
      </c>
      <c r="B787">
        <v>2.14</v>
      </c>
      <c r="C787" t="s">
        <v>4884</v>
      </c>
      <c r="D787" t="s">
        <v>5631</v>
      </c>
      <c r="E787" t="s">
        <v>6293</v>
      </c>
    </row>
    <row r="788" spans="1:5">
      <c r="A788" t="s">
        <v>6335</v>
      </c>
      <c r="B788">
        <v>2.4</v>
      </c>
      <c r="C788" t="s">
        <v>6315</v>
      </c>
      <c r="D788" t="s">
        <v>6253</v>
      </c>
      <c r="E788" t="s">
        <v>6336</v>
      </c>
    </row>
    <row r="789" spans="1:5">
      <c r="A789" t="s">
        <v>6337</v>
      </c>
      <c r="B789">
        <v>2.3199999999999998</v>
      </c>
      <c r="C789" t="s">
        <v>6303</v>
      </c>
      <c r="D789" t="s">
        <v>6253</v>
      </c>
      <c r="E789" t="s">
        <v>6336</v>
      </c>
    </row>
    <row r="790" spans="1:5">
      <c r="A790" t="s">
        <v>6338</v>
      </c>
      <c r="B790">
        <v>2.42</v>
      </c>
      <c r="C790" t="s">
        <v>6339</v>
      </c>
      <c r="D790" t="s">
        <v>6253</v>
      </c>
      <c r="E790" t="s">
        <v>6340</v>
      </c>
    </row>
    <row r="791" spans="1:5">
      <c r="A791" t="s">
        <v>6341</v>
      </c>
      <c r="B791">
        <v>2.21</v>
      </c>
      <c r="C791" t="s">
        <v>6332</v>
      </c>
      <c r="D791" t="s">
        <v>5631</v>
      </c>
      <c r="E791" t="s">
        <v>6342</v>
      </c>
    </row>
    <row r="792" spans="1:5">
      <c r="A792" t="s">
        <v>6343</v>
      </c>
      <c r="B792">
        <v>2.15</v>
      </c>
      <c r="C792" t="s">
        <v>5526</v>
      </c>
      <c r="D792" t="s">
        <v>5631</v>
      </c>
      <c r="E792" t="s">
        <v>108</v>
      </c>
    </row>
    <row r="793" spans="1:5">
      <c r="A793" t="s">
        <v>6344</v>
      </c>
      <c r="B793">
        <v>2.9</v>
      </c>
      <c r="C793" t="s">
        <v>6345</v>
      </c>
      <c r="D793" t="s">
        <v>6253</v>
      </c>
      <c r="E793" t="s">
        <v>6346</v>
      </c>
    </row>
    <row r="794" spans="1:5">
      <c r="A794" t="s">
        <v>6347</v>
      </c>
      <c r="B794">
        <v>2.67</v>
      </c>
      <c r="C794" t="s">
        <v>6348</v>
      </c>
      <c r="D794" t="s">
        <v>6253</v>
      </c>
      <c r="E794" t="s">
        <v>6349</v>
      </c>
    </row>
    <row r="795" spans="1:5">
      <c r="A795" t="s">
        <v>6350</v>
      </c>
      <c r="B795">
        <v>2.65</v>
      </c>
      <c r="C795" t="s">
        <v>6351</v>
      </c>
      <c r="D795" t="s">
        <v>6253</v>
      </c>
      <c r="E795" t="s">
        <v>6352</v>
      </c>
    </row>
    <row r="796" spans="1:5">
      <c r="A796" t="s">
        <v>6353</v>
      </c>
      <c r="B796">
        <v>2.88</v>
      </c>
      <c r="C796" t="s">
        <v>4473</v>
      </c>
      <c r="D796" t="s">
        <v>6253</v>
      </c>
      <c r="E796" t="s">
        <v>6354</v>
      </c>
    </row>
    <row r="797" spans="1:5">
      <c r="A797" t="s">
        <v>6355</v>
      </c>
      <c r="B797">
        <v>2.4500000000000002</v>
      </c>
      <c r="C797" t="s">
        <v>108</v>
      </c>
      <c r="D797" t="s">
        <v>6356</v>
      </c>
      <c r="E797" t="s">
        <v>6354</v>
      </c>
    </row>
    <row r="798" spans="1:5">
      <c r="A798" t="s">
        <v>6357</v>
      </c>
      <c r="B798">
        <v>2.72</v>
      </c>
      <c r="C798" t="s">
        <v>108</v>
      </c>
      <c r="D798" t="s">
        <v>6356</v>
      </c>
      <c r="E798" t="s">
        <v>6358</v>
      </c>
    </row>
    <row r="799" spans="1:5">
      <c r="A799" t="s">
        <v>6359</v>
      </c>
      <c r="B799">
        <v>2.7</v>
      </c>
      <c r="C799" t="s">
        <v>108</v>
      </c>
      <c r="D799" t="s">
        <v>6356</v>
      </c>
      <c r="E799" t="s">
        <v>6360</v>
      </c>
    </row>
    <row r="800" spans="1:5">
      <c r="A800" t="s">
        <v>6361</v>
      </c>
      <c r="B800">
        <v>2.96</v>
      </c>
      <c r="C800" t="s">
        <v>5102</v>
      </c>
      <c r="D800" t="s">
        <v>6356</v>
      </c>
      <c r="E800" t="s">
        <v>6362</v>
      </c>
    </row>
    <row r="801" spans="1:5">
      <c r="A801" t="s">
        <v>6363</v>
      </c>
      <c r="B801">
        <v>2.98</v>
      </c>
      <c r="C801" t="s">
        <v>5102</v>
      </c>
      <c r="D801" t="s">
        <v>6257</v>
      </c>
      <c r="E801" t="s">
        <v>6360</v>
      </c>
    </row>
    <row r="802" spans="1:5">
      <c r="A802" t="s">
        <v>6366</v>
      </c>
      <c r="B802">
        <v>2.95</v>
      </c>
      <c r="C802" t="s">
        <v>5338</v>
      </c>
      <c r="D802" t="s">
        <v>6257</v>
      </c>
      <c r="E802" t="s">
        <v>6367</v>
      </c>
    </row>
    <row r="803" spans="1:5">
      <c r="A803" t="s">
        <v>6369</v>
      </c>
      <c r="B803">
        <v>3.13</v>
      </c>
      <c r="C803" t="s">
        <v>108</v>
      </c>
      <c r="D803" t="s">
        <v>6257</v>
      </c>
      <c r="E803" t="s">
        <v>6370</v>
      </c>
    </row>
    <row r="804" spans="1:5">
      <c r="A804" t="s">
        <v>6371</v>
      </c>
      <c r="B804">
        <v>3</v>
      </c>
      <c r="C804" t="s">
        <v>6372</v>
      </c>
      <c r="D804" t="s">
        <v>6356</v>
      </c>
      <c r="E804" t="s">
        <v>6373</v>
      </c>
    </row>
    <row r="805" spans="1:5">
      <c r="A805" t="s">
        <v>6374</v>
      </c>
      <c r="B805">
        <v>2.85</v>
      </c>
      <c r="C805" t="s">
        <v>4473</v>
      </c>
      <c r="D805" t="s">
        <v>6253</v>
      </c>
      <c r="E805" t="s">
        <v>6293</v>
      </c>
    </row>
    <row r="806" spans="1:5">
      <c r="A806" t="s">
        <v>6375</v>
      </c>
      <c r="B806">
        <v>2.9</v>
      </c>
      <c r="C806" t="s">
        <v>6376</v>
      </c>
      <c r="D806" t="s">
        <v>6253</v>
      </c>
      <c r="E806" t="s">
        <v>6377</v>
      </c>
    </row>
    <row r="807" spans="1:5">
      <c r="A807" t="s">
        <v>6378</v>
      </c>
      <c r="B807">
        <v>2.42</v>
      </c>
      <c r="C807" t="s">
        <v>108</v>
      </c>
      <c r="D807" t="s">
        <v>6253</v>
      </c>
      <c r="E807" t="s">
        <v>6306</v>
      </c>
    </row>
    <row r="808" spans="1:5">
      <c r="A808" t="s">
        <v>6379</v>
      </c>
      <c r="B808">
        <v>2.48</v>
      </c>
      <c r="C808" t="s">
        <v>6290</v>
      </c>
      <c r="D808" t="s">
        <v>6253</v>
      </c>
      <c r="E808" t="s">
        <v>6380</v>
      </c>
    </row>
    <row r="809" spans="1:5">
      <c r="A809" t="s">
        <v>6381</v>
      </c>
      <c r="B809">
        <v>2.5</v>
      </c>
      <c r="C809" t="s">
        <v>6382</v>
      </c>
      <c r="D809" t="s">
        <v>6253</v>
      </c>
      <c r="E809" t="s">
        <v>6383</v>
      </c>
    </row>
    <row r="810" spans="1:5">
      <c r="A810" t="s">
        <v>6384</v>
      </c>
      <c r="B810">
        <v>2.44</v>
      </c>
      <c r="C810" t="s">
        <v>6385</v>
      </c>
      <c r="D810" t="s">
        <v>6253</v>
      </c>
      <c r="E810" t="s">
        <v>6386</v>
      </c>
    </row>
    <row r="811" spans="1:5">
      <c r="A811" t="s">
        <v>6387</v>
      </c>
      <c r="B811">
        <v>2.5</v>
      </c>
      <c r="C811" t="s">
        <v>6388</v>
      </c>
      <c r="D811" t="s">
        <v>6308</v>
      </c>
      <c r="E811" t="s">
        <v>6389</v>
      </c>
    </row>
    <row r="812" spans="1:5">
      <c r="A812" t="s">
        <v>6390</v>
      </c>
      <c r="B812">
        <v>2.57</v>
      </c>
      <c r="C812" t="s">
        <v>6391</v>
      </c>
      <c r="D812" t="s">
        <v>6308</v>
      </c>
      <c r="E812" t="s">
        <v>6392</v>
      </c>
    </row>
    <row r="813" spans="1:5">
      <c r="A813" t="s">
        <v>6393</v>
      </c>
      <c r="B813">
        <v>2.5</v>
      </c>
      <c r="C813" t="s">
        <v>6339</v>
      </c>
      <c r="D813" t="s">
        <v>6253</v>
      </c>
      <c r="E813" t="s">
        <v>6394</v>
      </c>
    </row>
    <row r="814" spans="1:5">
      <c r="A814" t="s">
        <v>6395</v>
      </c>
      <c r="B814">
        <v>2.35</v>
      </c>
      <c r="C814" t="s">
        <v>4867</v>
      </c>
      <c r="D814" t="s">
        <v>5631</v>
      </c>
      <c r="E814" t="s">
        <v>6396</v>
      </c>
    </row>
    <row r="815" spans="1:5">
      <c r="A815" t="s">
        <v>6397</v>
      </c>
      <c r="B815">
        <v>2.33</v>
      </c>
      <c r="C815" t="s">
        <v>4473</v>
      </c>
      <c r="D815" t="s">
        <v>5631</v>
      </c>
      <c r="E815" t="s">
        <v>6392</v>
      </c>
    </row>
    <row r="816" spans="1:5">
      <c r="A816" t="s">
        <v>6398</v>
      </c>
      <c r="B816">
        <v>2.67</v>
      </c>
      <c r="C816" t="s">
        <v>6399</v>
      </c>
      <c r="D816" t="s">
        <v>6253</v>
      </c>
      <c r="E816" t="s">
        <v>6389</v>
      </c>
    </row>
    <row r="817" spans="1:5">
      <c r="A817" t="s">
        <v>6400</v>
      </c>
      <c r="B817">
        <v>2.76</v>
      </c>
      <c r="C817" t="s">
        <v>5338</v>
      </c>
      <c r="D817" t="s">
        <v>6253</v>
      </c>
      <c r="E817" t="s">
        <v>6389</v>
      </c>
    </row>
    <row r="818" spans="1:5">
      <c r="A818" t="s">
        <v>6401</v>
      </c>
      <c r="B818">
        <v>2.36</v>
      </c>
      <c r="C818" t="s">
        <v>108</v>
      </c>
      <c r="D818" t="s">
        <v>6253</v>
      </c>
      <c r="E818" t="s">
        <v>6394</v>
      </c>
    </row>
    <row r="819" spans="1:5">
      <c r="A819" t="s">
        <v>6402</v>
      </c>
      <c r="B819">
        <v>2.5099999999999998</v>
      </c>
      <c r="C819" t="s">
        <v>6403</v>
      </c>
      <c r="D819" t="s">
        <v>6253</v>
      </c>
      <c r="E819" t="s">
        <v>6394</v>
      </c>
    </row>
    <row r="820" spans="1:5">
      <c r="A820" t="s">
        <v>6404</v>
      </c>
      <c r="B820">
        <v>2.5099999999999998</v>
      </c>
      <c r="C820" t="s">
        <v>6405</v>
      </c>
      <c r="D820" t="s">
        <v>6253</v>
      </c>
      <c r="E820" t="s">
        <v>6406</v>
      </c>
    </row>
    <row r="821" spans="1:5">
      <c r="A821" t="s">
        <v>6407</v>
      </c>
      <c r="B821">
        <v>2.54</v>
      </c>
      <c r="C821" t="s">
        <v>6332</v>
      </c>
      <c r="D821" t="s">
        <v>6253</v>
      </c>
      <c r="E821" t="s">
        <v>6406</v>
      </c>
    </row>
    <row r="822" spans="1:5">
      <c r="A822" t="s">
        <v>6408</v>
      </c>
      <c r="B822">
        <v>2.15</v>
      </c>
      <c r="C822" t="s">
        <v>6403</v>
      </c>
      <c r="D822" t="s">
        <v>5631</v>
      </c>
      <c r="E822" t="s">
        <v>6321</v>
      </c>
    </row>
    <row r="823" spans="1:5">
      <c r="A823" t="s">
        <v>6409</v>
      </c>
      <c r="B823">
        <v>2.56</v>
      </c>
      <c r="C823" t="s">
        <v>5338</v>
      </c>
      <c r="D823" t="s">
        <v>6410</v>
      </c>
      <c r="E823" t="s">
        <v>6285</v>
      </c>
    </row>
    <row r="824" spans="1:5">
      <c r="A824" t="s">
        <v>6411</v>
      </c>
      <c r="B824">
        <v>2.2999999999999998</v>
      </c>
      <c r="C824" t="s">
        <v>108</v>
      </c>
      <c r="D824" t="s">
        <v>6412</v>
      </c>
      <c r="E824" t="s">
        <v>6373</v>
      </c>
    </row>
    <row r="825" spans="1:5">
      <c r="A825" t="s">
        <v>6413</v>
      </c>
      <c r="B825">
        <v>2.62</v>
      </c>
      <c r="C825" t="s">
        <v>4613</v>
      </c>
      <c r="D825" t="s">
        <v>6412</v>
      </c>
      <c r="E825" t="s">
        <v>6373</v>
      </c>
    </row>
    <row r="826" spans="1:5">
      <c r="A826" t="s">
        <v>6414</v>
      </c>
      <c r="B826">
        <v>2.5</v>
      </c>
      <c r="C826" t="s">
        <v>108</v>
      </c>
      <c r="D826" t="s">
        <v>6412</v>
      </c>
      <c r="E826" t="s">
        <v>6415</v>
      </c>
    </row>
    <row r="827" spans="1:5">
      <c r="A827" t="s">
        <v>6416</v>
      </c>
      <c r="B827">
        <v>2.6</v>
      </c>
      <c r="C827" t="s">
        <v>108</v>
      </c>
      <c r="D827" t="s">
        <v>6412</v>
      </c>
      <c r="E827" t="s">
        <v>6417</v>
      </c>
    </row>
    <row r="828" spans="1:5">
      <c r="A828" t="s">
        <v>6418</v>
      </c>
      <c r="B828">
        <v>2.6</v>
      </c>
      <c r="C828" t="s">
        <v>108</v>
      </c>
      <c r="D828" t="s">
        <v>6412</v>
      </c>
      <c r="E828" t="s">
        <v>6285</v>
      </c>
    </row>
    <row r="829" spans="1:5">
      <c r="A829" t="s">
        <v>6419</v>
      </c>
      <c r="B829">
        <v>2.65</v>
      </c>
      <c r="C829" t="s">
        <v>4613</v>
      </c>
      <c r="D829" t="s">
        <v>6412</v>
      </c>
      <c r="E829" t="s">
        <v>6415</v>
      </c>
    </row>
    <row r="830" spans="1:5">
      <c r="A830" t="s">
        <v>6420</v>
      </c>
      <c r="B830">
        <v>2.82</v>
      </c>
      <c r="C830" t="s">
        <v>4613</v>
      </c>
      <c r="D830" t="s">
        <v>6412</v>
      </c>
      <c r="E830" t="s">
        <v>6421</v>
      </c>
    </row>
    <row r="831" spans="1:5">
      <c r="A831" t="s">
        <v>6422</v>
      </c>
      <c r="B831">
        <v>2.68</v>
      </c>
      <c r="C831" t="s">
        <v>108</v>
      </c>
      <c r="D831" t="s">
        <v>6412</v>
      </c>
      <c r="E831" t="s">
        <v>6415</v>
      </c>
    </row>
    <row r="832" spans="1:5">
      <c r="A832" t="s">
        <v>6423</v>
      </c>
      <c r="B832">
        <v>2.78</v>
      </c>
      <c r="C832" t="s">
        <v>5338</v>
      </c>
      <c r="D832" t="s">
        <v>6412</v>
      </c>
      <c r="E832" t="s">
        <v>6373</v>
      </c>
    </row>
    <row r="833" spans="1:5">
      <c r="A833" t="s">
        <v>6424</v>
      </c>
      <c r="B833">
        <v>2.68</v>
      </c>
      <c r="C833" t="s">
        <v>108</v>
      </c>
      <c r="D833" t="s">
        <v>6412</v>
      </c>
      <c r="E833" t="s">
        <v>6425</v>
      </c>
    </row>
    <row r="834" spans="1:5">
      <c r="A834" t="s">
        <v>6426</v>
      </c>
      <c r="B834">
        <v>2.68</v>
      </c>
      <c r="C834" t="s">
        <v>108</v>
      </c>
      <c r="D834" t="s">
        <v>6412</v>
      </c>
      <c r="E834" t="s">
        <v>6373</v>
      </c>
    </row>
    <row r="835" spans="1:5">
      <c r="A835" t="s">
        <v>6427</v>
      </c>
      <c r="B835">
        <v>2.84</v>
      </c>
      <c r="C835" t="s">
        <v>4613</v>
      </c>
      <c r="D835" t="s">
        <v>6412</v>
      </c>
      <c r="E835" t="s">
        <v>6428</v>
      </c>
    </row>
    <row r="836" spans="1:5">
      <c r="A836" t="s">
        <v>6430</v>
      </c>
      <c r="B836">
        <v>2.84</v>
      </c>
      <c r="C836" t="s">
        <v>5338</v>
      </c>
      <c r="D836" t="s">
        <v>6412</v>
      </c>
      <c r="E836" t="s">
        <v>6431</v>
      </c>
    </row>
    <row r="837" spans="1:5">
      <c r="A837" t="s">
        <v>6432</v>
      </c>
      <c r="B837">
        <v>2.85</v>
      </c>
      <c r="C837" t="s">
        <v>4613</v>
      </c>
      <c r="D837" t="s">
        <v>6412</v>
      </c>
      <c r="E837" t="s">
        <v>6433</v>
      </c>
    </row>
    <row r="838" spans="1:5">
      <c r="A838" t="s">
        <v>6434</v>
      </c>
      <c r="B838">
        <v>2.9</v>
      </c>
      <c r="C838" t="s">
        <v>108</v>
      </c>
      <c r="D838" t="s">
        <v>6412</v>
      </c>
      <c r="E838" t="s">
        <v>6288</v>
      </c>
    </row>
    <row r="839" spans="1:5">
      <c r="A839" t="s">
        <v>6435</v>
      </c>
      <c r="B839">
        <v>2.87</v>
      </c>
      <c r="C839" t="s">
        <v>4613</v>
      </c>
      <c r="D839" t="s">
        <v>6412</v>
      </c>
      <c r="E839" t="s">
        <v>6436</v>
      </c>
    </row>
    <row r="840" spans="1:5">
      <c r="A840" t="s">
        <v>6437</v>
      </c>
      <c r="B840">
        <v>2.84</v>
      </c>
      <c r="C840" t="s">
        <v>108</v>
      </c>
      <c r="D840" t="s">
        <v>6412</v>
      </c>
      <c r="E840" t="s">
        <v>6293</v>
      </c>
    </row>
    <row r="841" spans="1:5">
      <c r="A841" t="s">
        <v>6438</v>
      </c>
      <c r="B841">
        <v>2.75</v>
      </c>
      <c r="C841" t="s">
        <v>108</v>
      </c>
      <c r="D841" t="s">
        <v>6253</v>
      </c>
      <c r="E841" t="s">
        <v>6321</v>
      </c>
    </row>
    <row r="842" spans="1:5">
      <c r="A842" t="s">
        <v>6439</v>
      </c>
      <c r="B842">
        <v>2.6</v>
      </c>
      <c r="C842" t="s">
        <v>108</v>
      </c>
      <c r="D842" t="s">
        <v>6253</v>
      </c>
      <c r="E842" t="s">
        <v>6293</v>
      </c>
    </row>
    <row r="843" spans="1:5">
      <c r="A843" t="s">
        <v>6440</v>
      </c>
      <c r="B843">
        <v>2.66</v>
      </c>
      <c r="C843" t="s">
        <v>108</v>
      </c>
      <c r="D843" t="s">
        <v>6253</v>
      </c>
      <c r="E843" t="s">
        <v>6285</v>
      </c>
    </row>
    <row r="844" spans="1:5">
      <c r="A844" t="s">
        <v>6441</v>
      </c>
      <c r="B844">
        <v>2.75</v>
      </c>
      <c r="C844" t="s">
        <v>108</v>
      </c>
      <c r="D844" t="s">
        <v>6253</v>
      </c>
      <c r="E844" t="s">
        <v>6442</v>
      </c>
    </row>
    <row r="845" spans="1:5">
      <c r="A845" t="s">
        <v>6443</v>
      </c>
      <c r="B845">
        <v>2.5499999999999998</v>
      </c>
      <c r="C845" t="s">
        <v>4473</v>
      </c>
      <c r="D845" t="s">
        <v>6253</v>
      </c>
      <c r="E845" t="s">
        <v>6444</v>
      </c>
    </row>
    <row r="846" spans="1:5">
      <c r="A846" t="s">
        <v>6445</v>
      </c>
      <c r="B846">
        <v>2.67</v>
      </c>
      <c r="C846" t="s">
        <v>6446</v>
      </c>
      <c r="D846" t="s">
        <v>6308</v>
      </c>
      <c r="E846" t="s">
        <v>6447</v>
      </c>
    </row>
    <row r="847" spans="1:5">
      <c r="A847" t="s">
        <v>6448</v>
      </c>
      <c r="B847">
        <v>2.3199999999999998</v>
      </c>
      <c r="C847" t="s">
        <v>6449</v>
      </c>
      <c r="D847" t="s">
        <v>6253</v>
      </c>
      <c r="E847" t="s">
        <v>6450</v>
      </c>
    </row>
    <row r="848" spans="1:5">
      <c r="A848" t="s">
        <v>6452</v>
      </c>
      <c r="B848">
        <v>2.75</v>
      </c>
      <c r="C848" t="s">
        <v>108</v>
      </c>
      <c r="D848" t="s">
        <v>6356</v>
      </c>
      <c r="E848" t="s">
        <v>6453</v>
      </c>
    </row>
    <row r="849" spans="1:5">
      <c r="A849" t="s">
        <v>6454</v>
      </c>
      <c r="B849">
        <v>2.92</v>
      </c>
      <c r="C849" t="s">
        <v>5102</v>
      </c>
      <c r="D849" t="s">
        <v>6356</v>
      </c>
      <c r="E849" t="s">
        <v>6455</v>
      </c>
    </row>
    <row r="850" spans="1:5">
      <c r="A850" t="s">
        <v>6456</v>
      </c>
      <c r="B850">
        <v>2.36</v>
      </c>
      <c r="C850" t="s">
        <v>108</v>
      </c>
      <c r="D850" t="s">
        <v>6356</v>
      </c>
      <c r="E850" t="s">
        <v>6457</v>
      </c>
    </row>
    <row r="851" spans="1:5">
      <c r="A851" t="s">
        <v>6458</v>
      </c>
      <c r="B851">
        <v>2.63</v>
      </c>
      <c r="C851" t="s">
        <v>108</v>
      </c>
      <c r="D851" t="s">
        <v>6356</v>
      </c>
      <c r="E851" t="s">
        <v>6459</v>
      </c>
    </row>
    <row r="852" spans="1:5">
      <c r="A852" t="s">
        <v>6460</v>
      </c>
      <c r="B852">
        <v>2.86</v>
      </c>
      <c r="C852" t="s">
        <v>5102</v>
      </c>
      <c r="D852" t="s">
        <v>6356</v>
      </c>
      <c r="E852" t="s">
        <v>6461</v>
      </c>
    </row>
    <row r="853" spans="1:5">
      <c r="A853" t="s">
        <v>6462</v>
      </c>
      <c r="B853">
        <v>2.92</v>
      </c>
      <c r="C853" t="s">
        <v>5102</v>
      </c>
      <c r="D853" t="s">
        <v>6356</v>
      </c>
      <c r="E853" t="s">
        <v>6463</v>
      </c>
    </row>
    <row r="854" spans="1:5">
      <c r="A854" t="s">
        <v>6464</v>
      </c>
      <c r="B854">
        <v>2.92</v>
      </c>
      <c r="C854" t="s">
        <v>5102</v>
      </c>
      <c r="D854" t="s">
        <v>6356</v>
      </c>
      <c r="E854" t="s">
        <v>6465</v>
      </c>
    </row>
    <row r="855" spans="1:5">
      <c r="A855" t="s">
        <v>6466</v>
      </c>
      <c r="B855">
        <v>2.99</v>
      </c>
      <c r="C855" t="s">
        <v>108</v>
      </c>
      <c r="D855" t="s">
        <v>6356</v>
      </c>
      <c r="E855" t="s">
        <v>6467</v>
      </c>
    </row>
    <row r="856" spans="1:5">
      <c r="A856" t="s">
        <v>6469</v>
      </c>
      <c r="B856">
        <v>2.6</v>
      </c>
      <c r="C856" t="s">
        <v>108</v>
      </c>
      <c r="D856" t="s">
        <v>6356</v>
      </c>
      <c r="E856" t="s">
        <v>6470</v>
      </c>
    </row>
    <row r="857" spans="1:5">
      <c r="A857" t="s">
        <v>6471</v>
      </c>
      <c r="B857">
        <v>2.72</v>
      </c>
      <c r="C857" t="s">
        <v>4058</v>
      </c>
      <c r="D857" t="s">
        <v>6356</v>
      </c>
      <c r="E857" t="s">
        <v>6472</v>
      </c>
    </row>
    <row r="858" spans="1:5">
      <c r="A858" t="s">
        <v>6473</v>
      </c>
      <c r="B858">
        <v>2.84</v>
      </c>
      <c r="C858" t="s">
        <v>6310</v>
      </c>
      <c r="D858" t="s">
        <v>6356</v>
      </c>
      <c r="E858" t="s">
        <v>6474</v>
      </c>
    </row>
    <row r="859" spans="1:5">
      <c r="A859" t="s">
        <v>6475</v>
      </c>
      <c r="B859">
        <v>2.72</v>
      </c>
      <c r="C859" t="s">
        <v>108</v>
      </c>
      <c r="D859" t="s">
        <v>6356</v>
      </c>
      <c r="E859" t="s">
        <v>6476</v>
      </c>
    </row>
    <row r="860" spans="1:5">
      <c r="A860" t="s">
        <v>6477</v>
      </c>
      <c r="B860">
        <v>2.42</v>
      </c>
      <c r="C860" t="s">
        <v>6405</v>
      </c>
      <c r="D860" t="s">
        <v>6356</v>
      </c>
      <c r="E860" t="s">
        <v>108</v>
      </c>
    </row>
    <row r="861" spans="1:5">
      <c r="A861" t="s">
        <v>6478</v>
      </c>
      <c r="B861">
        <v>2.2000000000000002</v>
      </c>
      <c r="C861" t="s">
        <v>6312</v>
      </c>
      <c r="D861" t="s">
        <v>6479</v>
      </c>
      <c r="E861" t="s">
        <v>108</v>
      </c>
    </row>
    <row r="862" spans="1:5">
      <c r="A862" t="s">
        <v>6480</v>
      </c>
      <c r="B862">
        <v>2.48</v>
      </c>
      <c r="C862" t="s">
        <v>6481</v>
      </c>
      <c r="D862" t="s">
        <v>6356</v>
      </c>
      <c r="E862" t="s">
        <v>6482</v>
      </c>
    </row>
    <row r="863" spans="1:5">
      <c r="A863" t="s">
        <v>6483</v>
      </c>
      <c r="B863">
        <v>2.48</v>
      </c>
      <c r="C863" t="s">
        <v>6315</v>
      </c>
      <c r="D863" t="s">
        <v>6356</v>
      </c>
      <c r="E863" t="s">
        <v>108</v>
      </c>
    </row>
    <row r="864" spans="1:5">
      <c r="A864" t="s">
        <v>6484</v>
      </c>
      <c r="B864">
        <v>2.6</v>
      </c>
      <c r="C864" t="s">
        <v>6485</v>
      </c>
      <c r="D864" t="s">
        <v>6356</v>
      </c>
      <c r="E864" t="s">
        <v>6486</v>
      </c>
    </row>
    <row r="865" spans="1:5">
      <c r="A865" t="s">
        <v>6487</v>
      </c>
      <c r="B865">
        <v>2.4500000000000002</v>
      </c>
      <c r="C865" t="s">
        <v>6488</v>
      </c>
      <c r="D865" t="s">
        <v>4308</v>
      </c>
      <c r="E865" t="s">
        <v>6489</v>
      </c>
    </row>
    <row r="866" spans="1:5">
      <c r="A866" t="s">
        <v>6490</v>
      </c>
      <c r="B866">
        <v>2.4700000000000002</v>
      </c>
      <c r="C866" t="s">
        <v>108</v>
      </c>
      <c r="D866" t="s">
        <v>6356</v>
      </c>
      <c r="E866" t="s">
        <v>6491</v>
      </c>
    </row>
    <row r="867" spans="1:5">
      <c r="A867" t="s">
        <v>6492</v>
      </c>
      <c r="B867">
        <v>2.4700000000000002</v>
      </c>
      <c r="C867" t="s">
        <v>108</v>
      </c>
      <c r="D867" t="s">
        <v>6356</v>
      </c>
      <c r="E867" t="s">
        <v>6491</v>
      </c>
    </row>
    <row r="868" spans="1:5">
      <c r="A868" t="s">
        <v>6493</v>
      </c>
      <c r="B868">
        <v>2.5299999999999998</v>
      </c>
      <c r="C868" t="s">
        <v>6494</v>
      </c>
      <c r="D868" t="s">
        <v>6356</v>
      </c>
      <c r="E868" t="s">
        <v>6495</v>
      </c>
    </row>
    <row r="869" spans="1:5">
      <c r="A869" t="s">
        <v>6497</v>
      </c>
      <c r="B869">
        <v>2.52</v>
      </c>
      <c r="C869" t="s">
        <v>5538</v>
      </c>
      <c r="D869" t="s">
        <v>6356</v>
      </c>
      <c r="E869" t="s">
        <v>6300</v>
      </c>
    </row>
    <row r="870" spans="1:5">
      <c r="A870" t="s">
        <v>6498</v>
      </c>
      <c r="B870">
        <v>2.4700000000000002</v>
      </c>
      <c r="C870" t="s">
        <v>4058</v>
      </c>
      <c r="D870" t="s">
        <v>6356</v>
      </c>
      <c r="E870" t="s">
        <v>108</v>
      </c>
    </row>
    <row r="871" spans="1:5">
      <c r="A871" t="s">
        <v>6499</v>
      </c>
      <c r="B871">
        <v>2.2999999999999998</v>
      </c>
      <c r="C871" t="s">
        <v>108</v>
      </c>
      <c r="D871" t="s">
        <v>6479</v>
      </c>
      <c r="E871" t="s">
        <v>6500</v>
      </c>
    </row>
    <row r="872" spans="1:5">
      <c r="A872" t="s">
        <v>6501</v>
      </c>
      <c r="B872">
        <v>2.33</v>
      </c>
      <c r="C872" t="s">
        <v>6502</v>
      </c>
      <c r="D872" t="s">
        <v>6479</v>
      </c>
      <c r="E872" t="s">
        <v>6503</v>
      </c>
    </row>
    <row r="873" spans="1:5">
      <c r="A873" t="s">
        <v>6504</v>
      </c>
      <c r="B873">
        <v>2.25</v>
      </c>
      <c r="C873" t="s">
        <v>108</v>
      </c>
      <c r="D873" t="s">
        <v>6479</v>
      </c>
      <c r="E873" t="s">
        <v>108</v>
      </c>
    </row>
    <row r="874" spans="1:5">
      <c r="A874" t="s">
        <v>6505</v>
      </c>
      <c r="B874">
        <v>2.2999999999999998</v>
      </c>
      <c r="C874" t="s">
        <v>6506</v>
      </c>
      <c r="D874" t="s">
        <v>6479</v>
      </c>
      <c r="E874" t="s">
        <v>108</v>
      </c>
    </row>
    <row r="875" spans="1:5">
      <c r="A875" t="s">
        <v>6507</v>
      </c>
      <c r="B875">
        <v>2.2999999999999998</v>
      </c>
      <c r="C875" t="s">
        <v>108</v>
      </c>
      <c r="D875" t="s">
        <v>6479</v>
      </c>
      <c r="E875" t="s">
        <v>108</v>
      </c>
    </row>
    <row r="876" spans="1:5">
      <c r="A876" t="s">
        <v>6508</v>
      </c>
      <c r="B876">
        <v>2.4300000000000002</v>
      </c>
      <c r="C876" t="s">
        <v>6509</v>
      </c>
      <c r="D876" t="s">
        <v>6479</v>
      </c>
      <c r="E876" t="s">
        <v>6510</v>
      </c>
    </row>
    <row r="877" spans="1:5">
      <c r="A877" t="s">
        <v>6511</v>
      </c>
      <c r="B877">
        <v>2.7</v>
      </c>
      <c r="C877" t="s">
        <v>108</v>
      </c>
      <c r="D877" t="s">
        <v>6356</v>
      </c>
      <c r="E877" t="s">
        <v>6512</v>
      </c>
    </row>
    <row r="878" spans="1:5">
      <c r="A878" t="s">
        <v>6513</v>
      </c>
      <c r="B878">
        <v>2.6</v>
      </c>
      <c r="C878" t="s">
        <v>6290</v>
      </c>
      <c r="D878" t="s">
        <v>6356</v>
      </c>
      <c r="E878" t="s">
        <v>6514</v>
      </c>
    </row>
    <row r="879" spans="1:5">
      <c r="A879" t="s">
        <v>6515</v>
      </c>
      <c r="B879">
        <v>2.6</v>
      </c>
      <c r="C879" t="s">
        <v>4058</v>
      </c>
      <c r="D879" t="s">
        <v>6356</v>
      </c>
      <c r="E879" t="s">
        <v>6516</v>
      </c>
    </row>
    <row r="880" spans="1:5">
      <c r="A880" t="s">
        <v>6517</v>
      </c>
      <c r="B880">
        <v>2.48</v>
      </c>
      <c r="C880" t="s">
        <v>6315</v>
      </c>
      <c r="D880" t="s">
        <v>6356</v>
      </c>
      <c r="E880" t="s">
        <v>108</v>
      </c>
    </row>
    <row r="881" spans="1:5">
      <c r="A881" t="s">
        <v>6518</v>
      </c>
      <c r="B881">
        <v>2.4</v>
      </c>
      <c r="C881" t="s">
        <v>6315</v>
      </c>
      <c r="D881" t="s">
        <v>6479</v>
      </c>
      <c r="E881" t="s">
        <v>6519</v>
      </c>
    </row>
    <row r="882" spans="1:5">
      <c r="A882" t="s">
        <v>6520</v>
      </c>
      <c r="B882">
        <v>3.1</v>
      </c>
      <c r="C882" t="s">
        <v>6521</v>
      </c>
      <c r="D882" t="s">
        <v>6356</v>
      </c>
      <c r="E882" t="s">
        <v>6522</v>
      </c>
    </row>
    <row r="883" spans="1:5">
      <c r="A883" t="s">
        <v>6523</v>
      </c>
      <c r="B883">
        <v>3.1</v>
      </c>
      <c r="C883" t="s">
        <v>6524</v>
      </c>
      <c r="D883" t="s">
        <v>6356</v>
      </c>
      <c r="E883" t="s">
        <v>6496</v>
      </c>
    </row>
    <row r="884" spans="1:5">
      <c r="A884" t="s">
        <v>6525</v>
      </c>
      <c r="B884">
        <v>3.1</v>
      </c>
      <c r="C884" t="s">
        <v>108</v>
      </c>
      <c r="D884" t="s">
        <v>6356</v>
      </c>
      <c r="E884" t="s">
        <v>108</v>
      </c>
    </row>
    <row r="885" spans="1:5">
      <c r="A885" t="s">
        <v>6526</v>
      </c>
      <c r="B885">
        <v>2.66</v>
      </c>
      <c r="C885" t="s">
        <v>4869</v>
      </c>
      <c r="D885" t="s">
        <v>6356</v>
      </c>
      <c r="E885" t="s">
        <v>6527</v>
      </c>
    </row>
    <row r="886" spans="1:5">
      <c r="A886" t="s">
        <v>6528</v>
      </c>
      <c r="B886">
        <v>2.62</v>
      </c>
      <c r="C886" t="s">
        <v>4058</v>
      </c>
      <c r="D886" t="s">
        <v>6356</v>
      </c>
      <c r="E886" t="s">
        <v>6529</v>
      </c>
    </row>
    <row r="887" spans="1:5">
      <c r="A887" t="s">
        <v>6530</v>
      </c>
      <c r="B887">
        <v>2.6</v>
      </c>
      <c r="C887" t="s">
        <v>4473</v>
      </c>
      <c r="D887" t="s">
        <v>6356</v>
      </c>
      <c r="E887" t="s">
        <v>6529</v>
      </c>
    </row>
    <row r="888" spans="1:5">
      <c r="A888" t="s">
        <v>6531</v>
      </c>
      <c r="B888">
        <v>3.02</v>
      </c>
      <c r="C888" t="s">
        <v>4613</v>
      </c>
      <c r="D888" t="s">
        <v>6356</v>
      </c>
      <c r="E888" t="s">
        <v>6532</v>
      </c>
    </row>
    <row r="889" spans="1:5">
      <c r="A889" t="s">
        <v>6533</v>
      </c>
      <c r="B889">
        <v>3.07</v>
      </c>
      <c r="C889" t="s">
        <v>4613</v>
      </c>
      <c r="D889" t="s">
        <v>6356</v>
      </c>
      <c r="E889" t="s">
        <v>6532</v>
      </c>
    </row>
    <row r="890" spans="1:5">
      <c r="A890" t="s">
        <v>6534</v>
      </c>
      <c r="B890">
        <v>3.2</v>
      </c>
      <c r="C890" t="s">
        <v>4613</v>
      </c>
      <c r="D890" t="s">
        <v>6356</v>
      </c>
      <c r="E890" t="s">
        <v>6532</v>
      </c>
    </row>
    <row r="891" spans="1:5">
      <c r="A891" t="s">
        <v>6535</v>
      </c>
      <c r="B891">
        <v>2.87</v>
      </c>
      <c r="C891" t="s">
        <v>4613</v>
      </c>
      <c r="D891" t="s">
        <v>6356</v>
      </c>
      <c r="E891" t="s">
        <v>6532</v>
      </c>
    </row>
    <row r="892" spans="1:5">
      <c r="A892" t="s">
        <v>6536</v>
      </c>
      <c r="B892">
        <v>2.6</v>
      </c>
      <c r="C892" t="s">
        <v>108</v>
      </c>
      <c r="D892" t="s">
        <v>6356</v>
      </c>
      <c r="E892" t="s">
        <v>6532</v>
      </c>
    </row>
    <row r="893" spans="1:5">
      <c r="A893" t="s">
        <v>6537</v>
      </c>
      <c r="B893">
        <v>2.5499999999999998</v>
      </c>
      <c r="C893" t="s">
        <v>6364</v>
      </c>
      <c r="D893" t="s">
        <v>6356</v>
      </c>
      <c r="E893" t="s">
        <v>6532</v>
      </c>
    </row>
    <row r="894" spans="1:5">
      <c r="A894" t="s">
        <v>6538</v>
      </c>
      <c r="B894">
        <v>3</v>
      </c>
      <c r="C894" t="s">
        <v>108</v>
      </c>
      <c r="D894" t="s">
        <v>6257</v>
      </c>
      <c r="E894" t="s">
        <v>108</v>
      </c>
    </row>
    <row r="895" spans="1:5">
      <c r="A895" t="s">
        <v>6539</v>
      </c>
      <c r="B895">
        <v>2.85</v>
      </c>
      <c r="C895" t="s">
        <v>4613</v>
      </c>
      <c r="D895" t="s">
        <v>6257</v>
      </c>
      <c r="E895" t="s">
        <v>108</v>
      </c>
    </row>
    <row r="896" spans="1:5">
      <c r="A896" t="s">
        <v>6540</v>
      </c>
      <c r="B896">
        <v>3.09</v>
      </c>
      <c r="C896" t="s">
        <v>4613</v>
      </c>
      <c r="D896" t="s">
        <v>6257</v>
      </c>
      <c r="E896" t="s">
        <v>108</v>
      </c>
    </row>
    <row r="897" spans="1:5">
      <c r="A897" t="s">
        <v>6541</v>
      </c>
      <c r="B897">
        <v>3.06</v>
      </c>
      <c r="C897" t="s">
        <v>4613</v>
      </c>
      <c r="D897" t="s">
        <v>6253</v>
      </c>
      <c r="E897" t="s">
        <v>108</v>
      </c>
    </row>
    <row r="898" spans="1:5">
      <c r="A898" t="s">
        <v>6542</v>
      </c>
      <c r="B898">
        <v>3.06</v>
      </c>
      <c r="C898" t="s">
        <v>5102</v>
      </c>
      <c r="D898" t="s">
        <v>6257</v>
      </c>
      <c r="E898" t="s">
        <v>108</v>
      </c>
    </row>
    <row r="899" spans="1:5">
      <c r="A899" t="s">
        <v>6543</v>
      </c>
      <c r="B899">
        <v>3.02</v>
      </c>
      <c r="C899" t="s">
        <v>4613</v>
      </c>
      <c r="D899" t="s">
        <v>6257</v>
      </c>
      <c r="E899" t="s">
        <v>108</v>
      </c>
    </row>
    <row r="900" spans="1:5">
      <c r="A900" t="s">
        <v>6544</v>
      </c>
      <c r="B900">
        <v>3.02</v>
      </c>
      <c r="C900" t="s">
        <v>6468</v>
      </c>
      <c r="D900" t="s">
        <v>6257</v>
      </c>
      <c r="E900" t="s">
        <v>108</v>
      </c>
    </row>
    <row r="901" spans="1:5">
      <c r="A901" t="s">
        <v>6545</v>
      </c>
      <c r="B901">
        <v>3.02</v>
      </c>
      <c r="C901" t="s">
        <v>6468</v>
      </c>
      <c r="D901" t="s">
        <v>6257</v>
      </c>
      <c r="E901" t="s">
        <v>108</v>
      </c>
    </row>
    <row r="902" spans="1:5">
      <c r="A902" t="s">
        <v>6546</v>
      </c>
      <c r="B902">
        <v>2.89</v>
      </c>
      <c r="C902" t="s">
        <v>6468</v>
      </c>
      <c r="D902" t="s">
        <v>6257</v>
      </c>
      <c r="E902" t="s">
        <v>108</v>
      </c>
    </row>
    <row r="903" spans="1:5">
      <c r="A903" t="s">
        <v>6547</v>
      </c>
      <c r="B903">
        <v>2.89</v>
      </c>
      <c r="C903" t="s">
        <v>6468</v>
      </c>
      <c r="D903" t="s">
        <v>6257</v>
      </c>
      <c r="E903" t="s">
        <v>108</v>
      </c>
    </row>
    <row r="904" spans="1:5">
      <c r="A904" t="s">
        <v>6548</v>
      </c>
      <c r="B904">
        <v>2.95</v>
      </c>
      <c r="C904" t="s">
        <v>108</v>
      </c>
      <c r="D904" t="s">
        <v>6257</v>
      </c>
      <c r="E904" t="s">
        <v>108</v>
      </c>
    </row>
    <row r="905" spans="1:5">
      <c r="A905" t="s">
        <v>6549</v>
      </c>
      <c r="B905">
        <v>2.78</v>
      </c>
      <c r="C905" t="s">
        <v>4613</v>
      </c>
      <c r="D905" t="s">
        <v>6257</v>
      </c>
      <c r="E905" t="s">
        <v>108</v>
      </c>
    </row>
    <row r="906" spans="1:5">
      <c r="A906" t="s">
        <v>6550</v>
      </c>
      <c r="B906">
        <v>2.86</v>
      </c>
      <c r="C906" t="s">
        <v>6365</v>
      </c>
      <c r="D906" t="s">
        <v>6257</v>
      </c>
      <c r="E906" t="s">
        <v>108</v>
      </c>
    </row>
    <row r="907" spans="1:5">
      <c r="A907" t="s">
        <v>6551</v>
      </c>
      <c r="B907">
        <v>2.85</v>
      </c>
      <c r="C907" t="s">
        <v>4613</v>
      </c>
      <c r="D907" t="s">
        <v>6257</v>
      </c>
      <c r="E907" t="s">
        <v>108</v>
      </c>
    </row>
    <row r="908" spans="1:5">
      <c r="A908" t="s">
        <v>6552</v>
      </c>
      <c r="B908">
        <v>3.04</v>
      </c>
      <c r="C908" t="s">
        <v>6365</v>
      </c>
      <c r="D908" t="s">
        <v>6356</v>
      </c>
      <c r="E908" t="s">
        <v>6532</v>
      </c>
    </row>
    <row r="909" spans="1:5">
      <c r="A909" t="s">
        <v>6553</v>
      </c>
      <c r="B909">
        <v>2.93</v>
      </c>
      <c r="C909" t="s">
        <v>4613</v>
      </c>
      <c r="D909" t="s">
        <v>6257</v>
      </c>
      <c r="E909" t="s">
        <v>108</v>
      </c>
    </row>
    <row r="910" spans="1:5">
      <c r="A910" t="s">
        <v>6554</v>
      </c>
      <c r="B910">
        <v>2.42</v>
      </c>
      <c r="C910" t="s">
        <v>108</v>
      </c>
      <c r="D910" t="s">
        <v>5631</v>
      </c>
      <c r="E910" t="s">
        <v>108</v>
      </c>
    </row>
    <row r="911" spans="1:5">
      <c r="A911" t="s">
        <v>6555</v>
      </c>
      <c r="B911">
        <v>2.76</v>
      </c>
      <c r="C911" t="s">
        <v>4613</v>
      </c>
      <c r="D911" t="s">
        <v>5631</v>
      </c>
      <c r="E911" t="s">
        <v>108</v>
      </c>
    </row>
    <row r="912" spans="1:5">
      <c r="A912" t="s">
        <v>6556</v>
      </c>
      <c r="B912">
        <v>2.1</v>
      </c>
      <c r="C912" t="s">
        <v>108</v>
      </c>
      <c r="D912" t="s">
        <v>6557</v>
      </c>
      <c r="E912" t="s">
        <v>108</v>
      </c>
    </row>
    <row r="913" spans="1:5">
      <c r="A913" t="s">
        <v>6558</v>
      </c>
      <c r="B913">
        <v>2.2999999999999998</v>
      </c>
      <c r="C913" t="s">
        <v>108</v>
      </c>
      <c r="D913" t="s">
        <v>6557</v>
      </c>
      <c r="E913" t="s">
        <v>108</v>
      </c>
    </row>
    <row r="914" spans="1:5">
      <c r="A914" t="s">
        <v>6559</v>
      </c>
      <c r="B914">
        <v>1.99</v>
      </c>
      <c r="C914" t="s">
        <v>4501</v>
      </c>
      <c r="D914" t="s">
        <v>6557</v>
      </c>
      <c r="E914" t="s">
        <v>108</v>
      </c>
    </row>
    <row r="915" spans="1:5">
      <c r="A915" t="s">
        <v>6560</v>
      </c>
      <c r="B915">
        <v>2.0499999999999998</v>
      </c>
      <c r="C915" t="s">
        <v>3103</v>
      </c>
      <c r="D915" t="s">
        <v>6557</v>
      </c>
      <c r="E915" t="s">
        <v>108</v>
      </c>
    </row>
    <row r="916" spans="1:5">
      <c r="A916" t="s">
        <v>6561</v>
      </c>
      <c r="B916">
        <v>2.1</v>
      </c>
      <c r="C916" t="s">
        <v>6562</v>
      </c>
      <c r="D916" t="s">
        <v>5606</v>
      </c>
      <c r="E916" t="s">
        <v>108</v>
      </c>
    </row>
    <row r="917" spans="1:5">
      <c r="A917" t="s">
        <v>6563</v>
      </c>
      <c r="B917">
        <v>2.95</v>
      </c>
      <c r="C917" t="s">
        <v>108</v>
      </c>
      <c r="D917" t="s">
        <v>6356</v>
      </c>
      <c r="E917" t="s">
        <v>6564</v>
      </c>
    </row>
    <row r="918" spans="1:5">
      <c r="A918" t="s">
        <v>6565</v>
      </c>
      <c r="B918">
        <v>2.95</v>
      </c>
      <c r="C918" t="s">
        <v>108</v>
      </c>
      <c r="D918" t="s">
        <v>6356</v>
      </c>
      <c r="E918" t="s">
        <v>6564</v>
      </c>
    </row>
    <row r="919" spans="1:5">
      <c r="A919" t="s">
        <v>6566</v>
      </c>
      <c r="B919">
        <v>2.95</v>
      </c>
      <c r="C919" t="s">
        <v>108</v>
      </c>
      <c r="D919" t="s">
        <v>6356</v>
      </c>
      <c r="E919" t="s">
        <v>6564</v>
      </c>
    </row>
    <row r="920" spans="1:5">
      <c r="A920" t="s">
        <v>6567</v>
      </c>
      <c r="B920">
        <v>2.95</v>
      </c>
      <c r="C920" t="s">
        <v>108</v>
      </c>
      <c r="D920" t="s">
        <v>6356</v>
      </c>
      <c r="E920" t="s">
        <v>6564</v>
      </c>
    </row>
    <row r="921" spans="1:5">
      <c r="A921" t="s">
        <v>6568</v>
      </c>
      <c r="B921">
        <v>2.9</v>
      </c>
      <c r="C921" t="s">
        <v>6569</v>
      </c>
      <c r="D921" t="s">
        <v>6570</v>
      </c>
      <c r="E921" t="s">
        <v>1808</v>
      </c>
    </row>
    <row r="922" spans="1:5">
      <c r="A922" t="s">
        <v>6571</v>
      </c>
      <c r="B922">
        <v>2.9</v>
      </c>
      <c r="C922" t="s">
        <v>6569</v>
      </c>
      <c r="D922" t="s">
        <v>6570</v>
      </c>
      <c r="E922" t="s">
        <v>6572</v>
      </c>
    </row>
    <row r="923" spans="1:5">
      <c r="A923" t="s">
        <v>6573</v>
      </c>
      <c r="B923">
        <v>2.84</v>
      </c>
      <c r="C923" t="s">
        <v>6569</v>
      </c>
      <c r="D923" t="s">
        <v>6570</v>
      </c>
      <c r="E923" t="s">
        <v>1808</v>
      </c>
    </row>
    <row r="924" spans="1:5">
      <c r="A924" t="s">
        <v>6575</v>
      </c>
      <c r="B924">
        <v>2.67</v>
      </c>
      <c r="C924" t="s">
        <v>6576</v>
      </c>
      <c r="D924" t="s">
        <v>6253</v>
      </c>
      <c r="E924" t="s">
        <v>1808</v>
      </c>
    </row>
    <row r="925" spans="1:5">
      <c r="A925" t="s">
        <v>6577</v>
      </c>
      <c r="B925">
        <v>2.75</v>
      </c>
      <c r="C925" t="s">
        <v>108</v>
      </c>
      <c r="D925" t="s">
        <v>6253</v>
      </c>
      <c r="E925" t="s">
        <v>1808</v>
      </c>
    </row>
    <row r="926" spans="1:5">
      <c r="A926" t="s">
        <v>6578</v>
      </c>
      <c r="B926">
        <v>2.23</v>
      </c>
      <c r="C926" t="s">
        <v>108</v>
      </c>
      <c r="D926" t="s">
        <v>6253</v>
      </c>
      <c r="E926" t="s">
        <v>1808</v>
      </c>
    </row>
    <row r="927" spans="1:5">
      <c r="A927" t="s">
        <v>6580</v>
      </c>
      <c r="B927">
        <v>2.23</v>
      </c>
      <c r="C927" t="s">
        <v>6581</v>
      </c>
      <c r="D927" t="s">
        <v>6253</v>
      </c>
      <c r="E927" t="s">
        <v>1808</v>
      </c>
    </row>
    <row r="928" spans="1:5">
      <c r="A928" t="s">
        <v>6583</v>
      </c>
      <c r="B928">
        <v>2.5</v>
      </c>
      <c r="C928" t="s">
        <v>6584</v>
      </c>
      <c r="D928" t="s">
        <v>6253</v>
      </c>
      <c r="E928" t="s">
        <v>1808</v>
      </c>
    </row>
    <row r="929" spans="1:5">
      <c r="A929" t="s">
        <v>6585</v>
      </c>
      <c r="B929">
        <v>2.5</v>
      </c>
      <c r="C929" t="s">
        <v>108</v>
      </c>
      <c r="D929" t="s">
        <v>6253</v>
      </c>
      <c r="E929" t="s">
        <v>1808</v>
      </c>
    </row>
    <row r="930" spans="1:5">
      <c r="A930" t="s">
        <v>6586</v>
      </c>
      <c r="B930">
        <v>2.5</v>
      </c>
      <c r="C930" t="s">
        <v>6587</v>
      </c>
      <c r="D930" t="s">
        <v>6570</v>
      </c>
      <c r="E930" t="s">
        <v>6572</v>
      </c>
    </row>
    <row r="931" spans="1:5">
      <c r="A931" t="s">
        <v>6588</v>
      </c>
      <c r="B931">
        <v>3.4</v>
      </c>
      <c r="C931" t="s">
        <v>4092</v>
      </c>
      <c r="D931" t="s">
        <v>6253</v>
      </c>
      <c r="E931" t="s">
        <v>1808</v>
      </c>
    </row>
    <row r="932" spans="1:5">
      <c r="A932" t="s">
        <v>6589</v>
      </c>
      <c r="B932">
        <v>2.63</v>
      </c>
      <c r="C932" t="s">
        <v>108</v>
      </c>
      <c r="D932" t="s">
        <v>6253</v>
      </c>
      <c r="E932" t="s">
        <v>1808</v>
      </c>
    </row>
    <row r="933" spans="1:5">
      <c r="A933" t="s">
        <v>6590</v>
      </c>
      <c r="B933">
        <v>2.98</v>
      </c>
      <c r="C933" t="s">
        <v>108</v>
      </c>
      <c r="D933" t="s">
        <v>6356</v>
      </c>
      <c r="E933" t="s">
        <v>6591</v>
      </c>
    </row>
    <row r="934" spans="1:5">
      <c r="A934" t="s">
        <v>6592</v>
      </c>
      <c r="B934">
        <v>2.9</v>
      </c>
      <c r="C934" t="s">
        <v>3433</v>
      </c>
      <c r="D934" t="s">
        <v>6570</v>
      </c>
      <c r="E934" t="s">
        <v>6593</v>
      </c>
    </row>
    <row r="935" spans="1:5">
      <c r="A935" t="s">
        <v>6594</v>
      </c>
      <c r="B935">
        <v>2.37</v>
      </c>
      <c r="C935" t="s">
        <v>4058</v>
      </c>
      <c r="D935" t="s">
        <v>6570</v>
      </c>
      <c r="E935" t="s">
        <v>6591</v>
      </c>
    </row>
    <row r="936" spans="1:5">
      <c r="A936" t="s">
        <v>6596</v>
      </c>
      <c r="B936">
        <v>3.15</v>
      </c>
      <c r="C936" t="s">
        <v>108</v>
      </c>
      <c r="D936" t="s">
        <v>4308</v>
      </c>
      <c r="E936" t="s">
        <v>6564</v>
      </c>
    </row>
    <row r="937" spans="1:5">
      <c r="A937" t="s">
        <v>6597</v>
      </c>
      <c r="B937">
        <v>3.15</v>
      </c>
      <c r="C937" t="s">
        <v>108</v>
      </c>
      <c r="D937" t="s">
        <v>6356</v>
      </c>
      <c r="E937" t="s">
        <v>6564</v>
      </c>
    </row>
    <row r="938" spans="1:5">
      <c r="A938" t="s">
        <v>6598</v>
      </c>
      <c r="B938">
        <v>3.1</v>
      </c>
      <c r="C938" t="s">
        <v>108</v>
      </c>
      <c r="D938" t="s">
        <v>4308</v>
      </c>
      <c r="E938" t="s">
        <v>6564</v>
      </c>
    </row>
    <row r="939" spans="1:5">
      <c r="A939" t="s">
        <v>6599</v>
      </c>
      <c r="B939">
        <v>3.18</v>
      </c>
      <c r="C939" t="s">
        <v>4473</v>
      </c>
      <c r="D939" t="s">
        <v>6356</v>
      </c>
      <c r="E939" t="s">
        <v>6529</v>
      </c>
    </row>
    <row r="940" spans="1:5">
      <c r="A940" t="s">
        <v>6600</v>
      </c>
      <c r="B940">
        <v>2.89</v>
      </c>
      <c r="C940" t="s">
        <v>6451</v>
      </c>
      <c r="D940" t="s">
        <v>6356</v>
      </c>
      <c r="E940" t="s">
        <v>6532</v>
      </c>
    </row>
    <row r="941" spans="1:5">
      <c r="A941" t="s">
        <v>6601</v>
      </c>
      <c r="B941">
        <v>3.02</v>
      </c>
      <c r="C941" t="s">
        <v>6602</v>
      </c>
      <c r="D941" t="s">
        <v>6356</v>
      </c>
      <c r="E941" t="s">
        <v>6564</v>
      </c>
    </row>
    <row r="942" spans="1:5">
      <c r="A942" t="s">
        <v>6603</v>
      </c>
      <c r="B942">
        <v>2.98</v>
      </c>
      <c r="C942" t="s">
        <v>6604</v>
      </c>
      <c r="D942" t="s">
        <v>6356</v>
      </c>
      <c r="E942" t="s">
        <v>6529</v>
      </c>
    </row>
    <row r="943" spans="1:5">
      <c r="A943" t="s">
        <v>6605</v>
      </c>
      <c r="B943">
        <v>2.98</v>
      </c>
      <c r="C943" t="s">
        <v>4473</v>
      </c>
      <c r="D943" t="s">
        <v>6356</v>
      </c>
      <c r="E943" t="s">
        <v>6529</v>
      </c>
    </row>
    <row r="944" spans="1:5">
      <c r="A944" t="s">
        <v>6606</v>
      </c>
      <c r="B944">
        <v>3</v>
      </c>
      <c r="C944" t="s">
        <v>108</v>
      </c>
      <c r="D944" t="s">
        <v>6356</v>
      </c>
      <c r="E944" t="s">
        <v>6529</v>
      </c>
    </row>
    <row r="945" spans="1:5">
      <c r="A945" t="s">
        <v>6607</v>
      </c>
      <c r="B945">
        <v>2.8</v>
      </c>
      <c r="C945" t="s">
        <v>108</v>
      </c>
      <c r="D945" t="s">
        <v>6479</v>
      </c>
      <c r="E945" t="s">
        <v>6529</v>
      </c>
    </row>
    <row r="946" spans="1:5">
      <c r="A946" t="s">
        <v>6608</v>
      </c>
      <c r="B946">
        <v>3.1</v>
      </c>
      <c r="C946" t="s">
        <v>2418</v>
      </c>
      <c r="D946" t="s">
        <v>6356</v>
      </c>
      <c r="E946" t="s">
        <v>6529</v>
      </c>
    </row>
    <row r="947" spans="1:5">
      <c r="A947" t="s">
        <v>6609</v>
      </c>
      <c r="B947">
        <v>3.05</v>
      </c>
      <c r="C947" t="s">
        <v>6610</v>
      </c>
      <c r="D947" t="s">
        <v>6356</v>
      </c>
      <c r="E947" t="s">
        <v>6564</v>
      </c>
    </row>
    <row r="948" spans="1:5">
      <c r="A948" t="s">
        <v>6611</v>
      </c>
      <c r="B948">
        <v>3.04</v>
      </c>
      <c r="C948" t="s">
        <v>6612</v>
      </c>
      <c r="D948" t="s">
        <v>6356</v>
      </c>
      <c r="E948" t="s">
        <v>6529</v>
      </c>
    </row>
    <row r="949" spans="1:5">
      <c r="A949" t="s">
        <v>6613</v>
      </c>
      <c r="B949">
        <v>3.04</v>
      </c>
      <c r="C949" t="s">
        <v>6614</v>
      </c>
      <c r="D949" t="s">
        <v>6356</v>
      </c>
      <c r="E949" t="s">
        <v>6615</v>
      </c>
    </row>
    <row r="950" spans="1:5">
      <c r="A950" t="s">
        <v>6616</v>
      </c>
      <c r="B950">
        <v>3.08</v>
      </c>
      <c r="C950" t="s">
        <v>108</v>
      </c>
      <c r="D950" t="s">
        <v>4308</v>
      </c>
      <c r="E950" t="s">
        <v>6617</v>
      </c>
    </row>
    <row r="951" spans="1:5">
      <c r="A951" t="s">
        <v>6618</v>
      </c>
      <c r="B951">
        <v>3.04</v>
      </c>
      <c r="C951" t="s">
        <v>6619</v>
      </c>
      <c r="D951" t="s">
        <v>6356</v>
      </c>
      <c r="E951" t="s">
        <v>6615</v>
      </c>
    </row>
    <row r="952" spans="1:5">
      <c r="A952" t="s">
        <v>6620</v>
      </c>
      <c r="B952">
        <v>2.8</v>
      </c>
      <c r="C952" t="s">
        <v>108</v>
      </c>
      <c r="D952" t="s">
        <v>6479</v>
      </c>
      <c r="E952" t="s">
        <v>6529</v>
      </c>
    </row>
    <row r="953" spans="1:5">
      <c r="A953" t="s">
        <v>6621</v>
      </c>
      <c r="B953">
        <v>2.65</v>
      </c>
      <c r="C953" t="s">
        <v>108</v>
      </c>
      <c r="D953" t="s">
        <v>5631</v>
      </c>
      <c r="E953" t="s">
        <v>6564</v>
      </c>
    </row>
    <row r="954" spans="1:5">
      <c r="A954" t="s">
        <v>6622</v>
      </c>
      <c r="B954">
        <v>3.12</v>
      </c>
      <c r="C954" t="s">
        <v>108</v>
      </c>
      <c r="D954" t="s">
        <v>4308</v>
      </c>
      <c r="E954" t="s">
        <v>6617</v>
      </c>
    </row>
    <row r="955" spans="1:5">
      <c r="A955" t="s">
        <v>6623</v>
      </c>
      <c r="B955">
        <v>3.05</v>
      </c>
      <c r="C955" t="s">
        <v>2395</v>
      </c>
      <c r="D955" t="s">
        <v>6356</v>
      </c>
      <c r="E955" t="s">
        <v>6529</v>
      </c>
    </row>
    <row r="956" spans="1:5">
      <c r="A956" t="s">
        <v>6624</v>
      </c>
      <c r="B956">
        <v>3.05</v>
      </c>
      <c r="C956" t="s">
        <v>2395</v>
      </c>
      <c r="D956" t="s">
        <v>6356</v>
      </c>
      <c r="E956" t="s">
        <v>6615</v>
      </c>
    </row>
    <row r="957" spans="1:5">
      <c r="A957" t="s">
        <v>6625</v>
      </c>
      <c r="B957">
        <v>3.05</v>
      </c>
      <c r="C957" t="s">
        <v>2392</v>
      </c>
      <c r="D957" t="s">
        <v>6356</v>
      </c>
      <c r="E957" t="s">
        <v>6615</v>
      </c>
    </row>
    <row r="958" spans="1:5">
      <c r="A958" t="s">
        <v>6626</v>
      </c>
      <c r="B958">
        <v>3.05</v>
      </c>
      <c r="C958" t="s">
        <v>2395</v>
      </c>
      <c r="D958" t="s">
        <v>6356</v>
      </c>
      <c r="E958" t="s">
        <v>6615</v>
      </c>
    </row>
    <row r="959" spans="1:5">
      <c r="A959" t="s">
        <v>6627</v>
      </c>
      <c r="B959">
        <v>3.05</v>
      </c>
      <c r="C959" t="s">
        <v>2395</v>
      </c>
      <c r="D959" t="s">
        <v>6356</v>
      </c>
      <c r="E959" t="s">
        <v>6529</v>
      </c>
    </row>
    <row r="960" spans="1:5">
      <c r="A960" t="s">
        <v>6628</v>
      </c>
      <c r="B960">
        <v>3.05</v>
      </c>
      <c r="C960" t="s">
        <v>2392</v>
      </c>
      <c r="D960" t="s">
        <v>6356</v>
      </c>
      <c r="E960" t="s">
        <v>6615</v>
      </c>
    </row>
    <row r="961" spans="1:5">
      <c r="A961" t="s">
        <v>6629</v>
      </c>
      <c r="B961">
        <v>3.05</v>
      </c>
      <c r="C961" t="s">
        <v>2395</v>
      </c>
      <c r="D961" t="s">
        <v>6356</v>
      </c>
      <c r="E961" t="s">
        <v>6529</v>
      </c>
    </row>
    <row r="962" spans="1:5">
      <c r="A962" t="s">
        <v>6630</v>
      </c>
      <c r="B962">
        <v>3.05</v>
      </c>
      <c r="C962" t="s">
        <v>2395</v>
      </c>
      <c r="D962" t="s">
        <v>6356</v>
      </c>
      <c r="E962" t="s">
        <v>6529</v>
      </c>
    </row>
    <row r="963" spans="1:5">
      <c r="A963" t="s">
        <v>6631</v>
      </c>
      <c r="B963">
        <v>3.05</v>
      </c>
      <c r="C963" t="s">
        <v>2418</v>
      </c>
      <c r="D963" t="s">
        <v>6356</v>
      </c>
      <c r="E963" t="s">
        <v>6615</v>
      </c>
    </row>
    <row r="964" spans="1:5">
      <c r="A964" t="s">
        <v>6632</v>
      </c>
      <c r="B964">
        <v>3.05</v>
      </c>
      <c r="C964" t="s">
        <v>2418</v>
      </c>
      <c r="D964" t="s">
        <v>6356</v>
      </c>
      <c r="E964" t="s">
        <v>6615</v>
      </c>
    </row>
    <row r="965" spans="1:5">
      <c r="A965" t="s">
        <v>6633</v>
      </c>
      <c r="B965">
        <v>3.06</v>
      </c>
      <c r="C965" t="s">
        <v>108</v>
      </c>
      <c r="D965" t="s">
        <v>6356</v>
      </c>
      <c r="E965" t="s">
        <v>6529</v>
      </c>
    </row>
    <row r="966" spans="1:5">
      <c r="A966" t="s">
        <v>6634</v>
      </c>
      <c r="B966">
        <v>3.06</v>
      </c>
      <c r="C966" t="s">
        <v>108</v>
      </c>
      <c r="D966" t="s">
        <v>6356</v>
      </c>
      <c r="E966" t="s">
        <v>6529</v>
      </c>
    </row>
    <row r="967" spans="1:5">
      <c r="A967" t="s">
        <v>6635</v>
      </c>
      <c r="B967">
        <v>3.05</v>
      </c>
      <c r="C967" t="s">
        <v>4058</v>
      </c>
      <c r="D967" t="s">
        <v>6356</v>
      </c>
      <c r="E967" t="s">
        <v>6615</v>
      </c>
    </row>
    <row r="968" spans="1:5">
      <c r="A968" t="s">
        <v>6636</v>
      </c>
      <c r="B968">
        <v>2.8</v>
      </c>
      <c r="C968" t="s">
        <v>108</v>
      </c>
      <c r="D968" t="s">
        <v>6356</v>
      </c>
      <c r="E968" t="s">
        <v>6564</v>
      </c>
    </row>
    <row r="969" spans="1:5">
      <c r="A969" t="s">
        <v>6637</v>
      </c>
      <c r="B969">
        <v>2.7</v>
      </c>
      <c r="C969" t="s">
        <v>4218</v>
      </c>
      <c r="D969" t="s">
        <v>6479</v>
      </c>
      <c r="E969" t="s">
        <v>6615</v>
      </c>
    </row>
    <row r="970" spans="1:5">
      <c r="A970" t="s">
        <v>6638</v>
      </c>
      <c r="B970">
        <v>2.85</v>
      </c>
      <c r="C970" t="s">
        <v>4388</v>
      </c>
      <c r="D970" t="s">
        <v>4308</v>
      </c>
      <c r="E970" t="s">
        <v>6617</v>
      </c>
    </row>
    <row r="971" spans="1:5">
      <c r="A971" t="s">
        <v>6639</v>
      </c>
      <c r="B971">
        <v>2.78</v>
      </c>
      <c r="C971" t="s">
        <v>108</v>
      </c>
      <c r="D971" t="s">
        <v>6356</v>
      </c>
      <c r="E971" t="s">
        <v>6529</v>
      </c>
    </row>
    <row r="972" spans="1:5">
      <c r="A972" t="s">
        <v>6640</v>
      </c>
      <c r="B972">
        <v>2.78</v>
      </c>
      <c r="C972" t="s">
        <v>4776</v>
      </c>
      <c r="D972" t="s">
        <v>6356</v>
      </c>
      <c r="E972" t="s">
        <v>6529</v>
      </c>
    </row>
    <row r="973" spans="1:5">
      <c r="A973" t="s">
        <v>6641</v>
      </c>
      <c r="B973">
        <v>2.7</v>
      </c>
      <c r="C973" t="s">
        <v>4473</v>
      </c>
      <c r="D973" t="s">
        <v>6356</v>
      </c>
      <c r="E973" t="s">
        <v>6615</v>
      </c>
    </row>
    <row r="974" spans="1:5">
      <c r="A974" t="s">
        <v>6642</v>
      </c>
      <c r="B974">
        <v>2.7</v>
      </c>
      <c r="C974" t="s">
        <v>108</v>
      </c>
      <c r="D974" t="s">
        <v>6356</v>
      </c>
      <c r="E974" t="s">
        <v>6529</v>
      </c>
    </row>
    <row r="975" spans="1:5">
      <c r="A975" t="s">
        <v>6643</v>
      </c>
      <c r="B975">
        <v>2.85</v>
      </c>
      <c r="C975" t="s">
        <v>6644</v>
      </c>
      <c r="D975" t="s">
        <v>6356</v>
      </c>
      <c r="E975" t="s">
        <v>6615</v>
      </c>
    </row>
    <row r="976" spans="1:5">
      <c r="A976" t="s">
        <v>6645</v>
      </c>
      <c r="B976">
        <v>2.76</v>
      </c>
      <c r="C976" t="s">
        <v>6646</v>
      </c>
      <c r="D976" t="s">
        <v>6356</v>
      </c>
      <c r="E976" t="s">
        <v>6529</v>
      </c>
    </row>
    <row r="977" spans="1:5">
      <c r="A977" t="s">
        <v>6647</v>
      </c>
      <c r="B977">
        <v>2.85</v>
      </c>
      <c r="C977" t="s">
        <v>6648</v>
      </c>
      <c r="D977" t="s">
        <v>6356</v>
      </c>
      <c r="E977" t="s">
        <v>6615</v>
      </c>
    </row>
    <row r="978" spans="1:5">
      <c r="A978" t="s">
        <v>6649</v>
      </c>
      <c r="B978">
        <v>2.78</v>
      </c>
      <c r="C978" t="s">
        <v>108</v>
      </c>
      <c r="D978" t="s">
        <v>6356</v>
      </c>
      <c r="E978" t="s">
        <v>6529</v>
      </c>
    </row>
    <row r="979" spans="1:5">
      <c r="A979" t="s">
        <v>6650</v>
      </c>
      <c r="B979">
        <v>2.8</v>
      </c>
      <c r="C979" t="s">
        <v>4473</v>
      </c>
      <c r="D979" t="s">
        <v>6356</v>
      </c>
      <c r="E979" t="s">
        <v>6615</v>
      </c>
    </row>
    <row r="980" spans="1:5">
      <c r="A980" t="s">
        <v>6651</v>
      </c>
      <c r="B980">
        <v>2.78</v>
      </c>
      <c r="C980" t="s">
        <v>4473</v>
      </c>
      <c r="D980" t="s">
        <v>6356</v>
      </c>
      <c r="E980" t="s">
        <v>6529</v>
      </c>
    </row>
    <row r="981" spans="1:5">
      <c r="A981" t="s">
        <v>6652</v>
      </c>
      <c r="B981">
        <v>2.85</v>
      </c>
      <c r="C981" t="s">
        <v>4473</v>
      </c>
      <c r="D981" t="s">
        <v>6356</v>
      </c>
      <c r="E981" t="s">
        <v>6529</v>
      </c>
    </row>
    <row r="982" spans="1:5">
      <c r="A982" t="s">
        <v>6653</v>
      </c>
      <c r="B982">
        <v>2.78</v>
      </c>
      <c r="C982" t="s">
        <v>4473</v>
      </c>
      <c r="D982" t="s">
        <v>6356</v>
      </c>
      <c r="E982" t="s">
        <v>6529</v>
      </c>
    </row>
    <row r="983" spans="1:5">
      <c r="A983" t="s">
        <v>6654</v>
      </c>
      <c r="B983">
        <v>2.78</v>
      </c>
      <c r="C983" t="s">
        <v>108</v>
      </c>
      <c r="D983" t="s">
        <v>6356</v>
      </c>
      <c r="E983" t="s">
        <v>6529</v>
      </c>
    </row>
    <row r="984" spans="1:5">
      <c r="A984" t="s">
        <v>6655</v>
      </c>
      <c r="B984">
        <v>2.25</v>
      </c>
      <c r="C984" t="s">
        <v>108</v>
      </c>
      <c r="D984" t="s">
        <v>6356</v>
      </c>
      <c r="E984" t="s">
        <v>6615</v>
      </c>
    </row>
    <row r="985" spans="1:5">
      <c r="A985" t="s">
        <v>6656</v>
      </c>
      <c r="B985">
        <v>2.57</v>
      </c>
      <c r="C985" t="s">
        <v>108</v>
      </c>
      <c r="D985" t="s">
        <v>6356</v>
      </c>
      <c r="E985" t="s">
        <v>6615</v>
      </c>
    </row>
    <row r="986" spans="1:5">
      <c r="A986" t="s">
        <v>6657</v>
      </c>
      <c r="B986">
        <v>2.2999999999999998</v>
      </c>
      <c r="C986" t="s">
        <v>6658</v>
      </c>
      <c r="D986" t="s">
        <v>6356</v>
      </c>
      <c r="E986" t="s">
        <v>6615</v>
      </c>
    </row>
    <row r="987" spans="1:5">
      <c r="A987" t="s">
        <v>6659</v>
      </c>
      <c r="B987">
        <v>2.4</v>
      </c>
      <c r="C987" t="s">
        <v>6660</v>
      </c>
      <c r="D987" t="s">
        <v>6356</v>
      </c>
      <c r="E987" t="s">
        <v>6615</v>
      </c>
    </row>
    <row r="988" spans="1:5">
      <c r="A988" t="s">
        <v>6661</v>
      </c>
      <c r="B988">
        <v>2.4</v>
      </c>
      <c r="C988" t="s">
        <v>4473</v>
      </c>
      <c r="D988" t="s">
        <v>6356</v>
      </c>
      <c r="E988" t="s">
        <v>6615</v>
      </c>
    </row>
    <row r="989" spans="1:5">
      <c r="A989" t="s">
        <v>6662</v>
      </c>
      <c r="B989">
        <v>2.15</v>
      </c>
      <c r="C989" t="s">
        <v>108</v>
      </c>
      <c r="D989" t="s">
        <v>6479</v>
      </c>
      <c r="E989" t="s">
        <v>6529</v>
      </c>
    </row>
    <row r="990" spans="1:5">
      <c r="A990" t="s">
        <v>6663</v>
      </c>
      <c r="B990">
        <v>2.15</v>
      </c>
      <c r="C990" t="s">
        <v>4473</v>
      </c>
      <c r="D990" t="s">
        <v>6479</v>
      </c>
      <c r="E990" t="s">
        <v>6615</v>
      </c>
    </row>
    <row r="991" spans="1:5">
      <c r="A991" t="s">
        <v>6664</v>
      </c>
      <c r="B991">
        <v>2.15</v>
      </c>
      <c r="C991" t="s">
        <v>4058</v>
      </c>
      <c r="D991" t="s">
        <v>6479</v>
      </c>
      <c r="E991" t="s">
        <v>6529</v>
      </c>
    </row>
    <row r="992" spans="1:5">
      <c r="A992" t="s">
        <v>6665</v>
      </c>
      <c r="B992">
        <v>2.4500000000000002</v>
      </c>
      <c r="C992" t="s">
        <v>108</v>
      </c>
      <c r="D992" t="s">
        <v>4308</v>
      </c>
      <c r="E992" t="s">
        <v>6617</v>
      </c>
    </row>
    <row r="993" spans="1:5">
      <c r="A993" t="s">
        <v>6666</v>
      </c>
      <c r="B993">
        <v>2.4700000000000002</v>
      </c>
      <c r="C993" t="s">
        <v>6667</v>
      </c>
      <c r="D993" t="s">
        <v>6356</v>
      </c>
      <c r="E993" t="s">
        <v>6529</v>
      </c>
    </row>
    <row r="994" spans="1:5">
      <c r="A994" t="s">
        <v>6668</v>
      </c>
      <c r="B994">
        <v>1.8</v>
      </c>
      <c r="C994" t="s">
        <v>3601</v>
      </c>
      <c r="D994" t="s">
        <v>6356</v>
      </c>
      <c r="E994" t="s">
        <v>6564</v>
      </c>
    </row>
    <row r="995" spans="1:5">
      <c r="A995" t="s">
        <v>6669</v>
      </c>
      <c r="B995">
        <v>1.8</v>
      </c>
      <c r="C995" t="s">
        <v>4089</v>
      </c>
      <c r="D995" t="s">
        <v>6356</v>
      </c>
      <c r="E995" t="s">
        <v>6615</v>
      </c>
    </row>
    <row r="996" spans="1:5">
      <c r="A996" t="s">
        <v>6670</v>
      </c>
      <c r="B996">
        <v>1.8</v>
      </c>
      <c r="C996" t="s">
        <v>6671</v>
      </c>
      <c r="D996" t="s">
        <v>6356</v>
      </c>
      <c r="E996" t="s">
        <v>6529</v>
      </c>
    </row>
    <row r="997" spans="1:5">
      <c r="A997" t="s">
        <v>6672</v>
      </c>
      <c r="B997">
        <v>1.75</v>
      </c>
      <c r="C997" t="s">
        <v>6673</v>
      </c>
      <c r="D997" t="s">
        <v>6479</v>
      </c>
      <c r="E997" t="s">
        <v>6529</v>
      </c>
    </row>
    <row r="998" spans="1:5">
      <c r="A998" t="s">
        <v>6674</v>
      </c>
      <c r="B998">
        <v>1.73</v>
      </c>
      <c r="C998" t="s">
        <v>6675</v>
      </c>
      <c r="D998" t="s">
        <v>6479</v>
      </c>
      <c r="E998" t="s">
        <v>6615</v>
      </c>
    </row>
    <row r="999" spans="1:5">
      <c r="A999" t="s">
        <v>6676</v>
      </c>
      <c r="B999">
        <v>2.4300000000000002</v>
      </c>
      <c r="C999" t="s">
        <v>3863</v>
      </c>
      <c r="D999" t="s">
        <v>6257</v>
      </c>
      <c r="E999" t="s">
        <v>6615</v>
      </c>
    </row>
    <row r="1000" spans="1:5">
      <c r="A1000" t="s">
        <v>6677</v>
      </c>
      <c r="B1000">
        <v>2.4500000000000002</v>
      </c>
      <c r="C1000" t="s">
        <v>108</v>
      </c>
      <c r="D1000" t="s">
        <v>6356</v>
      </c>
      <c r="E1000" t="s">
        <v>6615</v>
      </c>
    </row>
    <row r="1001" spans="1:5">
      <c r="A1001" t="s">
        <v>6678</v>
      </c>
      <c r="B1001">
        <v>2.5</v>
      </c>
      <c r="C1001" t="s">
        <v>5526</v>
      </c>
      <c r="D1001" t="s">
        <v>6356</v>
      </c>
      <c r="E1001" t="s">
        <v>6615</v>
      </c>
    </row>
    <row r="1002" spans="1:5">
      <c r="A1002" t="s">
        <v>6679</v>
      </c>
      <c r="B1002">
        <v>2.4700000000000002</v>
      </c>
      <c r="C1002" t="s">
        <v>4867</v>
      </c>
      <c r="D1002" t="s">
        <v>6356</v>
      </c>
      <c r="E1002" t="s">
        <v>6529</v>
      </c>
    </row>
    <row r="1003" spans="1:5">
      <c r="A1003" t="s">
        <v>6680</v>
      </c>
      <c r="B1003">
        <v>2.4500000000000002</v>
      </c>
      <c r="C1003" t="s">
        <v>4075</v>
      </c>
      <c r="D1003" t="s">
        <v>6356</v>
      </c>
      <c r="E1003" t="s">
        <v>6564</v>
      </c>
    </row>
    <row r="1004" spans="1:5">
      <c r="A1004" t="s">
        <v>6681</v>
      </c>
      <c r="B1004">
        <v>2.4500000000000002</v>
      </c>
      <c r="C1004" t="s">
        <v>6682</v>
      </c>
      <c r="D1004" t="s">
        <v>6356</v>
      </c>
      <c r="E1004" t="s">
        <v>6615</v>
      </c>
    </row>
    <row r="1005" spans="1:5">
      <c r="A1005" t="s">
        <v>6683</v>
      </c>
      <c r="B1005">
        <v>2.4500000000000002</v>
      </c>
      <c r="C1005" t="s">
        <v>6684</v>
      </c>
      <c r="D1005" t="s">
        <v>6356</v>
      </c>
      <c r="E1005" t="s">
        <v>6615</v>
      </c>
    </row>
    <row r="1006" spans="1:5">
      <c r="A1006" t="s">
        <v>6685</v>
      </c>
      <c r="B1006">
        <v>2.4500000000000002</v>
      </c>
      <c r="C1006" t="s">
        <v>6686</v>
      </c>
      <c r="D1006" t="s">
        <v>6356</v>
      </c>
      <c r="E1006" t="s">
        <v>6615</v>
      </c>
    </row>
    <row r="1007" spans="1:5">
      <c r="A1007" t="s">
        <v>6687</v>
      </c>
      <c r="B1007">
        <v>2.4500000000000002</v>
      </c>
      <c r="C1007" t="s">
        <v>6688</v>
      </c>
      <c r="D1007" t="s">
        <v>6356</v>
      </c>
      <c r="E1007" t="s">
        <v>6615</v>
      </c>
    </row>
    <row r="1008" spans="1:5">
      <c r="A1008" t="s">
        <v>6689</v>
      </c>
      <c r="B1008">
        <v>2.2000000000000002</v>
      </c>
      <c r="C1008" t="s">
        <v>108</v>
      </c>
      <c r="D1008" t="s">
        <v>6479</v>
      </c>
      <c r="E1008" t="s">
        <v>6615</v>
      </c>
    </row>
    <row r="1009" spans="1:5">
      <c r="A1009" t="s">
        <v>6690</v>
      </c>
      <c r="B1009">
        <v>2.2000000000000002</v>
      </c>
      <c r="C1009" t="s">
        <v>6691</v>
      </c>
      <c r="D1009" t="s">
        <v>6479</v>
      </c>
      <c r="E1009" t="s">
        <v>6529</v>
      </c>
    </row>
    <row r="1010" spans="1:5">
      <c r="A1010" t="s">
        <v>6692</v>
      </c>
      <c r="B1010">
        <v>3.05</v>
      </c>
      <c r="C1010" t="s">
        <v>108</v>
      </c>
      <c r="D1010" t="s">
        <v>4308</v>
      </c>
      <c r="E1010" t="s">
        <v>6564</v>
      </c>
    </row>
    <row r="1011" spans="1:5">
      <c r="A1011" t="s">
        <v>6693</v>
      </c>
      <c r="B1011">
        <v>3.1</v>
      </c>
      <c r="C1011" t="s">
        <v>108</v>
      </c>
      <c r="D1011" t="s">
        <v>4308</v>
      </c>
      <c r="E1011" t="s">
        <v>6564</v>
      </c>
    </row>
    <row r="1012" spans="1:5">
      <c r="A1012" t="s">
        <v>6694</v>
      </c>
      <c r="B1012">
        <v>3.1</v>
      </c>
      <c r="C1012" t="s">
        <v>4473</v>
      </c>
      <c r="D1012" t="s">
        <v>4308</v>
      </c>
      <c r="E1012" t="s">
        <v>6564</v>
      </c>
    </row>
    <row r="1013" spans="1:5">
      <c r="A1013" t="s">
        <v>6695</v>
      </c>
      <c r="B1013">
        <v>3.1</v>
      </c>
      <c r="C1013" t="s">
        <v>108</v>
      </c>
      <c r="D1013" t="s">
        <v>4308</v>
      </c>
      <c r="E1013" t="s">
        <v>6564</v>
      </c>
    </row>
    <row r="1014" spans="1:5">
      <c r="A1014" t="s">
        <v>6696</v>
      </c>
      <c r="B1014">
        <v>3.15</v>
      </c>
      <c r="C1014" t="s">
        <v>108</v>
      </c>
      <c r="D1014" t="s">
        <v>4308</v>
      </c>
      <c r="E1014" t="s">
        <v>6564</v>
      </c>
    </row>
    <row r="1015" spans="1:5">
      <c r="A1015" t="s">
        <v>6697</v>
      </c>
      <c r="B1015">
        <v>3.15</v>
      </c>
      <c r="C1015" t="s">
        <v>108</v>
      </c>
      <c r="D1015" t="s">
        <v>6356</v>
      </c>
      <c r="E1015" t="s">
        <v>6564</v>
      </c>
    </row>
    <row r="1016" spans="1:5">
      <c r="A1016" t="s">
        <v>6698</v>
      </c>
      <c r="B1016">
        <v>3.1</v>
      </c>
      <c r="C1016" t="s">
        <v>108</v>
      </c>
      <c r="D1016" t="s">
        <v>4308</v>
      </c>
      <c r="E1016" t="s">
        <v>6564</v>
      </c>
    </row>
    <row r="1017" spans="1:5">
      <c r="A1017" t="s">
        <v>6699</v>
      </c>
      <c r="B1017">
        <v>3.6</v>
      </c>
      <c r="C1017" t="s">
        <v>108</v>
      </c>
      <c r="D1017" t="s">
        <v>6356</v>
      </c>
      <c r="E1017" t="s">
        <v>6615</v>
      </c>
    </row>
    <row r="1018" spans="1:5">
      <c r="A1018" t="s">
        <v>6700</v>
      </c>
      <c r="B1018">
        <v>3.06</v>
      </c>
      <c r="C1018" t="s">
        <v>6701</v>
      </c>
      <c r="D1018" t="s">
        <v>6356</v>
      </c>
      <c r="E1018" t="s">
        <v>6615</v>
      </c>
    </row>
    <row r="1019" spans="1:5">
      <c r="A1019" t="s">
        <v>6702</v>
      </c>
      <c r="B1019">
        <v>2.98</v>
      </c>
      <c r="C1019" t="s">
        <v>108</v>
      </c>
      <c r="D1019" t="s">
        <v>6263</v>
      </c>
      <c r="E1019" t="s">
        <v>108</v>
      </c>
    </row>
    <row r="1020" spans="1:5">
      <c r="A1020" t="s">
        <v>6703</v>
      </c>
      <c r="B1020">
        <v>2.95</v>
      </c>
      <c r="C1020" t="s">
        <v>108</v>
      </c>
      <c r="D1020" t="s">
        <v>6253</v>
      </c>
      <c r="E1020" t="s">
        <v>108</v>
      </c>
    </row>
    <row r="1021" spans="1:5">
      <c r="A1021" t="s">
        <v>6704</v>
      </c>
      <c r="B1021">
        <v>2.95</v>
      </c>
      <c r="C1021" t="s">
        <v>108</v>
      </c>
      <c r="D1021" t="s">
        <v>6253</v>
      </c>
      <c r="E1021" t="s">
        <v>108</v>
      </c>
    </row>
    <row r="1022" spans="1:5">
      <c r="A1022" t="s">
        <v>6705</v>
      </c>
      <c r="B1022">
        <v>2.62</v>
      </c>
      <c r="C1022" t="s">
        <v>108</v>
      </c>
      <c r="D1022" t="s">
        <v>5631</v>
      </c>
      <c r="E1022" t="s">
        <v>108</v>
      </c>
    </row>
    <row r="1023" spans="1:5">
      <c r="A1023" t="s">
        <v>6706</v>
      </c>
      <c r="B1023">
        <v>2.74</v>
      </c>
      <c r="C1023" t="s">
        <v>108</v>
      </c>
      <c r="D1023" t="s">
        <v>5631</v>
      </c>
      <c r="E1023" t="s">
        <v>108</v>
      </c>
    </row>
    <row r="1024" spans="1:5">
      <c r="A1024" t="s">
        <v>6707</v>
      </c>
      <c r="B1024">
        <v>2.65</v>
      </c>
      <c r="C1024" t="s">
        <v>108</v>
      </c>
      <c r="D1024" t="s">
        <v>5631</v>
      </c>
      <c r="E1024" t="s">
        <v>108</v>
      </c>
    </row>
    <row r="1025" spans="1:5">
      <c r="A1025" t="s">
        <v>6708</v>
      </c>
      <c r="B1025">
        <v>2.63</v>
      </c>
      <c r="C1025" t="s">
        <v>108</v>
      </c>
      <c r="D1025" t="s">
        <v>5631</v>
      </c>
      <c r="E1025" t="s">
        <v>108</v>
      </c>
    </row>
    <row r="1026" spans="1:5">
      <c r="A1026" t="s">
        <v>6709</v>
      </c>
      <c r="B1026">
        <v>2.5499999999999998</v>
      </c>
      <c r="C1026" t="s">
        <v>6710</v>
      </c>
      <c r="D1026" t="s">
        <v>5631</v>
      </c>
      <c r="E1026" t="s">
        <v>108</v>
      </c>
    </row>
    <row r="1027" spans="1:5">
      <c r="A1027" t="s">
        <v>6711</v>
      </c>
      <c r="B1027">
        <v>2.72</v>
      </c>
      <c r="C1027" t="s">
        <v>108</v>
      </c>
      <c r="D1027" t="s">
        <v>6270</v>
      </c>
      <c r="E1027" t="s">
        <v>108</v>
      </c>
    </row>
    <row r="1028" spans="1:5">
      <c r="A1028" t="s">
        <v>6712</v>
      </c>
      <c r="B1028">
        <v>2.75</v>
      </c>
      <c r="C1028" t="s">
        <v>4058</v>
      </c>
      <c r="D1028" t="s">
        <v>6270</v>
      </c>
      <c r="E1028" t="s">
        <v>108</v>
      </c>
    </row>
    <row r="1029" spans="1:5">
      <c r="A1029" t="s">
        <v>6713</v>
      </c>
      <c r="B1029">
        <v>2.5499999999999998</v>
      </c>
      <c r="C1029" t="s">
        <v>4075</v>
      </c>
      <c r="D1029" t="s">
        <v>5631</v>
      </c>
      <c r="E1029" t="s">
        <v>108</v>
      </c>
    </row>
    <row r="1030" spans="1:5">
      <c r="A1030" t="s">
        <v>6714</v>
      </c>
      <c r="B1030">
        <v>2.8</v>
      </c>
      <c r="C1030" t="s">
        <v>108</v>
      </c>
      <c r="D1030" t="s">
        <v>5631</v>
      </c>
      <c r="E1030" t="s">
        <v>108</v>
      </c>
    </row>
    <row r="1031" spans="1:5">
      <c r="A1031" t="s">
        <v>6715</v>
      </c>
      <c r="B1031">
        <v>2.5499999999999998</v>
      </c>
      <c r="C1031" t="s">
        <v>4108</v>
      </c>
      <c r="D1031" t="s">
        <v>5631</v>
      </c>
      <c r="E1031" t="s">
        <v>108</v>
      </c>
    </row>
    <row r="1032" spans="1:5">
      <c r="A1032" t="s">
        <v>6716</v>
      </c>
      <c r="B1032">
        <v>2.5499999999999998</v>
      </c>
      <c r="C1032" t="s">
        <v>108</v>
      </c>
      <c r="D1032" t="s">
        <v>5631</v>
      </c>
      <c r="E1032" t="s">
        <v>108</v>
      </c>
    </row>
    <row r="1033" spans="1:5">
      <c r="A1033" t="s">
        <v>6717</v>
      </c>
      <c r="B1033">
        <v>2.4700000000000002</v>
      </c>
      <c r="C1033" t="s">
        <v>6718</v>
      </c>
      <c r="D1033" t="s">
        <v>5631</v>
      </c>
      <c r="E1033" t="s">
        <v>108</v>
      </c>
    </row>
    <row r="1034" spans="1:5">
      <c r="A1034" t="s">
        <v>6719</v>
      </c>
      <c r="B1034">
        <v>2.5499999999999998</v>
      </c>
      <c r="C1034" t="s">
        <v>108</v>
      </c>
      <c r="D1034" t="s">
        <v>5631</v>
      </c>
      <c r="E1034" t="s">
        <v>108</v>
      </c>
    </row>
    <row r="1035" spans="1:5">
      <c r="A1035" t="s">
        <v>6720</v>
      </c>
      <c r="B1035">
        <v>2.83</v>
      </c>
      <c r="C1035" t="s">
        <v>2392</v>
      </c>
      <c r="D1035" t="s">
        <v>4308</v>
      </c>
      <c r="E1035" t="s">
        <v>108</v>
      </c>
    </row>
    <row r="1036" spans="1:5">
      <c r="A1036" t="s">
        <v>6721</v>
      </c>
      <c r="B1036">
        <v>2.5</v>
      </c>
      <c r="C1036" t="s">
        <v>108</v>
      </c>
      <c r="D1036" t="s">
        <v>6270</v>
      </c>
      <c r="E1036" t="s">
        <v>108</v>
      </c>
    </row>
    <row r="1037" spans="1:5">
      <c r="A1037" t="s">
        <v>6722</v>
      </c>
      <c r="B1037">
        <v>2.7</v>
      </c>
      <c r="C1037" t="s">
        <v>108</v>
      </c>
      <c r="D1037" t="s">
        <v>6270</v>
      </c>
      <c r="E1037" t="s">
        <v>108</v>
      </c>
    </row>
    <row r="1038" spans="1:5">
      <c r="A1038" t="s">
        <v>6723</v>
      </c>
      <c r="B1038">
        <v>2.7</v>
      </c>
      <c r="C1038" t="s">
        <v>3664</v>
      </c>
      <c r="D1038" t="s">
        <v>6270</v>
      </c>
      <c r="E1038" t="s">
        <v>108</v>
      </c>
    </row>
    <row r="1039" spans="1:5">
      <c r="A1039" t="s">
        <v>6724</v>
      </c>
      <c r="B1039">
        <v>2.66</v>
      </c>
      <c r="C1039" t="s">
        <v>4388</v>
      </c>
      <c r="D1039" t="s">
        <v>6270</v>
      </c>
      <c r="E1039" t="s">
        <v>108</v>
      </c>
    </row>
    <row r="1040" spans="1:5">
      <c r="A1040" t="s">
        <v>6725</v>
      </c>
      <c r="B1040">
        <v>2.9</v>
      </c>
      <c r="C1040" t="s">
        <v>108</v>
      </c>
      <c r="D1040" t="s">
        <v>6263</v>
      </c>
      <c r="E1040" t="s">
        <v>108</v>
      </c>
    </row>
    <row r="1041" spans="1:5">
      <c r="A1041" t="s">
        <v>6726</v>
      </c>
      <c r="B1041">
        <v>2.81</v>
      </c>
      <c r="C1041" t="s">
        <v>108</v>
      </c>
      <c r="D1041" t="s">
        <v>6270</v>
      </c>
      <c r="E1041" t="s">
        <v>108</v>
      </c>
    </row>
    <row r="1042" spans="1:5">
      <c r="A1042" t="s">
        <v>6727</v>
      </c>
      <c r="B1042">
        <v>2.83</v>
      </c>
      <c r="C1042" t="s">
        <v>6728</v>
      </c>
      <c r="D1042" t="s">
        <v>6270</v>
      </c>
      <c r="E1042" t="s">
        <v>108</v>
      </c>
    </row>
    <row r="1043" spans="1:5">
      <c r="A1043" t="s">
        <v>6729</v>
      </c>
      <c r="B1043">
        <v>2.74</v>
      </c>
      <c r="C1043" t="s">
        <v>6730</v>
      </c>
      <c r="D1043" t="s">
        <v>6270</v>
      </c>
      <c r="E1043" t="s">
        <v>108</v>
      </c>
    </row>
    <row r="1044" spans="1:5">
      <c r="A1044" t="s">
        <v>6731</v>
      </c>
      <c r="B1044">
        <v>2.74</v>
      </c>
      <c r="C1044" t="s">
        <v>4501</v>
      </c>
      <c r="D1044" t="s">
        <v>6270</v>
      </c>
      <c r="E1044" t="s">
        <v>108</v>
      </c>
    </row>
    <row r="1045" spans="1:5">
      <c r="A1045" t="s">
        <v>6732</v>
      </c>
      <c r="B1045">
        <v>2.95</v>
      </c>
      <c r="C1045" t="s">
        <v>108</v>
      </c>
      <c r="D1045" t="s">
        <v>6263</v>
      </c>
      <c r="E1045" t="s">
        <v>108</v>
      </c>
    </row>
    <row r="1046" spans="1:5">
      <c r="A1046" t="s">
        <v>6733</v>
      </c>
      <c r="B1046">
        <v>2.5</v>
      </c>
      <c r="C1046" t="s">
        <v>108</v>
      </c>
      <c r="D1046" t="s">
        <v>5505</v>
      </c>
      <c r="E1046" t="s">
        <v>108</v>
      </c>
    </row>
    <row r="1047" spans="1:5">
      <c r="A1047" t="s">
        <v>6734</v>
      </c>
      <c r="B1047">
        <v>2.71</v>
      </c>
      <c r="C1047" t="s">
        <v>6735</v>
      </c>
      <c r="D1047" t="s">
        <v>6270</v>
      </c>
      <c r="E1047" t="s">
        <v>108</v>
      </c>
    </row>
    <row r="1048" spans="1:5">
      <c r="A1048" t="s">
        <v>6736</v>
      </c>
      <c r="B1048">
        <v>2.71</v>
      </c>
      <c r="C1048" t="s">
        <v>6735</v>
      </c>
      <c r="D1048" t="s">
        <v>6270</v>
      </c>
      <c r="E1048" t="s">
        <v>108</v>
      </c>
    </row>
    <row r="1049" spans="1:5">
      <c r="A1049" t="s">
        <v>6737</v>
      </c>
      <c r="B1049">
        <v>2.81</v>
      </c>
      <c r="C1049" t="s">
        <v>6738</v>
      </c>
      <c r="D1049" t="s">
        <v>6270</v>
      </c>
      <c r="E1049" t="s">
        <v>108</v>
      </c>
    </row>
    <row r="1050" spans="1:5">
      <c r="A1050" t="s">
        <v>6739</v>
      </c>
      <c r="B1050">
        <v>2.86</v>
      </c>
      <c r="C1050" t="s">
        <v>2392</v>
      </c>
      <c r="D1050" t="s">
        <v>6308</v>
      </c>
      <c r="E1050" t="s">
        <v>108</v>
      </c>
    </row>
    <row r="1051" spans="1:5">
      <c r="A1051" t="s">
        <v>6740</v>
      </c>
      <c r="B1051">
        <v>2.7</v>
      </c>
      <c r="C1051" t="s">
        <v>3034</v>
      </c>
      <c r="D1051" t="s">
        <v>6368</v>
      </c>
      <c r="E1051" t="s">
        <v>108</v>
      </c>
    </row>
    <row r="1052" spans="1:5">
      <c r="A1052" t="s">
        <v>6741</v>
      </c>
      <c r="B1052">
        <v>2.98</v>
      </c>
      <c r="C1052" t="s">
        <v>108</v>
      </c>
      <c r="D1052" t="s">
        <v>6253</v>
      </c>
      <c r="E1052" t="s">
        <v>108</v>
      </c>
    </row>
    <row r="1053" spans="1:5">
      <c r="A1053" t="s">
        <v>6742</v>
      </c>
      <c r="B1053">
        <v>2.9</v>
      </c>
      <c r="C1053" t="s">
        <v>3363</v>
      </c>
      <c r="D1053" t="s">
        <v>6253</v>
      </c>
      <c r="E1053" t="s">
        <v>108</v>
      </c>
    </row>
    <row r="1054" spans="1:5">
      <c r="A1054" t="s">
        <v>6743</v>
      </c>
      <c r="B1054">
        <v>2.9</v>
      </c>
      <c r="C1054" t="s">
        <v>3416</v>
      </c>
      <c r="D1054" t="s">
        <v>6253</v>
      </c>
      <c r="E1054" t="s">
        <v>108</v>
      </c>
    </row>
    <row r="1055" spans="1:5">
      <c r="A1055" t="s">
        <v>6744</v>
      </c>
      <c r="B1055">
        <v>2.9</v>
      </c>
      <c r="C1055" t="s">
        <v>5526</v>
      </c>
      <c r="D1055" t="s">
        <v>6253</v>
      </c>
      <c r="E1055" t="s">
        <v>108</v>
      </c>
    </row>
    <row r="1056" spans="1:5">
      <c r="A1056" t="s">
        <v>6745</v>
      </c>
      <c r="B1056">
        <v>2.74</v>
      </c>
      <c r="C1056" t="s">
        <v>108</v>
      </c>
      <c r="D1056" t="s">
        <v>6270</v>
      </c>
      <c r="E1056" t="s">
        <v>108</v>
      </c>
    </row>
    <row r="1057" spans="1:5">
      <c r="A1057" t="s">
        <v>6746</v>
      </c>
      <c r="B1057">
        <v>2.92</v>
      </c>
      <c r="C1057" t="s">
        <v>3363</v>
      </c>
      <c r="D1057" t="s">
        <v>6253</v>
      </c>
      <c r="E1057" t="s">
        <v>108</v>
      </c>
    </row>
    <row r="1058" spans="1:5">
      <c r="A1058" t="s">
        <v>6747</v>
      </c>
      <c r="B1058">
        <v>2.92</v>
      </c>
      <c r="C1058" t="s">
        <v>3416</v>
      </c>
      <c r="D1058" t="s">
        <v>6253</v>
      </c>
      <c r="E1058" t="s">
        <v>108</v>
      </c>
    </row>
    <row r="1059" spans="1:5">
      <c r="A1059" t="s">
        <v>6748</v>
      </c>
      <c r="B1059">
        <v>2.92</v>
      </c>
      <c r="C1059" t="s">
        <v>3363</v>
      </c>
      <c r="D1059" t="s">
        <v>6253</v>
      </c>
      <c r="E1059" t="s">
        <v>108</v>
      </c>
    </row>
    <row r="1060" spans="1:5">
      <c r="A1060" t="s">
        <v>6749</v>
      </c>
      <c r="B1060">
        <v>2.2400000000000002</v>
      </c>
      <c r="C1060" t="s">
        <v>108</v>
      </c>
      <c r="D1060" t="s">
        <v>6270</v>
      </c>
      <c r="E1060" t="s">
        <v>108</v>
      </c>
    </row>
    <row r="1061" spans="1:5">
      <c r="A1061" t="s">
        <v>6750</v>
      </c>
      <c r="B1061">
        <v>2.34</v>
      </c>
      <c r="C1061" t="s">
        <v>108</v>
      </c>
      <c r="D1061" t="s">
        <v>6270</v>
      </c>
      <c r="E1061" t="s">
        <v>108</v>
      </c>
    </row>
    <row r="1062" spans="1:5">
      <c r="A1062" t="s">
        <v>6751</v>
      </c>
      <c r="B1062">
        <v>2.35</v>
      </c>
      <c r="C1062" t="s">
        <v>108</v>
      </c>
      <c r="D1062" t="s">
        <v>6270</v>
      </c>
      <c r="E1062" t="s">
        <v>108</v>
      </c>
    </row>
    <row r="1063" spans="1:5">
      <c r="A1063" t="s">
        <v>6752</v>
      </c>
      <c r="B1063">
        <v>2.44</v>
      </c>
      <c r="C1063" t="s">
        <v>4501</v>
      </c>
      <c r="D1063" t="s">
        <v>6270</v>
      </c>
      <c r="E1063" t="s">
        <v>108</v>
      </c>
    </row>
    <row r="1064" spans="1:5">
      <c r="A1064" t="s">
        <v>6753</v>
      </c>
      <c r="B1064">
        <v>2.44</v>
      </c>
      <c r="C1064" t="s">
        <v>4388</v>
      </c>
      <c r="D1064" t="s">
        <v>6270</v>
      </c>
      <c r="E1064" t="s">
        <v>108</v>
      </c>
    </row>
    <row r="1065" spans="1:5">
      <c r="A1065" t="s">
        <v>6754</v>
      </c>
      <c r="B1065">
        <v>2.46</v>
      </c>
      <c r="C1065" t="s">
        <v>3103</v>
      </c>
      <c r="D1065" t="s">
        <v>6270</v>
      </c>
      <c r="E1065" t="s">
        <v>108</v>
      </c>
    </row>
    <row r="1066" spans="1:5">
      <c r="A1066" t="s">
        <v>6755</v>
      </c>
      <c r="B1066">
        <v>2.4</v>
      </c>
      <c r="C1066" t="s">
        <v>3363</v>
      </c>
      <c r="D1066" t="s">
        <v>6270</v>
      </c>
      <c r="E1066" t="s">
        <v>108</v>
      </c>
    </row>
    <row r="1067" spans="1:5">
      <c r="A1067" t="s">
        <v>6756</v>
      </c>
      <c r="B1067">
        <v>2.25</v>
      </c>
      <c r="C1067" t="s">
        <v>6595</v>
      </c>
      <c r="D1067" t="s">
        <v>5631</v>
      </c>
      <c r="E1067" t="s">
        <v>108</v>
      </c>
    </row>
    <row r="1068" spans="1:5">
      <c r="A1068" t="s">
        <v>6757</v>
      </c>
      <c r="B1068">
        <v>2.2999999999999998</v>
      </c>
      <c r="C1068" t="s">
        <v>108</v>
      </c>
      <c r="D1068" t="s">
        <v>5631</v>
      </c>
      <c r="E1068" t="s">
        <v>108</v>
      </c>
    </row>
    <row r="1069" spans="1:5">
      <c r="A1069" t="s">
        <v>6758</v>
      </c>
      <c r="B1069">
        <v>2.4</v>
      </c>
      <c r="C1069" t="s">
        <v>3103</v>
      </c>
      <c r="D1069" t="s">
        <v>6270</v>
      </c>
      <c r="E1069" t="s">
        <v>108</v>
      </c>
    </row>
    <row r="1070" spans="1:5">
      <c r="A1070" t="s">
        <v>6759</v>
      </c>
      <c r="B1070">
        <v>2.4</v>
      </c>
      <c r="C1070" t="s">
        <v>3103</v>
      </c>
      <c r="D1070" t="s">
        <v>6270</v>
      </c>
      <c r="E1070" t="s">
        <v>108</v>
      </c>
    </row>
    <row r="1071" spans="1:5">
      <c r="A1071" t="s">
        <v>6760</v>
      </c>
      <c r="B1071">
        <v>2.5499999999999998</v>
      </c>
      <c r="C1071" t="s">
        <v>108</v>
      </c>
      <c r="D1071" t="s">
        <v>6270</v>
      </c>
      <c r="E1071" t="s">
        <v>108</v>
      </c>
    </row>
    <row r="1072" spans="1:5">
      <c r="A1072" t="s">
        <v>6761</v>
      </c>
      <c r="B1072">
        <v>2.4500000000000002</v>
      </c>
      <c r="C1072" t="s">
        <v>6762</v>
      </c>
      <c r="D1072" t="s">
        <v>6270</v>
      </c>
      <c r="E1072" t="s">
        <v>108</v>
      </c>
    </row>
    <row r="1073" spans="1:5">
      <c r="A1073" t="s">
        <v>6763</v>
      </c>
      <c r="B1073">
        <v>2.58</v>
      </c>
      <c r="C1073" t="s">
        <v>4388</v>
      </c>
      <c r="D1073" t="s">
        <v>6270</v>
      </c>
      <c r="E1073" t="s">
        <v>108</v>
      </c>
    </row>
    <row r="1074" spans="1:5">
      <c r="A1074" t="s">
        <v>6764</v>
      </c>
      <c r="B1074">
        <v>2.4</v>
      </c>
      <c r="C1074" t="s">
        <v>3103</v>
      </c>
      <c r="D1074" t="s">
        <v>5631</v>
      </c>
      <c r="E1074" t="s">
        <v>108</v>
      </c>
    </row>
    <row r="1075" spans="1:5">
      <c r="A1075" t="s">
        <v>6765</v>
      </c>
      <c r="B1075">
        <v>2.4500000000000002</v>
      </c>
      <c r="C1075" t="s">
        <v>6766</v>
      </c>
      <c r="D1075" t="s">
        <v>5631</v>
      </c>
      <c r="E1075" t="s">
        <v>108</v>
      </c>
    </row>
    <row r="1076" spans="1:5">
      <c r="A1076" t="s">
        <v>6767</v>
      </c>
      <c r="B1076">
        <v>2.5</v>
      </c>
      <c r="C1076" t="s">
        <v>4743</v>
      </c>
      <c r="D1076" t="s">
        <v>5631</v>
      </c>
      <c r="E1076" t="s">
        <v>108</v>
      </c>
    </row>
    <row r="1077" spans="1:5">
      <c r="A1077" t="s">
        <v>6768</v>
      </c>
      <c r="B1077">
        <v>2.59</v>
      </c>
      <c r="C1077" t="s">
        <v>4501</v>
      </c>
      <c r="D1077" t="s">
        <v>5631</v>
      </c>
      <c r="E1077" t="s">
        <v>108</v>
      </c>
    </row>
    <row r="1078" spans="1:5">
      <c r="A1078" t="s">
        <v>6769</v>
      </c>
      <c r="B1078">
        <v>2.35</v>
      </c>
      <c r="C1078" t="s">
        <v>3103</v>
      </c>
      <c r="D1078" t="s">
        <v>5631</v>
      </c>
      <c r="E1078" t="s">
        <v>108</v>
      </c>
    </row>
    <row r="1079" spans="1:5">
      <c r="A1079" t="s">
        <v>6770</v>
      </c>
      <c r="B1079">
        <v>2.4500000000000002</v>
      </c>
      <c r="C1079" t="s">
        <v>4473</v>
      </c>
      <c r="D1079" t="s">
        <v>6270</v>
      </c>
      <c r="E1079" t="s">
        <v>108</v>
      </c>
    </row>
    <row r="1080" spans="1:5">
      <c r="A1080" t="s">
        <v>6771</v>
      </c>
      <c r="B1080">
        <v>2.54</v>
      </c>
      <c r="C1080" t="s">
        <v>3103</v>
      </c>
      <c r="D1080" t="s">
        <v>6270</v>
      </c>
      <c r="E1080" t="s">
        <v>108</v>
      </c>
    </row>
    <row r="1081" spans="1:5">
      <c r="A1081" t="s">
        <v>6772</v>
      </c>
      <c r="B1081">
        <v>2.34</v>
      </c>
      <c r="C1081" t="s">
        <v>108</v>
      </c>
      <c r="D1081" t="s">
        <v>5631</v>
      </c>
      <c r="E1081" t="s">
        <v>108</v>
      </c>
    </row>
    <row r="1082" spans="1:5">
      <c r="A1082" t="s">
        <v>6773</v>
      </c>
      <c r="B1082">
        <v>2.57</v>
      </c>
      <c r="C1082" t="s">
        <v>108</v>
      </c>
      <c r="D1082" t="s">
        <v>6270</v>
      </c>
      <c r="E1082" t="s">
        <v>108</v>
      </c>
    </row>
    <row r="1083" spans="1:5">
      <c r="A1083" t="s">
        <v>6774</v>
      </c>
      <c r="B1083">
        <v>2.67</v>
      </c>
      <c r="C1083" t="s">
        <v>4501</v>
      </c>
      <c r="D1083" t="s">
        <v>6270</v>
      </c>
      <c r="E1083" t="s">
        <v>108</v>
      </c>
    </row>
    <row r="1084" spans="1:5">
      <c r="A1084" t="s">
        <v>6775</v>
      </c>
      <c r="B1084">
        <v>2.7</v>
      </c>
      <c r="C1084" t="s">
        <v>108</v>
      </c>
      <c r="D1084" t="s">
        <v>6270</v>
      </c>
      <c r="E1084" t="s">
        <v>108</v>
      </c>
    </row>
    <row r="1085" spans="1:5">
      <c r="A1085" t="s">
        <v>6776</v>
      </c>
      <c r="B1085">
        <v>2.4500000000000002</v>
      </c>
      <c r="C1085" t="s">
        <v>108</v>
      </c>
      <c r="D1085" t="s">
        <v>5631</v>
      </c>
      <c r="E1085" t="s">
        <v>108</v>
      </c>
    </row>
    <row r="1086" spans="1:5">
      <c r="A1086" t="s">
        <v>6777</v>
      </c>
      <c r="B1086">
        <v>2.7</v>
      </c>
      <c r="C1086" t="s">
        <v>108</v>
      </c>
      <c r="D1086" t="s">
        <v>5631</v>
      </c>
      <c r="E1086" t="s">
        <v>108</v>
      </c>
    </row>
    <row r="1087" spans="1:5">
      <c r="A1087" t="s">
        <v>6778</v>
      </c>
      <c r="B1087">
        <v>2</v>
      </c>
      <c r="C1087" t="s">
        <v>4058</v>
      </c>
      <c r="D1087" t="s">
        <v>6270</v>
      </c>
      <c r="E1087" t="s">
        <v>108</v>
      </c>
    </row>
    <row r="1088" spans="1:5">
      <c r="A1088" t="s">
        <v>6779</v>
      </c>
      <c r="B1088">
        <v>1.92</v>
      </c>
      <c r="C1088" t="s">
        <v>3314</v>
      </c>
      <c r="D1088" t="s">
        <v>5631</v>
      </c>
      <c r="E1088" t="s">
        <v>108</v>
      </c>
    </row>
    <row r="1089" spans="1:5">
      <c r="A1089" t="s">
        <v>6780</v>
      </c>
      <c r="B1089">
        <v>1.9</v>
      </c>
      <c r="C1089" t="s">
        <v>6730</v>
      </c>
      <c r="D1089" t="s">
        <v>5631</v>
      </c>
      <c r="E1089" t="s">
        <v>108</v>
      </c>
    </row>
    <row r="1090" spans="1:5">
      <c r="A1090" t="s">
        <v>6781</v>
      </c>
      <c r="B1090">
        <v>2.15</v>
      </c>
      <c r="C1090" t="s">
        <v>108</v>
      </c>
      <c r="D1090" t="s">
        <v>6270</v>
      </c>
      <c r="E1090" t="s">
        <v>108</v>
      </c>
    </row>
    <row r="1091" spans="1:5">
      <c r="A1091" t="s">
        <v>6782</v>
      </c>
      <c r="B1091">
        <v>2</v>
      </c>
      <c r="C1091" t="s">
        <v>108</v>
      </c>
      <c r="D1091" t="s">
        <v>6270</v>
      </c>
      <c r="E1091" t="s">
        <v>108</v>
      </c>
    </row>
    <row r="1092" spans="1:5">
      <c r="A1092" t="s">
        <v>6783</v>
      </c>
      <c r="B1092">
        <v>2</v>
      </c>
      <c r="C1092" t="s">
        <v>6784</v>
      </c>
      <c r="D1092" t="s">
        <v>6270</v>
      </c>
      <c r="E1092" t="s">
        <v>108</v>
      </c>
    </row>
    <row r="1093" spans="1:5">
      <c r="A1093" t="s">
        <v>6785</v>
      </c>
      <c r="B1093">
        <v>2</v>
      </c>
      <c r="C1093" t="s">
        <v>6786</v>
      </c>
      <c r="D1093" t="s">
        <v>6270</v>
      </c>
      <c r="E1093" t="s">
        <v>108</v>
      </c>
    </row>
    <row r="1094" spans="1:5">
      <c r="A1094" t="s">
        <v>6787</v>
      </c>
      <c r="B1094">
        <v>2.13</v>
      </c>
      <c r="C1094" t="s">
        <v>6579</v>
      </c>
      <c r="D1094" t="s">
        <v>5631</v>
      </c>
      <c r="E1094" t="s">
        <v>108</v>
      </c>
    </row>
    <row r="1095" spans="1:5">
      <c r="A1095" t="s">
        <v>6788</v>
      </c>
      <c r="B1095">
        <v>2.0499999999999998</v>
      </c>
      <c r="C1095" t="s">
        <v>3416</v>
      </c>
      <c r="D1095" t="s">
        <v>6270</v>
      </c>
      <c r="E1095" t="s">
        <v>108</v>
      </c>
    </row>
    <row r="1096" spans="1:5">
      <c r="A1096" t="s">
        <v>6789</v>
      </c>
      <c r="B1096">
        <v>2.12</v>
      </c>
      <c r="C1096" t="s">
        <v>5526</v>
      </c>
      <c r="D1096" t="s">
        <v>6270</v>
      </c>
      <c r="E1096" t="s">
        <v>108</v>
      </c>
    </row>
    <row r="1097" spans="1:5">
      <c r="A1097" t="s">
        <v>6790</v>
      </c>
      <c r="B1097">
        <v>1.96</v>
      </c>
      <c r="C1097" t="s">
        <v>108</v>
      </c>
      <c r="D1097" t="s">
        <v>6270</v>
      </c>
      <c r="E1097" t="s">
        <v>108</v>
      </c>
    </row>
    <row r="1098" spans="1:5">
      <c r="A1098" t="s">
        <v>6791</v>
      </c>
      <c r="B1098">
        <v>2</v>
      </c>
      <c r="C1098" t="s">
        <v>3103</v>
      </c>
      <c r="D1098" t="s">
        <v>4308</v>
      </c>
      <c r="E1098" t="s">
        <v>108</v>
      </c>
    </row>
    <row r="1099" spans="1:5">
      <c r="A1099" t="s">
        <v>6792</v>
      </c>
      <c r="B1099">
        <v>2.1</v>
      </c>
      <c r="C1099" t="s">
        <v>4058</v>
      </c>
      <c r="D1099" t="s">
        <v>5631</v>
      </c>
      <c r="E1099" t="s">
        <v>108</v>
      </c>
    </row>
    <row r="1100" spans="1:5">
      <c r="A1100" t="s">
        <v>6793</v>
      </c>
      <c r="B1100">
        <v>2.0699999999999998</v>
      </c>
      <c r="C1100" t="s">
        <v>6794</v>
      </c>
      <c r="D1100" t="s">
        <v>6270</v>
      </c>
      <c r="E1100" t="s">
        <v>108</v>
      </c>
    </row>
    <row r="1101" spans="1:5">
      <c r="A1101" t="s">
        <v>6795</v>
      </c>
      <c r="B1101">
        <v>2.0699999999999998</v>
      </c>
      <c r="C1101" t="s">
        <v>6660</v>
      </c>
      <c r="D1101" t="s">
        <v>6270</v>
      </c>
      <c r="E1101" t="s">
        <v>108</v>
      </c>
    </row>
    <row r="1102" spans="1:5">
      <c r="A1102" t="s">
        <v>6796</v>
      </c>
      <c r="B1102">
        <v>2.2000000000000002</v>
      </c>
      <c r="C1102" t="s">
        <v>108</v>
      </c>
      <c r="D1102" t="s">
        <v>6270</v>
      </c>
      <c r="E1102" t="s">
        <v>108</v>
      </c>
    </row>
    <row r="1103" spans="1:5">
      <c r="A1103" t="s">
        <v>6797</v>
      </c>
      <c r="B1103">
        <v>1.95</v>
      </c>
      <c r="C1103" t="s">
        <v>6798</v>
      </c>
      <c r="D1103" t="s">
        <v>5631</v>
      </c>
      <c r="E1103" t="s">
        <v>108</v>
      </c>
    </row>
    <row r="1104" spans="1:5">
      <c r="A1104" t="s">
        <v>6799</v>
      </c>
      <c r="B1104">
        <v>1.95</v>
      </c>
      <c r="C1104" t="s">
        <v>6800</v>
      </c>
      <c r="D1104" t="s">
        <v>5631</v>
      </c>
      <c r="E1104" t="s">
        <v>108</v>
      </c>
    </row>
    <row r="1105" spans="1:5">
      <c r="A1105" t="s">
        <v>6801</v>
      </c>
      <c r="B1105">
        <v>2.15</v>
      </c>
      <c r="C1105" t="s">
        <v>108</v>
      </c>
      <c r="D1105" t="s">
        <v>6270</v>
      </c>
      <c r="E1105" t="s">
        <v>108</v>
      </c>
    </row>
    <row r="1106" spans="1:5">
      <c r="A1106" t="s">
        <v>6802</v>
      </c>
      <c r="B1106">
        <v>2.0499999999999998</v>
      </c>
      <c r="C1106" t="s">
        <v>108</v>
      </c>
      <c r="D1106" t="s">
        <v>6270</v>
      </c>
      <c r="E1106" t="s">
        <v>108</v>
      </c>
    </row>
    <row r="1107" spans="1:5">
      <c r="A1107" t="s">
        <v>6803</v>
      </c>
      <c r="B1107">
        <v>2.15</v>
      </c>
      <c r="C1107" t="s">
        <v>6804</v>
      </c>
      <c r="D1107" t="s">
        <v>6270</v>
      </c>
      <c r="E1107" t="s">
        <v>108</v>
      </c>
    </row>
    <row r="1108" spans="1:5">
      <c r="A1108" t="s">
        <v>6805</v>
      </c>
      <c r="B1108">
        <v>2.15</v>
      </c>
      <c r="C1108" t="s">
        <v>5538</v>
      </c>
      <c r="D1108" t="s">
        <v>6270</v>
      </c>
      <c r="E1108" t="s">
        <v>108</v>
      </c>
    </row>
    <row r="1109" spans="1:5">
      <c r="A1109" t="s">
        <v>6806</v>
      </c>
      <c r="B1109">
        <v>2.2000000000000002</v>
      </c>
      <c r="C1109" t="s">
        <v>108</v>
      </c>
      <c r="D1109" t="s">
        <v>6270</v>
      </c>
      <c r="E1109" t="s">
        <v>108</v>
      </c>
    </row>
    <row r="1110" spans="1:5">
      <c r="A1110" t="s">
        <v>6807</v>
      </c>
      <c r="B1110">
        <v>2</v>
      </c>
      <c r="C1110" t="s">
        <v>108</v>
      </c>
      <c r="D1110" t="s">
        <v>6270</v>
      </c>
      <c r="E1110" t="s">
        <v>108</v>
      </c>
    </row>
    <row r="1111" spans="1:5">
      <c r="A1111" t="s">
        <v>6808</v>
      </c>
      <c r="B1111">
        <v>2</v>
      </c>
      <c r="C1111" t="s">
        <v>4473</v>
      </c>
      <c r="D1111" t="s">
        <v>5631</v>
      </c>
      <c r="E1111" t="s">
        <v>108</v>
      </c>
    </row>
    <row r="1112" spans="1:5">
      <c r="A1112" t="s">
        <v>6809</v>
      </c>
      <c r="B1112">
        <v>2.2000000000000002</v>
      </c>
      <c r="C1112" t="s">
        <v>108</v>
      </c>
      <c r="D1112" t="s">
        <v>6270</v>
      </c>
      <c r="E1112" t="s">
        <v>108</v>
      </c>
    </row>
    <row r="1113" spans="1:5">
      <c r="A1113" t="s">
        <v>6810</v>
      </c>
      <c r="B1113">
        <v>2.15</v>
      </c>
      <c r="C1113" t="s">
        <v>108</v>
      </c>
      <c r="D1113" t="s">
        <v>6270</v>
      </c>
      <c r="E1113" t="s">
        <v>108</v>
      </c>
    </row>
    <row r="1114" spans="1:5">
      <c r="A1114" t="s">
        <v>6811</v>
      </c>
      <c r="B1114">
        <v>2.2000000000000002</v>
      </c>
      <c r="C1114" t="s">
        <v>4391</v>
      </c>
      <c r="D1114" t="s">
        <v>5631</v>
      </c>
      <c r="E1114" t="s">
        <v>108</v>
      </c>
    </row>
    <row r="1115" spans="1:5">
      <c r="A1115" t="s">
        <v>6812</v>
      </c>
      <c r="B1115">
        <v>2.1800000000000002</v>
      </c>
      <c r="C1115" t="s">
        <v>108</v>
      </c>
      <c r="D1115" t="s">
        <v>5631</v>
      </c>
      <c r="E1115" t="s">
        <v>108</v>
      </c>
    </row>
    <row r="1116" spans="1:5">
      <c r="A1116" t="s">
        <v>6813</v>
      </c>
      <c r="B1116">
        <v>2.02</v>
      </c>
      <c r="C1116" t="s">
        <v>6814</v>
      </c>
      <c r="D1116" t="s">
        <v>6270</v>
      </c>
      <c r="E1116" t="s">
        <v>108</v>
      </c>
    </row>
    <row r="1117" spans="1:5">
      <c r="A1117" t="s">
        <v>6815</v>
      </c>
      <c r="B1117">
        <v>2.23</v>
      </c>
      <c r="C1117" t="s">
        <v>108</v>
      </c>
      <c r="D1117" t="s">
        <v>6270</v>
      </c>
      <c r="E1117" t="s">
        <v>108</v>
      </c>
    </row>
    <row r="1118" spans="1:5">
      <c r="A1118" t="s">
        <v>6816</v>
      </c>
      <c r="B1118">
        <v>2.0499999999999998</v>
      </c>
      <c r="C1118" t="s">
        <v>108</v>
      </c>
      <c r="D1118" t="s">
        <v>6270</v>
      </c>
      <c r="E1118" t="s">
        <v>108</v>
      </c>
    </row>
    <row r="1119" spans="1:5">
      <c r="A1119" t="s">
        <v>6817</v>
      </c>
      <c r="B1119">
        <v>2.12</v>
      </c>
      <c r="C1119" t="s">
        <v>108</v>
      </c>
      <c r="D1119" t="s">
        <v>5631</v>
      </c>
      <c r="E1119" t="s">
        <v>108</v>
      </c>
    </row>
    <row r="1120" spans="1:5">
      <c r="A1120" t="s">
        <v>6818</v>
      </c>
      <c r="B1120">
        <v>2.0499999999999998</v>
      </c>
      <c r="C1120" t="s">
        <v>3991</v>
      </c>
      <c r="D1120" t="s">
        <v>5631</v>
      </c>
      <c r="E1120" t="s">
        <v>108</v>
      </c>
    </row>
    <row r="1121" spans="1:5">
      <c r="A1121" t="s">
        <v>6819</v>
      </c>
      <c r="B1121">
        <v>2</v>
      </c>
      <c r="C1121" t="s">
        <v>4776</v>
      </c>
      <c r="D1121" t="s">
        <v>5631</v>
      </c>
      <c r="E1121" t="s">
        <v>108</v>
      </c>
    </row>
    <row r="1122" spans="1:5">
      <c r="A1122" t="s">
        <v>6820</v>
      </c>
      <c r="B1122">
        <v>2</v>
      </c>
      <c r="C1122" t="s">
        <v>108</v>
      </c>
      <c r="D1122" t="s">
        <v>5631</v>
      </c>
      <c r="E1122" t="s">
        <v>108</v>
      </c>
    </row>
    <row r="1123" spans="1:5">
      <c r="A1123" t="s">
        <v>6821</v>
      </c>
      <c r="B1123">
        <v>2</v>
      </c>
      <c r="C1123" t="s">
        <v>108</v>
      </c>
      <c r="D1123" t="s">
        <v>5631</v>
      </c>
      <c r="E1123" t="s">
        <v>108</v>
      </c>
    </row>
    <row r="1124" spans="1:5">
      <c r="A1124" t="s">
        <v>6822</v>
      </c>
      <c r="B1124">
        <v>2.2000000000000002</v>
      </c>
      <c r="C1124" t="s">
        <v>6823</v>
      </c>
      <c r="D1124" t="s">
        <v>5631</v>
      </c>
      <c r="E1124" t="s">
        <v>108</v>
      </c>
    </row>
    <row r="1125" spans="1:5">
      <c r="A1125" t="s">
        <v>6824</v>
      </c>
      <c r="B1125">
        <v>2.25</v>
      </c>
      <c r="C1125" t="s">
        <v>3991</v>
      </c>
      <c r="D1125" t="s">
        <v>6270</v>
      </c>
      <c r="E1125" t="s">
        <v>108</v>
      </c>
    </row>
    <row r="1126" spans="1:5">
      <c r="A1126" t="s">
        <v>6825</v>
      </c>
      <c r="B1126">
        <v>2.15</v>
      </c>
      <c r="C1126" t="s">
        <v>6826</v>
      </c>
      <c r="D1126" t="s">
        <v>6270</v>
      </c>
      <c r="E1126" t="s">
        <v>108</v>
      </c>
    </row>
    <row r="1127" spans="1:5">
      <c r="A1127" t="s">
        <v>6827</v>
      </c>
      <c r="B1127">
        <v>2</v>
      </c>
      <c r="C1127" t="s">
        <v>108</v>
      </c>
      <c r="D1127" t="s">
        <v>6270</v>
      </c>
      <c r="E1127" t="s">
        <v>108</v>
      </c>
    </row>
    <row r="1128" spans="1:5">
      <c r="A1128" t="s">
        <v>6828</v>
      </c>
      <c r="B1128">
        <v>2.25</v>
      </c>
      <c r="C1128" t="s">
        <v>6829</v>
      </c>
      <c r="D1128" t="s">
        <v>6270</v>
      </c>
      <c r="E1128" t="s">
        <v>108</v>
      </c>
    </row>
    <row r="1129" spans="1:5">
      <c r="A1129" t="s">
        <v>6830</v>
      </c>
      <c r="B1129">
        <v>2.25</v>
      </c>
      <c r="C1129" t="s">
        <v>108</v>
      </c>
      <c r="D1129" t="s">
        <v>6270</v>
      </c>
      <c r="E1129" t="s">
        <v>108</v>
      </c>
    </row>
    <row r="1130" spans="1:5">
      <c r="A1130" t="s">
        <v>6831</v>
      </c>
      <c r="B1130">
        <v>2.2200000000000002</v>
      </c>
      <c r="C1130" t="s">
        <v>6595</v>
      </c>
      <c r="D1130" t="s">
        <v>5631</v>
      </c>
      <c r="E1130" t="s">
        <v>108</v>
      </c>
    </row>
    <row r="1131" spans="1:5">
      <c r="A1131" t="s">
        <v>6832</v>
      </c>
      <c r="B1131">
        <v>2.25</v>
      </c>
      <c r="C1131" t="s">
        <v>4501</v>
      </c>
      <c r="D1131" t="s">
        <v>6270</v>
      </c>
      <c r="E1131" t="s">
        <v>108</v>
      </c>
    </row>
    <row r="1132" spans="1:5">
      <c r="A1132" t="s">
        <v>6833</v>
      </c>
      <c r="B1132">
        <v>2.1</v>
      </c>
      <c r="C1132" t="s">
        <v>108</v>
      </c>
      <c r="D1132" t="s">
        <v>6270</v>
      </c>
      <c r="E1132" t="s">
        <v>108</v>
      </c>
    </row>
    <row r="1133" spans="1:5">
      <c r="A1133" t="s">
        <v>6834</v>
      </c>
      <c r="B1133">
        <v>2.36</v>
      </c>
      <c r="C1133" t="s">
        <v>108</v>
      </c>
      <c r="D1133" t="s">
        <v>6270</v>
      </c>
      <c r="E1133" t="s">
        <v>108</v>
      </c>
    </row>
    <row r="1134" spans="1:5">
      <c r="A1134" t="s">
        <v>6835</v>
      </c>
      <c r="B1134">
        <v>2.1</v>
      </c>
      <c r="C1134" t="s">
        <v>108</v>
      </c>
      <c r="D1134" t="s">
        <v>5631</v>
      </c>
      <c r="E1134" t="s">
        <v>108</v>
      </c>
    </row>
    <row r="1135" spans="1:5">
      <c r="A1135" t="s">
        <v>6836</v>
      </c>
      <c r="B1135">
        <v>2.1</v>
      </c>
      <c r="C1135" t="s">
        <v>6837</v>
      </c>
      <c r="D1135" t="s">
        <v>5631</v>
      </c>
      <c r="E1135" t="s">
        <v>108</v>
      </c>
    </row>
    <row r="1136" spans="1:5">
      <c r="A1136" t="s">
        <v>6838</v>
      </c>
      <c r="B1136">
        <v>2.2999999999999998</v>
      </c>
      <c r="C1136" t="s">
        <v>108</v>
      </c>
      <c r="D1136" t="s">
        <v>6270</v>
      </c>
      <c r="E1136" t="s">
        <v>108</v>
      </c>
    </row>
    <row r="1137" spans="1:5">
      <c r="A1137" t="s">
        <v>6839</v>
      </c>
      <c r="B1137">
        <v>2.4</v>
      </c>
      <c r="C1137" t="s">
        <v>3103</v>
      </c>
      <c r="D1137" t="s">
        <v>6270</v>
      </c>
      <c r="E1137" t="s">
        <v>108</v>
      </c>
    </row>
    <row r="1138" spans="1:5">
      <c r="A1138" t="s">
        <v>6840</v>
      </c>
      <c r="B1138">
        <v>2.2599999999999998</v>
      </c>
      <c r="C1138" t="s">
        <v>4388</v>
      </c>
      <c r="D1138" t="s">
        <v>4308</v>
      </c>
      <c r="E1138" t="s">
        <v>108</v>
      </c>
    </row>
    <row r="1139" spans="1:5">
      <c r="A1139" t="s">
        <v>6841</v>
      </c>
      <c r="B1139">
        <v>2.33</v>
      </c>
      <c r="C1139" t="s">
        <v>5620</v>
      </c>
      <c r="D1139" t="s">
        <v>6368</v>
      </c>
      <c r="E1139" t="s">
        <v>108</v>
      </c>
    </row>
    <row r="1140" spans="1:5">
      <c r="A1140" t="s">
        <v>6842</v>
      </c>
      <c r="B1140">
        <v>2.76</v>
      </c>
      <c r="C1140" t="s">
        <v>4388</v>
      </c>
      <c r="D1140" t="s">
        <v>6270</v>
      </c>
      <c r="E1140" t="s">
        <v>108</v>
      </c>
    </row>
    <row r="1141" spans="1:5">
      <c r="A1141" t="s">
        <v>6843</v>
      </c>
      <c r="B1141">
        <v>2.9</v>
      </c>
      <c r="C1141" t="s">
        <v>6844</v>
      </c>
      <c r="D1141" t="s">
        <v>5899</v>
      </c>
      <c r="E1141" t="s">
        <v>108</v>
      </c>
    </row>
    <row r="1142" spans="1:5">
      <c r="A1142" t="s">
        <v>6845</v>
      </c>
      <c r="B1142">
        <v>2.9</v>
      </c>
      <c r="C1142" t="s">
        <v>108</v>
      </c>
      <c r="D1142" t="s">
        <v>6270</v>
      </c>
      <c r="E1142" t="s">
        <v>108</v>
      </c>
    </row>
    <row r="1143" spans="1:5">
      <c r="A1143" t="s">
        <v>6846</v>
      </c>
      <c r="B1143">
        <v>2.87</v>
      </c>
      <c r="C1143" t="s">
        <v>108</v>
      </c>
      <c r="D1143" t="s">
        <v>6270</v>
      </c>
      <c r="E1143" t="s">
        <v>108</v>
      </c>
    </row>
    <row r="1144" spans="1:5">
      <c r="A1144" t="s">
        <v>6847</v>
      </c>
      <c r="B1144">
        <v>2.94</v>
      </c>
      <c r="C1144" t="s">
        <v>3103</v>
      </c>
      <c r="D1144" t="s">
        <v>6270</v>
      </c>
      <c r="E1144" t="s">
        <v>108</v>
      </c>
    </row>
    <row r="1145" spans="1:5">
      <c r="A1145" t="s">
        <v>6848</v>
      </c>
      <c r="B1145">
        <v>2.86</v>
      </c>
      <c r="C1145" t="s">
        <v>108</v>
      </c>
      <c r="D1145" t="s">
        <v>6270</v>
      </c>
      <c r="E1145" t="s">
        <v>108</v>
      </c>
    </row>
    <row r="1146" spans="1:5">
      <c r="A1146" t="s">
        <v>6849</v>
      </c>
      <c r="B1146">
        <v>1.95</v>
      </c>
      <c r="C1146" t="s">
        <v>108</v>
      </c>
      <c r="D1146" t="s">
        <v>5631</v>
      </c>
      <c r="E1146" t="s">
        <v>108</v>
      </c>
    </row>
    <row r="1147" spans="1:5">
      <c r="A1147" t="s">
        <v>6850</v>
      </c>
      <c r="B1147">
        <v>2.0499999999999998</v>
      </c>
      <c r="C1147" t="s">
        <v>108</v>
      </c>
      <c r="D1147" t="s">
        <v>5631</v>
      </c>
      <c r="E1147" t="s">
        <v>108</v>
      </c>
    </row>
    <row r="1148" spans="1:5">
      <c r="A1148" t="s">
        <v>6851</v>
      </c>
      <c r="B1148">
        <v>2.15</v>
      </c>
      <c r="C1148" t="s">
        <v>108</v>
      </c>
      <c r="D1148" t="s">
        <v>5631</v>
      </c>
      <c r="E1148" t="s">
        <v>108</v>
      </c>
    </row>
    <row r="1149" spans="1:5">
      <c r="A1149" t="s">
        <v>6852</v>
      </c>
      <c r="B1149">
        <v>2.17</v>
      </c>
      <c r="C1149" t="s">
        <v>108</v>
      </c>
      <c r="D1149" t="s">
        <v>6270</v>
      </c>
      <c r="E1149" t="s">
        <v>108</v>
      </c>
    </row>
    <row r="1150" spans="1:5">
      <c r="A1150" t="s">
        <v>6853</v>
      </c>
      <c r="B1150">
        <v>2.21</v>
      </c>
      <c r="C1150" t="s">
        <v>4075</v>
      </c>
      <c r="D1150" t="s">
        <v>6270</v>
      </c>
      <c r="E1150" t="s">
        <v>108</v>
      </c>
    </row>
    <row r="1151" spans="1:5">
      <c r="A1151" t="s">
        <v>6854</v>
      </c>
      <c r="B1151">
        <v>2.21</v>
      </c>
      <c r="C1151" t="s">
        <v>4108</v>
      </c>
      <c r="D1151" t="s">
        <v>6270</v>
      </c>
      <c r="E1151" t="s">
        <v>108</v>
      </c>
    </row>
    <row r="1152" spans="1:5">
      <c r="A1152" t="s">
        <v>6855</v>
      </c>
      <c r="B1152">
        <v>2.23</v>
      </c>
      <c r="C1152" t="s">
        <v>6856</v>
      </c>
      <c r="D1152" t="s">
        <v>5631</v>
      </c>
      <c r="E1152" t="s">
        <v>108</v>
      </c>
    </row>
    <row r="1153" spans="1:5">
      <c r="A1153" t="s">
        <v>6857</v>
      </c>
      <c r="B1153">
        <v>2.2999999999999998</v>
      </c>
      <c r="C1153" t="s">
        <v>108</v>
      </c>
      <c r="D1153" t="s">
        <v>5631</v>
      </c>
      <c r="E1153" t="s">
        <v>108</v>
      </c>
    </row>
    <row r="1154" spans="1:5">
      <c r="A1154" t="s">
        <v>6858</v>
      </c>
      <c r="B1154">
        <v>2.5499999999999998</v>
      </c>
      <c r="C1154" t="s">
        <v>108</v>
      </c>
      <c r="D1154" t="s">
        <v>6270</v>
      </c>
      <c r="E1154" t="s">
        <v>108</v>
      </c>
    </row>
    <row r="1155" spans="1:5">
      <c r="A1155" t="s">
        <v>6859</v>
      </c>
      <c r="B1155">
        <v>2.5099999999999998</v>
      </c>
      <c r="C1155" t="s">
        <v>108</v>
      </c>
      <c r="D1155" t="s">
        <v>6270</v>
      </c>
      <c r="E1155" t="s">
        <v>108</v>
      </c>
    </row>
    <row r="1156" spans="1:5">
      <c r="A1156" t="s">
        <v>6860</v>
      </c>
      <c r="B1156">
        <v>2.58</v>
      </c>
      <c r="C1156" t="s">
        <v>108</v>
      </c>
      <c r="D1156" t="s">
        <v>6270</v>
      </c>
      <c r="E1156" t="s">
        <v>108</v>
      </c>
    </row>
    <row r="1157" spans="1:5">
      <c r="A1157" t="s">
        <v>6861</v>
      </c>
      <c r="B1157">
        <v>2.6</v>
      </c>
      <c r="C1157" t="s">
        <v>108</v>
      </c>
      <c r="D1157" t="s">
        <v>6270</v>
      </c>
      <c r="E1157" t="s">
        <v>108</v>
      </c>
    </row>
    <row r="1158" spans="1:5">
      <c r="A1158" t="s">
        <v>6862</v>
      </c>
      <c r="B1158">
        <v>2.7</v>
      </c>
      <c r="C1158" t="s">
        <v>108</v>
      </c>
      <c r="D1158" t="s">
        <v>6270</v>
      </c>
      <c r="E1158" t="s">
        <v>108</v>
      </c>
    </row>
    <row r="1159" spans="1:5">
      <c r="A1159" t="s">
        <v>6863</v>
      </c>
      <c r="B1159">
        <v>1.8</v>
      </c>
      <c r="C1159" t="s">
        <v>108</v>
      </c>
      <c r="D1159" t="s">
        <v>6270</v>
      </c>
      <c r="E1159" t="s">
        <v>108</v>
      </c>
    </row>
    <row r="1160" spans="1:5">
      <c r="A1160" t="s">
        <v>6864</v>
      </c>
      <c r="B1160">
        <v>1.55</v>
      </c>
      <c r="C1160" t="s">
        <v>108</v>
      </c>
      <c r="D1160" t="s">
        <v>6865</v>
      </c>
      <c r="E1160" t="s">
        <v>108</v>
      </c>
    </row>
    <row r="1161" spans="1:5">
      <c r="A1161" t="s">
        <v>6866</v>
      </c>
      <c r="B1161">
        <v>2.0299999999999998</v>
      </c>
      <c r="C1161" t="s">
        <v>108</v>
      </c>
      <c r="D1161" t="s">
        <v>6270</v>
      </c>
      <c r="E1161" t="s">
        <v>108</v>
      </c>
    </row>
    <row r="1162" spans="1:5">
      <c r="A1162" t="s">
        <v>6867</v>
      </c>
      <c r="B1162">
        <v>2.1800000000000002</v>
      </c>
      <c r="C1162" t="s">
        <v>108</v>
      </c>
      <c r="D1162" t="s">
        <v>6270</v>
      </c>
      <c r="E1162" t="s">
        <v>108</v>
      </c>
    </row>
    <row r="1163" spans="1:5">
      <c r="A1163" t="s">
        <v>6868</v>
      </c>
      <c r="B1163">
        <v>2.2999999999999998</v>
      </c>
      <c r="C1163" t="s">
        <v>108</v>
      </c>
      <c r="D1163" t="s">
        <v>6270</v>
      </c>
      <c r="E1163" t="s">
        <v>108</v>
      </c>
    </row>
    <row r="1164" spans="1:5">
      <c r="A1164" t="s">
        <v>6869</v>
      </c>
      <c r="B1164">
        <v>2.25</v>
      </c>
      <c r="C1164" t="s">
        <v>108</v>
      </c>
      <c r="D1164" t="s">
        <v>6270</v>
      </c>
      <c r="E1164" t="s">
        <v>108</v>
      </c>
    </row>
    <row r="1165" spans="1:5">
      <c r="A1165" t="s">
        <v>6870</v>
      </c>
      <c r="B1165">
        <v>2.6</v>
      </c>
      <c r="C1165" t="s">
        <v>3314</v>
      </c>
      <c r="D1165" t="s">
        <v>5631</v>
      </c>
      <c r="E1165" t="s">
        <v>108</v>
      </c>
    </row>
    <row r="1166" spans="1:5">
      <c r="A1166" t="s">
        <v>6871</v>
      </c>
      <c r="B1166">
        <v>2.82</v>
      </c>
      <c r="C1166" t="s">
        <v>6872</v>
      </c>
      <c r="D1166" t="s">
        <v>6270</v>
      </c>
      <c r="E1166" t="s">
        <v>108</v>
      </c>
    </row>
    <row r="1167" spans="1:5">
      <c r="A1167" t="s">
        <v>6873</v>
      </c>
      <c r="B1167">
        <v>2.82</v>
      </c>
      <c r="C1167" t="s">
        <v>6874</v>
      </c>
      <c r="D1167" t="s">
        <v>6270</v>
      </c>
      <c r="E1167" t="s">
        <v>108</v>
      </c>
    </row>
    <row r="1168" spans="1:5">
      <c r="A1168" t="s">
        <v>6875</v>
      </c>
      <c r="B1168">
        <v>3.2</v>
      </c>
      <c r="C1168" t="s">
        <v>108</v>
      </c>
      <c r="D1168" t="s">
        <v>6272</v>
      </c>
      <c r="E1168" t="s">
        <v>108</v>
      </c>
    </row>
    <row r="1169" spans="1:5">
      <c r="A1169" t="s">
        <v>6876</v>
      </c>
      <c r="B1169">
        <v>3.2</v>
      </c>
      <c r="C1169" t="s">
        <v>108</v>
      </c>
      <c r="D1169" t="s">
        <v>6272</v>
      </c>
      <c r="E1169" t="s">
        <v>108</v>
      </c>
    </row>
    <row r="1170" spans="1:5">
      <c r="A1170" t="s">
        <v>6877</v>
      </c>
      <c r="B1170">
        <v>2.65</v>
      </c>
      <c r="C1170" t="s">
        <v>6878</v>
      </c>
      <c r="D1170" t="s">
        <v>6557</v>
      </c>
      <c r="E1170" t="s">
        <v>108</v>
      </c>
    </row>
    <row r="1171" spans="1:5">
      <c r="A1171" t="s">
        <v>6879</v>
      </c>
      <c r="B1171">
        <v>2.65</v>
      </c>
      <c r="C1171" t="s">
        <v>6880</v>
      </c>
      <c r="D1171" t="s">
        <v>6557</v>
      </c>
      <c r="E1171" t="s">
        <v>108</v>
      </c>
    </row>
    <row r="1172" spans="1:5">
      <c r="A1172" t="s">
        <v>6881</v>
      </c>
      <c r="B1172">
        <v>2.95</v>
      </c>
      <c r="C1172" t="s">
        <v>6882</v>
      </c>
      <c r="D1172" t="s">
        <v>6253</v>
      </c>
      <c r="E1172" t="s">
        <v>108</v>
      </c>
    </row>
    <row r="1173" spans="1:5">
      <c r="A1173" t="s">
        <v>6883</v>
      </c>
      <c r="B1173">
        <v>3.1</v>
      </c>
      <c r="C1173" t="s">
        <v>108</v>
      </c>
      <c r="D1173" t="s">
        <v>6253</v>
      </c>
      <c r="E1173" t="s">
        <v>108</v>
      </c>
    </row>
    <row r="1174" spans="1:5">
      <c r="A1174" t="s">
        <v>6884</v>
      </c>
      <c r="B1174">
        <v>2.85</v>
      </c>
      <c r="C1174" t="s">
        <v>108</v>
      </c>
      <c r="D1174" t="s">
        <v>6264</v>
      </c>
      <c r="E1174" t="s">
        <v>108</v>
      </c>
    </row>
    <row r="1175" spans="1:5">
      <c r="A1175" t="s">
        <v>6885</v>
      </c>
      <c r="B1175">
        <v>2.85</v>
      </c>
      <c r="C1175" t="s">
        <v>108</v>
      </c>
      <c r="D1175" t="s">
        <v>6264</v>
      </c>
      <c r="E1175" t="s">
        <v>108</v>
      </c>
    </row>
    <row r="1176" spans="1:5">
      <c r="A1176" t="s">
        <v>6886</v>
      </c>
      <c r="B1176">
        <v>2.64</v>
      </c>
      <c r="C1176" t="s">
        <v>3103</v>
      </c>
      <c r="D1176" t="s">
        <v>6253</v>
      </c>
      <c r="E1176" t="s">
        <v>108</v>
      </c>
    </row>
    <row r="1177" spans="1:5">
      <c r="A1177" t="s">
        <v>6887</v>
      </c>
      <c r="B1177">
        <v>2.64</v>
      </c>
      <c r="C1177" t="s">
        <v>3103</v>
      </c>
      <c r="D1177" t="s">
        <v>6253</v>
      </c>
      <c r="E1177" t="s">
        <v>108</v>
      </c>
    </row>
    <row r="1178" spans="1:5">
      <c r="A1178" t="s">
        <v>6888</v>
      </c>
      <c r="B1178">
        <v>2.75</v>
      </c>
      <c r="C1178" t="s">
        <v>108</v>
      </c>
      <c r="D1178" t="s">
        <v>6253</v>
      </c>
      <c r="E1178" t="s">
        <v>108</v>
      </c>
    </row>
    <row r="1179" spans="1:5">
      <c r="A1179" t="s">
        <v>6889</v>
      </c>
      <c r="B1179">
        <v>2.9</v>
      </c>
      <c r="C1179" t="s">
        <v>4227</v>
      </c>
      <c r="D1179" t="s">
        <v>6253</v>
      </c>
      <c r="E1179" t="s">
        <v>108</v>
      </c>
    </row>
    <row r="1180" spans="1:5">
      <c r="A1180" t="s">
        <v>6890</v>
      </c>
      <c r="B1180">
        <v>2.9</v>
      </c>
      <c r="C1180" t="s">
        <v>4227</v>
      </c>
      <c r="D1180" t="s">
        <v>6253</v>
      </c>
      <c r="E1180" t="s">
        <v>108</v>
      </c>
    </row>
    <row r="1181" spans="1:5">
      <c r="A1181" t="s">
        <v>6891</v>
      </c>
      <c r="B1181">
        <v>2.82</v>
      </c>
      <c r="C1181" t="s">
        <v>4473</v>
      </c>
      <c r="D1181" t="s">
        <v>6253</v>
      </c>
      <c r="E1181" t="s">
        <v>108</v>
      </c>
    </row>
    <row r="1182" spans="1:5">
      <c r="A1182" t="s">
        <v>6892</v>
      </c>
      <c r="B1182">
        <v>2.65</v>
      </c>
      <c r="C1182" t="s">
        <v>6893</v>
      </c>
      <c r="D1182" t="s">
        <v>6253</v>
      </c>
      <c r="E1182" t="s">
        <v>108</v>
      </c>
    </row>
    <row r="1183" spans="1:5">
      <c r="A1183" t="s">
        <v>6894</v>
      </c>
      <c r="B1183">
        <v>2.95</v>
      </c>
      <c r="C1183" t="s">
        <v>2783</v>
      </c>
      <c r="D1183" t="s">
        <v>6253</v>
      </c>
      <c r="E1183" t="s">
        <v>108</v>
      </c>
    </row>
    <row r="1184" spans="1:5">
      <c r="A1184" t="s">
        <v>6895</v>
      </c>
      <c r="B1184">
        <v>2.4500000000000002</v>
      </c>
      <c r="C1184" t="s">
        <v>6896</v>
      </c>
      <c r="D1184" t="s">
        <v>6263</v>
      </c>
      <c r="E1184" t="s">
        <v>108</v>
      </c>
    </row>
    <row r="1185" spans="1:5">
      <c r="A1185" t="s">
        <v>6897</v>
      </c>
      <c r="B1185">
        <v>2.4700000000000002</v>
      </c>
      <c r="C1185" t="s">
        <v>4613</v>
      </c>
      <c r="D1185" t="s">
        <v>6253</v>
      </c>
      <c r="E1185" t="s">
        <v>108</v>
      </c>
    </row>
    <row r="1186" spans="1:5">
      <c r="A1186" t="s">
        <v>6898</v>
      </c>
      <c r="B1186">
        <v>2.95</v>
      </c>
      <c r="C1186" t="s">
        <v>3361</v>
      </c>
      <c r="D1186" t="s">
        <v>6253</v>
      </c>
      <c r="E1186" t="s">
        <v>108</v>
      </c>
    </row>
    <row r="1187" spans="1:5">
      <c r="A1187" t="s">
        <v>6899</v>
      </c>
      <c r="B1187">
        <v>2.95</v>
      </c>
      <c r="C1187" t="s">
        <v>3361</v>
      </c>
      <c r="D1187" t="s">
        <v>6253</v>
      </c>
      <c r="E1187" t="s">
        <v>108</v>
      </c>
    </row>
    <row r="1188" spans="1:5">
      <c r="A1188" t="s">
        <v>6900</v>
      </c>
      <c r="B1188">
        <v>3.1</v>
      </c>
      <c r="C1188" t="s">
        <v>6901</v>
      </c>
      <c r="D1188" t="s">
        <v>6253</v>
      </c>
      <c r="E1188" t="s">
        <v>108</v>
      </c>
    </row>
    <row r="1189" spans="1:5">
      <c r="A1189" t="s">
        <v>6902</v>
      </c>
      <c r="B1189">
        <v>3.1</v>
      </c>
      <c r="C1189" t="s">
        <v>6901</v>
      </c>
      <c r="D1189" t="s">
        <v>6253</v>
      </c>
      <c r="E1189" t="s">
        <v>108</v>
      </c>
    </row>
    <row r="1190" spans="1:5">
      <c r="A1190" t="s">
        <v>6903</v>
      </c>
      <c r="B1190">
        <v>3.06</v>
      </c>
      <c r="C1190" t="s">
        <v>6904</v>
      </c>
      <c r="D1190" t="s">
        <v>6253</v>
      </c>
      <c r="E1190" t="s">
        <v>108</v>
      </c>
    </row>
    <row r="1191" spans="1:5">
      <c r="A1191" t="s">
        <v>6905</v>
      </c>
      <c r="B1191">
        <v>2.4500000000000002</v>
      </c>
      <c r="C1191" t="s">
        <v>6906</v>
      </c>
      <c r="D1191" t="s">
        <v>6263</v>
      </c>
      <c r="E1191" t="s">
        <v>108</v>
      </c>
    </row>
    <row r="1192" spans="1:5">
      <c r="A1192" t="s">
        <v>6907</v>
      </c>
      <c r="B1192">
        <v>2.5499999999999998</v>
      </c>
      <c r="C1192" t="s">
        <v>6908</v>
      </c>
      <c r="D1192" t="s">
        <v>6253</v>
      </c>
      <c r="E1192" t="s">
        <v>108</v>
      </c>
    </row>
    <row r="1193" spans="1:5">
      <c r="A1193" t="s">
        <v>6909</v>
      </c>
      <c r="B1193">
        <v>2.65</v>
      </c>
      <c r="C1193" t="s">
        <v>4058</v>
      </c>
      <c r="D1193" t="s">
        <v>6253</v>
      </c>
      <c r="E1193" t="s">
        <v>108</v>
      </c>
    </row>
    <row r="1194" spans="1:5">
      <c r="A1194" t="s">
        <v>6910</v>
      </c>
      <c r="B1194">
        <v>3.05</v>
      </c>
      <c r="C1194" t="s">
        <v>108</v>
      </c>
      <c r="D1194" t="s">
        <v>6356</v>
      </c>
      <c r="E1194" t="s">
        <v>6529</v>
      </c>
    </row>
    <row r="1195" spans="1:5">
      <c r="A1195" t="s">
        <v>6911</v>
      </c>
      <c r="B1195">
        <v>2.74</v>
      </c>
      <c r="C1195" t="s">
        <v>108</v>
      </c>
      <c r="D1195" t="s">
        <v>6356</v>
      </c>
      <c r="E1195" t="s">
        <v>6529</v>
      </c>
    </row>
    <row r="1196" spans="1:5">
      <c r="A1196" t="s">
        <v>6912</v>
      </c>
      <c r="B1196">
        <v>2.69</v>
      </c>
      <c r="C1196" t="s">
        <v>4501</v>
      </c>
      <c r="D1196" t="s">
        <v>6356</v>
      </c>
      <c r="E1196" t="s">
        <v>6532</v>
      </c>
    </row>
    <row r="1197" spans="1:5">
      <c r="A1197" t="s">
        <v>6913</v>
      </c>
      <c r="B1197">
        <v>2.84</v>
      </c>
      <c r="C1197" t="s">
        <v>4058</v>
      </c>
      <c r="D1197" t="s">
        <v>6356</v>
      </c>
      <c r="E1197" t="s">
        <v>6615</v>
      </c>
    </row>
    <row r="1198" spans="1:5">
      <c r="A1198" t="s">
        <v>6914</v>
      </c>
      <c r="B1198">
        <v>3.05</v>
      </c>
      <c r="C1198" t="s">
        <v>108</v>
      </c>
      <c r="D1198" t="s">
        <v>6257</v>
      </c>
      <c r="E1198" t="s">
        <v>108</v>
      </c>
    </row>
    <row r="1199" spans="1:5">
      <c r="A1199" t="s">
        <v>6915</v>
      </c>
      <c r="B1199">
        <v>0.9</v>
      </c>
      <c r="C1199" t="s">
        <v>2392</v>
      </c>
      <c r="D1199" t="s">
        <v>6916</v>
      </c>
      <c r="E1199" t="s">
        <v>108</v>
      </c>
    </row>
    <row r="1200" spans="1:5">
      <c r="A1200" t="s">
        <v>6917</v>
      </c>
      <c r="B1200">
        <v>1.7</v>
      </c>
      <c r="C1200" t="s">
        <v>108</v>
      </c>
      <c r="D1200" t="s">
        <v>108</v>
      </c>
      <c r="E1200" t="s">
        <v>108</v>
      </c>
    </row>
    <row r="1201" spans="1:5">
      <c r="A1201" t="s">
        <v>6918</v>
      </c>
      <c r="B1201">
        <v>2.5</v>
      </c>
      <c r="C1201" t="s">
        <v>3579</v>
      </c>
      <c r="D1201" t="s">
        <v>6272</v>
      </c>
      <c r="E1201" t="s">
        <v>108</v>
      </c>
    </row>
    <row r="1202" spans="1:5">
      <c r="A1202" t="s">
        <v>6919</v>
      </c>
      <c r="B1202">
        <v>1.6</v>
      </c>
      <c r="C1202" t="s">
        <v>108</v>
      </c>
      <c r="D1202" t="s">
        <v>6272</v>
      </c>
      <c r="E1202" t="s">
        <v>108</v>
      </c>
    </row>
    <row r="1203" spans="1:5">
      <c r="A1203" t="s">
        <v>6920</v>
      </c>
      <c r="B1203">
        <v>1.4</v>
      </c>
      <c r="C1203" t="s">
        <v>4867</v>
      </c>
      <c r="D1203" t="s">
        <v>6272</v>
      </c>
      <c r="E1203" t="s">
        <v>6921</v>
      </c>
    </row>
    <row r="1204" spans="1:5">
      <c r="A1204" t="s">
        <v>6922</v>
      </c>
      <c r="B1204">
        <v>1.4</v>
      </c>
      <c r="C1204" t="s">
        <v>108</v>
      </c>
      <c r="D1204" t="s">
        <v>6272</v>
      </c>
      <c r="E1204" t="s">
        <v>108</v>
      </c>
    </row>
    <row r="1205" spans="1:5">
      <c r="A1205" t="s">
        <v>6923</v>
      </c>
      <c r="B1205">
        <v>1.5</v>
      </c>
      <c r="C1205" t="s">
        <v>108</v>
      </c>
      <c r="D1205" t="s">
        <v>6272</v>
      </c>
      <c r="E1205" t="s">
        <v>108</v>
      </c>
    </row>
    <row r="1206" spans="1:5">
      <c r="A1206" t="s">
        <v>6924</v>
      </c>
      <c r="B1206">
        <v>1.45</v>
      </c>
      <c r="C1206" t="s">
        <v>108</v>
      </c>
      <c r="D1206" t="s">
        <v>6272</v>
      </c>
      <c r="E1206" t="s">
        <v>108</v>
      </c>
    </row>
    <row r="1207" spans="1:5">
      <c r="A1207" t="s">
        <v>6925</v>
      </c>
      <c r="B1207">
        <v>1.96</v>
      </c>
      <c r="C1207" t="s">
        <v>3103</v>
      </c>
      <c r="D1207" t="s">
        <v>6272</v>
      </c>
      <c r="E1207" t="s">
        <v>108</v>
      </c>
    </row>
    <row r="1208" spans="1:5">
      <c r="A1208" t="s">
        <v>6926</v>
      </c>
      <c r="B1208">
        <v>1.55</v>
      </c>
      <c r="C1208" t="s">
        <v>5526</v>
      </c>
      <c r="D1208" t="s">
        <v>6272</v>
      </c>
      <c r="E1208" t="s">
        <v>108</v>
      </c>
    </row>
    <row r="1209" spans="1:5">
      <c r="A1209" t="s">
        <v>6927</v>
      </c>
      <c r="B1209">
        <v>1.35</v>
      </c>
      <c r="C1209" t="s">
        <v>4428</v>
      </c>
      <c r="D1209" t="s">
        <v>6272</v>
      </c>
      <c r="E1209" t="s">
        <v>108</v>
      </c>
    </row>
    <row r="1210" spans="1:5">
      <c r="A1210" t="s">
        <v>6928</v>
      </c>
      <c r="B1210">
        <v>1.4</v>
      </c>
      <c r="C1210" t="s">
        <v>108</v>
      </c>
      <c r="D1210" t="s">
        <v>6272</v>
      </c>
      <c r="E1210" t="s">
        <v>6929</v>
      </c>
    </row>
    <row r="1211" spans="1:5">
      <c r="A1211" t="s">
        <v>6930</v>
      </c>
      <c r="B1211">
        <v>1.5</v>
      </c>
      <c r="C1211" t="s">
        <v>3363</v>
      </c>
      <c r="D1211" t="s">
        <v>6272</v>
      </c>
      <c r="E1211" t="s">
        <v>108</v>
      </c>
    </row>
    <row r="1212" spans="1:5">
      <c r="A1212" t="s">
        <v>6931</v>
      </c>
      <c r="B1212">
        <v>1.5</v>
      </c>
      <c r="C1212" t="s">
        <v>3416</v>
      </c>
      <c r="D1212" t="s">
        <v>6272</v>
      </c>
      <c r="E1212" t="s">
        <v>108</v>
      </c>
    </row>
    <row r="1213" spans="1:5">
      <c r="A1213" t="s">
        <v>6932</v>
      </c>
      <c r="B1213">
        <v>1.5</v>
      </c>
      <c r="C1213" t="s">
        <v>5021</v>
      </c>
      <c r="D1213" t="s">
        <v>6272</v>
      </c>
      <c r="E1213" t="s">
        <v>108</v>
      </c>
    </row>
    <row r="1214" spans="1:5">
      <c r="A1214" t="s">
        <v>6933</v>
      </c>
      <c r="B1214">
        <v>1.4</v>
      </c>
      <c r="C1214" t="s">
        <v>5538</v>
      </c>
      <c r="D1214" t="s">
        <v>6272</v>
      </c>
      <c r="E1214" t="s">
        <v>108</v>
      </c>
    </row>
    <row r="1215" spans="1:5">
      <c r="A1215" t="s">
        <v>6934</v>
      </c>
      <c r="B1215">
        <v>1.5</v>
      </c>
      <c r="C1215" t="s">
        <v>108</v>
      </c>
      <c r="D1215" t="s">
        <v>6272</v>
      </c>
      <c r="E1215" t="s">
        <v>108</v>
      </c>
    </row>
    <row r="1216" spans="1:5">
      <c r="A1216" t="s">
        <v>6935</v>
      </c>
      <c r="B1216">
        <v>1.96</v>
      </c>
      <c r="C1216" t="s">
        <v>3103</v>
      </c>
      <c r="D1216" t="s">
        <v>6272</v>
      </c>
      <c r="E1216" t="s">
        <v>108</v>
      </c>
    </row>
    <row r="1217" spans="1:5">
      <c r="A1217" t="s">
        <v>6936</v>
      </c>
      <c r="B1217">
        <v>1.4</v>
      </c>
      <c r="C1217" t="s">
        <v>3416</v>
      </c>
      <c r="D1217" t="s">
        <v>6272</v>
      </c>
      <c r="E1217" t="s">
        <v>6921</v>
      </c>
    </row>
    <row r="1218" spans="1:5">
      <c r="A1218" t="s">
        <v>6937</v>
      </c>
      <c r="B1218">
        <v>1.5</v>
      </c>
      <c r="C1218" t="s">
        <v>108</v>
      </c>
      <c r="D1218" t="s">
        <v>6272</v>
      </c>
      <c r="E1218" t="s">
        <v>108</v>
      </c>
    </row>
    <row r="1219" spans="1:5">
      <c r="A1219" t="s">
        <v>6938</v>
      </c>
      <c r="B1219">
        <v>1.5</v>
      </c>
      <c r="C1219" t="s">
        <v>108</v>
      </c>
      <c r="D1219" t="s">
        <v>6272</v>
      </c>
      <c r="E1219" t="s">
        <v>108</v>
      </c>
    </row>
    <row r="1220" spans="1:5">
      <c r="A1220" t="s">
        <v>6939</v>
      </c>
      <c r="B1220">
        <v>1.4</v>
      </c>
      <c r="C1220" t="s">
        <v>6940</v>
      </c>
      <c r="D1220" t="s">
        <v>6272</v>
      </c>
      <c r="E1220" t="s">
        <v>6921</v>
      </c>
    </row>
    <row r="1221" spans="1:5">
      <c r="A1221" t="s">
        <v>6941</v>
      </c>
      <c r="B1221">
        <v>1.5</v>
      </c>
      <c r="C1221" t="s">
        <v>5126</v>
      </c>
      <c r="D1221" t="s">
        <v>6272</v>
      </c>
      <c r="E1221" t="s">
        <v>108</v>
      </c>
    </row>
    <row r="1222" spans="1:5">
      <c r="A1222" t="s">
        <v>6942</v>
      </c>
      <c r="B1222">
        <v>1.6</v>
      </c>
      <c r="C1222" t="s">
        <v>3103</v>
      </c>
      <c r="D1222" t="s">
        <v>6272</v>
      </c>
      <c r="E1222" t="s">
        <v>108</v>
      </c>
    </row>
    <row r="1223" spans="1:5">
      <c r="A1223" t="s">
        <v>6943</v>
      </c>
      <c r="B1223">
        <v>1.6</v>
      </c>
      <c r="C1223" t="s">
        <v>3103</v>
      </c>
      <c r="D1223" t="s">
        <v>6272</v>
      </c>
      <c r="E1223" t="s">
        <v>108</v>
      </c>
    </row>
    <row r="1224" spans="1:5">
      <c r="A1224" t="s">
        <v>6944</v>
      </c>
      <c r="B1224">
        <v>2.77</v>
      </c>
      <c r="C1224" t="s">
        <v>108</v>
      </c>
      <c r="D1224" t="s">
        <v>6272</v>
      </c>
      <c r="E1224" t="s">
        <v>108</v>
      </c>
    </row>
    <row r="1225" spans="1:5">
      <c r="A1225" t="s">
        <v>6945</v>
      </c>
      <c r="B1225">
        <v>1.95</v>
      </c>
      <c r="C1225" t="s">
        <v>6946</v>
      </c>
      <c r="D1225" t="s">
        <v>6557</v>
      </c>
      <c r="E1225" t="s">
        <v>108</v>
      </c>
    </row>
    <row r="1226" spans="1:5">
      <c r="A1226" t="s">
        <v>6947</v>
      </c>
      <c r="B1226">
        <v>2.1</v>
      </c>
      <c r="C1226" t="s">
        <v>6948</v>
      </c>
      <c r="D1226" t="s">
        <v>6557</v>
      </c>
      <c r="E1226" t="s">
        <v>108</v>
      </c>
    </row>
    <row r="1227" spans="1:5">
      <c r="A1227" t="s">
        <v>6949</v>
      </c>
      <c r="B1227">
        <v>2.1</v>
      </c>
      <c r="C1227" t="s">
        <v>3416</v>
      </c>
      <c r="D1227" t="s">
        <v>6557</v>
      </c>
      <c r="E1227" t="s">
        <v>108</v>
      </c>
    </row>
    <row r="1228" spans="1:5">
      <c r="A1228" t="s">
        <v>6950</v>
      </c>
      <c r="B1228">
        <v>1.9</v>
      </c>
      <c r="C1228" t="s">
        <v>108</v>
      </c>
      <c r="D1228" t="s">
        <v>6557</v>
      </c>
      <c r="E1228" t="s">
        <v>108</v>
      </c>
    </row>
    <row r="1229" spans="1:5">
      <c r="A1229" t="s">
        <v>6951</v>
      </c>
      <c r="B1229">
        <v>1.85</v>
      </c>
      <c r="C1229" t="s">
        <v>3416</v>
      </c>
      <c r="D1229" t="s">
        <v>6557</v>
      </c>
      <c r="E1229" t="s">
        <v>108</v>
      </c>
    </row>
    <row r="1230" spans="1:5">
      <c r="A1230" t="s">
        <v>6952</v>
      </c>
      <c r="B1230">
        <v>1.89</v>
      </c>
      <c r="C1230" t="s">
        <v>3103</v>
      </c>
      <c r="D1230" t="s">
        <v>6557</v>
      </c>
      <c r="E1230" t="s">
        <v>108</v>
      </c>
    </row>
    <row r="1231" spans="1:5">
      <c r="A1231" t="s">
        <v>6953</v>
      </c>
      <c r="B1231">
        <v>1.97</v>
      </c>
      <c r="C1231" t="s">
        <v>3103</v>
      </c>
      <c r="D1231" t="s">
        <v>6557</v>
      </c>
      <c r="E1231" t="s">
        <v>108</v>
      </c>
    </row>
    <row r="1232" spans="1:5">
      <c r="A1232" t="s">
        <v>6954</v>
      </c>
      <c r="B1232">
        <v>1.8</v>
      </c>
      <c r="C1232" t="s">
        <v>4218</v>
      </c>
      <c r="D1232" t="s">
        <v>6557</v>
      </c>
      <c r="E1232" t="s">
        <v>108</v>
      </c>
    </row>
    <row r="1233" spans="1:5">
      <c r="A1233" t="s">
        <v>6955</v>
      </c>
      <c r="B1233">
        <v>3.45</v>
      </c>
      <c r="C1233" t="s">
        <v>6956</v>
      </c>
      <c r="D1233" t="s">
        <v>6557</v>
      </c>
      <c r="E1233" t="s">
        <v>108</v>
      </c>
    </row>
    <row r="1234" spans="1:5">
      <c r="A1234" t="s">
        <v>6957</v>
      </c>
      <c r="B1234">
        <v>1.85</v>
      </c>
      <c r="C1234" t="s">
        <v>6958</v>
      </c>
      <c r="D1234" t="s">
        <v>6557</v>
      </c>
      <c r="E1234" t="s">
        <v>108</v>
      </c>
    </row>
    <row r="1235" spans="1:5">
      <c r="A1235" t="s">
        <v>6959</v>
      </c>
      <c r="B1235">
        <v>3.1</v>
      </c>
      <c r="C1235" t="s">
        <v>4092</v>
      </c>
      <c r="D1235" t="s">
        <v>6253</v>
      </c>
      <c r="E1235" t="s">
        <v>108</v>
      </c>
    </row>
    <row r="1236" spans="1:5">
      <c r="A1236" t="s">
        <v>6960</v>
      </c>
      <c r="B1236">
        <v>2.89</v>
      </c>
      <c r="C1236" t="s">
        <v>108</v>
      </c>
      <c r="D1236" t="s">
        <v>6253</v>
      </c>
      <c r="E1236" t="s">
        <v>108</v>
      </c>
    </row>
    <row r="1237" spans="1:5">
      <c r="A1237" t="s">
        <v>6961</v>
      </c>
      <c r="B1237">
        <v>3</v>
      </c>
      <c r="C1237" t="s">
        <v>108</v>
      </c>
      <c r="D1237" t="s">
        <v>6253</v>
      </c>
      <c r="E1237" t="s">
        <v>108</v>
      </c>
    </row>
    <row r="1238" spans="1:5">
      <c r="A1238" t="s">
        <v>6962</v>
      </c>
      <c r="B1238">
        <v>2.95</v>
      </c>
      <c r="C1238" t="s">
        <v>6963</v>
      </c>
      <c r="D1238" t="s">
        <v>6253</v>
      </c>
      <c r="E1238" t="s">
        <v>108</v>
      </c>
    </row>
    <row r="1239" spans="1:5">
      <c r="A1239" t="s">
        <v>6964</v>
      </c>
      <c r="B1239">
        <v>2.95</v>
      </c>
      <c r="C1239" t="s">
        <v>6963</v>
      </c>
      <c r="D1239" t="s">
        <v>6253</v>
      </c>
      <c r="E1239" t="s">
        <v>108</v>
      </c>
    </row>
    <row r="1240" spans="1:5">
      <c r="A1240" t="s">
        <v>6965</v>
      </c>
      <c r="B1240">
        <v>3.15</v>
      </c>
      <c r="C1240" t="s">
        <v>108</v>
      </c>
      <c r="D1240" t="s">
        <v>6253</v>
      </c>
      <c r="E1240" t="s">
        <v>108</v>
      </c>
    </row>
    <row r="1241" spans="1:5">
      <c r="A1241" t="s">
        <v>6966</v>
      </c>
      <c r="B1241">
        <v>3.11</v>
      </c>
      <c r="C1241" t="s">
        <v>6351</v>
      </c>
      <c r="D1241" t="s">
        <v>6253</v>
      </c>
      <c r="E1241" t="s">
        <v>108</v>
      </c>
    </row>
    <row r="1242" spans="1:5">
      <c r="A1242" t="s">
        <v>6967</v>
      </c>
      <c r="B1242">
        <v>3.08</v>
      </c>
      <c r="C1242" t="s">
        <v>6351</v>
      </c>
      <c r="D1242" t="s">
        <v>6253</v>
      </c>
      <c r="E1242" t="s">
        <v>108</v>
      </c>
    </row>
    <row r="1243" spans="1:5">
      <c r="A1243" t="s">
        <v>6968</v>
      </c>
      <c r="B1243">
        <v>3.08</v>
      </c>
      <c r="C1243" t="s">
        <v>108</v>
      </c>
      <c r="D1243" t="s">
        <v>6253</v>
      </c>
      <c r="E1243" t="s">
        <v>108</v>
      </c>
    </row>
    <row r="1244" spans="1:5">
      <c r="A1244" t="s">
        <v>6969</v>
      </c>
      <c r="B1244">
        <v>3.08</v>
      </c>
      <c r="C1244" t="s">
        <v>108</v>
      </c>
      <c r="D1244" t="s">
        <v>4308</v>
      </c>
      <c r="E1244" t="s">
        <v>108</v>
      </c>
    </row>
    <row r="1245" spans="1:5">
      <c r="A1245" t="s">
        <v>6970</v>
      </c>
      <c r="B1245">
        <v>3.03</v>
      </c>
      <c r="C1245" t="s">
        <v>6351</v>
      </c>
      <c r="D1245" t="s">
        <v>6253</v>
      </c>
      <c r="E1245" t="s">
        <v>108</v>
      </c>
    </row>
    <row r="1246" spans="1:5">
      <c r="A1246" t="s">
        <v>6971</v>
      </c>
      <c r="B1246">
        <v>3.18</v>
      </c>
      <c r="C1246" t="s">
        <v>4964</v>
      </c>
      <c r="D1246" t="s">
        <v>6257</v>
      </c>
      <c r="E1246" t="s">
        <v>108</v>
      </c>
    </row>
    <row r="1247" spans="1:5">
      <c r="A1247" t="s">
        <v>6972</v>
      </c>
      <c r="B1247">
        <v>3.05</v>
      </c>
      <c r="C1247" t="s">
        <v>108</v>
      </c>
      <c r="D1247" t="s">
        <v>6257</v>
      </c>
      <c r="E1247" t="s">
        <v>108</v>
      </c>
    </row>
    <row r="1248" spans="1:5">
      <c r="A1248" t="s">
        <v>6973</v>
      </c>
      <c r="B1248">
        <v>3.02</v>
      </c>
      <c r="C1248" t="s">
        <v>108</v>
      </c>
      <c r="D1248" t="s">
        <v>6253</v>
      </c>
      <c r="E1248" t="s">
        <v>108</v>
      </c>
    </row>
    <row r="1249" spans="1:5">
      <c r="A1249" t="s">
        <v>6974</v>
      </c>
      <c r="B1249">
        <v>3.03</v>
      </c>
      <c r="C1249" t="s">
        <v>6582</v>
      </c>
      <c r="D1249" t="s">
        <v>6308</v>
      </c>
      <c r="E1249" t="s">
        <v>108</v>
      </c>
    </row>
    <row r="1250" spans="1:5">
      <c r="A1250" t="s">
        <v>6975</v>
      </c>
      <c r="B1250">
        <v>3.12</v>
      </c>
      <c r="C1250" t="s">
        <v>4227</v>
      </c>
      <c r="D1250" t="s">
        <v>6253</v>
      </c>
      <c r="E1250" t="s">
        <v>108</v>
      </c>
    </row>
    <row r="1251" spans="1:5">
      <c r="A1251" t="s">
        <v>6976</v>
      </c>
      <c r="B1251">
        <v>3.01</v>
      </c>
      <c r="C1251" t="s">
        <v>108</v>
      </c>
      <c r="D1251" t="s">
        <v>6253</v>
      </c>
      <c r="E1251" t="s">
        <v>108</v>
      </c>
    </row>
    <row r="1252" spans="1:5">
      <c r="A1252" t="s">
        <v>6977</v>
      </c>
      <c r="B1252">
        <v>3.04</v>
      </c>
      <c r="C1252" t="s">
        <v>6978</v>
      </c>
      <c r="D1252" t="s">
        <v>6257</v>
      </c>
      <c r="E1252" t="s">
        <v>108</v>
      </c>
    </row>
    <row r="1253" spans="1:5">
      <c r="A1253" t="s">
        <v>6979</v>
      </c>
      <c r="B1253">
        <v>3.11</v>
      </c>
      <c r="C1253" t="s">
        <v>6582</v>
      </c>
      <c r="D1253" t="s">
        <v>6308</v>
      </c>
      <c r="E1253" t="s">
        <v>108</v>
      </c>
    </row>
    <row r="1254" spans="1:5">
      <c r="A1254" t="s">
        <v>6980</v>
      </c>
      <c r="B1254">
        <v>3.11</v>
      </c>
      <c r="C1254" t="s">
        <v>6981</v>
      </c>
      <c r="D1254" t="s">
        <v>6308</v>
      </c>
      <c r="E1254" t="s">
        <v>108</v>
      </c>
    </row>
    <row r="1255" spans="1:5">
      <c r="A1255" t="s">
        <v>6982</v>
      </c>
      <c r="B1255">
        <v>3.11</v>
      </c>
      <c r="C1255" t="s">
        <v>6983</v>
      </c>
      <c r="D1255" t="s">
        <v>6253</v>
      </c>
      <c r="E1255" t="s">
        <v>108</v>
      </c>
    </row>
    <row r="1256" spans="1:5">
      <c r="A1256" t="s">
        <v>6984</v>
      </c>
      <c r="B1256">
        <v>3.12</v>
      </c>
      <c r="C1256" t="s">
        <v>108</v>
      </c>
      <c r="D1256" t="s">
        <v>6308</v>
      </c>
      <c r="E1256" t="s">
        <v>108</v>
      </c>
    </row>
    <row r="1257" spans="1:5">
      <c r="A1257" t="s">
        <v>6985</v>
      </c>
      <c r="B1257">
        <v>2.98</v>
      </c>
      <c r="C1257" t="s">
        <v>108</v>
      </c>
      <c r="D1257" t="s">
        <v>6253</v>
      </c>
      <c r="E1257" t="s">
        <v>108</v>
      </c>
    </row>
    <row r="1258" spans="1:5">
      <c r="A1258" t="s">
        <v>6986</v>
      </c>
      <c r="B1258">
        <v>2.95</v>
      </c>
      <c r="C1258" t="s">
        <v>108</v>
      </c>
      <c r="D1258" t="s">
        <v>6253</v>
      </c>
      <c r="E1258" t="s">
        <v>108</v>
      </c>
    </row>
    <row r="1259" spans="1:5">
      <c r="A1259" t="s">
        <v>6987</v>
      </c>
      <c r="B1259">
        <v>3.05</v>
      </c>
      <c r="C1259" t="s">
        <v>108</v>
      </c>
      <c r="D1259" t="s">
        <v>6253</v>
      </c>
      <c r="E1259" t="s">
        <v>108</v>
      </c>
    </row>
    <row r="1260" spans="1:5">
      <c r="A1260" t="s">
        <v>6988</v>
      </c>
      <c r="B1260">
        <v>3.04</v>
      </c>
      <c r="C1260" t="s">
        <v>2395</v>
      </c>
      <c r="D1260" t="s">
        <v>6253</v>
      </c>
      <c r="E1260" t="s">
        <v>108</v>
      </c>
    </row>
    <row r="1261" spans="1:5">
      <c r="A1261" t="s">
        <v>6989</v>
      </c>
      <c r="B1261">
        <v>2.94</v>
      </c>
      <c r="C1261" t="s">
        <v>2783</v>
      </c>
      <c r="D1261" t="s">
        <v>6253</v>
      </c>
      <c r="E1261" t="s">
        <v>108</v>
      </c>
    </row>
    <row r="1262" spans="1:5">
      <c r="A1262" t="s">
        <v>6990</v>
      </c>
      <c r="B1262">
        <v>3</v>
      </c>
      <c r="C1262" t="s">
        <v>4218</v>
      </c>
      <c r="D1262" t="s">
        <v>6253</v>
      </c>
      <c r="E1262" t="s">
        <v>108</v>
      </c>
    </row>
    <row r="1263" spans="1:5">
      <c r="A1263" t="s">
        <v>6991</v>
      </c>
      <c r="B1263">
        <v>3</v>
      </c>
      <c r="C1263" t="s">
        <v>4776</v>
      </c>
      <c r="D1263" t="s">
        <v>6253</v>
      </c>
      <c r="E1263" t="s">
        <v>108</v>
      </c>
    </row>
    <row r="1264" spans="1:5">
      <c r="A1264" t="s">
        <v>6992</v>
      </c>
      <c r="B1264">
        <v>2.96</v>
      </c>
      <c r="C1264" t="s">
        <v>4227</v>
      </c>
      <c r="D1264" t="s">
        <v>6253</v>
      </c>
      <c r="E1264" t="s">
        <v>108</v>
      </c>
    </row>
    <row r="1265" spans="1:5">
      <c r="A1265" t="s">
        <v>6993</v>
      </c>
      <c r="B1265">
        <v>3</v>
      </c>
      <c r="C1265" t="s">
        <v>4227</v>
      </c>
      <c r="D1265" t="s">
        <v>6253</v>
      </c>
      <c r="E1265" t="s">
        <v>108</v>
      </c>
    </row>
    <row r="1266" spans="1:5">
      <c r="A1266" t="s">
        <v>6994</v>
      </c>
      <c r="B1266">
        <v>2.96</v>
      </c>
      <c r="C1266" t="s">
        <v>4227</v>
      </c>
      <c r="D1266" t="s">
        <v>6253</v>
      </c>
      <c r="E1266" t="s">
        <v>108</v>
      </c>
    </row>
    <row r="1267" spans="1:5">
      <c r="A1267" t="s">
        <v>6995</v>
      </c>
      <c r="B1267">
        <v>2.96</v>
      </c>
      <c r="C1267" t="s">
        <v>4227</v>
      </c>
      <c r="D1267" t="s">
        <v>6253</v>
      </c>
      <c r="E1267" t="s">
        <v>108</v>
      </c>
    </row>
    <row r="1268" spans="1:5">
      <c r="A1268" t="s">
        <v>6996</v>
      </c>
      <c r="B1268">
        <v>2.94</v>
      </c>
      <c r="C1268" t="s">
        <v>2783</v>
      </c>
      <c r="D1268" t="s">
        <v>6308</v>
      </c>
      <c r="E1268" t="s">
        <v>108</v>
      </c>
    </row>
    <row r="1269" spans="1:5">
      <c r="A1269" t="s">
        <v>6997</v>
      </c>
      <c r="B1269">
        <v>3.1</v>
      </c>
      <c r="C1269" t="s">
        <v>2418</v>
      </c>
      <c r="D1269" t="s">
        <v>6308</v>
      </c>
      <c r="E1269" t="s">
        <v>108</v>
      </c>
    </row>
    <row r="1270" spans="1:5">
      <c r="A1270" t="s">
        <v>6998</v>
      </c>
      <c r="B1270">
        <v>3.06</v>
      </c>
      <c r="C1270" t="s">
        <v>2783</v>
      </c>
      <c r="D1270" t="s">
        <v>6308</v>
      </c>
      <c r="E1270" t="s">
        <v>108</v>
      </c>
    </row>
    <row r="1271" spans="1:5">
      <c r="A1271" t="s">
        <v>6999</v>
      </c>
      <c r="B1271">
        <v>3.08</v>
      </c>
      <c r="C1271" t="s">
        <v>3965</v>
      </c>
      <c r="D1271" t="s">
        <v>4308</v>
      </c>
      <c r="E1271" t="s">
        <v>108</v>
      </c>
    </row>
    <row r="1272" spans="1:5">
      <c r="A1272" t="s">
        <v>7000</v>
      </c>
      <c r="B1272">
        <v>3</v>
      </c>
      <c r="C1272" t="s">
        <v>7001</v>
      </c>
      <c r="D1272" t="s">
        <v>6253</v>
      </c>
      <c r="E1272" t="s">
        <v>108</v>
      </c>
    </row>
    <row r="1273" spans="1:5">
      <c r="A1273" t="s">
        <v>7002</v>
      </c>
      <c r="B1273">
        <v>3</v>
      </c>
      <c r="C1273" t="s">
        <v>108</v>
      </c>
      <c r="D1273" t="s">
        <v>6253</v>
      </c>
      <c r="E1273" t="s">
        <v>108</v>
      </c>
    </row>
    <row r="1274" spans="1:5">
      <c r="A1274" t="s">
        <v>7003</v>
      </c>
      <c r="B1274">
        <v>3.15</v>
      </c>
      <c r="C1274" t="s">
        <v>108</v>
      </c>
      <c r="D1274" t="s">
        <v>6253</v>
      </c>
      <c r="E1274" t="s">
        <v>108</v>
      </c>
    </row>
    <row r="1275" spans="1:5">
      <c r="A1275" t="s">
        <v>7004</v>
      </c>
      <c r="B1275">
        <v>2.94</v>
      </c>
      <c r="C1275" t="s">
        <v>4501</v>
      </c>
      <c r="D1275" t="s">
        <v>6270</v>
      </c>
      <c r="E1275" t="s">
        <v>108</v>
      </c>
    </row>
    <row r="1276" spans="1:5">
      <c r="A1276" t="s">
        <v>7005</v>
      </c>
      <c r="B1276">
        <v>3</v>
      </c>
      <c r="C1276" t="s">
        <v>2783</v>
      </c>
      <c r="D1276" t="s">
        <v>6253</v>
      </c>
      <c r="E1276" t="s">
        <v>108</v>
      </c>
    </row>
    <row r="1277" spans="1:5">
      <c r="A1277" t="s">
        <v>7006</v>
      </c>
      <c r="B1277">
        <v>3.05</v>
      </c>
      <c r="C1277" t="s">
        <v>108</v>
      </c>
      <c r="D1277" t="s">
        <v>6253</v>
      </c>
      <c r="E1277" t="s">
        <v>108</v>
      </c>
    </row>
    <row r="1278" spans="1:5">
      <c r="A1278" t="s">
        <v>7007</v>
      </c>
      <c r="B1278">
        <v>3.02</v>
      </c>
      <c r="C1278" t="s">
        <v>108</v>
      </c>
      <c r="D1278" t="s">
        <v>6253</v>
      </c>
      <c r="E1278" t="s">
        <v>108</v>
      </c>
    </row>
    <row r="1279" spans="1:5">
      <c r="A1279" t="s">
        <v>7008</v>
      </c>
      <c r="B1279">
        <v>3.05</v>
      </c>
      <c r="C1279" t="s">
        <v>108</v>
      </c>
      <c r="D1279" t="s">
        <v>6253</v>
      </c>
      <c r="E1279" t="s">
        <v>108</v>
      </c>
    </row>
    <row r="1280" spans="1:5">
      <c r="A1280" t="s">
        <v>7009</v>
      </c>
      <c r="B1280">
        <v>2.52</v>
      </c>
      <c r="C1280" t="s">
        <v>7010</v>
      </c>
      <c r="D1280" t="s">
        <v>6253</v>
      </c>
      <c r="E1280" t="s">
        <v>108</v>
      </c>
    </row>
    <row r="1281" spans="1:5">
      <c r="A1281" t="s">
        <v>7011</v>
      </c>
      <c r="B1281">
        <v>2.4900000000000002</v>
      </c>
      <c r="C1281" t="s">
        <v>7012</v>
      </c>
      <c r="D1281" t="s">
        <v>6253</v>
      </c>
      <c r="E1281" t="s">
        <v>108</v>
      </c>
    </row>
    <row r="1282" spans="1:5">
      <c r="A1282" t="s">
        <v>7013</v>
      </c>
      <c r="B1282">
        <v>2.64</v>
      </c>
      <c r="C1282" t="s">
        <v>4388</v>
      </c>
      <c r="D1282" t="s">
        <v>6308</v>
      </c>
      <c r="E1282" t="s">
        <v>108</v>
      </c>
    </row>
    <row r="1283" spans="1:5">
      <c r="A1283" t="s">
        <v>7014</v>
      </c>
      <c r="B1283">
        <v>2.69</v>
      </c>
      <c r="C1283" t="s">
        <v>7015</v>
      </c>
      <c r="D1283" t="s">
        <v>6253</v>
      </c>
      <c r="E1283" t="s">
        <v>108</v>
      </c>
    </row>
    <row r="1284" spans="1:5">
      <c r="A1284" t="s">
        <v>7016</v>
      </c>
      <c r="B1284">
        <v>2.54</v>
      </c>
      <c r="C1284" t="s">
        <v>6292</v>
      </c>
      <c r="D1284" t="s">
        <v>6253</v>
      </c>
      <c r="E1284" t="s">
        <v>108</v>
      </c>
    </row>
    <row r="1285" spans="1:5">
      <c r="A1285" t="s">
        <v>7017</v>
      </c>
      <c r="B1285">
        <v>2.6</v>
      </c>
      <c r="C1285" t="s">
        <v>4501</v>
      </c>
      <c r="D1285" t="s">
        <v>6253</v>
      </c>
      <c r="E1285" t="s">
        <v>108</v>
      </c>
    </row>
    <row r="1286" spans="1:5">
      <c r="A1286" t="s">
        <v>7018</v>
      </c>
      <c r="B1286">
        <v>2.76</v>
      </c>
      <c r="C1286" t="s">
        <v>2395</v>
      </c>
      <c r="D1286" t="s">
        <v>6308</v>
      </c>
      <c r="E1286" t="s">
        <v>108</v>
      </c>
    </row>
    <row r="1287" spans="1:5">
      <c r="A1287" t="s">
        <v>7019</v>
      </c>
      <c r="B1287">
        <v>2.88</v>
      </c>
      <c r="C1287" t="s">
        <v>4227</v>
      </c>
      <c r="D1287" t="s">
        <v>6253</v>
      </c>
      <c r="E1287" t="s">
        <v>108</v>
      </c>
    </row>
    <row r="1288" spans="1:5">
      <c r="A1288" t="s">
        <v>7020</v>
      </c>
      <c r="B1288">
        <v>2.88</v>
      </c>
      <c r="C1288" t="s">
        <v>4227</v>
      </c>
      <c r="D1288" t="s">
        <v>6253</v>
      </c>
      <c r="E1288" t="s">
        <v>108</v>
      </c>
    </row>
    <row r="1289" spans="1:5">
      <c r="A1289" t="s">
        <v>7021</v>
      </c>
      <c r="B1289">
        <v>2.85</v>
      </c>
      <c r="C1289" t="s">
        <v>7022</v>
      </c>
      <c r="D1289" t="s">
        <v>6253</v>
      </c>
      <c r="E1289" t="s">
        <v>108</v>
      </c>
    </row>
    <row r="1290" spans="1:5">
      <c r="A1290" t="s">
        <v>7023</v>
      </c>
      <c r="B1290">
        <v>2.9</v>
      </c>
      <c r="C1290" t="s">
        <v>4227</v>
      </c>
      <c r="D1290" t="s">
        <v>6253</v>
      </c>
      <c r="E1290" t="s">
        <v>108</v>
      </c>
    </row>
    <row r="1291" spans="1:5">
      <c r="A1291" t="s">
        <v>7024</v>
      </c>
      <c r="B1291">
        <v>2.85</v>
      </c>
      <c r="C1291" t="s">
        <v>7025</v>
      </c>
      <c r="D1291" t="s">
        <v>6253</v>
      </c>
      <c r="E1291" t="s">
        <v>108</v>
      </c>
    </row>
    <row r="1292" spans="1:5">
      <c r="A1292" t="s">
        <v>7026</v>
      </c>
      <c r="B1292">
        <v>2.7</v>
      </c>
      <c r="C1292" t="s">
        <v>7027</v>
      </c>
      <c r="D1292" t="s">
        <v>6253</v>
      </c>
      <c r="E1292" t="s">
        <v>108</v>
      </c>
    </row>
    <row r="1293" spans="1:5">
      <c r="A1293" t="s">
        <v>7028</v>
      </c>
      <c r="B1293">
        <v>2.8</v>
      </c>
      <c r="C1293" t="s">
        <v>108</v>
      </c>
      <c r="D1293" t="s">
        <v>6253</v>
      </c>
      <c r="E1293" t="s">
        <v>108</v>
      </c>
    </row>
    <row r="1294" spans="1:5">
      <c r="A1294" t="s">
        <v>7029</v>
      </c>
      <c r="B1294">
        <v>2.8</v>
      </c>
      <c r="C1294" t="s">
        <v>108</v>
      </c>
      <c r="D1294" t="s">
        <v>6253</v>
      </c>
      <c r="E1294" t="s">
        <v>108</v>
      </c>
    </row>
    <row r="1295" spans="1:5">
      <c r="A1295" t="s">
        <v>7030</v>
      </c>
      <c r="B1295">
        <v>2.77</v>
      </c>
      <c r="C1295" t="s">
        <v>7031</v>
      </c>
      <c r="D1295" t="s">
        <v>6253</v>
      </c>
      <c r="E1295" t="s">
        <v>108</v>
      </c>
    </row>
    <row r="1296" spans="1:5">
      <c r="A1296" t="s">
        <v>7032</v>
      </c>
      <c r="B1296">
        <v>2.8</v>
      </c>
      <c r="C1296" t="s">
        <v>108</v>
      </c>
      <c r="D1296" t="s">
        <v>6253</v>
      </c>
      <c r="E1296" t="s">
        <v>108</v>
      </c>
    </row>
    <row r="1297" spans="1:5">
      <c r="A1297" t="s">
        <v>7033</v>
      </c>
      <c r="B1297">
        <v>2.9</v>
      </c>
      <c r="C1297" t="s">
        <v>108</v>
      </c>
      <c r="D1297" t="s">
        <v>6253</v>
      </c>
      <c r="E1297" t="s">
        <v>108</v>
      </c>
    </row>
    <row r="1298" spans="1:5">
      <c r="A1298" t="s">
        <v>7034</v>
      </c>
      <c r="B1298">
        <v>2.92</v>
      </c>
      <c r="C1298" t="s">
        <v>108</v>
      </c>
      <c r="D1298" t="s">
        <v>6257</v>
      </c>
      <c r="E1298" t="s">
        <v>108</v>
      </c>
    </row>
    <row r="1299" spans="1:5">
      <c r="A1299" t="s">
        <v>7035</v>
      </c>
      <c r="B1299">
        <v>2.35</v>
      </c>
      <c r="C1299" t="s">
        <v>3407</v>
      </c>
      <c r="D1299" t="s">
        <v>5631</v>
      </c>
      <c r="E1299" t="s">
        <v>108</v>
      </c>
    </row>
    <row r="1300" spans="1:5">
      <c r="A1300" t="s">
        <v>7036</v>
      </c>
      <c r="B1300">
        <v>2.35</v>
      </c>
      <c r="C1300" t="s">
        <v>108</v>
      </c>
      <c r="D1300" t="s">
        <v>5631</v>
      </c>
      <c r="E1300" t="s">
        <v>108</v>
      </c>
    </row>
    <row r="1301" spans="1:5">
      <c r="A1301" t="s">
        <v>7037</v>
      </c>
      <c r="B1301">
        <v>2.85</v>
      </c>
      <c r="C1301" t="s">
        <v>4776</v>
      </c>
      <c r="D1301" t="s">
        <v>6253</v>
      </c>
      <c r="E1301" t="s">
        <v>108</v>
      </c>
    </row>
    <row r="1302" spans="1:5">
      <c r="A1302" t="s">
        <v>7038</v>
      </c>
      <c r="B1302">
        <v>2.85</v>
      </c>
      <c r="C1302" t="s">
        <v>108</v>
      </c>
      <c r="D1302" t="s">
        <v>6253</v>
      </c>
      <c r="E1302" t="s">
        <v>108</v>
      </c>
    </row>
    <row r="1303" spans="1:5">
      <c r="A1303" t="s">
        <v>7039</v>
      </c>
      <c r="B1303">
        <v>2.75</v>
      </c>
      <c r="C1303" t="s">
        <v>4227</v>
      </c>
      <c r="D1303" t="s">
        <v>6253</v>
      </c>
      <c r="E1303" t="s">
        <v>108</v>
      </c>
    </row>
    <row r="1304" spans="1:5">
      <c r="A1304" t="s">
        <v>7040</v>
      </c>
      <c r="B1304">
        <v>2.85</v>
      </c>
      <c r="C1304" t="s">
        <v>108</v>
      </c>
      <c r="D1304" t="s">
        <v>6253</v>
      </c>
      <c r="E1304" t="s">
        <v>108</v>
      </c>
    </row>
    <row r="1305" spans="1:5">
      <c r="A1305" t="s">
        <v>7041</v>
      </c>
      <c r="B1305">
        <v>2.89</v>
      </c>
      <c r="C1305" t="s">
        <v>108</v>
      </c>
      <c r="D1305" t="s">
        <v>6253</v>
      </c>
      <c r="E1305" t="s">
        <v>108</v>
      </c>
    </row>
    <row r="1306" spans="1:5">
      <c r="A1306" t="s">
        <v>7042</v>
      </c>
      <c r="B1306">
        <v>2.85</v>
      </c>
      <c r="C1306" t="s">
        <v>4388</v>
      </c>
      <c r="D1306" t="s">
        <v>6253</v>
      </c>
      <c r="E1306" t="s">
        <v>108</v>
      </c>
    </row>
    <row r="1307" spans="1:5">
      <c r="A1307" t="s">
        <v>7043</v>
      </c>
      <c r="B1307">
        <v>2.8</v>
      </c>
      <c r="C1307" t="s">
        <v>3662</v>
      </c>
      <c r="D1307" t="s">
        <v>6253</v>
      </c>
      <c r="E1307" t="s">
        <v>108</v>
      </c>
    </row>
    <row r="1308" spans="1:5">
      <c r="A1308" t="s">
        <v>7044</v>
      </c>
      <c r="B1308">
        <v>2.78</v>
      </c>
      <c r="C1308" t="s">
        <v>4058</v>
      </c>
      <c r="D1308" t="s">
        <v>6253</v>
      </c>
      <c r="E1308" t="s">
        <v>108</v>
      </c>
    </row>
    <row r="1309" spans="1:5">
      <c r="A1309" t="s">
        <v>7045</v>
      </c>
      <c r="B1309">
        <v>2.78</v>
      </c>
      <c r="C1309" t="s">
        <v>4473</v>
      </c>
      <c r="D1309" t="s">
        <v>6253</v>
      </c>
      <c r="E1309" t="s">
        <v>108</v>
      </c>
    </row>
    <row r="1310" spans="1:5">
      <c r="A1310" t="s">
        <v>7046</v>
      </c>
      <c r="B1310">
        <v>2.84</v>
      </c>
      <c r="C1310" t="s">
        <v>108</v>
      </c>
      <c r="D1310" t="s">
        <v>4308</v>
      </c>
      <c r="E1310" t="s">
        <v>108</v>
      </c>
    </row>
    <row r="1311" spans="1:5">
      <c r="A1311" t="s">
        <v>7047</v>
      </c>
      <c r="B1311">
        <v>2.87</v>
      </c>
      <c r="C1311" t="s">
        <v>108</v>
      </c>
      <c r="D1311" t="s">
        <v>6253</v>
      </c>
      <c r="E1311" t="s">
        <v>108</v>
      </c>
    </row>
    <row r="1312" spans="1:5">
      <c r="A1312" t="s">
        <v>7048</v>
      </c>
      <c r="B1312">
        <v>2.91</v>
      </c>
      <c r="C1312" t="s">
        <v>108</v>
      </c>
      <c r="D1312" t="s">
        <v>6253</v>
      </c>
      <c r="E1312" t="s">
        <v>108</v>
      </c>
    </row>
    <row r="1313" spans="1:5">
      <c r="A1313" t="s">
        <v>7049</v>
      </c>
      <c r="B1313">
        <v>2.85</v>
      </c>
      <c r="C1313" t="s">
        <v>7050</v>
      </c>
      <c r="D1313" t="s">
        <v>6253</v>
      </c>
      <c r="E1313" t="s">
        <v>108</v>
      </c>
    </row>
    <row r="1314" spans="1:5">
      <c r="A1314" t="s">
        <v>7051</v>
      </c>
      <c r="B1314">
        <v>2.72</v>
      </c>
      <c r="C1314" t="s">
        <v>108</v>
      </c>
      <c r="D1314" t="s">
        <v>6253</v>
      </c>
      <c r="E1314" t="s">
        <v>108</v>
      </c>
    </row>
    <row r="1315" spans="1:5">
      <c r="A1315" t="s">
        <v>7052</v>
      </c>
      <c r="B1315">
        <v>2.76</v>
      </c>
      <c r="C1315" t="s">
        <v>3416</v>
      </c>
      <c r="D1315" t="s">
        <v>6253</v>
      </c>
      <c r="E1315" t="s">
        <v>108</v>
      </c>
    </row>
    <row r="1316" spans="1:5">
      <c r="A1316" t="s">
        <v>7053</v>
      </c>
      <c r="B1316">
        <v>2.35</v>
      </c>
      <c r="C1316" t="s">
        <v>108</v>
      </c>
      <c r="D1316" t="s">
        <v>5631</v>
      </c>
      <c r="E1316" t="s">
        <v>108</v>
      </c>
    </row>
    <row r="1317" spans="1:5">
      <c r="A1317" t="s">
        <v>7054</v>
      </c>
      <c r="B1317">
        <v>2.93</v>
      </c>
      <c r="C1317" t="s">
        <v>108</v>
      </c>
      <c r="D1317" t="s">
        <v>6253</v>
      </c>
      <c r="E1317" t="s">
        <v>108</v>
      </c>
    </row>
    <row r="1318" spans="1:5">
      <c r="A1318" t="s">
        <v>7055</v>
      </c>
      <c r="B1318">
        <v>2.93</v>
      </c>
      <c r="C1318" t="s">
        <v>108</v>
      </c>
      <c r="D1318" t="s">
        <v>6253</v>
      </c>
      <c r="E1318" t="s">
        <v>108</v>
      </c>
    </row>
    <row r="1319" spans="1:5">
      <c r="A1319" t="s">
        <v>7056</v>
      </c>
      <c r="B1319">
        <v>2.85</v>
      </c>
      <c r="C1319" t="s">
        <v>4058</v>
      </c>
      <c r="D1319" t="s">
        <v>6253</v>
      </c>
      <c r="E1319" t="s">
        <v>108</v>
      </c>
    </row>
    <row r="1320" spans="1:5">
      <c r="A1320" t="s">
        <v>7057</v>
      </c>
      <c r="B1320">
        <v>2.85</v>
      </c>
      <c r="C1320" t="s">
        <v>108</v>
      </c>
      <c r="D1320" t="s">
        <v>6253</v>
      </c>
      <c r="E1320" t="s">
        <v>108</v>
      </c>
    </row>
    <row r="1321" spans="1:5">
      <c r="A1321" t="s">
        <v>7058</v>
      </c>
      <c r="B1321">
        <v>2.74</v>
      </c>
      <c r="C1321" t="s">
        <v>2392</v>
      </c>
      <c r="D1321" t="s">
        <v>6253</v>
      </c>
      <c r="E1321" t="s">
        <v>108</v>
      </c>
    </row>
    <row r="1322" spans="1:5">
      <c r="A1322" t="s">
        <v>7059</v>
      </c>
      <c r="B1322">
        <v>2.74</v>
      </c>
      <c r="C1322" t="s">
        <v>2395</v>
      </c>
      <c r="D1322" t="s">
        <v>6253</v>
      </c>
      <c r="E1322" t="s">
        <v>108</v>
      </c>
    </row>
    <row r="1323" spans="1:5">
      <c r="A1323" t="s">
        <v>7060</v>
      </c>
      <c r="B1323">
        <v>2.93</v>
      </c>
      <c r="C1323" t="s">
        <v>108</v>
      </c>
      <c r="D1323" t="s">
        <v>6253</v>
      </c>
      <c r="E1323" t="s">
        <v>108</v>
      </c>
    </row>
    <row r="1324" spans="1:5">
      <c r="A1324" t="s">
        <v>7061</v>
      </c>
      <c r="B1324">
        <v>2.7</v>
      </c>
      <c r="C1324" t="s">
        <v>108</v>
      </c>
      <c r="D1324" t="s">
        <v>5631</v>
      </c>
      <c r="E1324" t="s">
        <v>108</v>
      </c>
    </row>
    <row r="1325" spans="1:5">
      <c r="A1325" t="s">
        <v>7062</v>
      </c>
      <c r="B1325">
        <v>2.95</v>
      </c>
      <c r="C1325" t="s">
        <v>108</v>
      </c>
      <c r="D1325" t="s">
        <v>6257</v>
      </c>
      <c r="E1325" t="s">
        <v>108</v>
      </c>
    </row>
    <row r="1326" spans="1:5">
      <c r="A1326" t="s">
        <v>7063</v>
      </c>
      <c r="B1326">
        <v>2.62</v>
      </c>
      <c r="C1326" t="s">
        <v>108</v>
      </c>
      <c r="D1326" t="s">
        <v>6253</v>
      </c>
      <c r="E1326" t="s">
        <v>108</v>
      </c>
    </row>
    <row r="1327" spans="1:5">
      <c r="A1327" t="s">
        <v>7064</v>
      </c>
      <c r="B1327">
        <v>3.07</v>
      </c>
      <c r="C1327" t="s">
        <v>2690</v>
      </c>
      <c r="D1327" t="s">
        <v>6257</v>
      </c>
      <c r="E1327" t="s">
        <v>108</v>
      </c>
    </row>
    <row r="1328" spans="1:5">
      <c r="A1328" t="s">
        <v>7065</v>
      </c>
      <c r="B1328">
        <v>3.04</v>
      </c>
      <c r="C1328" t="s">
        <v>7066</v>
      </c>
      <c r="D1328" t="s">
        <v>6253</v>
      </c>
      <c r="E1328" t="s">
        <v>108</v>
      </c>
    </row>
    <row r="1329" spans="1:5">
      <c r="A1329" t="s">
        <v>7067</v>
      </c>
      <c r="B1329">
        <v>2.87</v>
      </c>
      <c r="C1329" t="s">
        <v>2690</v>
      </c>
      <c r="D1329" t="s">
        <v>6257</v>
      </c>
      <c r="E1329" t="s">
        <v>108</v>
      </c>
    </row>
    <row r="1330" spans="1:5">
      <c r="A1330" t="s">
        <v>7068</v>
      </c>
      <c r="B1330">
        <v>2.72</v>
      </c>
      <c r="C1330" t="s">
        <v>2418</v>
      </c>
      <c r="D1330" t="s">
        <v>6257</v>
      </c>
      <c r="E1330" t="s">
        <v>108</v>
      </c>
    </row>
    <row r="1331" spans="1:5">
      <c r="A1331" t="s">
        <v>7069</v>
      </c>
      <c r="B1331">
        <v>2.93</v>
      </c>
      <c r="C1331" t="s">
        <v>4227</v>
      </c>
      <c r="D1331" t="s">
        <v>6253</v>
      </c>
      <c r="E1331" t="s">
        <v>108</v>
      </c>
    </row>
    <row r="1332" spans="1:5">
      <c r="A1332" t="s">
        <v>7070</v>
      </c>
      <c r="B1332">
        <v>2.75</v>
      </c>
      <c r="C1332" t="s">
        <v>108</v>
      </c>
      <c r="D1332" t="s">
        <v>5911</v>
      </c>
      <c r="E1332" t="s">
        <v>108</v>
      </c>
    </row>
    <row r="1333" spans="1:5">
      <c r="A1333" t="s">
        <v>7071</v>
      </c>
      <c r="B1333">
        <v>3.05</v>
      </c>
      <c r="C1333" t="s">
        <v>108</v>
      </c>
      <c r="D1333" t="s">
        <v>6308</v>
      </c>
      <c r="E1333" t="s">
        <v>108</v>
      </c>
    </row>
    <row r="1334" spans="1:5">
      <c r="A1334" t="s">
        <v>7072</v>
      </c>
      <c r="B1334">
        <v>2.17</v>
      </c>
      <c r="C1334" t="s">
        <v>108</v>
      </c>
      <c r="D1334" t="s">
        <v>6253</v>
      </c>
      <c r="E1334" t="s">
        <v>108</v>
      </c>
    </row>
    <row r="1335" spans="1:5">
      <c r="A1335" t="s">
        <v>7073</v>
      </c>
      <c r="B1335">
        <v>2.17</v>
      </c>
      <c r="C1335" t="s">
        <v>108</v>
      </c>
      <c r="D1335" t="s">
        <v>6253</v>
      </c>
      <c r="E1335" t="s">
        <v>108</v>
      </c>
    </row>
    <row r="1336" spans="1:5">
      <c r="A1336" t="s">
        <v>7074</v>
      </c>
      <c r="B1336">
        <v>2.65</v>
      </c>
      <c r="C1336" t="s">
        <v>108</v>
      </c>
      <c r="D1336" t="s">
        <v>6253</v>
      </c>
      <c r="E1336" t="s">
        <v>108</v>
      </c>
    </row>
    <row r="1337" spans="1:5">
      <c r="A1337" t="s">
        <v>7075</v>
      </c>
      <c r="B1337">
        <v>2.2000000000000002</v>
      </c>
      <c r="C1337" t="s">
        <v>108</v>
      </c>
      <c r="D1337" t="s">
        <v>6253</v>
      </c>
      <c r="E1337" t="s">
        <v>108</v>
      </c>
    </row>
    <row r="1338" spans="1:5">
      <c r="A1338" t="s">
        <v>7076</v>
      </c>
      <c r="B1338">
        <v>2.76</v>
      </c>
      <c r="C1338" t="s">
        <v>108</v>
      </c>
      <c r="D1338" t="s">
        <v>6253</v>
      </c>
      <c r="E1338" t="s">
        <v>108</v>
      </c>
    </row>
    <row r="1339" spans="1:5">
      <c r="A1339" t="s">
        <v>7077</v>
      </c>
      <c r="B1339">
        <v>2.78</v>
      </c>
      <c r="C1339" t="s">
        <v>108</v>
      </c>
      <c r="D1339" t="s">
        <v>6253</v>
      </c>
      <c r="E1339" t="s">
        <v>108</v>
      </c>
    </row>
    <row r="1340" spans="1:5">
      <c r="A1340" t="s">
        <v>7078</v>
      </c>
      <c r="B1340">
        <v>2.2799999999999998</v>
      </c>
      <c r="C1340" t="s">
        <v>7079</v>
      </c>
      <c r="D1340" t="s">
        <v>6253</v>
      </c>
      <c r="E1340" t="s">
        <v>108</v>
      </c>
    </row>
    <row r="1341" spans="1:5">
      <c r="A1341" t="s">
        <v>7080</v>
      </c>
      <c r="B1341">
        <v>2.2799999999999998</v>
      </c>
      <c r="C1341" t="s">
        <v>108</v>
      </c>
      <c r="D1341" t="s">
        <v>6253</v>
      </c>
      <c r="E1341" t="s">
        <v>108</v>
      </c>
    </row>
    <row r="1342" spans="1:5">
      <c r="A1342" t="s">
        <v>7081</v>
      </c>
      <c r="B1342">
        <v>2.23</v>
      </c>
      <c r="C1342" t="s">
        <v>4227</v>
      </c>
      <c r="D1342" t="s">
        <v>6253</v>
      </c>
      <c r="E1342" t="s">
        <v>108</v>
      </c>
    </row>
    <row r="1343" spans="1:5">
      <c r="A1343" t="s">
        <v>7082</v>
      </c>
      <c r="B1343">
        <v>2.25</v>
      </c>
      <c r="C1343" t="s">
        <v>3416</v>
      </c>
      <c r="D1343" t="s">
        <v>6253</v>
      </c>
      <c r="E1343" t="s">
        <v>108</v>
      </c>
    </row>
    <row r="1344" spans="1:5">
      <c r="A1344" t="s">
        <v>7083</v>
      </c>
      <c r="B1344">
        <v>2.2999999999999998</v>
      </c>
      <c r="C1344" t="s">
        <v>108</v>
      </c>
      <c r="D1344" t="s">
        <v>6253</v>
      </c>
      <c r="E1344" t="s">
        <v>108</v>
      </c>
    </row>
    <row r="1345" spans="1:5">
      <c r="A1345" t="s">
        <v>7084</v>
      </c>
      <c r="B1345">
        <v>2.4</v>
      </c>
      <c r="C1345" t="s">
        <v>108</v>
      </c>
      <c r="D1345" t="s">
        <v>6253</v>
      </c>
      <c r="E1345" t="s">
        <v>108</v>
      </c>
    </row>
    <row r="1346" spans="1:5">
      <c r="A1346" t="s">
        <v>7085</v>
      </c>
      <c r="B1346">
        <v>2.2999999999999998</v>
      </c>
      <c r="C1346" t="s">
        <v>4931</v>
      </c>
      <c r="D1346" t="s">
        <v>6253</v>
      </c>
      <c r="E1346" t="s">
        <v>108</v>
      </c>
    </row>
    <row r="1347" spans="1:5">
      <c r="A1347" t="s">
        <v>7086</v>
      </c>
      <c r="B1347">
        <v>2.4500000000000002</v>
      </c>
      <c r="C1347" t="s">
        <v>4931</v>
      </c>
      <c r="D1347" t="s">
        <v>6308</v>
      </c>
      <c r="E1347" t="s">
        <v>108</v>
      </c>
    </row>
    <row r="1348" spans="1:5">
      <c r="A1348" t="s">
        <v>7087</v>
      </c>
      <c r="B1348">
        <v>2.35</v>
      </c>
      <c r="C1348" t="s">
        <v>108</v>
      </c>
      <c r="D1348" t="s">
        <v>6253</v>
      </c>
      <c r="E1348" t="s">
        <v>108</v>
      </c>
    </row>
    <row r="1349" spans="1:5">
      <c r="A1349" t="s">
        <v>7088</v>
      </c>
      <c r="B1349">
        <v>2.35</v>
      </c>
      <c r="C1349" t="s">
        <v>108</v>
      </c>
      <c r="D1349" t="s">
        <v>6253</v>
      </c>
      <c r="E1349" t="s">
        <v>108</v>
      </c>
    </row>
    <row r="1350" spans="1:5">
      <c r="A1350" t="s">
        <v>7089</v>
      </c>
      <c r="B1350">
        <v>2.2999999999999998</v>
      </c>
      <c r="C1350" t="s">
        <v>7090</v>
      </c>
      <c r="D1350" t="s">
        <v>6253</v>
      </c>
      <c r="E1350" t="s">
        <v>108</v>
      </c>
    </row>
    <row r="1351" spans="1:5">
      <c r="A1351" t="s">
        <v>7091</v>
      </c>
      <c r="B1351">
        <v>2.34</v>
      </c>
      <c r="C1351" t="s">
        <v>6644</v>
      </c>
      <c r="D1351" t="s">
        <v>6253</v>
      </c>
      <c r="E1351" t="s">
        <v>108</v>
      </c>
    </row>
    <row r="1352" spans="1:5">
      <c r="A1352" t="s">
        <v>7092</v>
      </c>
      <c r="B1352">
        <v>2.2999999999999998</v>
      </c>
      <c r="C1352" t="s">
        <v>7093</v>
      </c>
      <c r="D1352" t="s">
        <v>6253</v>
      </c>
      <c r="E1352" t="s">
        <v>108</v>
      </c>
    </row>
    <row r="1353" spans="1:5">
      <c r="A1353" t="s">
        <v>7094</v>
      </c>
      <c r="B1353">
        <v>2.35</v>
      </c>
      <c r="C1353" t="s">
        <v>7095</v>
      </c>
      <c r="D1353" t="s">
        <v>6253</v>
      </c>
      <c r="E1353" t="s">
        <v>108</v>
      </c>
    </row>
    <row r="1354" spans="1:5">
      <c r="A1354" t="s">
        <v>7096</v>
      </c>
      <c r="B1354">
        <v>2.48</v>
      </c>
      <c r="C1354" t="s">
        <v>7097</v>
      </c>
      <c r="D1354" t="s">
        <v>6308</v>
      </c>
      <c r="E1354" t="s">
        <v>108</v>
      </c>
    </row>
    <row r="1355" spans="1:5">
      <c r="A1355" t="s">
        <v>7098</v>
      </c>
      <c r="B1355">
        <v>2.5</v>
      </c>
      <c r="C1355" t="s">
        <v>3314</v>
      </c>
      <c r="D1355" t="s">
        <v>6253</v>
      </c>
      <c r="E1355" t="s">
        <v>108</v>
      </c>
    </row>
    <row r="1356" spans="1:5">
      <c r="A1356" t="s">
        <v>7099</v>
      </c>
      <c r="B1356">
        <v>2.2200000000000002</v>
      </c>
      <c r="C1356" t="s">
        <v>7100</v>
      </c>
      <c r="D1356" t="s">
        <v>5631</v>
      </c>
      <c r="E1356" t="s">
        <v>108</v>
      </c>
    </row>
    <row r="1357" spans="1:5">
      <c r="A1357" t="s">
        <v>7101</v>
      </c>
      <c r="B1357">
        <v>2.48</v>
      </c>
      <c r="C1357" t="s">
        <v>7097</v>
      </c>
      <c r="D1357" t="s">
        <v>6253</v>
      </c>
      <c r="E1357" t="s">
        <v>108</v>
      </c>
    </row>
    <row r="1358" spans="1:5">
      <c r="A1358" t="s">
        <v>7102</v>
      </c>
      <c r="B1358">
        <v>2.41</v>
      </c>
      <c r="C1358" t="s">
        <v>7103</v>
      </c>
      <c r="D1358" t="s">
        <v>6253</v>
      </c>
      <c r="E1358" t="s">
        <v>108</v>
      </c>
    </row>
    <row r="1359" spans="1:5">
      <c r="A1359" t="s">
        <v>7104</v>
      </c>
      <c r="B1359">
        <v>2.41</v>
      </c>
      <c r="C1359" t="s">
        <v>7105</v>
      </c>
      <c r="D1359" t="s">
        <v>6253</v>
      </c>
      <c r="E1359" t="s">
        <v>108</v>
      </c>
    </row>
    <row r="1360" spans="1:5">
      <c r="A1360" t="s">
        <v>7106</v>
      </c>
      <c r="B1360">
        <v>2.5099999999999998</v>
      </c>
      <c r="C1360" t="s">
        <v>108</v>
      </c>
      <c r="D1360" t="s">
        <v>6270</v>
      </c>
      <c r="E1360" t="s">
        <v>108</v>
      </c>
    </row>
    <row r="1361" spans="1:5">
      <c r="A1361" t="s">
        <v>7107</v>
      </c>
      <c r="B1361">
        <v>2.4500000000000002</v>
      </c>
      <c r="C1361" t="s">
        <v>7108</v>
      </c>
      <c r="D1361" t="s">
        <v>6253</v>
      </c>
      <c r="E1361" t="s">
        <v>108</v>
      </c>
    </row>
    <row r="1362" spans="1:5">
      <c r="A1362" t="s">
        <v>7109</v>
      </c>
      <c r="B1362">
        <v>3.08</v>
      </c>
      <c r="C1362" t="s">
        <v>4529</v>
      </c>
      <c r="D1362" t="s">
        <v>6308</v>
      </c>
      <c r="E1362" t="s">
        <v>108</v>
      </c>
    </row>
    <row r="1363" spans="1:5">
      <c r="A1363" t="s">
        <v>7110</v>
      </c>
      <c r="B1363">
        <v>3</v>
      </c>
      <c r="C1363" t="s">
        <v>4058</v>
      </c>
      <c r="D1363" t="s">
        <v>6253</v>
      </c>
      <c r="E1363" t="s">
        <v>108</v>
      </c>
    </row>
    <row r="1364" spans="1:5">
      <c r="A1364" t="s">
        <v>7111</v>
      </c>
      <c r="B1364">
        <v>3.01</v>
      </c>
      <c r="C1364" t="s">
        <v>4058</v>
      </c>
      <c r="D1364" t="s">
        <v>6253</v>
      </c>
      <c r="E1364" t="s">
        <v>108</v>
      </c>
    </row>
    <row r="1365" spans="1:5">
      <c r="A1365" t="s">
        <v>7112</v>
      </c>
      <c r="B1365">
        <v>3.31</v>
      </c>
      <c r="C1365" t="s">
        <v>3103</v>
      </c>
      <c r="D1365" t="s">
        <v>6253</v>
      </c>
      <c r="E1365" t="s">
        <v>108</v>
      </c>
    </row>
    <row r="1366" spans="1:5">
      <c r="A1366" t="s">
        <v>7113</v>
      </c>
      <c r="B1366">
        <v>2.8</v>
      </c>
      <c r="C1366" t="s">
        <v>7114</v>
      </c>
      <c r="D1366" t="s">
        <v>5631</v>
      </c>
      <c r="E1366" t="s">
        <v>108</v>
      </c>
    </row>
    <row r="1367" spans="1:5">
      <c r="A1367" t="s">
        <v>7115</v>
      </c>
      <c r="B1367">
        <v>3.33</v>
      </c>
      <c r="C1367" t="s">
        <v>2418</v>
      </c>
      <c r="D1367" t="s">
        <v>6308</v>
      </c>
      <c r="E1367" t="s">
        <v>108</v>
      </c>
    </row>
    <row r="1368" spans="1:5">
      <c r="A1368" t="s">
        <v>7116</v>
      </c>
      <c r="B1368">
        <v>2.95</v>
      </c>
      <c r="C1368" t="s">
        <v>7117</v>
      </c>
      <c r="D1368" t="s">
        <v>6257</v>
      </c>
      <c r="E1368" t="s">
        <v>7118</v>
      </c>
    </row>
    <row r="1369" spans="1:5">
      <c r="A1369" t="s">
        <v>7119</v>
      </c>
      <c r="B1369">
        <v>2.2200000000000002</v>
      </c>
      <c r="C1369" t="s">
        <v>108</v>
      </c>
      <c r="D1369" t="s">
        <v>6253</v>
      </c>
      <c r="E1369" t="s">
        <v>108</v>
      </c>
    </row>
    <row r="1370" spans="1:5">
      <c r="A1370" t="s">
        <v>7120</v>
      </c>
      <c r="B1370">
        <v>2.35</v>
      </c>
      <c r="C1370" t="s">
        <v>108</v>
      </c>
      <c r="D1370" t="s">
        <v>6253</v>
      </c>
      <c r="E1370" t="s">
        <v>108</v>
      </c>
    </row>
    <row r="1371" spans="1:5">
      <c r="A1371" t="s">
        <v>7121</v>
      </c>
      <c r="B1371">
        <v>2.4</v>
      </c>
      <c r="C1371" t="s">
        <v>108</v>
      </c>
      <c r="D1371" t="s">
        <v>6253</v>
      </c>
      <c r="E1371" t="s">
        <v>108</v>
      </c>
    </row>
    <row r="1372" spans="1:5">
      <c r="A1372" t="s">
        <v>7122</v>
      </c>
      <c r="B1372">
        <v>2.4500000000000002</v>
      </c>
      <c r="C1372" t="s">
        <v>108</v>
      </c>
      <c r="D1372" t="s">
        <v>6253</v>
      </c>
      <c r="E1372" t="s">
        <v>108</v>
      </c>
    </row>
    <row r="1373" spans="1:5">
      <c r="A1373" t="s">
        <v>7123</v>
      </c>
      <c r="B1373">
        <v>2.6</v>
      </c>
      <c r="C1373" t="s">
        <v>108</v>
      </c>
      <c r="D1373" t="s">
        <v>6253</v>
      </c>
      <c r="E1373" t="s">
        <v>108</v>
      </c>
    </row>
    <row r="1374" spans="1:5">
      <c r="A1374" t="s">
        <v>7124</v>
      </c>
      <c r="B1374">
        <v>2.65</v>
      </c>
      <c r="C1374" t="s">
        <v>108</v>
      </c>
      <c r="D1374" t="s">
        <v>6253</v>
      </c>
      <c r="E1374" t="s">
        <v>108</v>
      </c>
    </row>
    <row r="1375" spans="1:5">
      <c r="A1375" t="s">
        <v>7125</v>
      </c>
      <c r="B1375">
        <v>2.65</v>
      </c>
      <c r="C1375" t="s">
        <v>108</v>
      </c>
      <c r="D1375" t="s">
        <v>6253</v>
      </c>
      <c r="E1375" t="s">
        <v>108</v>
      </c>
    </row>
    <row r="1376" spans="1:5">
      <c r="A1376" t="s">
        <v>7126</v>
      </c>
      <c r="B1376">
        <v>2.85</v>
      </c>
      <c r="C1376" t="s">
        <v>108</v>
      </c>
      <c r="D1376" t="s">
        <v>6253</v>
      </c>
      <c r="E1376" t="s">
        <v>108</v>
      </c>
    </row>
    <row r="1377" spans="1:5">
      <c r="A1377" t="s">
        <v>7127</v>
      </c>
      <c r="B1377">
        <v>3.05</v>
      </c>
      <c r="C1377" t="s">
        <v>108</v>
      </c>
      <c r="D1377" t="s">
        <v>6253</v>
      </c>
      <c r="E1377" t="s">
        <v>108</v>
      </c>
    </row>
    <row r="1378" spans="1:5">
      <c r="A1378" t="s">
        <v>7128</v>
      </c>
      <c r="B1378">
        <v>3.05</v>
      </c>
      <c r="C1378" t="s">
        <v>108</v>
      </c>
      <c r="D1378" t="s">
        <v>6253</v>
      </c>
      <c r="E1378" t="s">
        <v>108</v>
      </c>
    </row>
    <row r="1379" spans="1:5">
      <c r="A1379" t="s">
        <v>7129</v>
      </c>
      <c r="B1379">
        <v>2.25</v>
      </c>
      <c r="C1379" t="s">
        <v>108</v>
      </c>
      <c r="D1379" t="s">
        <v>6253</v>
      </c>
      <c r="E1379" t="s">
        <v>108</v>
      </c>
    </row>
    <row r="1380" spans="1:5">
      <c r="A1380" t="s">
        <v>7130</v>
      </c>
      <c r="B1380">
        <v>2.6</v>
      </c>
      <c r="C1380" t="s">
        <v>108</v>
      </c>
      <c r="D1380" t="s">
        <v>6253</v>
      </c>
      <c r="E1380" t="s">
        <v>108</v>
      </c>
    </row>
    <row r="1381" spans="1:5">
      <c r="A1381" t="s">
        <v>7131</v>
      </c>
      <c r="B1381">
        <v>2.4900000000000002</v>
      </c>
      <c r="C1381" t="s">
        <v>4218</v>
      </c>
      <c r="D1381" t="s">
        <v>6253</v>
      </c>
      <c r="E1381" t="s">
        <v>108</v>
      </c>
    </row>
    <row r="1382" spans="1:5">
      <c r="A1382" t="s">
        <v>7132</v>
      </c>
      <c r="B1382">
        <v>2.4900000000000002</v>
      </c>
      <c r="C1382" t="s">
        <v>4218</v>
      </c>
      <c r="D1382" t="s">
        <v>6253</v>
      </c>
      <c r="E1382" t="s">
        <v>108</v>
      </c>
    </row>
    <row r="1383" spans="1:5">
      <c r="A1383" t="s">
        <v>7133</v>
      </c>
      <c r="B1383">
        <v>2.5</v>
      </c>
      <c r="C1383" t="s">
        <v>4931</v>
      </c>
      <c r="D1383" t="s">
        <v>6253</v>
      </c>
      <c r="E1383" t="s">
        <v>108</v>
      </c>
    </row>
    <row r="1384" spans="1:5">
      <c r="A1384" t="s">
        <v>7134</v>
      </c>
      <c r="B1384">
        <v>2.4900000000000002</v>
      </c>
      <c r="C1384" t="s">
        <v>4075</v>
      </c>
      <c r="D1384" t="s">
        <v>6253</v>
      </c>
      <c r="E1384" t="s">
        <v>108</v>
      </c>
    </row>
    <row r="1385" spans="1:5">
      <c r="A1385" t="s">
        <v>7135</v>
      </c>
      <c r="B1385">
        <v>2.4900000000000002</v>
      </c>
      <c r="C1385" t="s">
        <v>3363</v>
      </c>
      <c r="D1385" t="s">
        <v>6308</v>
      </c>
      <c r="E1385" t="s">
        <v>108</v>
      </c>
    </row>
    <row r="1386" spans="1:5">
      <c r="A1386" t="s">
        <v>7136</v>
      </c>
      <c r="B1386">
        <v>2.4900000000000002</v>
      </c>
      <c r="C1386" t="s">
        <v>3416</v>
      </c>
      <c r="D1386" t="s">
        <v>6308</v>
      </c>
      <c r="E1386" t="s">
        <v>108</v>
      </c>
    </row>
    <row r="1387" spans="1:5">
      <c r="A1387" t="s">
        <v>7137</v>
      </c>
      <c r="B1387">
        <v>2.4900000000000002</v>
      </c>
      <c r="C1387" t="s">
        <v>7138</v>
      </c>
      <c r="D1387" t="s">
        <v>6253</v>
      </c>
      <c r="E1387" t="s">
        <v>108</v>
      </c>
    </row>
    <row r="1388" spans="1:5">
      <c r="A1388" t="s">
        <v>7139</v>
      </c>
      <c r="B1388">
        <v>2.4300000000000002</v>
      </c>
      <c r="C1388" t="s">
        <v>4501</v>
      </c>
      <c r="D1388" t="s">
        <v>6253</v>
      </c>
      <c r="E1388" t="s">
        <v>108</v>
      </c>
    </row>
    <row r="1389" spans="1:5">
      <c r="A1389" t="s">
        <v>7140</v>
      </c>
      <c r="B1389">
        <v>2.4500000000000002</v>
      </c>
      <c r="C1389" t="s">
        <v>7141</v>
      </c>
      <c r="D1389" t="s">
        <v>6253</v>
      </c>
      <c r="E1389" t="s">
        <v>108</v>
      </c>
    </row>
    <row r="1390" spans="1:5">
      <c r="A1390" t="s">
        <v>7142</v>
      </c>
      <c r="B1390">
        <v>2.48</v>
      </c>
      <c r="C1390" t="s">
        <v>108</v>
      </c>
      <c r="D1390" t="s">
        <v>6253</v>
      </c>
      <c r="E1390" t="s">
        <v>108</v>
      </c>
    </row>
    <row r="1391" spans="1:5">
      <c r="A1391" t="s">
        <v>7143</v>
      </c>
      <c r="B1391">
        <v>2.5499999999999998</v>
      </c>
      <c r="C1391" t="s">
        <v>7144</v>
      </c>
      <c r="D1391" t="s">
        <v>6253</v>
      </c>
      <c r="E1391" t="s">
        <v>108</v>
      </c>
    </row>
    <row r="1392" spans="1:5">
      <c r="A1392" t="s">
        <v>7145</v>
      </c>
      <c r="B1392">
        <v>2.5499999999999998</v>
      </c>
      <c r="C1392" t="s">
        <v>108</v>
      </c>
      <c r="D1392" t="s">
        <v>6257</v>
      </c>
      <c r="E1392" t="s">
        <v>108</v>
      </c>
    </row>
    <row r="1393" spans="1:5">
      <c r="A1393" t="s">
        <v>7146</v>
      </c>
      <c r="B1393">
        <v>2.5499999999999998</v>
      </c>
      <c r="C1393" t="s">
        <v>7147</v>
      </c>
      <c r="D1393" t="s">
        <v>6253</v>
      </c>
      <c r="E1393" t="s">
        <v>108</v>
      </c>
    </row>
    <row r="1394" spans="1:5">
      <c r="A1394" t="s">
        <v>7148</v>
      </c>
      <c r="B1394">
        <v>2.56</v>
      </c>
      <c r="C1394" t="s">
        <v>4227</v>
      </c>
      <c r="D1394" t="s">
        <v>6253</v>
      </c>
      <c r="E1394" t="s">
        <v>108</v>
      </c>
    </row>
    <row r="1395" spans="1:5">
      <c r="A1395" t="s">
        <v>7149</v>
      </c>
      <c r="B1395">
        <v>2.4500000000000002</v>
      </c>
      <c r="C1395" t="s">
        <v>108</v>
      </c>
      <c r="D1395" t="s">
        <v>6257</v>
      </c>
      <c r="E1395" t="s">
        <v>108</v>
      </c>
    </row>
    <row r="1396" spans="1:5">
      <c r="A1396" t="s">
        <v>7150</v>
      </c>
      <c r="B1396">
        <v>2.4500000000000002</v>
      </c>
      <c r="C1396" t="s">
        <v>108</v>
      </c>
      <c r="D1396" t="s">
        <v>6257</v>
      </c>
      <c r="E1396" t="s">
        <v>108</v>
      </c>
    </row>
    <row r="1397" spans="1:5">
      <c r="A1397" t="s">
        <v>7151</v>
      </c>
      <c r="B1397">
        <v>2.37</v>
      </c>
      <c r="C1397" t="s">
        <v>7152</v>
      </c>
      <c r="D1397" t="s">
        <v>5631</v>
      </c>
      <c r="E1397" t="s">
        <v>108</v>
      </c>
    </row>
    <row r="1398" spans="1:5">
      <c r="A1398" t="s">
        <v>7153</v>
      </c>
      <c r="B1398">
        <v>2.37</v>
      </c>
      <c r="C1398" t="s">
        <v>7154</v>
      </c>
      <c r="D1398" t="s">
        <v>5631</v>
      </c>
      <c r="E1398" t="s">
        <v>108</v>
      </c>
    </row>
    <row r="1399" spans="1:5">
      <c r="A1399" t="s">
        <v>7155</v>
      </c>
      <c r="B1399">
        <v>2.87</v>
      </c>
      <c r="C1399" t="s">
        <v>108</v>
      </c>
      <c r="D1399" t="s">
        <v>4308</v>
      </c>
      <c r="E1399" t="s">
        <v>108</v>
      </c>
    </row>
    <row r="1400" spans="1:5">
      <c r="A1400" t="s">
        <v>7156</v>
      </c>
      <c r="B1400">
        <v>2.7</v>
      </c>
      <c r="C1400" t="s">
        <v>108</v>
      </c>
      <c r="D1400" t="s">
        <v>4308</v>
      </c>
      <c r="E1400" t="s">
        <v>108</v>
      </c>
    </row>
    <row r="1401" spans="1:5">
      <c r="A1401" t="s">
        <v>7157</v>
      </c>
      <c r="B1401">
        <v>2.4</v>
      </c>
      <c r="C1401" t="s">
        <v>108</v>
      </c>
      <c r="D1401" t="s">
        <v>5631</v>
      </c>
      <c r="E1401" t="s">
        <v>108</v>
      </c>
    </row>
    <row r="1402" spans="1:5">
      <c r="A1402" t="s">
        <v>7158</v>
      </c>
      <c r="B1402">
        <v>2.83</v>
      </c>
      <c r="C1402" t="s">
        <v>6468</v>
      </c>
      <c r="D1402" t="s">
        <v>6253</v>
      </c>
      <c r="E1402" t="s">
        <v>108</v>
      </c>
    </row>
    <row r="1403" spans="1:5">
      <c r="A1403" t="s">
        <v>7159</v>
      </c>
      <c r="B1403">
        <v>2.5</v>
      </c>
      <c r="C1403" t="s">
        <v>108</v>
      </c>
      <c r="D1403" t="s">
        <v>6257</v>
      </c>
      <c r="E1403" t="s">
        <v>108</v>
      </c>
    </row>
    <row r="1404" spans="1:5">
      <c r="A1404" t="s">
        <v>7160</v>
      </c>
      <c r="B1404">
        <v>3.1</v>
      </c>
      <c r="C1404" t="s">
        <v>108</v>
      </c>
      <c r="D1404" t="s">
        <v>6356</v>
      </c>
      <c r="E1404" t="s">
        <v>108</v>
      </c>
    </row>
    <row r="1405" spans="1:5">
      <c r="A1405" t="s">
        <v>7161</v>
      </c>
      <c r="B1405">
        <v>3.1</v>
      </c>
      <c r="C1405" t="s">
        <v>108</v>
      </c>
      <c r="D1405" t="s">
        <v>6356</v>
      </c>
      <c r="E1405" t="s">
        <v>108</v>
      </c>
    </row>
    <row r="1406" spans="1:5">
      <c r="A1406" t="s">
        <v>7162</v>
      </c>
      <c r="B1406">
        <v>3.05</v>
      </c>
      <c r="C1406" t="s">
        <v>108</v>
      </c>
      <c r="D1406" t="s">
        <v>6257</v>
      </c>
      <c r="E1406" t="s">
        <v>108</v>
      </c>
    </row>
    <row r="1407" spans="1:5">
      <c r="A1407" t="s">
        <v>7163</v>
      </c>
      <c r="B1407">
        <v>3</v>
      </c>
      <c r="C1407" t="s">
        <v>2418</v>
      </c>
      <c r="D1407" t="s">
        <v>6253</v>
      </c>
      <c r="E1407" t="s">
        <v>108</v>
      </c>
    </row>
    <row r="1408" spans="1:5">
      <c r="A1408" t="s">
        <v>7164</v>
      </c>
      <c r="B1408">
        <v>3.2</v>
      </c>
      <c r="C1408" t="s">
        <v>108</v>
      </c>
      <c r="D1408" t="s">
        <v>6257</v>
      </c>
      <c r="E1408" t="s">
        <v>108</v>
      </c>
    </row>
    <row r="1409" spans="1:5">
      <c r="A1409" t="s">
        <v>7165</v>
      </c>
      <c r="B1409">
        <v>3.4</v>
      </c>
      <c r="C1409" t="s">
        <v>4089</v>
      </c>
      <c r="D1409" t="s">
        <v>6253</v>
      </c>
      <c r="E1409" t="s">
        <v>108</v>
      </c>
    </row>
    <row r="1410" spans="1:5">
      <c r="A1410" t="s">
        <v>7166</v>
      </c>
      <c r="B1410">
        <v>2.66</v>
      </c>
      <c r="C1410" t="s">
        <v>4529</v>
      </c>
      <c r="D1410" t="s">
        <v>6308</v>
      </c>
      <c r="E1410" t="s">
        <v>108</v>
      </c>
    </row>
    <row r="1411" spans="1:5">
      <c r="A1411" t="s">
        <v>7167</v>
      </c>
      <c r="B1411">
        <v>2.65</v>
      </c>
      <c r="C1411" t="s">
        <v>7168</v>
      </c>
      <c r="D1411" t="s">
        <v>6253</v>
      </c>
      <c r="E1411" t="s">
        <v>108</v>
      </c>
    </row>
    <row r="1412" spans="1:5">
      <c r="A1412" t="s">
        <v>7169</v>
      </c>
      <c r="B1412">
        <v>3.1</v>
      </c>
      <c r="C1412" t="s">
        <v>3579</v>
      </c>
      <c r="D1412" t="s">
        <v>6253</v>
      </c>
      <c r="E1412" t="s">
        <v>108</v>
      </c>
    </row>
    <row r="1413" spans="1:5">
      <c r="A1413" t="s">
        <v>7170</v>
      </c>
      <c r="B1413">
        <v>3.2</v>
      </c>
      <c r="C1413" t="s">
        <v>108</v>
      </c>
      <c r="D1413" t="s">
        <v>6257</v>
      </c>
      <c r="E1413" t="s">
        <v>108</v>
      </c>
    </row>
    <row r="1414" spans="1:5">
      <c r="A1414" t="s">
        <v>7171</v>
      </c>
      <c r="B1414">
        <v>3</v>
      </c>
      <c r="C1414" t="s">
        <v>2783</v>
      </c>
      <c r="D1414" t="s">
        <v>6253</v>
      </c>
      <c r="E1414" t="s">
        <v>108</v>
      </c>
    </row>
    <row r="1415" spans="1:5">
      <c r="A1415" t="s">
        <v>7172</v>
      </c>
      <c r="B1415">
        <v>3.15</v>
      </c>
      <c r="C1415" t="s">
        <v>7173</v>
      </c>
      <c r="D1415" t="s">
        <v>6253</v>
      </c>
      <c r="E1415" t="s">
        <v>108</v>
      </c>
    </row>
    <row r="1416" spans="1:5">
      <c r="A1416" t="s">
        <v>7174</v>
      </c>
      <c r="B1416">
        <v>3</v>
      </c>
      <c r="C1416" t="s">
        <v>4428</v>
      </c>
      <c r="D1416" t="s">
        <v>6257</v>
      </c>
      <c r="E1416" t="s">
        <v>108</v>
      </c>
    </row>
    <row r="1417" spans="1:5">
      <c r="A1417" t="s">
        <v>7175</v>
      </c>
      <c r="B1417">
        <v>3.05</v>
      </c>
      <c r="C1417" t="s">
        <v>4092</v>
      </c>
      <c r="D1417" t="s">
        <v>6257</v>
      </c>
      <c r="E1417" t="s">
        <v>108</v>
      </c>
    </row>
    <row r="1418" spans="1:5">
      <c r="A1418" t="s">
        <v>7176</v>
      </c>
      <c r="B1418">
        <v>2.8</v>
      </c>
      <c r="C1418" t="s">
        <v>3687</v>
      </c>
      <c r="D1418" t="s">
        <v>5631</v>
      </c>
      <c r="E1418" t="s">
        <v>108</v>
      </c>
    </row>
    <row r="1419" spans="1:5">
      <c r="A1419" t="s">
        <v>7177</v>
      </c>
      <c r="B1419">
        <v>3</v>
      </c>
      <c r="C1419" t="s">
        <v>4115</v>
      </c>
      <c r="D1419" t="s">
        <v>6257</v>
      </c>
      <c r="E1419" t="s">
        <v>108</v>
      </c>
    </row>
    <row r="1420" spans="1:5">
      <c r="A1420" t="s">
        <v>7178</v>
      </c>
      <c r="B1420">
        <v>3.05</v>
      </c>
      <c r="C1420" t="s">
        <v>4621</v>
      </c>
      <c r="D1420" t="s">
        <v>6257</v>
      </c>
      <c r="E1420" t="s">
        <v>108</v>
      </c>
    </row>
    <row r="1421" spans="1:5">
      <c r="A1421" t="s">
        <v>7179</v>
      </c>
      <c r="B1421">
        <v>1.26</v>
      </c>
      <c r="C1421" t="s">
        <v>108</v>
      </c>
      <c r="D1421" t="s">
        <v>7180</v>
      </c>
      <c r="E1421" t="s">
        <v>108</v>
      </c>
    </row>
    <row r="1422" spans="1:5">
      <c r="A1422" t="s">
        <v>7181</v>
      </c>
      <c r="B1422">
        <v>1.24</v>
      </c>
      <c r="C1422" t="s">
        <v>7182</v>
      </c>
      <c r="D1422" t="s">
        <v>7180</v>
      </c>
      <c r="E1422" t="s">
        <v>108</v>
      </c>
    </row>
    <row r="1423" spans="1:5">
      <c r="A1423" t="s">
        <v>7183</v>
      </c>
      <c r="B1423">
        <v>1.26</v>
      </c>
      <c r="C1423" t="s">
        <v>108</v>
      </c>
      <c r="D1423" t="s">
        <v>7180</v>
      </c>
      <c r="E1423" t="s">
        <v>108</v>
      </c>
    </row>
    <row r="1424" spans="1:5">
      <c r="A1424" t="s">
        <v>7184</v>
      </c>
      <c r="B1424">
        <v>1.27</v>
      </c>
      <c r="C1424" t="s">
        <v>7185</v>
      </c>
      <c r="D1424" t="s">
        <v>7180</v>
      </c>
      <c r="E1424" t="s">
        <v>108</v>
      </c>
    </row>
    <row r="1425" spans="1:5">
      <c r="A1425" t="s">
        <v>7186</v>
      </c>
      <c r="B1425">
        <v>1.35</v>
      </c>
      <c r="C1425" t="s">
        <v>7187</v>
      </c>
      <c r="D1425" t="s">
        <v>7180</v>
      </c>
      <c r="E1425" t="s">
        <v>108</v>
      </c>
    </row>
    <row r="1426" spans="1:5">
      <c r="A1426" t="s">
        <v>7188</v>
      </c>
      <c r="B1426">
        <v>1.35</v>
      </c>
      <c r="C1426" t="s">
        <v>7189</v>
      </c>
      <c r="D1426" t="s">
        <v>7180</v>
      </c>
      <c r="E1426" t="s">
        <v>108</v>
      </c>
    </row>
    <row r="1427" spans="1:5">
      <c r="A1427" t="s">
        <v>6574</v>
      </c>
      <c r="B1427">
        <v>1.33</v>
      </c>
      <c r="C1427" t="s">
        <v>108</v>
      </c>
      <c r="D1427" t="s">
        <v>1867</v>
      </c>
      <c r="E1427" t="s">
        <v>108</v>
      </c>
    </row>
    <row r="1428" spans="1:5">
      <c r="A1428" t="s">
        <v>7190</v>
      </c>
      <c r="B1428">
        <v>1.53</v>
      </c>
      <c r="C1428" t="s">
        <v>108</v>
      </c>
      <c r="D1428" t="s">
        <v>1867</v>
      </c>
      <c r="E1428" t="s">
        <v>108</v>
      </c>
    </row>
    <row r="1429" spans="1:5">
      <c r="A1429" t="s">
        <v>7191</v>
      </c>
      <c r="B1429">
        <v>1.5</v>
      </c>
      <c r="C1429" t="s">
        <v>108</v>
      </c>
      <c r="D1429" t="s">
        <v>1867</v>
      </c>
      <c r="E1429" t="s">
        <v>108</v>
      </c>
    </row>
    <row r="1430" spans="1:5">
      <c r="A1430" t="s">
        <v>7192</v>
      </c>
      <c r="B1430">
        <v>1.53</v>
      </c>
      <c r="C1430" t="s">
        <v>108</v>
      </c>
      <c r="D1430" t="s">
        <v>1867</v>
      </c>
      <c r="E1430" t="s">
        <v>108</v>
      </c>
    </row>
    <row r="1431" spans="1:5">
      <c r="A1431" t="s">
        <v>7193</v>
      </c>
      <c r="B1431">
        <v>1.41</v>
      </c>
      <c r="C1431" t="s">
        <v>108</v>
      </c>
      <c r="D1431" t="s">
        <v>1867</v>
      </c>
      <c r="E1431" t="s">
        <v>108</v>
      </c>
    </row>
    <row r="1432" spans="1:5">
      <c r="A1432" t="s">
        <v>7194</v>
      </c>
      <c r="B1432">
        <v>2.15</v>
      </c>
      <c r="C1432" t="s">
        <v>3103</v>
      </c>
      <c r="D1432" t="s">
        <v>6410</v>
      </c>
      <c r="E1432" t="s">
        <v>108</v>
      </c>
    </row>
    <row r="1433" spans="1:5">
      <c r="A1433" t="s">
        <v>7195</v>
      </c>
      <c r="B1433">
        <v>2.35</v>
      </c>
      <c r="C1433" t="s">
        <v>3103</v>
      </c>
      <c r="D1433" t="s">
        <v>6410</v>
      </c>
      <c r="E1433" t="s">
        <v>108</v>
      </c>
    </row>
    <row r="1434" spans="1:5">
      <c r="A1434" t="s">
        <v>7196</v>
      </c>
      <c r="B1434">
        <v>2.7</v>
      </c>
      <c r="C1434" t="s">
        <v>3103</v>
      </c>
      <c r="D1434" t="s">
        <v>6410</v>
      </c>
      <c r="E1434" t="s">
        <v>108</v>
      </c>
    </row>
    <row r="1435" spans="1:5">
      <c r="A1435" t="s">
        <v>7197</v>
      </c>
      <c r="B1435">
        <v>2.4500000000000002</v>
      </c>
      <c r="C1435" t="s">
        <v>3103</v>
      </c>
      <c r="D1435" t="s">
        <v>6410</v>
      </c>
      <c r="E1435" t="s">
        <v>108</v>
      </c>
    </row>
    <row r="1436" spans="1:5">
      <c r="A1436" t="s">
        <v>7198</v>
      </c>
      <c r="B1436">
        <v>2.73</v>
      </c>
      <c r="C1436" t="s">
        <v>3103</v>
      </c>
      <c r="D1436" t="s">
        <v>6410</v>
      </c>
      <c r="E1436" t="s">
        <v>108</v>
      </c>
    </row>
    <row r="1437" spans="1:5">
      <c r="A1437" t="s">
        <v>7199</v>
      </c>
      <c r="B1437">
        <v>2.73</v>
      </c>
      <c r="C1437" t="s">
        <v>3103</v>
      </c>
      <c r="D1437" t="s">
        <v>6410</v>
      </c>
      <c r="E1437" t="s">
        <v>108</v>
      </c>
    </row>
    <row r="1438" spans="1:5">
      <c r="A1438" t="s">
        <v>7200</v>
      </c>
      <c r="B1438">
        <v>3.25</v>
      </c>
      <c r="C1438" t="s">
        <v>3103</v>
      </c>
      <c r="D1438" t="s">
        <v>6410</v>
      </c>
      <c r="E1438" t="s">
        <v>108</v>
      </c>
    </row>
    <row r="1439" spans="1:5">
      <c r="A1439" t="s">
        <v>7201</v>
      </c>
      <c r="B1439">
        <v>2.95</v>
      </c>
      <c r="C1439" t="s">
        <v>3103</v>
      </c>
      <c r="D1439" t="s">
        <v>6410</v>
      </c>
      <c r="E1439" t="s">
        <v>108</v>
      </c>
    </row>
    <row r="1440" spans="1:5">
      <c r="A1440" t="s">
        <v>7202</v>
      </c>
      <c r="B1440">
        <v>2.74</v>
      </c>
      <c r="C1440" t="s">
        <v>3103</v>
      </c>
      <c r="D1440" t="s">
        <v>6410</v>
      </c>
      <c r="E1440" t="s">
        <v>108</v>
      </c>
    </row>
    <row r="1441" spans="1:5">
      <c r="A1441" t="s">
        <v>7203</v>
      </c>
      <c r="B1441">
        <v>3.11</v>
      </c>
      <c r="C1441" t="s">
        <v>108</v>
      </c>
      <c r="D1441" t="s">
        <v>6410</v>
      </c>
      <c r="E1441" t="s">
        <v>108</v>
      </c>
    </row>
    <row r="1442" spans="1:5">
      <c r="A1442" t="s">
        <v>7204</v>
      </c>
      <c r="B1442">
        <v>3</v>
      </c>
      <c r="C1442" t="s">
        <v>108</v>
      </c>
      <c r="D1442" t="s">
        <v>6410</v>
      </c>
      <c r="E1442" t="s">
        <v>108</v>
      </c>
    </row>
    <row r="1443" spans="1:5">
      <c r="A1443" t="s">
        <v>7205</v>
      </c>
      <c r="B1443">
        <v>3</v>
      </c>
      <c r="C1443" t="s">
        <v>108</v>
      </c>
      <c r="D1443" t="s">
        <v>6410</v>
      </c>
      <c r="E1443" t="s">
        <v>108</v>
      </c>
    </row>
    <row r="1444" spans="1:5">
      <c r="A1444" t="s">
        <v>7206</v>
      </c>
      <c r="B1444">
        <v>2.5499999999999998</v>
      </c>
      <c r="C1444" t="s">
        <v>3103</v>
      </c>
      <c r="D1444" t="s">
        <v>6410</v>
      </c>
      <c r="E1444" t="s">
        <v>108</v>
      </c>
    </row>
    <row r="1445" spans="1:5">
      <c r="A1445" t="s">
        <v>7207</v>
      </c>
      <c r="B1445">
        <v>2.6</v>
      </c>
      <c r="C1445" t="s">
        <v>108</v>
      </c>
      <c r="D1445" t="s">
        <v>6410</v>
      </c>
      <c r="E1445" t="s">
        <v>108</v>
      </c>
    </row>
    <row r="1446" spans="1:5">
      <c r="A1446" t="s">
        <v>7208</v>
      </c>
      <c r="B1446">
        <v>2.95</v>
      </c>
      <c r="C1446" t="s">
        <v>108</v>
      </c>
      <c r="D1446" t="s">
        <v>6410</v>
      </c>
      <c r="E1446" t="s">
        <v>108</v>
      </c>
    </row>
    <row r="1447" spans="1:5">
      <c r="A1447" t="s">
        <v>7209</v>
      </c>
      <c r="B1447">
        <v>2.82</v>
      </c>
      <c r="C1447" t="s">
        <v>108</v>
      </c>
      <c r="D1447" t="s">
        <v>6410</v>
      </c>
      <c r="E1447" t="s">
        <v>108</v>
      </c>
    </row>
    <row r="1448" spans="1:5">
      <c r="A1448" t="s">
        <v>7210</v>
      </c>
      <c r="B1448">
        <v>2.82</v>
      </c>
      <c r="C1448" t="s">
        <v>108</v>
      </c>
      <c r="D1448" t="s">
        <v>6410</v>
      </c>
      <c r="E1448" t="s">
        <v>108</v>
      </c>
    </row>
    <row r="1449" spans="1:5">
      <c r="A1449" t="s">
        <v>7211</v>
      </c>
      <c r="B1449">
        <v>2.8</v>
      </c>
      <c r="C1449" t="s">
        <v>108</v>
      </c>
      <c r="D1449" t="s">
        <v>6410</v>
      </c>
      <c r="E1449" t="s">
        <v>108</v>
      </c>
    </row>
    <row r="1450" spans="1:5">
      <c r="A1450" t="s">
        <v>7212</v>
      </c>
      <c r="B1450">
        <v>2.95</v>
      </c>
      <c r="C1450" t="s">
        <v>7213</v>
      </c>
      <c r="D1450" t="s">
        <v>6410</v>
      </c>
      <c r="E1450" t="s">
        <v>108</v>
      </c>
    </row>
    <row r="1451" spans="1:5">
      <c r="A1451" t="s">
        <v>7214</v>
      </c>
      <c r="B1451">
        <v>2.64</v>
      </c>
      <c r="C1451" t="s">
        <v>7215</v>
      </c>
      <c r="D1451" t="s">
        <v>6410</v>
      </c>
      <c r="E1451" t="s">
        <v>108</v>
      </c>
    </row>
    <row r="1452" spans="1:5">
      <c r="A1452" t="s">
        <v>7216</v>
      </c>
      <c r="B1452">
        <v>2.8</v>
      </c>
      <c r="C1452" t="s">
        <v>108</v>
      </c>
      <c r="D1452" t="s">
        <v>6410</v>
      </c>
      <c r="E1452" t="s">
        <v>108</v>
      </c>
    </row>
    <row r="1453" spans="1:5">
      <c r="A1453" t="s">
        <v>7217</v>
      </c>
      <c r="B1453">
        <v>2.63</v>
      </c>
      <c r="C1453" t="s">
        <v>4501</v>
      </c>
      <c r="D1453" t="s">
        <v>6410</v>
      </c>
      <c r="E1453" t="s">
        <v>108</v>
      </c>
    </row>
    <row r="1454" spans="1:5">
      <c r="A1454" t="s">
        <v>7218</v>
      </c>
      <c r="B1454">
        <v>2.2999999999999998</v>
      </c>
      <c r="C1454" t="s">
        <v>108</v>
      </c>
      <c r="D1454" t="s">
        <v>6410</v>
      </c>
      <c r="E1454" t="s">
        <v>108</v>
      </c>
    </row>
    <row r="1455" spans="1:5">
      <c r="A1455" t="s">
        <v>7219</v>
      </c>
      <c r="B1455">
        <v>2.3199999999999998</v>
      </c>
      <c r="C1455" t="s">
        <v>108</v>
      </c>
      <c r="D1455" t="s">
        <v>6410</v>
      </c>
      <c r="E1455" t="s">
        <v>108</v>
      </c>
    </row>
    <row r="1456" spans="1:5">
      <c r="A1456" t="s">
        <v>7220</v>
      </c>
      <c r="B1456">
        <v>1.86</v>
      </c>
      <c r="C1456" t="s">
        <v>4613</v>
      </c>
      <c r="D1456" t="s">
        <v>6412</v>
      </c>
      <c r="E1456" t="s">
        <v>108</v>
      </c>
    </row>
    <row r="1457" spans="1:5">
      <c r="A1457" t="s">
        <v>7221</v>
      </c>
      <c r="B1457">
        <v>2.4</v>
      </c>
      <c r="C1457" t="s">
        <v>108</v>
      </c>
      <c r="D1457" t="s">
        <v>6410</v>
      </c>
      <c r="E1457" t="s">
        <v>108</v>
      </c>
    </row>
    <row r="1458" spans="1:5">
      <c r="A1458" t="s">
        <v>7222</v>
      </c>
      <c r="B1458">
        <v>2.25</v>
      </c>
      <c r="C1458" t="s">
        <v>2397</v>
      </c>
      <c r="D1458" t="s">
        <v>6412</v>
      </c>
      <c r="E1458" t="s">
        <v>108</v>
      </c>
    </row>
    <row r="1459" spans="1:5">
      <c r="A1459" t="s">
        <v>7223</v>
      </c>
      <c r="B1459">
        <v>3.25</v>
      </c>
      <c r="C1459" t="s">
        <v>108</v>
      </c>
      <c r="D1459" t="s">
        <v>6410</v>
      </c>
      <c r="E1459" t="s">
        <v>108</v>
      </c>
    </row>
    <row r="1460" spans="1:5">
      <c r="A1460" t="s">
        <v>7224</v>
      </c>
      <c r="B1460">
        <v>2.5299999999999998</v>
      </c>
      <c r="C1460" t="s">
        <v>7225</v>
      </c>
      <c r="D1460" t="s">
        <v>5618</v>
      </c>
      <c r="E1460" t="s">
        <v>108</v>
      </c>
    </row>
    <row r="1461" spans="1:5">
      <c r="A1461" t="s">
        <v>7226</v>
      </c>
      <c r="B1461">
        <v>2.64</v>
      </c>
      <c r="C1461" t="s">
        <v>108</v>
      </c>
      <c r="D1461" t="s">
        <v>5618</v>
      </c>
      <c r="E1461" t="s">
        <v>108</v>
      </c>
    </row>
    <row r="1462" spans="1:5">
      <c r="A1462" t="s">
        <v>7227</v>
      </c>
      <c r="B1462">
        <v>3.3</v>
      </c>
      <c r="C1462" t="s">
        <v>3461</v>
      </c>
      <c r="D1462" t="s">
        <v>6412</v>
      </c>
      <c r="E1462" t="s">
        <v>108</v>
      </c>
    </row>
    <row r="1463" spans="1:5">
      <c r="A1463" t="s">
        <v>7228</v>
      </c>
      <c r="B1463">
        <v>3.4</v>
      </c>
      <c r="C1463" t="s">
        <v>4617</v>
      </c>
      <c r="D1463" t="s">
        <v>6412</v>
      </c>
      <c r="E1463" t="s">
        <v>108</v>
      </c>
    </row>
    <row r="1464" spans="1:5">
      <c r="A1464" t="s">
        <v>7229</v>
      </c>
      <c r="B1464">
        <v>3</v>
      </c>
      <c r="C1464" t="s">
        <v>3117</v>
      </c>
      <c r="D1464" t="s">
        <v>6412</v>
      </c>
      <c r="E1464" t="s">
        <v>108</v>
      </c>
    </row>
    <row r="1465" spans="1:5">
      <c r="A1465" t="s">
        <v>7230</v>
      </c>
      <c r="B1465">
        <v>2.83</v>
      </c>
      <c r="C1465" t="s">
        <v>5126</v>
      </c>
      <c r="D1465" t="s">
        <v>6412</v>
      </c>
      <c r="E1465" t="s">
        <v>108</v>
      </c>
    </row>
    <row r="1466" spans="1:5">
      <c r="A1466" t="s">
        <v>7231</v>
      </c>
      <c r="B1466">
        <v>3.15</v>
      </c>
      <c r="C1466" t="s">
        <v>108</v>
      </c>
      <c r="D1466" t="s">
        <v>6412</v>
      </c>
      <c r="E1466" t="s">
        <v>108</v>
      </c>
    </row>
    <row r="1467" spans="1:5">
      <c r="A1467" t="s">
        <v>7232</v>
      </c>
      <c r="B1467">
        <v>3.2</v>
      </c>
      <c r="C1467" t="s">
        <v>108</v>
      </c>
      <c r="D1467" t="s">
        <v>6410</v>
      </c>
      <c r="E1467" t="s">
        <v>108</v>
      </c>
    </row>
    <row r="1468" spans="1:5">
      <c r="A1468" t="s">
        <v>7233</v>
      </c>
      <c r="B1468">
        <v>2.9</v>
      </c>
      <c r="C1468" t="s">
        <v>108</v>
      </c>
      <c r="D1468" t="s">
        <v>6412</v>
      </c>
      <c r="E1468" t="s">
        <v>108</v>
      </c>
    </row>
    <row r="1469" spans="1:5">
      <c r="A1469" t="s">
        <v>7234</v>
      </c>
      <c r="B1469">
        <v>2.8</v>
      </c>
      <c r="C1469" t="s">
        <v>5617</v>
      </c>
      <c r="D1469" t="s">
        <v>6410</v>
      </c>
      <c r="E1469" t="s">
        <v>108</v>
      </c>
    </row>
    <row r="1470" spans="1:5">
      <c r="A1470" t="s">
        <v>7235</v>
      </c>
      <c r="B1470">
        <v>2.78</v>
      </c>
      <c r="C1470" t="s">
        <v>5620</v>
      </c>
      <c r="D1470" t="s">
        <v>6410</v>
      </c>
      <c r="E1470" t="s">
        <v>108</v>
      </c>
    </row>
    <row r="1471" spans="1:5">
      <c r="A1471" t="s">
        <v>7236</v>
      </c>
      <c r="B1471">
        <v>3.3</v>
      </c>
      <c r="C1471" t="s">
        <v>108</v>
      </c>
      <c r="D1471" t="s">
        <v>6412</v>
      </c>
      <c r="E1471" t="s">
        <v>108</v>
      </c>
    </row>
    <row r="1472" spans="1:5">
      <c r="A1472" t="s">
        <v>7237</v>
      </c>
      <c r="B1472">
        <v>2.64</v>
      </c>
      <c r="C1472" t="s">
        <v>108</v>
      </c>
      <c r="D1472" t="s">
        <v>5618</v>
      </c>
      <c r="E1472" t="s">
        <v>108</v>
      </c>
    </row>
    <row r="1473" spans="1:5">
      <c r="A1473" t="s">
        <v>7238</v>
      </c>
      <c r="B1473">
        <v>2.94</v>
      </c>
      <c r="C1473" t="s">
        <v>108</v>
      </c>
      <c r="D1473" t="s">
        <v>6412</v>
      </c>
      <c r="E1473" t="s">
        <v>108</v>
      </c>
    </row>
    <row r="1474" spans="1:5">
      <c r="A1474" t="s">
        <v>7239</v>
      </c>
      <c r="B1474">
        <v>2.25</v>
      </c>
      <c r="C1474" t="s">
        <v>108</v>
      </c>
      <c r="D1474" t="s">
        <v>6412</v>
      </c>
      <c r="E1474" t="s">
        <v>108</v>
      </c>
    </row>
    <row r="1475" spans="1:5">
      <c r="A1475" t="s">
        <v>7240</v>
      </c>
      <c r="B1475">
        <v>2.25</v>
      </c>
      <c r="C1475" t="s">
        <v>108</v>
      </c>
      <c r="D1475" t="s">
        <v>6412</v>
      </c>
      <c r="E1475" t="s">
        <v>108</v>
      </c>
    </row>
    <row r="1476" spans="1:5">
      <c r="A1476" t="s">
        <v>7241</v>
      </c>
      <c r="B1476">
        <v>2.85</v>
      </c>
      <c r="C1476" t="s">
        <v>108</v>
      </c>
      <c r="D1476" t="s">
        <v>6412</v>
      </c>
      <c r="E1476" t="s">
        <v>108</v>
      </c>
    </row>
    <row r="1477" spans="1:5">
      <c r="A1477" t="s">
        <v>7242</v>
      </c>
      <c r="B1477">
        <v>2.99</v>
      </c>
      <c r="C1477" t="s">
        <v>108</v>
      </c>
      <c r="D1477" t="s">
        <v>6412</v>
      </c>
      <c r="E1477" t="s">
        <v>108</v>
      </c>
    </row>
    <row r="1478" spans="1:5">
      <c r="A1478" t="s">
        <v>7243</v>
      </c>
      <c r="B1478">
        <v>2.93</v>
      </c>
      <c r="C1478" t="s">
        <v>108</v>
      </c>
      <c r="D1478" t="s">
        <v>6412</v>
      </c>
      <c r="E1478" t="s">
        <v>108</v>
      </c>
    </row>
    <row r="1479" spans="1:5">
      <c r="A1479" t="s">
        <v>7244</v>
      </c>
      <c r="B1479">
        <v>2.84</v>
      </c>
      <c r="C1479" t="s">
        <v>108</v>
      </c>
      <c r="D1479" t="s">
        <v>6410</v>
      </c>
      <c r="E1479" t="s">
        <v>108</v>
      </c>
    </row>
    <row r="1480" spans="1:5">
      <c r="A1480" t="s">
        <v>7245</v>
      </c>
      <c r="B1480">
        <v>2.69</v>
      </c>
      <c r="C1480" t="s">
        <v>108</v>
      </c>
      <c r="D1480" t="s">
        <v>6412</v>
      </c>
      <c r="E1480" t="s">
        <v>108</v>
      </c>
    </row>
    <row r="1481" spans="1:5">
      <c r="A1481" t="s">
        <v>7246</v>
      </c>
      <c r="B1481">
        <v>2.69</v>
      </c>
      <c r="C1481" t="s">
        <v>108</v>
      </c>
      <c r="D1481" t="s">
        <v>6412</v>
      </c>
      <c r="E1481" t="s">
        <v>108</v>
      </c>
    </row>
    <row r="1482" spans="1:5">
      <c r="A1482" t="s">
        <v>7247</v>
      </c>
      <c r="B1482">
        <v>2.77</v>
      </c>
      <c r="C1482" t="s">
        <v>108</v>
      </c>
      <c r="D1482" t="s">
        <v>6412</v>
      </c>
      <c r="E1482" t="s">
        <v>108</v>
      </c>
    </row>
    <row r="1483" spans="1:5">
      <c r="A1483" t="s">
        <v>7248</v>
      </c>
      <c r="B1483">
        <v>2.5</v>
      </c>
      <c r="C1483" t="s">
        <v>108</v>
      </c>
      <c r="D1483" t="s">
        <v>6429</v>
      </c>
      <c r="E1483" t="s">
        <v>108</v>
      </c>
    </row>
    <row r="1484" spans="1:5">
      <c r="A1484" t="s">
        <v>7249</v>
      </c>
      <c r="B1484">
        <v>2.9</v>
      </c>
      <c r="C1484" t="s">
        <v>108</v>
      </c>
      <c r="D1484" t="s">
        <v>6412</v>
      </c>
      <c r="E1484" t="s">
        <v>108</v>
      </c>
    </row>
    <row r="1485" spans="1:5">
      <c r="A1485" t="s">
        <v>7250</v>
      </c>
      <c r="B1485">
        <v>3.1</v>
      </c>
      <c r="C1485" t="s">
        <v>7251</v>
      </c>
      <c r="D1485" t="s">
        <v>6412</v>
      </c>
      <c r="E1485" t="s">
        <v>108</v>
      </c>
    </row>
    <row r="1486" spans="1:5">
      <c r="A1486" t="s">
        <v>7252</v>
      </c>
      <c r="B1486">
        <v>2.89</v>
      </c>
      <c r="C1486" t="s">
        <v>108</v>
      </c>
      <c r="D1486" t="s">
        <v>6249</v>
      </c>
      <c r="E1486" t="s">
        <v>108</v>
      </c>
    </row>
    <row r="1487" spans="1:5">
      <c r="A1487" t="s">
        <v>7253</v>
      </c>
      <c r="B1487">
        <v>2.66</v>
      </c>
      <c r="C1487" t="s">
        <v>5620</v>
      </c>
      <c r="D1487" t="s">
        <v>6249</v>
      </c>
      <c r="E1487" t="s">
        <v>108</v>
      </c>
    </row>
    <row r="1488" spans="1:5">
      <c r="A1488" t="s">
        <v>7254</v>
      </c>
      <c r="B1488">
        <v>3.15</v>
      </c>
      <c r="C1488" t="s">
        <v>4617</v>
      </c>
      <c r="D1488" t="s">
        <v>5618</v>
      </c>
      <c r="E1488" t="s">
        <v>7255</v>
      </c>
    </row>
    <row r="1489" spans="1:5">
      <c r="A1489" t="s">
        <v>7256</v>
      </c>
      <c r="B1489">
        <v>2</v>
      </c>
      <c r="C1489" t="s">
        <v>3863</v>
      </c>
      <c r="D1489" t="s">
        <v>5606</v>
      </c>
      <c r="E1489" t="s">
        <v>108</v>
      </c>
    </row>
    <row r="1490" spans="1:5">
      <c r="A1490" t="s">
        <v>7257</v>
      </c>
      <c r="B1490">
        <v>2.93</v>
      </c>
      <c r="C1490" t="s">
        <v>5617</v>
      </c>
      <c r="D1490" t="s">
        <v>6249</v>
      </c>
      <c r="E1490" t="s">
        <v>108</v>
      </c>
    </row>
    <row r="1491" spans="1:5">
      <c r="A1491" t="s">
        <v>7258</v>
      </c>
      <c r="B1491">
        <v>2.93</v>
      </c>
      <c r="C1491" t="s">
        <v>5617</v>
      </c>
      <c r="D1491" t="s">
        <v>6249</v>
      </c>
      <c r="E1491" t="s">
        <v>108</v>
      </c>
    </row>
    <row r="1492" spans="1:5">
      <c r="A1492" t="s">
        <v>7259</v>
      </c>
      <c r="B1492">
        <v>2.29</v>
      </c>
      <c r="C1492" t="s">
        <v>7260</v>
      </c>
      <c r="D1492" t="s">
        <v>6249</v>
      </c>
      <c r="E1492" t="s">
        <v>108</v>
      </c>
    </row>
    <row r="1493" spans="1:5">
      <c r="A1493" t="s">
        <v>7261</v>
      </c>
      <c r="B1493">
        <v>2.1</v>
      </c>
      <c r="C1493" t="s">
        <v>7262</v>
      </c>
      <c r="D1493" t="s">
        <v>6412</v>
      </c>
      <c r="E1493" t="s">
        <v>108</v>
      </c>
    </row>
    <row r="1494" spans="1:5">
      <c r="A1494" t="s">
        <v>7263</v>
      </c>
      <c r="B1494">
        <v>2.4500000000000002</v>
      </c>
      <c r="C1494" t="s">
        <v>4613</v>
      </c>
      <c r="D1494" t="s">
        <v>6412</v>
      </c>
      <c r="E1494" t="s">
        <v>108</v>
      </c>
    </row>
    <row r="1495" spans="1:5">
      <c r="A1495" t="s">
        <v>7264</v>
      </c>
      <c r="B1495">
        <v>2.2999999999999998</v>
      </c>
      <c r="C1495" t="s">
        <v>4461</v>
      </c>
      <c r="D1495" t="s">
        <v>6412</v>
      </c>
      <c r="E1495" t="s">
        <v>108</v>
      </c>
    </row>
    <row r="1496" spans="1:5">
      <c r="A1496" t="s">
        <v>7265</v>
      </c>
      <c r="B1496">
        <v>2.2799999999999998</v>
      </c>
      <c r="C1496" t="s">
        <v>7262</v>
      </c>
      <c r="D1496" t="s">
        <v>6412</v>
      </c>
      <c r="E1496" t="s">
        <v>108</v>
      </c>
    </row>
    <row r="1497" spans="1:5">
      <c r="A1497" t="s">
        <v>7266</v>
      </c>
      <c r="B1497">
        <v>2.64</v>
      </c>
      <c r="C1497" t="s">
        <v>3117</v>
      </c>
      <c r="D1497" t="s">
        <v>6412</v>
      </c>
      <c r="E1497" t="s">
        <v>108</v>
      </c>
    </row>
    <row r="1498" spans="1:5">
      <c r="A1498" t="s">
        <v>7267</v>
      </c>
      <c r="B1498">
        <v>2.58</v>
      </c>
      <c r="C1498" t="s">
        <v>108</v>
      </c>
      <c r="D1498" t="s">
        <v>6412</v>
      </c>
      <c r="E1498" t="s">
        <v>108</v>
      </c>
    </row>
    <row r="1499" spans="1:5">
      <c r="A1499" t="s">
        <v>7268</v>
      </c>
      <c r="B1499">
        <v>3.16</v>
      </c>
      <c r="C1499" t="s">
        <v>2690</v>
      </c>
      <c r="D1499" t="s">
        <v>6412</v>
      </c>
      <c r="E1499" t="s">
        <v>7269</v>
      </c>
    </row>
    <row r="1500" spans="1:5">
      <c r="A1500" t="s">
        <v>7270</v>
      </c>
      <c r="B1500">
        <v>3.1</v>
      </c>
      <c r="C1500" t="s">
        <v>108</v>
      </c>
      <c r="D1500" t="s">
        <v>6412</v>
      </c>
      <c r="E1500" t="s">
        <v>108</v>
      </c>
    </row>
    <row r="1501" spans="1:5">
      <c r="A1501" t="s">
        <v>7271</v>
      </c>
      <c r="B1501">
        <v>3.01</v>
      </c>
      <c r="C1501" t="s">
        <v>7117</v>
      </c>
      <c r="D1501" t="s">
        <v>7272</v>
      </c>
      <c r="E1501" t="s">
        <v>7118</v>
      </c>
    </row>
    <row r="1502" spans="1:5">
      <c r="A1502" t="s">
        <v>7273</v>
      </c>
      <c r="B1502">
        <v>2.5</v>
      </c>
      <c r="C1502" t="s">
        <v>3687</v>
      </c>
      <c r="D1502" t="s">
        <v>6412</v>
      </c>
      <c r="E1502" t="s">
        <v>108</v>
      </c>
    </row>
    <row r="1503" spans="1:5">
      <c r="A1503" t="s">
        <v>7274</v>
      </c>
      <c r="B1503">
        <v>2.4700000000000002</v>
      </c>
      <c r="C1503" t="s">
        <v>108</v>
      </c>
      <c r="D1503" t="s">
        <v>6410</v>
      </c>
      <c r="E1503" t="s">
        <v>108</v>
      </c>
    </row>
    <row r="1504" spans="1:5">
      <c r="A1504" t="s">
        <v>7275</v>
      </c>
      <c r="B1504">
        <v>3.75</v>
      </c>
      <c r="C1504" t="s">
        <v>4621</v>
      </c>
      <c r="D1504" t="s">
        <v>6412</v>
      </c>
      <c r="E1504" t="s">
        <v>108</v>
      </c>
    </row>
    <row r="1505" spans="1:5">
      <c r="A1505" t="s">
        <v>7276</v>
      </c>
      <c r="B1505">
        <v>3.75</v>
      </c>
      <c r="C1505" t="s">
        <v>3461</v>
      </c>
      <c r="D1505" t="s">
        <v>6412</v>
      </c>
      <c r="E1505" t="s">
        <v>108</v>
      </c>
    </row>
    <row r="1506" spans="1:5">
      <c r="A1506" t="s">
        <v>7277</v>
      </c>
      <c r="B1506">
        <v>3.23</v>
      </c>
      <c r="C1506" t="s">
        <v>4097</v>
      </c>
      <c r="D1506" t="s">
        <v>6412</v>
      </c>
      <c r="E1506" t="s">
        <v>108</v>
      </c>
    </row>
    <row r="1507" spans="1:5">
      <c r="A1507" t="s">
        <v>7278</v>
      </c>
      <c r="B1507">
        <v>1.8</v>
      </c>
      <c r="C1507" t="s">
        <v>7279</v>
      </c>
      <c r="D1507" t="s">
        <v>6557</v>
      </c>
      <c r="E1507" t="s">
        <v>108</v>
      </c>
    </row>
    <row r="1508" spans="1:5">
      <c r="A1508" t="s">
        <v>7280</v>
      </c>
      <c r="B1508">
        <v>1.55</v>
      </c>
      <c r="C1508" t="s">
        <v>7281</v>
      </c>
      <c r="D1508" t="s">
        <v>6272</v>
      </c>
      <c r="E1508" t="s">
        <v>108</v>
      </c>
    </row>
    <row r="1509" spans="1:5">
      <c r="A1509" t="s">
        <v>7282</v>
      </c>
      <c r="B1509">
        <v>2.73</v>
      </c>
      <c r="C1509" t="s">
        <v>4776</v>
      </c>
      <c r="D1509" t="s">
        <v>7283</v>
      </c>
      <c r="E1509" t="s">
        <v>7284</v>
      </c>
    </row>
    <row r="1510" spans="1:5">
      <c r="A1510" t="s">
        <v>7285</v>
      </c>
      <c r="B1510">
        <v>2.73</v>
      </c>
      <c r="C1510" t="s">
        <v>4218</v>
      </c>
      <c r="D1510" t="s">
        <v>7283</v>
      </c>
      <c r="E1510" t="s">
        <v>7284</v>
      </c>
    </row>
    <row r="1511" spans="1:5">
      <c r="A1511" t="s">
        <v>7286</v>
      </c>
      <c r="B1511">
        <v>2.67</v>
      </c>
      <c r="C1511" t="s">
        <v>6451</v>
      </c>
      <c r="D1511" t="s">
        <v>6308</v>
      </c>
      <c r="E1511" t="s">
        <v>108</v>
      </c>
    </row>
    <row r="1512" spans="1:5">
      <c r="A1512" t="s">
        <v>7287</v>
      </c>
      <c r="B1512">
        <v>1.8</v>
      </c>
      <c r="C1512" t="s">
        <v>3117</v>
      </c>
      <c r="D1512" t="s">
        <v>6249</v>
      </c>
      <c r="E1512" t="s">
        <v>108</v>
      </c>
    </row>
    <row r="1513" spans="1:5">
      <c r="A1513" t="s">
        <v>7288</v>
      </c>
      <c r="B1513">
        <v>1.7</v>
      </c>
      <c r="C1513" t="s">
        <v>3525</v>
      </c>
      <c r="D1513" t="s">
        <v>6249</v>
      </c>
      <c r="E1513" t="s">
        <v>6929</v>
      </c>
    </row>
    <row r="1514" spans="1:5">
      <c r="A1514" t="s">
        <v>7289</v>
      </c>
      <c r="B1514">
        <v>1.7</v>
      </c>
      <c r="C1514" t="s">
        <v>3662</v>
      </c>
      <c r="D1514" t="s">
        <v>7290</v>
      </c>
      <c r="E1514" t="s">
        <v>6929</v>
      </c>
    </row>
    <row r="1515" spans="1:5">
      <c r="A1515" t="s">
        <v>7291</v>
      </c>
      <c r="B1515">
        <v>1.6</v>
      </c>
      <c r="C1515" t="s">
        <v>108</v>
      </c>
      <c r="D1515" t="s">
        <v>7292</v>
      </c>
      <c r="E1515" t="s">
        <v>108</v>
      </c>
    </row>
    <row r="1516" spans="1:5">
      <c r="A1516" t="s">
        <v>7293</v>
      </c>
      <c r="B1516">
        <v>1.8</v>
      </c>
      <c r="C1516" t="s">
        <v>108</v>
      </c>
      <c r="D1516" t="s">
        <v>7292</v>
      </c>
      <c r="E1516" t="s">
        <v>7294</v>
      </c>
    </row>
    <row r="1517" spans="1:5">
      <c r="A1517" t="s">
        <v>7295</v>
      </c>
      <c r="B1517">
        <v>1.8</v>
      </c>
      <c r="C1517" t="s">
        <v>108</v>
      </c>
      <c r="D1517" t="s">
        <v>7292</v>
      </c>
      <c r="E1517" t="s">
        <v>7294</v>
      </c>
    </row>
    <row r="1518" spans="1:5">
      <c r="A1518" t="s">
        <v>7296</v>
      </c>
      <c r="B1518">
        <v>1.6</v>
      </c>
      <c r="C1518" t="s">
        <v>108</v>
      </c>
      <c r="D1518" t="s">
        <v>6916</v>
      </c>
      <c r="E1518" t="s">
        <v>108</v>
      </c>
    </row>
    <row r="1519" spans="1:5">
      <c r="A1519" t="s">
        <v>7297</v>
      </c>
      <c r="B1519">
        <v>1.96</v>
      </c>
      <c r="C1519" t="s">
        <v>5102</v>
      </c>
      <c r="D1519" t="s">
        <v>7298</v>
      </c>
      <c r="E1519" t="s">
        <v>108</v>
      </c>
    </row>
    <row r="1520" spans="1:5">
      <c r="A1520" t="s">
        <v>7299</v>
      </c>
      <c r="B1520">
        <v>1.92</v>
      </c>
      <c r="C1520" t="s">
        <v>5102</v>
      </c>
      <c r="D1520" t="s">
        <v>7298</v>
      </c>
      <c r="E1520" t="s">
        <v>108</v>
      </c>
    </row>
    <row r="1521" spans="1:5">
      <c r="A1521" t="s">
        <v>7300</v>
      </c>
      <c r="B1521">
        <v>2.2000000000000002</v>
      </c>
      <c r="C1521" t="s">
        <v>5338</v>
      </c>
      <c r="D1521" t="s">
        <v>7298</v>
      </c>
      <c r="E1521" t="s">
        <v>108</v>
      </c>
    </row>
    <row r="1522" spans="1:5">
      <c r="A1522" t="s">
        <v>7301</v>
      </c>
      <c r="B1522">
        <v>1.99</v>
      </c>
      <c r="C1522" t="s">
        <v>5338</v>
      </c>
      <c r="D1522" t="s">
        <v>7298</v>
      </c>
      <c r="E1522" t="s">
        <v>108</v>
      </c>
    </row>
    <row r="1523" spans="1:5">
      <c r="A1523" t="s">
        <v>7302</v>
      </c>
      <c r="B1523">
        <v>2.23</v>
      </c>
      <c r="C1523" t="s">
        <v>5338</v>
      </c>
      <c r="D1523" t="s">
        <v>7298</v>
      </c>
      <c r="E1523" t="s">
        <v>108</v>
      </c>
    </row>
    <row r="1524" spans="1:5">
      <c r="A1524" t="s">
        <v>7303</v>
      </c>
      <c r="B1524">
        <v>2.23</v>
      </c>
      <c r="C1524" t="s">
        <v>5338</v>
      </c>
      <c r="D1524" t="s">
        <v>7298</v>
      </c>
      <c r="E1524" t="s">
        <v>108</v>
      </c>
    </row>
    <row r="1525" spans="1:5">
      <c r="A1525" t="s">
        <v>7304</v>
      </c>
      <c r="B1525">
        <v>2.15</v>
      </c>
      <c r="C1525" t="s">
        <v>5102</v>
      </c>
      <c r="D1525" t="s">
        <v>7298</v>
      </c>
      <c r="E1525" t="s">
        <v>108</v>
      </c>
    </row>
    <row r="1526" spans="1:5">
      <c r="A1526" t="s">
        <v>7305</v>
      </c>
      <c r="B1526">
        <v>1.9</v>
      </c>
      <c r="C1526" t="s">
        <v>108</v>
      </c>
      <c r="D1526" t="s">
        <v>7298</v>
      </c>
      <c r="E1526" t="s">
        <v>108</v>
      </c>
    </row>
    <row r="1527" spans="1:5">
      <c r="A1527" t="s">
        <v>7306</v>
      </c>
      <c r="B1527">
        <v>2.12</v>
      </c>
      <c r="C1527" t="s">
        <v>5102</v>
      </c>
      <c r="D1527" t="s">
        <v>7298</v>
      </c>
      <c r="E1527" t="s">
        <v>108</v>
      </c>
    </row>
    <row r="1528" spans="1:5">
      <c r="A1528" t="s">
        <v>7307</v>
      </c>
      <c r="B1528">
        <v>2.2599999999999998</v>
      </c>
      <c r="C1528" t="s">
        <v>5338</v>
      </c>
      <c r="D1528" t="s">
        <v>7298</v>
      </c>
      <c r="E1528" t="s">
        <v>108</v>
      </c>
    </row>
    <row r="1529" spans="1:5">
      <c r="A1529" t="s">
        <v>7308</v>
      </c>
      <c r="B1529">
        <v>2.27</v>
      </c>
      <c r="C1529" t="s">
        <v>5102</v>
      </c>
      <c r="D1529" t="s">
        <v>7298</v>
      </c>
      <c r="E1529" t="s">
        <v>108</v>
      </c>
    </row>
    <row r="1530" spans="1:5">
      <c r="A1530" t="s">
        <v>7309</v>
      </c>
      <c r="B1530">
        <v>2.2400000000000002</v>
      </c>
      <c r="C1530" t="s">
        <v>5338</v>
      </c>
      <c r="D1530" t="s">
        <v>7298</v>
      </c>
      <c r="E1530" t="s">
        <v>108</v>
      </c>
    </row>
    <row r="1531" spans="1:5">
      <c r="A1531" t="s">
        <v>7310</v>
      </c>
      <c r="B1531">
        <v>2.2400000000000002</v>
      </c>
      <c r="C1531" t="s">
        <v>4613</v>
      </c>
      <c r="D1531" t="s">
        <v>7298</v>
      </c>
      <c r="E1531" t="s">
        <v>108</v>
      </c>
    </row>
    <row r="1532" spans="1:5">
      <c r="A1532" t="s">
        <v>7311</v>
      </c>
      <c r="B1532">
        <v>2.2400000000000002</v>
      </c>
      <c r="C1532" t="s">
        <v>5338</v>
      </c>
      <c r="D1532" t="s">
        <v>7298</v>
      </c>
      <c r="E1532" t="s">
        <v>108</v>
      </c>
    </row>
    <row r="1533" spans="1:5">
      <c r="A1533" t="s">
        <v>7312</v>
      </c>
      <c r="B1533">
        <v>2.2999999999999998</v>
      </c>
      <c r="C1533" t="s">
        <v>5338</v>
      </c>
      <c r="D1533" t="s">
        <v>7298</v>
      </c>
      <c r="E1533" t="s">
        <v>108</v>
      </c>
    </row>
    <row r="1534" spans="1:5">
      <c r="A1534" t="s">
        <v>7313</v>
      </c>
      <c r="B1534">
        <v>2.2599999999999998</v>
      </c>
      <c r="C1534" t="s">
        <v>5338</v>
      </c>
      <c r="D1534" t="s">
        <v>7298</v>
      </c>
      <c r="E1534" t="s">
        <v>108</v>
      </c>
    </row>
    <row r="1535" spans="1:5">
      <c r="A1535" t="s">
        <v>7314</v>
      </c>
      <c r="B1535">
        <v>2</v>
      </c>
      <c r="C1535" t="s">
        <v>108</v>
      </c>
      <c r="D1535" t="s">
        <v>7298</v>
      </c>
      <c r="E1535" t="s">
        <v>108</v>
      </c>
    </row>
    <row r="1536" spans="1:5">
      <c r="A1536" t="s">
        <v>7315</v>
      </c>
      <c r="B1536">
        <v>1.9</v>
      </c>
      <c r="C1536" t="s">
        <v>108</v>
      </c>
      <c r="D1536" t="s">
        <v>7298</v>
      </c>
      <c r="E1536" t="s">
        <v>108</v>
      </c>
    </row>
    <row r="1537" spans="1:5">
      <c r="A1537" t="s">
        <v>7316</v>
      </c>
      <c r="B1537">
        <v>2.21</v>
      </c>
      <c r="C1537" t="s">
        <v>4613</v>
      </c>
      <c r="D1537" t="s">
        <v>7298</v>
      </c>
      <c r="E1537" t="s">
        <v>108</v>
      </c>
    </row>
    <row r="1538" spans="1:5">
      <c r="A1538" t="s">
        <v>7317</v>
      </c>
      <c r="B1538">
        <v>2.1</v>
      </c>
      <c r="C1538" t="s">
        <v>4935</v>
      </c>
      <c r="D1538" t="s">
        <v>7298</v>
      </c>
      <c r="E1538" t="s">
        <v>108</v>
      </c>
    </row>
    <row r="1539" spans="1:5">
      <c r="A1539" t="s">
        <v>7318</v>
      </c>
      <c r="B1539">
        <v>2.1800000000000002</v>
      </c>
      <c r="C1539" t="s">
        <v>5338</v>
      </c>
      <c r="D1539" t="s">
        <v>7298</v>
      </c>
      <c r="E1539" t="s">
        <v>108</v>
      </c>
    </row>
    <row r="1540" spans="1:5">
      <c r="A1540" t="s">
        <v>7319</v>
      </c>
      <c r="B1540">
        <v>2.06</v>
      </c>
      <c r="C1540" t="s">
        <v>5102</v>
      </c>
      <c r="D1540" t="s">
        <v>7298</v>
      </c>
      <c r="E1540" t="s">
        <v>108</v>
      </c>
    </row>
    <row r="1541" spans="1:5">
      <c r="A1541" t="s">
        <v>7320</v>
      </c>
      <c r="B1541">
        <v>2.23</v>
      </c>
      <c r="C1541" t="s">
        <v>7321</v>
      </c>
      <c r="D1541" t="s">
        <v>7298</v>
      </c>
      <c r="E1541" t="s">
        <v>108</v>
      </c>
    </row>
    <row r="1542" spans="1:5">
      <c r="A1542" t="s">
        <v>7322</v>
      </c>
      <c r="B1542">
        <v>2.31</v>
      </c>
      <c r="C1542" t="s">
        <v>5102</v>
      </c>
      <c r="D1542" t="s">
        <v>7298</v>
      </c>
      <c r="E1542" t="s">
        <v>108</v>
      </c>
    </row>
    <row r="1543" spans="1:5">
      <c r="A1543" t="s">
        <v>7323</v>
      </c>
      <c r="B1543">
        <v>2.2200000000000002</v>
      </c>
      <c r="C1543" t="s">
        <v>7324</v>
      </c>
      <c r="D1543" t="s">
        <v>7298</v>
      </c>
      <c r="E1543" t="s">
        <v>108</v>
      </c>
    </row>
    <row r="1544" spans="1:5">
      <c r="A1544" t="s">
        <v>7325</v>
      </c>
      <c r="B1544">
        <v>2.3199999999999998</v>
      </c>
      <c r="C1544" t="s">
        <v>5338</v>
      </c>
      <c r="D1544" t="s">
        <v>7298</v>
      </c>
      <c r="E1544" t="s">
        <v>108</v>
      </c>
    </row>
    <row r="1545" spans="1:5">
      <c r="A1545" t="s">
        <v>7326</v>
      </c>
      <c r="B1545">
        <v>2.35</v>
      </c>
      <c r="C1545" t="s">
        <v>5338</v>
      </c>
      <c r="D1545" t="s">
        <v>7298</v>
      </c>
      <c r="E1545" t="s">
        <v>108</v>
      </c>
    </row>
    <row r="1546" spans="1:5">
      <c r="A1546" t="s">
        <v>7327</v>
      </c>
      <c r="B1546">
        <v>2.33</v>
      </c>
      <c r="C1546" t="s">
        <v>7324</v>
      </c>
      <c r="D1546" t="s">
        <v>7298</v>
      </c>
      <c r="E1546" t="s">
        <v>108</v>
      </c>
    </row>
    <row r="1547" spans="1:5">
      <c r="A1547" t="s">
        <v>7328</v>
      </c>
      <c r="B1547">
        <v>2.27</v>
      </c>
      <c r="C1547" t="s">
        <v>5338</v>
      </c>
      <c r="D1547" t="s">
        <v>7298</v>
      </c>
      <c r="E1547" t="s">
        <v>108</v>
      </c>
    </row>
    <row r="1548" spans="1:5">
      <c r="A1548" t="s">
        <v>7329</v>
      </c>
      <c r="B1548">
        <v>2</v>
      </c>
      <c r="C1548" t="s">
        <v>108</v>
      </c>
      <c r="D1548" t="s">
        <v>7298</v>
      </c>
      <c r="E1548" t="s">
        <v>108</v>
      </c>
    </row>
    <row r="1549" spans="1:5">
      <c r="A1549" t="s">
        <v>7330</v>
      </c>
      <c r="B1549">
        <v>1.95</v>
      </c>
      <c r="C1549" t="s">
        <v>108</v>
      </c>
      <c r="D1549" t="s">
        <v>7298</v>
      </c>
      <c r="E1549" t="s">
        <v>108</v>
      </c>
    </row>
    <row r="1550" spans="1:5">
      <c r="A1550" t="s">
        <v>7331</v>
      </c>
      <c r="B1550">
        <v>2.13</v>
      </c>
      <c r="C1550" t="s">
        <v>4613</v>
      </c>
      <c r="D1550" t="s">
        <v>7298</v>
      </c>
      <c r="E1550" t="s">
        <v>108</v>
      </c>
    </row>
    <row r="1551" spans="1:5">
      <c r="A1551" t="s">
        <v>7332</v>
      </c>
      <c r="B1551">
        <v>2.12</v>
      </c>
      <c r="C1551" t="s">
        <v>4613</v>
      </c>
      <c r="D1551" t="s">
        <v>7298</v>
      </c>
      <c r="E1551" t="s">
        <v>108</v>
      </c>
    </row>
    <row r="1552" spans="1:5">
      <c r="A1552" t="s">
        <v>7333</v>
      </c>
      <c r="B1552">
        <v>1.9</v>
      </c>
      <c r="C1552" t="s">
        <v>108</v>
      </c>
      <c r="D1552" t="s">
        <v>7298</v>
      </c>
      <c r="E1552" t="s">
        <v>108</v>
      </c>
    </row>
    <row r="1553" spans="1:5">
      <c r="A1553" t="s">
        <v>7334</v>
      </c>
      <c r="B1553">
        <v>1.9</v>
      </c>
      <c r="C1553" t="s">
        <v>108</v>
      </c>
      <c r="D1553" t="s">
        <v>7298</v>
      </c>
      <c r="E1553" t="s">
        <v>108</v>
      </c>
    </row>
    <row r="1554" spans="1:5">
      <c r="A1554" t="s">
        <v>7335</v>
      </c>
      <c r="B1554">
        <v>1.96</v>
      </c>
      <c r="C1554" t="s">
        <v>5102</v>
      </c>
      <c r="D1554" t="s">
        <v>7298</v>
      </c>
      <c r="E1554" t="s">
        <v>108</v>
      </c>
    </row>
    <row r="1555" spans="1:5">
      <c r="A1555" t="s">
        <v>7336</v>
      </c>
      <c r="B1555">
        <v>1.95</v>
      </c>
      <c r="C1555" t="s">
        <v>5338</v>
      </c>
      <c r="D1555" t="s">
        <v>7298</v>
      </c>
      <c r="E1555" t="s">
        <v>108</v>
      </c>
    </row>
    <row r="1556" spans="1:5">
      <c r="A1556" t="s">
        <v>7337</v>
      </c>
      <c r="B1556">
        <v>1.9</v>
      </c>
      <c r="C1556" t="s">
        <v>108</v>
      </c>
      <c r="D1556" t="s">
        <v>7298</v>
      </c>
      <c r="E1556" t="s">
        <v>108</v>
      </c>
    </row>
    <row r="1557" spans="1:5">
      <c r="A1557" t="s">
        <v>7338</v>
      </c>
      <c r="B1557">
        <v>2.1800000000000002</v>
      </c>
      <c r="C1557" t="s">
        <v>108</v>
      </c>
      <c r="D1557" t="s">
        <v>7298</v>
      </c>
      <c r="E1557" t="s">
        <v>108</v>
      </c>
    </row>
    <row r="1558" spans="1:5">
      <c r="A1558" t="s">
        <v>7339</v>
      </c>
      <c r="B1558">
        <v>1.9</v>
      </c>
      <c r="C1558" t="s">
        <v>108</v>
      </c>
      <c r="D1558" t="s">
        <v>7298</v>
      </c>
      <c r="E1558" t="s">
        <v>108</v>
      </c>
    </row>
    <row r="1559" spans="1:5">
      <c r="A1559" t="s">
        <v>7340</v>
      </c>
      <c r="B1559">
        <v>1.9</v>
      </c>
      <c r="C1559" t="s">
        <v>4613</v>
      </c>
      <c r="D1559" t="s">
        <v>7298</v>
      </c>
      <c r="E1559" t="s">
        <v>108</v>
      </c>
    </row>
    <row r="1560" spans="1:5">
      <c r="A1560" t="s">
        <v>7341</v>
      </c>
      <c r="B1560">
        <v>1.9</v>
      </c>
      <c r="C1560" t="s">
        <v>108</v>
      </c>
      <c r="D1560" t="s">
        <v>7298</v>
      </c>
      <c r="E1560" t="s">
        <v>108</v>
      </c>
    </row>
    <row r="1561" spans="1:5">
      <c r="A1561" t="s">
        <v>7342</v>
      </c>
      <c r="B1561">
        <v>2.0099999999999998</v>
      </c>
      <c r="C1561" t="s">
        <v>5338</v>
      </c>
      <c r="D1561" t="s">
        <v>7298</v>
      </c>
      <c r="E1561" t="s">
        <v>108</v>
      </c>
    </row>
    <row r="1562" spans="1:5">
      <c r="A1562" t="s">
        <v>7343</v>
      </c>
      <c r="B1562">
        <v>2.02</v>
      </c>
      <c r="C1562" t="s">
        <v>5338</v>
      </c>
      <c r="D1562" t="s">
        <v>7298</v>
      </c>
      <c r="E1562" t="s">
        <v>108</v>
      </c>
    </row>
    <row r="1563" spans="1:5">
      <c r="A1563" t="s">
        <v>7344</v>
      </c>
      <c r="B1563">
        <v>1.9</v>
      </c>
      <c r="C1563" t="s">
        <v>108</v>
      </c>
      <c r="D1563" t="s">
        <v>7298</v>
      </c>
      <c r="E1563" t="s">
        <v>108</v>
      </c>
    </row>
    <row r="1564" spans="1:5">
      <c r="A1564" t="s">
        <v>7345</v>
      </c>
      <c r="B1564">
        <v>2.36</v>
      </c>
      <c r="C1564" t="s">
        <v>4613</v>
      </c>
      <c r="D1564" t="s">
        <v>7298</v>
      </c>
      <c r="E1564" t="s">
        <v>108</v>
      </c>
    </row>
    <row r="1565" spans="1:5">
      <c r="A1565" t="s">
        <v>7346</v>
      </c>
      <c r="B1565">
        <v>2.15</v>
      </c>
      <c r="C1565" t="s">
        <v>5338</v>
      </c>
      <c r="D1565" t="s">
        <v>7298</v>
      </c>
      <c r="E1565" t="s">
        <v>108</v>
      </c>
    </row>
    <row r="1566" spans="1:5">
      <c r="A1566" t="s">
        <v>7347</v>
      </c>
      <c r="B1566">
        <v>2.27</v>
      </c>
      <c r="C1566" t="s">
        <v>5338</v>
      </c>
      <c r="D1566" t="s">
        <v>7298</v>
      </c>
      <c r="E1566" t="s">
        <v>108</v>
      </c>
    </row>
    <row r="1567" spans="1:5">
      <c r="A1567" t="s">
        <v>7348</v>
      </c>
      <c r="B1567">
        <v>2.2200000000000002</v>
      </c>
      <c r="C1567" t="s">
        <v>4613</v>
      </c>
      <c r="D1567" t="s">
        <v>7298</v>
      </c>
      <c r="E1567" t="s">
        <v>108</v>
      </c>
    </row>
    <row r="1568" spans="1:5">
      <c r="A1568" t="s">
        <v>7349</v>
      </c>
      <c r="B1568">
        <v>2.27</v>
      </c>
      <c r="C1568" t="s">
        <v>5102</v>
      </c>
      <c r="D1568" t="s">
        <v>7298</v>
      </c>
      <c r="E1568" t="s">
        <v>108</v>
      </c>
    </row>
    <row r="1569" spans="1:5">
      <c r="A1569" t="s">
        <v>7350</v>
      </c>
      <c r="B1569">
        <v>2.2999999999999998</v>
      </c>
      <c r="C1569" t="s">
        <v>5338</v>
      </c>
      <c r="D1569" t="s">
        <v>7298</v>
      </c>
      <c r="E1569" t="s">
        <v>108</v>
      </c>
    </row>
    <row r="1570" spans="1:5">
      <c r="A1570" t="s">
        <v>7351</v>
      </c>
      <c r="B1570">
        <v>2.2200000000000002</v>
      </c>
      <c r="C1570" t="s">
        <v>7321</v>
      </c>
      <c r="D1570" t="s">
        <v>7298</v>
      </c>
      <c r="E1570" t="s">
        <v>108</v>
      </c>
    </row>
    <row r="1571" spans="1:5">
      <c r="A1571" t="s">
        <v>7352</v>
      </c>
      <c r="B1571">
        <v>2.25</v>
      </c>
      <c r="C1571" t="s">
        <v>7324</v>
      </c>
      <c r="D1571" t="s">
        <v>7298</v>
      </c>
      <c r="E1571" t="s">
        <v>108</v>
      </c>
    </row>
    <row r="1572" spans="1:5">
      <c r="A1572" t="s">
        <v>7353</v>
      </c>
      <c r="B1572">
        <v>2.37</v>
      </c>
      <c r="C1572" t="s">
        <v>5338</v>
      </c>
      <c r="D1572" t="s">
        <v>7298</v>
      </c>
      <c r="E1572" t="s">
        <v>108</v>
      </c>
    </row>
    <row r="1573" spans="1:5">
      <c r="A1573" t="s">
        <v>7354</v>
      </c>
      <c r="B1573">
        <v>2.1800000000000002</v>
      </c>
      <c r="C1573" t="s">
        <v>5338</v>
      </c>
      <c r="D1573" t="s">
        <v>7298</v>
      </c>
      <c r="E1573" t="s">
        <v>108</v>
      </c>
    </row>
    <row r="1574" spans="1:5">
      <c r="A1574" t="s">
        <v>7355</v>
      </c>
      <c r="B1574">
        <v>2.1800000000000002</v>
      </c>
      <c r="C1574" t="s">
        <v>5102</v>
      </c>
      <c r="D1574" t="s">
        <v>7298</v>
      </c>
      <c r="E1574" t="s">
        <v>108</v>
      </c>
    </row>
    <row r="1575" spans="1:5">
      <c r="A1575" t="s">
        <v>7356</v>
      </c>
      <c r="B1575">
        <v>2.21</v>
      </c>
      <c r="C1575" t="s">
        <v>5102</v>
      </c>
      <c r="D1575" t="s">
        <v>7298</v>
      </c>
      <c r="E1575" t="s">
        <v>108</v>
      </c>
    </row>
    <row r="1576" spans="1:5">
      <c r="A1576" t="s">
        <v>7357</v>
      </c>
      <c r="B1576">
        <v>2.16</v>
      </c>
      <c r="C1576" t="s">
        <v>4613</v>
      </c>
      <c r="D1576" t="s">
        <v>7298</v>
      </c>
      <c r="E1576" t="s">
        <v>108</v>
      </c>
    </row>
    <row r="1577" spans="1:5">
      <c r="A1577" t="s">
        <v>7358</v>
      </c>
      <c r="B1577">
        <v>2.23</v>
      </c>
      <c r="C1577" t="s">
        <v>5338</v>
      </c>
      <c r="D1577" t="s">
        <v>7298</v>
      </c>
      <c r="E1577" t="s">
        <v>108</v>
      </c>
    </row>
    <row r="1578" spans="1:5">
      <c r="A1578" t="s">
        <v>7359</v>
      </c>
      <c r="B1578">
        <v>1.9</v>
      </c>
      <c r="C1578" t="s">
        <v>108</v>
      </c>
      <c r="D1578" t="s">
        <v>7298</v>
      </c>
      <c r="E1578" t="s">
        <v>108</v>
      </c>
    </row>
    <row r="1579" spans="1:5">
      <c r="A1579" t="s">
        <v>7360</v>
      </c>
      <c r="B1579">
        <v>2.2799999999999998</v>
      </c>
      <c r="C1579" t="s">
        <v>4613</v>
      </c>
      <c r="D1579" t="s">
        <v>7298</v>
      </c>
      <c r="E1579" t="s">
        <v>108</v>
      </c>
    </row>
    <row r="1580" spans="1:5">
      <c r="A1580" t="s">
        <v>7361</v>
      </c>
      <c r="B1580">
        <v>1.9</v>
      </c>
      <c r="C1580" t="s">
        <v>108</v>
      </c>
      <c r="D1580" t="s">
        <v>7298</v>
      </c>
      <c r="E1580" t="s">
        <v>108</v>
      </c>
    </row>
    <row r="1581" spans="1:5">
      <c r="A1581" t="s">
        <v>7362</v>
      </c>
      <c r="B1581">
        <v>1.9</v>
      </c>
      <c r="C1581" t="s">
        <v>108</v>
      </c>
      <c r="D1581" t="s">
        <v>7298</v>
      </c>
      <c r="E1581" t="s">
        <v>108</v>
      </c>
    </row>
    <row r="1582" spans="1:5">
      <c r="A1582" t="s">
        <v>7363</v>
      </c>
      <c r="B1582">
        <v>1.87</v>
      </c>
      <c r="C1582" t="s">
        <v>108</v>
      </c>
      <c r="D1582" t="s">
        <v>7298</v>
      </c>
      <c r="E1582" t="s">
        <v>108</v>
      </c>
    </row>
    <row r="1583" spans="1:5">
      <c r="A1583" t="s">
        <v>7364</v>
      </c>
      <c r="B1583">
        <v>1.9</v>
      </c>
      <c r="C1583" t="s">
        <v>108</v>
      </c>
      <c r="D1583" t="s">
        <v>7298</v>
      </c>
      <c r="E1583" t="s">
        <v>108</v>
      </c>
    </row>
    <row r="1584" spans="1:5">
      <c r="A1584" t="s">
        <v>7365</v>
      </c>
      <c r="B1584">
        <v>1.99</v>
      </c>
      <c r="C1584" t="s">
        <v>7366</v>
      </c>
      <c r="D1584" t="s">
        <v>6270</v>
      </c>
      <c r="E1584" t="s">
        <v>108</v>
      </c>
    </row>
    <row r="1585" spans="1:5">
      <c r="A1585" t="s">
        <v>7367</v>
      </c>
      <c r="B1585">
        <v>0.55000000000000004</v>
      </c>
      <c r="C1585" t="s">
        <v>3103</v>
      </c>
      <c r="D1585" t="s">
        <v>6865</v>
      </c>
      <c r="E1585" t="s">
        <v>108</v>
      </c>
    </row>
    <row r="1586" spans="1:5">
      <c r="A1586" t="s">
        <v>7369</v>
      </c>
      <c r="B1586">
        <v>1.32</v>
      </c>
      <c r="C1586" t="s">
        <v>4075</v>
      </c>
      <c r="D1586" t="s">
        <v>6865</v>
      </c>
      <c r="E1586" t="s">
        <v>108</v>
      </c>
    </row>
    <row r="1587" spans="1:5">
      <c r="A1587" t="s">
        <v>7370</v>
      </c>
      <c r="B1587">
        <v>1.5</v>
      </c>
      <c r="C1587" t="s">
        <v>4776</v>
      </c>
      <c r="D1587" t="s">
        <v>6865</v>
      </c>
      <c r="E1587" t="s">
        <v>108</v>
      </c>
    </row>
    <row r="1588" spans="1:5">
      <c r="A1588" t="s">
        <v>7371</v>
      </c>
      <c r="B1588">
        <v>0.99</v>
      </c>
      <c r="C1588" t="s">
        <v>108</v>
      </c>
      <c r="D1588" t="s">
        <v>6865</v>
      </c>
      <c r="E1588" t="s">
        <v>108</v>
      </c>
    </row>
    <row r="1589" spans="1:5">
      <c r="A1589" t="s">
        <v>7373</v>
      </c>
      <c r="B1589">
        <v>1.05</v>
      </c>
      <c r="C1589" t="s">
        <v>108</v>
      </c>
      <c r="D1589" t="s">
        <v>6865</v>
      </c>
      <c r="E1589" t="s">
        <v>108</v>
      </c>
    </row>
    <row r="1590" spans="1:5">
      <c r="A1590" t="s">
        <v>7374</v>
      </c>
      <c r="B1590">
        <v>0.99</v>
      </c>
      <c r="C1590" t="s">
        <v>108</v>
      </c>
      <c r="D1590" t="s">
        <v>6865</v>
      </c>
      <c r="E1590" t="s">
        <v>108</v>
      </c>
    </row>
    <row r="1591" spans="1:5">
      <c r="A1591" t="s">
        <v>7375</v>
      </c>
      <c r="B1591">
        <v>1.37</v>
      </c>
      <c r="C1591" t="s">
        <v>4075</v>
      </c>
      <c r="D1591" t="s">
        <v>6865</v>
      </c>
      <c r="E1591" t="s">
        <v>108</v>
      </c>
    </row>
    <row r="1592" spans="1:5">
      <c r="A1592" t="s">
        <v>7376</v>
      </c>
      <c r="B1592">
        <v>1.37</v>
      </c>
      <c r="C1592" t="s">
        <v>7377</v>
      </c>
      <c r="D1592" t="s">
        <v>6865</v>
      </c>
      <c r="E1592" t="s">
        <v>108</v>
      </c>
    </row>
    <row r="1593" spans="1:5">
      <c r="A1593" t="s">
        <v>7378</v>
      </c>
      <c r="B1593">
        <v>1.35</v>
      </c>
      <c r="C1593" t="s">
        <v>4108</v>
      </c>
      <c r="D1593" t="s">
        <v>6865</v>
      </c>
      <c r="E1593" t="s">
        <v>108</v>
      </c>
    </row>
    <row r="1594" spans="1:5">
      <c r="A1594" t="s">
        <v>7379</v>
      </c>
      <c r="B1594">
        <v>1.35</v>
      </c>
      <c r="C1594" t="s">
        <v>7380</v>
      </c>
      <c r="D1594" t="s">
        <v>6865</v>
      </c>
      <c r="E1594" t="s">
        <v>108</v>
      </c>
    </row>
    <row r="1595" spans="1:5">
      <c r="A1595" t="s">
        <v>7381</v>
      </c>
      <c r="B1595">
        <v>1.85</v>
      </c>
      <c r="C1595" t="s">
        <v>6718</v>
      </c>
      <c r="D1595" t="s">
        <v>6865</v>
      </c>
      <c r="E1595" t="s">
        <v>108</v>
      </c>
    </row>
    <row r="1596" spans="1:5">
      <c r="A1596" t="s">
        <v>7382</v>
      </c>
      <c r="B1596">
        <v>1.8</v>
      </c>
      <c r="C1596" t="s">
        <v>6718</v>
      </c>
      <c r="D1596" t="s">
        <v>6865</v>
      </c>
      <c r="E1596" t="s">
        <v>108</v>
      </c>
    </row>
    <row r="1597" spans="1:5">
      <c r="A1597" t="s">
        <v>7383</v>
      </c>
      <c r="B1597">
        <v>1.88</v>
      </c>
      <c r="C1597" t="s">
        <v>7384</v>
      </c>
      <c r="D1597" t="s">
        <v>6865</v>
      </c>
      <c r="E1597" t="s">
        <v>108</v>
      </c>
    </row>
    <row r="1598" spans="1:5">
      <c r="A1598" t="s">
        <v>7385</v>
      </c>
      <c r="B1598">
        <v>1.3</v>
      </c>
      <c r="C1598" t="s">
        <v>3954</v>
      </c>
      <c r="D1598" t="s">
        <v>7368</v>
      </c>
      <c r="E1598" t="s">
        <v>108</v>
      </c>
    </row>
    <row r="1599" spans="1:5">
      <c r="A1599" t="s">
        <v>7386</v>
      </c>
      <c r="B1599">
        <v>0.85</v>
      </c>
      <c r="C1599" t="s">
        <v>7372</v>
      </c>
      <c r="D1599" t="s">
        <v>6865</v>
      </c>
      <c r="E1599" t="s">
        <v>108</v>
      </c>
    </row>
    <row r="1600" spans="1:5">
      <c r="A1600" t="s">
        <v>7387</v>
      </c>
      <c r="B1600">
        <v>1.1000000000000001</v>
      </c>
      <c r="C1600" t="s">
        <v>4075</v>
      </c>
      <c r="D1600" t="s">
        <v>6865</v>
      </c>
      <c r="E1600" t="s">
        <v>108</v>
      </c>
    </row>
    <row r="1601" spans="1:5">
      <c r="A1601" t="s">
        <v>7388</v>
      </c>
      <c r="B1601">
        <v>1</v>
      </c>
      <c r="C1601" t="s">
        <v>4108</v>
      </c>
      <c r="D1601" t="s">
        <v>6865</v>
      </c>
      <c r="E1601" t="s">
        <v>108</v>
      </c>
    </row>
    <row r="1602" spans="1:5">
      <c r="A1602" t="s">
        <v>7389</v>
      </c>
      <c r="B1602">
        <v>1.25</v>
      </c>
      <c r="C1602" t="s">
        <v>4075</v>
      </c>
      <c r="D1602" t="s">
        <v>6865</v>
      </c>
      <c r="E1602" t="s">
        <v>108</v>
      </c>
    </row>
    <row r="1603" spans="1:5">
      <c r="A1603" t="s">
        <v>7390</v>
      </c>
      <c r="B1603">
        <v>1.25</v>
      </c>
      <c r="C1603" t="s">
        <v>4075</v>
      </c>
      <c r="D1603" t="s">
        <v>6865</v>
      </c>
      <c r="E1603" t="s">
        <v>108</v>
      </c>
    </row>
    <row r="1604" spans="1:5">
      <c r="A1604" t="s">
        <v>7391</v>
      </c>
      <c r="B1604">
        <v>1.2</v>
      </c>
      <c r="C1604" t="s">
        <v>4108</v>
      </c>
      <c r="D1604" t="s">
        <v>6865</v>
      </c>
      <c r="E1604" t="s">
        <v>108</v>
      </c>
    </row>
    <row r="1605" spans="1:5">
      <c r="A1605" t="s">
        <v>7392</v>
      </c>
      <c r="B1605">
        <v>1.25</v>
      </c>
      <c r="C1605" t="s">
        <v>6284</v>
      </c>
      <c r="D1605" t="s">
        <v>6865</v>
      </c>
      <c r="E1605" t="s">
        <v>108</v>
      </c>
    </row>
    <row r="1606" spans="1:5">
      <c r="A1606" t="s">
        <v>7393</v>
      </c>
      <c r="B1606">
        <v>1.5</v>
      </c>
      <c r="C1606" t="s">
        <v>4227</v>
      </c>
      <c r="D1606" t="s">
        <v>6865</v>
      </c>
      <c r="E1606" t="s">
        <v>108</v>
      </c>
    </row>
    <row r="1607" spans="1:5">
      <c r="A1607" t="s">
        <v>7394</v>
      </c>
      <c r="B1607">
        <v>1.85</v>
      </c>
      <c r="C1607" t="s">
        <v>4227</v>
      </c>
      <c r="D1607" t="s">
        <v>6865</v>
      </c>
      <c r="E1607" t="s">
        <v>108</v>
      </c>
    </row>
    <row r="1608" spans="1:5">
      <c r="A1608" t="s">
        <v>7395</v>
      </c>
      <c r="B1608">
        <v>0.85</v>
      </c>
      <c r="C1608" t="s">
        <v>7372</v>
      </c>
      <c r="D1608" t="s">
        <v>6865</v>
      </c>
      <c r="E1608" t="s">
        <v>108</v>
      </c>
    </row>
    <row r="1609" spans="1:5">
      <c r="A1609" t="s">
        <v>7396</v>
      </c>
      <c r="B1609">
        <v>1.05</v>
      </c>
      <c r="C1609" t="s">
        <v>108</v>
      </c>
      <c r="D1609" t="s">
        <v>6865</v>
      </c>
      <c r="E1609" t="s">
        <v>108</v>
      </c>
    </row>
    <row r="1610" spans="1:5">
      <c r="A1610" t="s">
        <v>7397</v>
      </c>
      <c r="B1610">
        <v>1.25</v>
      </c>
      <c r="C1610" t="s">
        <v>4108</v>
      </c>
      <c r="D1610" t="s">
        <v>6865</v>
      </c>
      <c r="E1610" t="s">
        <v>108</v>
      </c>
    </row>
    <row r="1611" spans="1:5">
      <c r="A1611" t="s">
        <v>7398</v>
      </c>
      <c r="B1611">
        <v>1.8</v>
      </c>
      <c r="C1611" t="s">
        <v>6718</v>
      </c>
      <c r="D1611" t="s">
        <v>6865</v>
      </c>
      <c r="E1611" t="s">
        <v>108</v>
      </c>
    </row>
    <row r="1612" spans="1:5">
      <c r="A1612" t="s">
        <v>7399</v>
      </c>
      <c r="B1612">
        <v>1.2</v>
      </c>
      <c r="C1612" t="s">
        <v>4108</v>
      </c>
      <c r="D1612" t="s">
        <v>6865</v>
      </c>
      <c r="E1612" t="s">
        <v>108</v>
      </c>
    </row>
    <row r="1613" spans="1:5">
      <c r="A1613" t="s">
        <v>7400</v>
      </c>
      <c r="B1613">
        <v>1.32</v>
      </c>
      <c r="C1613" t="s">
        <v>4108</v>
      </c>
      <c r="D1613" t="s">
        <v>6865</v>
      </c>
      <c r="E1613" t="s">
        <v>108</v>
      </c>
    </row>
    <row r="1614" spans="1:5">
      <c r="A1614" t="s">
        <v>7401</v>
      </c>
      <c r="B1614">
        <v>1</v>
      </c>
      <c r="C1614" t="s">
        <v>4108</v>
      </c>
      <c r="D1614" t="s">
        <v>6865</v>
      </c>
      <c r="E1614" t="s">
        <v>108</v>
      </c>
    </row>
    <row r="1615" spans="1:5">
      <c r="A1615" t="s">
        <v>7402</v>
      </c>
      <c r="B1615">
        <v>1.85</v>
      </c>
      <c r="C1615" t="s">
        <v>6718</v>
      </c>
      <c r="D1615" t="s">
        <v>6865</v>
      </c>
      <c r="E1615" t="s">
        <v>108</v>
      </c>
    </row>
    <row r="1616" spans="1:5">
      <c r="A1616" t="s">
        <v>7403</v>
      </c>
      <c r="B1616">
        <v>0.85</v>
      </c>
      <c r="C1616" t="s">
        <v>7404</v>
      </c>
      <c r="D1616" t="s">
        <v>6865</v>
      </c>
      <c r="E1616" t="s">
        <v>108</v>
      </c>
    </row>
    <row r="1617" spans="1:5">
      <c r="A1617" t="s">
        <v>7405</v>
      </c>
      <c r="B1617">
        <v>1.88</v>
      </c>
      <c r="C1617" t="s">
        <v>7406</v>
      </c>
      <c r="D1617" t="s">
        <v>6865</v>
      </c>
      <c r="E1617" t="s">
        <v>108</v>
      </c>
    </row>
    <row r="1618" spans="1:5">
      <c r="A1618" t="s">
        <v>7407</v>
      </c>
      <c r="B1618">
        <v>3.11</v>
      </c>
      <c r="C1618" t="s">
        <v>7408</v>
      </c>
      <c r="D1618" t="s">
        <v>6308</v>
      </c>
      <c r="E1618" t="s">
        <v>108</v>
      </c>
    </row>
    <row r="1619" spans="1:5">
      <c r="A1619" t="s">
        <v>7409</v>
      </c>
      <c r="B1619">
        <v>2.9</v>
      </c>
      <c r="C1619" t="s">
        <v>3034</v>
      </c>
      <c r="D1619" t="s">
        <v>6308</v>
      </c>
      <c r="E1619" t="s">
        <v>108</v>
      </c>
    </row>
    <row r="1620" spans="1:5">
      <c r="A1620" t="s">
        <v>7410</v>
      </c>
      <c r="B1620">
        <v>3.05</v>
      </c>
      <c r="C1620" t="s">
        <v>7411</v>
      </c>
      <c r="D1620" t="s">
        <v>6308</v>
      </c>
      <c r="E1620" t="s">
        <v>108</v>
      </c>
    </row>
    <row r="1621" spans="1:5">
      <c r="A1621" t="s">
        <v>7412</v>
      </c>
      <c r="B1621">
        <v>3.06</v>
      </c>
      <c r="C1621" t="s">
        <v>108</v>
      </c>
      <c r="D1621" t="s">
        <v>6356</v>
      </c>
      <c r="E1621" t="s">
        <v>6529</v>
      </c>
    </row>
    <row r="1622" spans="1:5">
      <c r="A1622" t="s">
        <v>7413</v>
      </c>
      <c r="B1622">
        <v>3.05</v>
      </c>
      <c r="C1622" t="s">
        <v>108</v>
      </c>
      <c r="D1622" t="s">
        <v>6253</v>
      </c>
      <c r="E1622" t="s">
        <v>108</v>
      </c>
    </row>
    <row r="1623" spans="1:5">
      <c r="A1623" t="s">
        <v>7414</v>
      </c>
      <c r="B1623">
        <v>3.22</v>
      </c>
      <c r="C1623" t="s">
        <v>3407</v>
      </c>
      <c r="D1623" t="s">
        <v>6253</v>
      </c>
      <c r="E1623" t="s">
        <v>108</v>
      </c>
    </row>
    <row r="1624" spans="1:5">
      <c r="A1624" t="s">
        <v>7415</v>
      </c>
      <c r="B1624">
        <v>2.6</v>
      </c>
      <c r="C1624" t="s">
        <v>108</v>
      </c>
      <c r="D1624" t="s">
        <v>6557</v>
      </c>
      <c r="E1624" t="s">
        <v>108</v>
      </c>
    </row>
    <row r="1625" spans="1:5">
      <c r="A1625" t="s">
        <v>7416</v>
      </c>
      <c r="B1625">
        <v>3.04</v>
      </c>
      <c r="C1625" t="s">
        <v>2395</v>
      </c>
      <c r="D1625" t="s">
        <v>6253</v>
      </c>
      <c r="E1625" t="s">
        <v>108</v>
      </c>
    </row>
    <row r="1626" spans="1:5">
      <c r="A1626" t="s">
        <v>7418</v>
      </c>
      <c r="B1626">
        <v>1.8</v>
      </c>
      <c r="C1626" t="s">
        <v>108</v>
      </c>
      <c r="D1626" t="s">
        <v>7417</v>
      </c>
      <c r="E1626" t="s">
        <v>108</v>
      </c>
    </row>
    <row r="1627" spans="1:5">
      <c r="A1627" t="s">
        <v>7419</v>
      </c>
      <c r="B1627">
        <v>2.4</v>
      </c>
      <c r="C1627" t="s">
        <v>108</v>
      </c>
      <c r="D1627" t="s">
        <v>7417</v>
      </c>
      <c r="E1627" t="s">
        <v>6529</v>
      </c>
    </row>
    <row r="1628" spans="1:5">
      <c r="A1628" t="s">
        <v>7420</v>
      </c>
      <c r="B1628">
        <v>2.4</v>
      </c>
      <c r="C1628" t="s">
        <v>108</v>
      </c>
      <c r="D1628" t="s">
        <v>7417</v>
      </c>
      <c r="E1628" t="s">
        <v>6615</v>
      </c>
    </row>
    <row r="1629" spans="1:5">
      <c r="A1629" t="s">
        <v>7421</v>
      </c>
      <c r="B1629">
        <v>2.96</v>
      </c>
      <c r="C1629" t="s">
        <v>2783</v>
      </c>
      <c r="D1629" t="s">
        <v>6257</v>
      </c>
      <c r="E1629" t="s">
        <v>108</v>
      </c>
    </row>
    <row r="1630" spans="1:5">
      <c r="A1630" t="s">
        <v>7422</v>
      </c>
      <c r="B1630">
        <v>1.01</v>
      </c>
      <c r="C1630" t="s">
        <v>4315</v>
      </c>
      <c r="D1630" t="s">
        <v>6865</v>
      </c>
      <c r="E1630" t="s">
        <v>108</v>
      </c>
    </row>
    <row r="1631" spans="1:5">
      <c r="A1631" t="s">
        <v>7423</v>
      </c>
      <c r="B1631">
        <v>1.1399999999999999</v>
      </c>
      <c r="C1631" t="s">
        <v>4323</v>
      </c>
      <c r="D1631" t="s">
        <v>6865</v>
      </c>
      <c r="E1631" t="s">
        <v>108</v>
      </c>
    </row>
    <row r="1632" spans="1:5">
      <c r="A1632" t="s">
        <v>7424</v>
      </c>
      <c r="B1632">
        <v>1.34</v>
      </c>
      <c r="C1632" t="s">
        <v>4323</v>
      </c>
      <c r="D1632" t="s">
        <v>6865</v>
      </c>
      <c r="E1632" t="s">
        <v>108</v>
      </c>
    </row>
    <row r="1633" spans="1:5">
      <c r="A1633" t="s">
        <v>7425</v>
      </c>
      <c r="B1633">
        <v>0.78</v>
      </c>
      <c r="C1633" t="s">
        <v>4323</v>
      </c>
      <c r="D1633" t="s">
        <v>108</v>
      </c>
      <c r="E1633" t="s">
        <v>108</v>
      </c>
    </row>
    <row r="1634" spans="1:5">
      <c r="A1634" t="s">
        <v>7426</v>
      </c>
      <c r="B1634">
        <v>0.75</v>
      </c>
      <c r="C1634" t="s">
        <v>108</v>
      </c>
      <c r="D1634" t="s">
        <v>6272</v>
      </c>
      <c r="E1634" t="s">
        <v>108</v>
      </c>
    </row>
    <row r="1635" spans="1:5">
      <c r="A1635" t="s">
        <v>7427</v>
      </c>
      <c r="B1635">
        <v>2.21</v>
      </c>
      <c r="C1635" t="s">
        <v>4108</v>
      </c>
      <c r="D1635" t="s">
        <v>6270</v>
      </c>
      <c r="E1635" t="s">
        <v>108</v>
      </c>
    </row>
    <row r="1636" spans="1:5">
      <c r="A1636" t="s">
        <v>7428</v>
      </c>
      <c r="B1636">
        <v>2.5</v>
      </c>
      <c r="C1636" t="s">
        <v>4617</v>
      </c>
      <c r="D1636" t="s">
        <v>6272</v>
      </c>
      <c r="E1636" t="s">
        <v>108</v>
      </c>
    </row>
    <row r="1637" spans="1:5">
      <c r="A1637" t="s">
        <v>7429</v>
      </c>
      <c r="B1637">
        <v>2.6</v>
      </c>
      <c r="C1637" t="s">
        <v>4359</v>
      </c>
      <c r="D1637" t="s">
        <v>6272</v>
      </c>
      <c r="E1637" t="s">
        <v>108</v>
      </c>
    </row>
    <row r="1638" spans="1:5">
      <c r="A1638" t="s">
        <v>7430</v>
      </c>
      <c r="B1638">
        <v>2.6</v>
      </c>
      <c r="C1638" t="s">
        <v>108</v>
      </c>
      <c r="D1638" t="s">
        <v>6272</v>
      </c>
      <c r="E1638" t="s">
        <v>7431</v>
      </c>
    </row>
    <row r="1639" spans="1:5">
      <c r="A1639" t="s">
        <v>7432</v>
      </c>
      <c r="B1639">
        <v>2.7</v>
      </c>
      <c r="C1639" t="s">
        <v>3525</v>
      </c>
      <c r="D1639" t="s">
        <v>6272</v>
      </c>
      <c r="E1639" t="s">
        <v>108</v>
      </c>
    </row>
    <row r="1640" spans="1:5">
      <c r="A1640" t="s">
        <v>7433</v>
      </c>
      <c r="B1640">
        <v>1.95</v>
      </c>
      <c r="C1640" t="s">
        <v>108</v>
      </c>
      <c r="D1640" t="s">
        <v>6272</v>
      </c>
      <c r="E1640" t="s">
        <v>108</v>
      </c>
    </row>
    <row r="1641" spans="1:5">
      <c r="A1641" t="s">
        <v>7434</v>
      </c>
      <c r="B1641">
        <v>1.9</v>
      </c>
      <c r="C1641" t="s">
        <v>3363</v>
      </c>
      <c r="D1641" t="s">
        <v>6272</v>
      </c>
      <c r="E1641" t="s">
        <v>7435</v>
      </c>
    </row>
    <row r="1642" spans="1:5">
      <c r="A1642" t="s">
        <v>7436</v>
      </c>
      <c r="B1642">
        <v>2.7</v>
      </c>
      <c r="C1642" t="s">
        <v>4089</v>
      </c>
      <c r="D1642" t="s">
        <v>6272</v>
      </c>
      <c r="E1642" t="s">
        <v>108</v>
      </c>
    </row>
    <row r="1643" spans="1:5">
      <c r="A1643" t="s">
        <v>7437</v>
      </c>
      <c r="B1643">
        <v>2.7</v>
      </c>
      <c r="C1643" t="s">
        <v>4080</v>
      </c>
      <c r="D1643" t="s">
        <v>6272</v>
      </c>
      <c r="E1643" t="s">
        <v>108</v>
      </c>
    </row>
    <row r="1644" spans="1:5">
      <c r="A1644" t="s">
        <v>7438</v>
      </c>
      <c r="B1644">
        <v>2.1</v>
      </c>
      <c r="C1644" t="s">
        <v>3461</v>
      </c>
      <c r="D1644" t="s">
        <v>6272</v>
      </c>
      <c r="E1644" t="s">
        <v>108</v>
      </c>
    </row>
    <row r="1645" spans="1:5">
      <c r="A1645" t="s">
        <v>7439</v>
      </c>
      <c r="B1645">
        <v>2.1</v>
      </c>
      <c r="C1645" t="s">
        <v>108</v>
      </c>
      <c r="D1645" t="s">
        <v>6272</v>
      </c>
      <c r="E1645" t="s">
        <v>108</v>
      </c>
    </row>
    <row r="1646" spans="1:5">
      <c r="A1646" t="s">
        <v>7440</v>
      </c>
      <c r="B1646">
        <v>1.9</v>
      </c>
      <c r="C1646" t="s">
        <v>108</v>
      </c>
      <c r="D1646" t="s">
        <v>7441</v>
      </c>
      <c r="E1646" t="s">
        <v>108</v>
      </c>
    </row>
    <row r="1647" spans="1:5">
      <c r="A1647" t="s">
        <v>7442</v>
      </c>
      <c r="B1647">
        <v>2.7</v>
      </c>
      <c r="C1647" t="s">
        <v>4115</v>
      </c>
      <c r="D1647" t="s">
        <v>6272</v>
      </c>
      <c r="E1647" t="s">
        <v>108</v>
      </c>
    </row>
    <row r="1648" spans="1:5">
      <c r="A1648" t="s">
        <v>7443</v>
      </c>
      <c r="B1648">
        <v>1.9</v>
      </c>
      <c r="C1648" t="s">
        <v>108</v>
      </c>
      <c r="D1648" t="s">
        <v>6272</v>
      </c>
      <c r="E1648" t="s">
        <v>108</v>
      </c>
    </row>
    <row r="1649" spans="1:5">
      <c r="A1649" t="s">
        <v>7444</v>
      </c>
      <c r="B1649">
        <v>2.4</v>
      </c>
      <c r="C1649" t="s">
        <v>3103</v>
      </c>
      <c r="D1649" t="s">
        <v>6272</v>
      </c>
      <c r="E1649" t="s">
        <v>108</v>
      </c>
    </row>
    <row r="1650" spans="1:5">
      <c r="A1650" t="s">
        <v>7445</v>
      </c>
      <c r="B1650">
        <v>2.15</v>
      </c>
      <c r="C1650" t="s">
        <v>4428</v>
      </c>
      <c r="D1650" t="s">
        <v>6272</v>
      </c>
      <c r="E1650" t="s">
        <v>108</v>
      </c>
    </row>
    <row r="1651" spans="1:5">
      <c r="A1651" t="s">
        <v>7446</v>
      </c>
      <c r="B1651">
        <v>1.65</v>
      </c>
      <c r="C1651" t="s">
        <v>6948</v>
      </c>
      <c r="D1651" t="s">
        <v>6272</v>
      </c>
      <c r="E1651" t="s">
        <v>108</v>
      </c>
    </row>
    <row r="1652" spans="1:5">
      <c r="A1652" t="s">
        <v>7447</v>
      </c>
      <c r="B1652">
        <v>2.1800000000000002</v>
      </c>
      <c r="C1652" t="s">
        <v>3103</v>
      </c>
      <c r="D1652" t="s">
        <v>6272</v>
      </c>
      <c r="E1652" t="s">
        <v>108</v>
      </c>
    </row>
    <row r="1653" spans="1:5">
      <c r="A1653" t="s">
        <v>7448</v>
      </c>
      <c r="B1653">
        <v>2.1800000000000002</v>
      </c>
      <c r="C1653" t="s">
        <v>3103</v>
      </c>
      <c r="D1653" t="s">
        <v>6272</v>
      </c>
      <c r="E1653" t="s">
        <v>108</v>
      </c>
    </row>
    <row r="1654" spans="1:5">
      <c r="A1654" t="s">
        <v>7449</v>
      </c>
      <c r="B1654">
        <v>1.6</v>
      </c>
      <c r="C1654" t="s">
        <v>3361</v>
      </c>
      <c r="D1654" t="s">
        <v>6272</v>
      </c>
      <c r="E1654" t="s">
        <v>108</v>
      </c>
    </row>
    <row r="1655" spans="1:5">
      <c r="A1655" t="s">
        <v>7450</v>
      </c>
      <c r="B1655">
        <v>1.6</v>
      </c>
      <c r="C1655" t="s">
        <v>108</v>
      </c>
      <c r="D1655" t="s">
        <v>6272</v>
      </c>
      <c r="E1655" t="s">
        <v>108</v>
      </c>
    </row>
    <row r="1656" spans="1:5">
      <c r="A1656" t="s">
        <v>7451</v>
      </c>
      <c r="B1656">
        <v>1.57</v>
      </c>
      <c r="C1656" t="s">
        <v>4473</v>
      </c>
      <c r="D1656" t="s">
        <v>6272</v>
      </c>
      <c r="E1656" t="s">
        <v>108</v>
      </c>
    </row>
    <row r="1657" spans="1:5">
      <c r="A1657" t="s">
        <v>7452</v>
      </c>
      <c r="B1657">
        <v>1.57</v>
      </c>
      <c r="C1657" t="s">
        <v>4473</v>
      </c>
      <c r="D1657" t="s">
        <v>6272</v>
      </c>
      <c r="E1657" t="s">
        <v>108</v>
      </c>
    </row>
    <row r="1658" spans="1:5">
      <c r="A1658" t="s">
        <v>7453</v>
      </c>
      <c r="B1658">
        <v>2.1800000000000002</v>
      </c>
      <c r="C1658" t="s">
        <v>3103</v>
      </c>
      <c r="D1658" t="s">
        <v>6272</v>
      </c>
      <c r="E1658" t="s">
        <v>108</v>
      </c>
    </row>
    <row r="1659" spans="1:5">
      <c r="A1659" t="s">
        <v>7454</v>
      </c>
      <c r="B1659">
        <v>1.6</v>
      </c>
      <c r="C1659" t="s">
        <v>4867</v>
      </c>
      <c r="D1659" t="s">
        <v>6272</v>
      </c>
      <c r="E1659" t="s">
        <v>108</v>
      </c>
    </row>
    <row r="1660" spans="1:5">
      <c r="A1660" t="s">
        <v>7455</v>
      </c>
      <c r="B1660">
        <v>2.2799999999999998</v>
      </c>
      <c r="C1660" t="s">
        <v>3103</v>
      </c>
      <c r="D1660" t="s">
        <v>6272</v>
      </c>
      <c r="E1660" t="s">
        <v>108</v>
      </c>
    </row>
    <row r="1661" spans="1:5">
      <c r="A1661" t="s">
        <v>7456</v>
      </c>
      <c r="B1661">
        <v>2.2799999999999998</v>
      </c>
      <c r="C1661" t="s">
        <v>3103</v>
      </c>
      <c r="D1661" t="s">
        <v>6272</v>
      </c>
      <c r="E1661" t="s">
        <v>108</v>
      </c>
    </row>
    <row r="1662" spans="1:5">
      <c r="A1662" t="s">
        <v>7457</v>
      </c>
      <c r="B1662">
        <v>1.7</v>
      </c>
      <c r="C1662" t="s">
        <v>108</v>
      </c>
      <c r="D1662" t="s">
        <v>6272</v>
      </c>
      <c r="E1662" t="s">
        <v>108</v>
      </c>
    </row>
    <row r="1663" spans="1:5">
      <c r="A1663" t="s">
        <v>7458</v>
      </c>
      <c r="B1663">
        <v>1.9</v>
      </c>
      <c r="C1663" t="s">
        <v>108</v>
      </c>
      <c r="D1663" t="s">
        <v>6272</v>
      </c>
      <c r="E1663" t="s">
        <v>108</v>
      </c>
    </row>
    <row r="1664" spans="1:5">
      <c r="A1664" t="s">
        <v>7459</v>
      </c>
      <c r="B1664">
        <v>1.6</v>
      </c>
      <c r="C1664" t="s">
        <v>5526</v>
      </c>
      <c r="D1664" t="s">
        <v>6272</v>
      </c>
      <c r="E1664" t="s">
        <v>108</v>
      </c>
    </row>
    <row r="1665" spans="1:5">
      <c r="A1665" t="s">
        <v>7460</v>
      </c>
      <c r="B1665">
        <v>1.8</v>
      </c>
      <c r="C1665" t="s">
        <v>3363</v>
      </c>
      <c r="D1665" t="s">
        <v>6272</v>
      </c>
      <c r="E1665" t="s">
        <v>108</v>
      </c>
    </row>
    <row r="1666" spans="1:5">
      <c r="A1666" t="s">
        <v>7461</v>
      </c>
      <c r="B1666">
        <v>1.9</v>
      </c>
      <c r="C1666" t="s">
        <v>4776</v>
      </c>
      <c r="D1666" t="s">
        <v>6272</v>
      </c>
      <c r="E1666" t="s">
        <v>108</v>
      </c>
    </row>
    <row r="1667" spans="1:5">
      <c r="A1667" t="s">
        <v>7462</v>
      </c>
      <c r="B1667">
        <v>1.85</v>
      </c>
      <c r="C1667" t="s">
        <v>7463</v>
      </c>
      <c r="D1667" t="s">
        <v>6272</v>
      </c>
      <c r="E1667" t="s">
        <v>108</v>
      </c>
    </row>
    <row r="1668" spans="1:5">
      <c r="A1668" t="s">
        <v>7464</v>
      </c>
      <c r="B1668">
        <v>1.9</v>
      </c>
      <c r="C1668" t="s">
        <v>3127</v>
      </c>
      <c r="D1668" t="s">
        <v>6272</v>
      </c>
      <c r="E1668" t="s">
        <v>108</v>
      </c>
    </row>
    <row r="1669" spans="1:5">
      <c r="A1669" t="s">
        <v>7465</v>
      </c>
      <c r="B1669">
        <v>1.7</v>
      </c>
      <c r="C1669" t="s">
        <v>4218</v>
      </c>
      <c r="D1669" t="s">
        <v>6272</v>
      </c>
      <c r="E1669" t="s">
        <v>108</v>
      </c>
    </row>
    <row r="1670" spans="1:5">
      <c r="A1670" t="s">
        <v>7466</v>
      </c>
      <c r="B1670">
        <v>2</v>
      </c>
      <c r="C1670" t="s">
        <v>108</v>
      </c>
      <c r="D1670" t="s">
        <v>6272</v>
      </c>
      <c r="E1670" t="s">
        <v>108</v>
      </c>
    </row>
    <row r="1671" spans="1:5">
      <c r="A1671" t="s">
        <v>7467</v>
      </c>
      <c r="B1671">
        <v>1.9</v>
      </c>
      <c r="C1671" t="s">
        <v>7468</v>
      </c>
      <c r="D1671" t="s">
        <v>6272</v>
      </c>
      <c r="E1671" t="s">
        <v>108</v>
      </c>
    </row>
    <row r="1672" spans="1:5">
      <c r="A1672" t="s">
        <v>7469</v>
      </c>
      <c r="B1672">
        <v>2</v>
      </c>
      <c r="C1672" t="s">
        <v>7468</v>
      </c>
      <c r="D1672" t="s">
        <v>6272</v>
      </c>
      <c r="E1672" t="s">
        <v>108</v>
      </c>
    </row>
    <row r="1673" spans="1:5">
      <c r="A1673" t="s">
        <v>7470</v>
      </c>
      <c r="B1673">
        <v>2</v>
      </c>
      <c r="C1673" t="s">
        <v>7468</v>
      </c>
      <c r="D1673" t="s">
        <v>6272</v>
      </c>
      <c r="E1673" t="s">
        <v>108</v>
      </c>
    </row>
    <row r="1674" spans="1:5">
      <c r="A1674" t="s">
        <v>7471</v>
      </c>
      <c r="B1674">
        <v>1.55</v>
      </c>
      <c r="C1674" t="s">
        <v>3117</v>
      </c>
      <c r="D1674" t="s">
        <v>6272</v>
      </c>
      <c r="E1674" t="s">
        <v>108</v>
      </c>
    </row>
    <row r="1675" spans="1:5">
      <c r="A1675" t="s">
        <v>7472</v>
      </c>
      <c r="B1675">
        <v>1.55</v>
      </c>
      <c r="C1675" t="s">
        <v>3117</v>
      </c>
      <c r="D1675" t="s">
        <v>6272</v>
      </c>
      <c r="E1675" t="s">
        <v>108</v>
      </c>
    </row>
    <row r="1676" spans="1:5">
      <c r="A1676" t="s">
        <v>7473</v>
      </c>
      <c r="B1676">
        <v>1.55</v>
      </c>
      <c r="C1676" t="s">
        <v>7474</v>
      </c>
      <c r="D1676" t="s">
        <v>6272</v>
      </c>
      <c r="E1676" t="s">
        <v>108</v>
      </c>
    </row>
    <row r="1677" spans="1:5">
      <c r="A1677" t="s">
        <v>7475</v>
      </c>
      <c r="B1677">
        <v>1.55</v>
      </c>
      <c r="C1677" t="s">
        <v>7476</v>
      </c>
      <c r="D1677" t="s">
        <v>6272</v>
      </c>
      <c r="E1677" t="s">
        <v>108</v>
      </c>
    </row>
    <row r="1678" spans="1:5">
      <c r="A1678" t="s">
        <v>7477</v>
      </c>
      <c r="B1678">
        <v>1.7</v>
      </c>
      <c r="C1678" t="s">
        <v>4218</v>
      </c>
      <c r="D1678" t="s">
        <v>6272</v>
      </c>
      <c r="E1678" t="s">
        <v>108</v>
      </c>
    </row>
    <row r="1679" spans="1:5">
      <c r="A1679" t="s">
        <v>7478</v>
      </c>
      <c r="B1679">
        <v>1.6</v>
      </c>
      <c r="C1679" t="s">
        <v>4097</v>
      </c>
      <c r="D1679" t="s">
        <v>6272</v>
      </c>
      <c r="E1679" t="s">
        <v>108</v>
      </c>
    </row>
    <row r="1680" spans="1:5">
      <c r="A1680" t="s">
        <v>7479</v>
      </c>
      <c r="B1680">
        <v>2.7</v>
      </c>
      <c r="C1680" t="s">
        <v>3579</v>
      </c>
      <c r="D1680" t="s">
        <v>6272</v>
      </c>
      <c r="E1680" t="s">
        <v>108</v>
      </c>
    </row>
    <row r="1681" spans="1:5">
      <c r="A1681" t="s">
        <v>7480</v>
      </c>
      <c r="B1681">
        <v>2.83</v>
      </c>
      <c r="C1681" t="s">
        <v>4080</v>
      </c>
      <c r="D1681" t="s">
        <v>6272</v>
      </c>
      <c r="E1681" t="s">
        <v>108</v>
      </c>
    </row>
    <row r="1682" spans="1:5">
      <c r="A1682" t="s">
        <v>7481</v>
      </c>
      <c r="B1682">
        <v>2.85</v>
      </c>
      <c r="C1682" t="s">
        <v>3601</v>
      </c>
      <c r="D1682" t="s">
        <v>6272</v>
      </c>
      <c r="E1682" t="s">
        <v>108</v>
      </c>
    </row>
    <row r="1683" spans="1:5">
      <c r="A1683" t="s">
        <v>7482</v>
      </c>
      <c r="B1683">
        <v>2.5</v>
      </c>
      <c r="C1683" t="s">
        <v>5126</v>
      </c>
      <c r="D1683" t="s">
        <v>6272</v>
      </c>
      <c r="E1683" t="s">
        <v>108</v>
      </c>
    </row>
    <row r="1684" spans="1:5">
      <c r="A1684" t="s">
        <v>7483</v>
      </c>
      <c r="B1684">
        <v>2.5</v>
      </c>
      <c r="C1684" t="s">
        <v>3666</v>
      </c>
      <c r="D1684" t="s">
        <v>6272</v>
      </c>
      <c r="E1684" t="s">
        <v>108</v>
      </c>
    </row>
    <row r="1685" spans="1:5">
      <c r="A1685" t="s">
        <v>7484</v>
      </c>
      <c r="B1685">
        <v>2.4500000000000002</v>
      </c>
      <c r="C1685" t="s">
        <v>108</v>
      </c>
      <c r="D1685" t="s">
        <v>6272</v>
      </c>
      <c r="E1685" t="s">
        <v>108</v>
      </c>
    </row>
    <row r="1686" spans="1:5">
      <c r="A1686" t="s">
        <v>7485</v>
      </c>
      <c r="B1686">
        <v>2.85</v>
      </c>
      <c r="C1686" t="s">
        <v>3601</v>
      </c>
      <c r="D1686" t="s">
        <v>6272</v>
      </c>
      <c r="E1686" t="s">
        <v>108</v>
      </c>
    </row>
    <row r="1687" spans="1:5">
      <c r="A1687" t="s">
        <v>7486</v>
      </c>
      <c r="B1687">
        <v>3.4</v>
      </c>
      <c r="C1687" t="s">
        <v>3687</v>
      </c>
      <c r="D1687" t="s">
        <v>6412</v>
      </c>
      <c r="E1687" t="s">
        <v>108</v>
      </c>
    </row>
    <row r="1688" spans="1:5">
      <c r="A1688" t="s">
        <v>7487</v>
      </c>
      <c r="B1688">
        <v>3.2</v>
      </c>
      <c r="C1688" t="s">
        <v>108</v>
      </c>
      <c r="D1688" t="s">
        <v>6410</v>
      </c>
      <c r="E1688" t="s">
        <v>108</v>
      </c>
    </row>
    <row r="1689" spans="1:5">
      <c r="A1689" t="s">
        <v>7488</v>
      </c>
      <c r="B1689">
        <v>3.3</v>
      </c>
      <c r="C1689" t="s">
        <v>4621</v>
      </c>
      <c r="D1689" t="s">
        <v>6412</v>
      </c>
      <c r="E1689" t="s">
        <v>108</v>
      </c>
    </row>
    <row r="1690" spans="1:5">
      <c r="A1690" t="s">
        <v>7489</v>
      </c>
      <c r="B1690">
        <v>3.3</v>
      </c>
      <c r="C1690" t="s">
        <v>3127</v>
      </c>
      <c r="D1690" t="s">
        <v>6412</v>
      </c>
      <c r="E1690" t="s">
        <v>108</v>
      </c>
    </row>
    <row r="1691" spans="1:5">
      <c r="A1691" t="s">
        <v>7490</v>
      </c>
      <c r="B1691">
        <v>3.2</v>
      </c>
      <c r="C1691" t="s">
        <v>4097</v>
      </c>
      <c r="D1691" t="s">
        <v>6412</v>
      </c>
      <c r="E1691" t="s">
        <v>108</v>
      </c>
    </row>
    <row r="1692" spans="1:5">
      <c r="A1692" t="s">
        <v>7491</v>
      </c>
      <c r="B1692">
        <v>3</v>
      </c>
      <c r="C1692" t="s">
        <v>3662</v>
      </c>
      <c r="D1692" t="s">
        <v>6412</v>
      </c>
      <c r="E1692" t="s">
        <v>108</v>
      </c>
    </row>
    <row r="1693" spans="1:5">
      <c r="A1693" t="s">
        <v>7492</v>
      </c>
      <c r="B1693">
        <v>3.75</v>
      </c>
      <c r="C1693" t="s">
        <v>3579</v>
      </c>
      <c r="D1693" t="s">
        <v>6412</v>
      </c>
      <c r="E1693" t="s">
        <v>108</v>
      </c>
    </row>
    <row r="1694" spans="1:5">
      <c r="A1694" t="s">
        <v>7493</v>
      </c>
      <c r="B1694">
        <v>3.23</v>
      </c>
      <c r="C1694" t="s">
        <v>5126</v>
      </c>
      <c r="D1694" t="s">
        <v>6412</v>
      </c>
      <c r="E1694" t="s">
        <v>108</v>
      </c>
    </row>
    <row r="1695" spans="1:5">
      <c r="A1695" t="s">
        <v>7494</v>
      </c>
      <c r="B1695">
        <v>3.75</v>
      </c>
      <c r="C1695" t="s">
        <v>3666</v>
      </c>
      <c r="D1695" t="s">
        <v>6412</v>
      </c>
      <c r="E1695" t="s">
        <v>108</v>
      </c>
    </row>
    <row r="1696" spans="1:5">
      <c r="A1696" t="s">
        <v>7495</v>
      </c>
      <c r="B1696">
        <v>2.9</v>
      </c>
      <c r="C1696" t="s">
        <v>3666</v>
      </c>
      <c r="D1696" t="s">
        <v>6557</v>
      </c>
      <c r="E1696" t="s">
        <v>108</v>
      </c>
    </row>
    <row r="1697" spans="1:5">
      <c r="A1697" t="s">
        <v>7496</v>
      </c>
      <c r="B1697">
        <v>2.29</v>
      </c>
      <c r="C1697" t="s">
        <v>3103</v>
      </c>
      <c r="D1697" t="s">
        <v>6557</v>
      </c>
      <c r="E1697" t="s">
        <v>108</v>
      </c>
    </row>
    <row r="1698" spans="1:5">
      <c r="A1698" t="s">
        <v>7497</v>
      </c>
      <c r="B1698">
        <v>1.95</v>
      </c>
      <c r="C1698" t="s">
        <v>108</v>
      </c>
      <c r="D1698" t="s">
        <v>6557</v>
      </c>
      <c r="E1698" t="s">
        <v>108</v>
      </c>
    </row>
    <row r="1699" spans="1:5">
      <c r="A1699" t="s">
        <v>7498</v>
      </c>
      <c r="B1699">
        <v>2.72</v>
      </c>
      <c r="C1699" t="s">
        <v>4501</v>
      </c>
      <c r="D1699" t="s">
        <v>6557</v>
      </c>
      <c r="E1699" t="s">
        <v>108</v>
      </c>
    </row>
    <row r="1700" spans="1:5">
      <c r="A1700" t="s">
        <v>7499</v>
      </c>
      <c r="B1700">
        <v>2.44</v>
      </c>
      <c r="C1700" t="s">
        <v>108</v>
      </c>
      <c r="D1700" t="s">
        <v>6557</v>
      </c>
      <c r="E1700" t="s">
        <v>108</v>
      </c>
    </row>
    <row r="1701" spans="1:5">
      <c r="A1701" t="s">
        <v>7500</v>
      </c>
      <c r="B1701">
        <v>2.72</v>
      </c>
      <c r="C1701" t="s">
        <v>4501</v>
      </c>
      <c r="D1701" t="s">
        <v>6557</v>
      </c>
      <c r="E1701" t="s">
        <v>108</v>
      </c>
    </row>
    <row r="1702" spans="1:5">
      <c r="A1702" t="s">
        <v>7501</v>
      </c>
      <c r="B1702">
        <v>2.59</v>
      </c>
      <c r="C1702" t="s">
        <v>4501</v>
      </c>
      <c r="D1702" t="s">
        <v>6557</v>
      </c>
      <c r="E1702" t="s">
        <v>108</v>
      </c>
    </row>
    <row r="1703" spans="1:5">
      <c r="A1703" t="s">
        <v>7502</v>
      </c>
      <c r="B1703">
        <v>2.35</v>
      </c>
      <c r="C1703" t="s">
        <v>108</v>
      </c>
      <c r="D1703" t="s">
        <v>7503</v>
      </c>
      <c r="E1703" t="s">
        <v>108</v>
      </c>
    </row>
    <row r="1704" spans="1:5">
      <c r="A1704" t="s">
        <v>7504</v>
      </c>
      <c r="B1704">
        <v>2.65</v>
      </c>
      <c r="C1704" t="s">
        <v>108</v>
      </c>
      <c r="D1704" t="s">
        <v>6557</v>
      </c>
      <c r="E1704" t="s">
        <v>108</v>
      </c>
    </row>
    <row r="1705" spans="1:5">
      <c r="A1705" t="s">
        <v>7505</v>
      </c>
      <c r="B1705">
        <v>2.4500000000000002</v>
      </c>
      <c r="C1705" t="s">
        <v>7468</v>
      </c>
      <c r="D1705" t="s">
        <v>6557</v>
      </c>
      <c r="E1705" t="s">
        <v>108</v>
      </c>
    </row>
    <row r="1706" spans="1:5">
      <c r="A1706" t="s">
        <v>7506</v>
      </c>
      <c r="B1706">
        <v>2.4500000000000002</v>
      </c>
      <c r="C1706" t="s">
        <v>3630</v>
      </c>
      <c r="D1706" t="s">
        <v>6557</v>
      </c>
      <c r="E1706" t="s">
        <v>108</v>
      </c>
    </row>
    <row r="1707" spans="1:5">
      <c r="A1707" t="s">
        <v>7507</v>
      </c>
      <c r="B1707">
        <v>2.65</v>
      </c>
      <c r="C1707" t="s">
        <v>7508</v>
      </c>
      <c r="D1707" t="s">
        <v>6557</v>
      </c>
      <c r="E1707" t="s">
        <v>108</v>
      </c>
    </row>
    <row r="1708" spans="1:5">
      <c r="A1708" t="s">
        <v>7509</v>
      </c>
      <c r="B1708">
        <v>2.65</v>
      </c>
      <c r="C1708" t="s">
        <v>7468</v>
      </c>
      <c r="D1708" t="s">
        <v>6557</v>
      </c>
      <c r="E1708" t="s">
        <v>108</v>
      </c>
    </row>
    <row r="1709" spans="1:5">
      <c r="A1709" t="s">
        <v>7510</v>
      </c>
      <c r="B1709">
        <v>2.65</v>
      </c>
      <c r="C1709" t="s">
        <v>7468</v>
      </c>
      <c r="D1709" t="s">
        <v>6557</v>
      </c>
      <c r="E1709" t="s">
        <v>108</v>
      </c>
    </row>
    <row r="1710" spans="1:5">
      <c r="A1710" t="s">
        <v>7511</v>
      </c>
      <c r="B1710">
        <v>2.65</v>
      </c>
      <c r="C1710" t="s">
        <v>108</v>
      </c>
      <c r="D1710" t="s">
        <v>6557</v>
      </c>
      <c r="E1710" t="s">
        <v>108</v>
      </c>
    </row>
    <row r="1711" spans="1:5">
      <c r="A1711" t="s">
        <v>7512</v>
      </c>
      <c r="B1711">
        <v>2.65</v>
      </c>
      <c r="C1711" t="s">
        <v>108</v>
      </c>
      <c r="D1711" t="s">
        <v>6557</v>
      </c>
      <c r="E1711" t="s">
        <v>108</v>
      </c>
    </row>
    <row r="1712" spans="1:5">
      <c r="A1712" t="s">
        <v>7513</v>
      </c>
      <c r="B1712">
        <v>2.65</v>
      </c>
      <c r="C1712" t="s">
        <v>7508</v>
      </c>
      <c r="D1712" t="s">
        <v>6557</v>
      </c>
      <c r="E1712" t="s">
        <v>108</v>
      </c>
    </row>
    <row r="1713" spans="1:5">
      <c r="A1713" t="s">
        <v>7514</v>
      </c>
      <c r="B1713">
        <v>2.87</v>
      </c>
      <c r="C1713" t="s">
        <v>108</v>
      </c>
      <c r="D1713" t="s">
        <v>6557</v>
      </c>
      <c r="E1713" t="s">
        <v>108</v>
      </c>
    </row>
    <row r="1714" spans="1:5">
      <c r="A1714" t="s">
        <v>7515</v>
      </c>
      <c r="B1714">
        <v>2.87</v>
      </c>
      <c r="C1714" t="s">
        <v>108</v>
      </c>
      <c r="D1714" t="s">
        <v>6557</v>
      </c>
      <c r="E1714" t="s">
        <v>108</v>
      </c>
    </row>
    <row r="1715" spans="1:5">
      <c r="A1715" t="s">
        <v>7516</v>
      </c>
      <c r="B1715">
        <v>2.7</v>
      </c>
      <c r="C1715" t="s">
        <v>3103</v>
      </c>
      <c r="D1715" t="s">
        <v>6557</v>
      </c>
      <c r="E1715" t="s">
        <v>108</v>
      </c>
    </row>
    <row r="1716" spans="1:5">
      <c r="A1716" t="s">
        <v>7517</v>
      </c>
      <c r="B1716">
        <v>2.87</v>
      </c>
      <c r="C1716" t="s">
        <v>7518</v>
      </c>
      <c r="D1716" t="s">
        <v>6557</v>
      </c>
      <c r="E1716" t="s">
        <v>108</v>
      </c>
    </row>
    <row r="1717" spans="1:5">
      <c r="A1717" t="s">
        <v>7519</v>
      </c>
      <c r="B1717">
        <v>1.45</v>
      </c>
      <c r="C1717" t="s">
        <v>108</v>
      </c>
      <c r="D1717" t="s">
        <v>6557</v>
      </c>
      <c r="E1717" t="s">
        <v>108</v>
      </c>
    </row>
    <row r="1718" spans="1:5">
      <c r="A1718" t="s">
        <v>7520</v>
      </c>
      <c r="B1718">
        <v>1.6</v>
      </c>
      <c r="C1718" t="s">
        <v>7279</v>
      </c>
      <c r="D1718" t="s">
        <v>6557</v>
      </c>
      <c r="E1718" t="s">
        <v>108</v>
      </c>
    </row>
    <row r="1719" spans="1:5">
      <c r="A1719" t="s">
        <v>7521</v>
      </c>
      <c r="B1719">
        <v>1.6</v>
      </c>
      <c r="C1719" t="s">
        <v>7279</v>
      </c>
      <c r="D1719" t="s">
        <v>6557</v>
      </c>
      <c r="E1719" t="s">
        <v>108</v>
      </c>
    </row>
    <row r="1720" spans="1:5">
      <c r="A1720" t="s">
        <v>7522</v>
      </c>
      <c r="B1720">
        <v>2.12</v>
      </c>
      <c r="C1720" t="s">
        <v>3103</v>
      </c>
      <c r="D1720" t="s">
        <v>6557</v>
      </c>
      <c r="E1720" t="s">
        <v>108</v>
      </c>
    </row>
    <row r="1721" spans="1:5">
      <c r="A1721" t="s">
        <v>7523</v>
      </c>
      <c r="B1721">
        <v>2.1800000000000002</v>
      </c>
      <c r="C1721" t="s">
        <v>3103</v>
      </c>
      <c r="D1721" t="s">
        <v>6557</v>
      </c>
      <c r="E1721" t="s">
        <v>108</v>
      </c>
    </row>
    <row r="1722" spans="1:5">
      <c r="A1722" t="s">
        <v>7524</v>
      </c>
      <c r="B1722">
        <v>2.23</v>
      </c>
      <c r="C1722" t="s">
        <v>3103</v>
      </c>
      <c r="D1722" t="s">
        <v>6557</v>
      </c>
      <c r="E1722" t="s">
        <v>108</v>
      </c>
    </row>
    <row r="1723" spans="1:5">
      <c r="A1723" t="s">
        <v>7525</v>
      </c>
      <c r="B1723">
        <v>2.5</v>
      </c>
      <c r="C1723" t="s">
        <v>3363</v>
      </c>
      <c r="D1723" t="s">
        <v>6557</v>
      </c>
      <c r="E1723" t="s">
        <v>108</v>
      </c>
    </row>
    <row r="1724" spans="1:5">
      <c r="A1724" t="s">
        <v>7526</v>
      </c>
      <c r="B1724">
        <v>2.6</v>
      </c>
      <c r="C1724" t="s">
        <v>4115</v>
      </c>
      <c r="D1724" t="s">
        <v>6557</v>
      </c>
      <c r="E1724" t="s">
        <v>108</v>
      </c>
    </row>
    <row r="1725" spans="1:5">
      <c r="A1725" t="s">
        <v>7527</v>
      </c>
      <c r="B1725">
        <v>2.6</v>
      </c>
      <c r="C1725" t="s">
        <v>4218</v>
      </c>
      <c r="D1725" t="s">
        <v>6557</v>
      </c>
      <c r="E1725" t="s">
        <v>108</v>
      </c>
    </row>
    <row r="1726" spans="1:5">
      <c r="A1726" t="s">
        <v>7528</v>
      </c>
      <c r="B1726">
        <v>2.6</v>
      </c>
      <c r="C1726" t="s">
        <v>4776</v>
      </c>
      <c r="D1726" t="s">
        <v>6557</v>
      </c>
      <c r="E1726" t="s">
        <v>108</v>
      </c>
    </row>
    <row r="1727" spans="1:5">
      <c r="A1727" t="s">
        <v>7529</v>
      </c>
      <c r="B1727">
        <v>2.25</v>
      </c>
      <c r="C1727" t="s">
        <v>3530</v>
      </c>
      <c r="D1727" t="s">
        <v>6557</v>
      </c>
      <c r="E1727" t="s">
        <v>108</v>
      </c>
    </row>
    <row r="1728" spans="1:5">
      <c r="A1728" t="s">
        <v>7530</v>
      </c>
      <c r="B1728">
        <v>2.7</v>
      </c>
      <c r="C1728" t="s">
        <v>4139</v>
      </c>
      <c r="D1728" t="s">
        <v>6557</v>
      </c>
      <c r="E1728" t="s">
        <v>108</v>
      </c>
    </row>
    <row r="1729" spans="1:5">
      <c r="A1729" t="s">
        <v>7531</v>
      </c>
      <c r="B1729">
        <v>2.6</v>
      </c>
      <c r="C1729" t="s">
        <v>108</v>
      </c>
      <c r="D1729" t="s">
        <v>6557</v>
      </c>
      <c r="E1729" t="s">
        <v>108</v>
      </c>
    </row>
    <row r="1730" spans="1:5">
      <c r="A1730" t="s">
        <v>7532</v>
      </c>
      <c r="B1730">
        <v>2.6</v>
      </c>
      <c r="C1730" t="s">
        <v>7468</v>
      </c>
      <c r="D1730" t="s">
        <v>6557</v>
      </c>
      <c r="E1730" t="s">
        <v>108</v>
      </c>
    </row>
    <row r="1731" spans="1:5">
      <c r="A1731" t="s">
        <v>7533</v>
      </c>
      <c r="B1731">
        <v>2.65</v>
      </c>
      <c r="C1731" t="s">
        <v>7508</v>
      </c>
      <c r="D1731" t="s">
        <v>6557</v>
      </c>
      <c r="E1731" t="s">
        <v>108</v>
      </c>
    </row>
    <row r="1732" spans="1:5">
      <c r="A1732" t="s">
        <v>7534</v>
      </c>
      <c r="B1732">
        <v>2.65</v>
      </c>
      <c r="C1732" t="s">
        <v>7468</v>
      </c>
      <c r="D1732" t="s">
        <v>6557</v>
      </c>
      <c r="E1732" t="s">
        <v>108</v>
      </c>
    </row>
    <row r="1733" spans="1:5">
      <c r="A1733" t="s">
        <v>7535</v>
      </c>
      <c r="B1733">
        <v>2.4500000000000002</v>
      </c>
      <c r="C1733" t="s">
        <v>7508</v>
      </c>
      <c r="D1733" t="s">
        <v>6557</v>
      </c>
      <c r="E1733" t="s">
        <v>108</v>
      </c>
    </row>
    <row r="1734" spans="1:5">
      <c r="A1734" t="s">
        <v>7536</v>
      </c>
      <c r="B1734">
        <v>1.8</v>
      </c>
      <c r="C1734" t="s">
        <v>108</v>
      </c>
      <c r="D1734" t="s">
        <v>6557</v>
      </c>
      <c r="E1734" t="s">
        <v>108</v>
      </c>
    </row>
    <row r="1735" spans="1:5">
      <c r="A1735" t="s">
        <v>7537</v>
      </c>
      <c r="B1735">
        <v>1.8</v>
      </c>
      <c r="C1735" t="s">
        <v>7279</v>
      </c>
      <c r="D1735" t="s">
        <v>6557</v>
      </c>
      <c r="E1735" t="s">
        <v>108</v>
      </c>
    </row>
    <row r="1736" spans="1:5">
      <c r="A1736" t="s">
        <v>7538</v>
      </c>
      <c r="B1736">
        <v>1.8</v>
      </c>
      <c r="C1736" t="s">
        <v>7279</v>
      </c>
      <c r="D1736" t="s">
        <v>6557</v>
      </c>
      <c r="E1736" t="s">
        <v>108</v>
      </c>
    </row>
    <row r="1737" spans="1:5">
      <c r="A1737" t="s">
        <v>7539</v>
      </c>
      <c r="B1737">
        <v>1.85</v>
      </c>
      <c r="C1737" t="s">
        <v>2783</v>
      </c>
      <c r="D1737" t="s">
        <v>6557</v>
      </c>
      <c r="E1737" t="s">
        <v>108</v>
      </c>
    </row>
    <row r="1738" spans="1:5">
      <c r="A1738" t="s">
        <v>7540</v>
      </c>
      <c r="B1738">
        <v>1.85</v>
      </c>
      <c r="C1738" t="s">
        <v>2783</v>
      </c>
      <c r="D1738" t="s">
        <v>6557</v>
      </c>
      <c r="E1738" t="s">
        <v>108</v>
      </c>
    </row>
    <row r="1739" spans="1:5">
      <c r="A1739" t="s">
        <v>7541</v>
      </c>
      <c r="B1739">
        <v>3</v>
      </c>
      <c r="C1739" t="s">
        <v>108</v>
      </c>
      <c r="D1739" t="s">
        <v>6557</v>
      </c>
      <c r="E1739" t="s">
        <v>108</v>
      </c>
    </row>
    <row r="1740" spans="1:5">
      <c r="A1740" t="s">
        <v>7542</v>
      </c>
      <c r="B1740">
        <v>2.9</v>
      </c>
      <c r="C1740" t="s">
        <v>3579</v>
      </c>
      <c r="D1740" t="s">
        <v>6557</v>
      </c>
      <c r="E1740" t="s">
        <v>108</v>
      </c>
    </row>
    <row r="1741" spans="1:5">
      <c r="A1741" t="s">
        <v>7543</v>
      </c>
      <c r="B1741">
        <v>2.44</v>
      </c>
      <c r="C1741" t="s">
        <v>108</v>
      </c>
      <c r="D1741" t="s">
        <v>6557</v>
      </c>
      <c r="E1741" t="s">
        <v>108</v>
      </c>
    </row>
    <row r="1742" spans="1:5">
      <c r="A1742" t="s">
        <v>7544</v>
      </c>
      <c r="B1742">
        <v>2.4500000000000002</v>
      </c>
      <c r="C1742" t="s">
        <v>3630</v>
      </c>
      <c r="D1742" t="s">
        <v>6557</v>
      </c>
      <c r="E1742" t="s">
        <v>108</v>
      </c>
    </row>
    <row r="1743" spans="1:5">
      <c r="A1743" t="s">
        <v>7545</v>
      </c>
      <c r="B1743">
        <v>2.65</v>
      </c>
      <c r="C1743" t="s">
        <v>7508</v>
      </c>
      <c r="D1743" t="s">
        <v>6557</v>
      </c>
      <c r="E1743" t="s">
        <v>108</v>
      </c>
    </row>
    <row r="1744" spans="1:5">
      <c r="A1744" t="s">
        <v>7546</v>
      </c>
      <c r="B1744">
        <v>2.15</v>
      </c>
      <c r="C1744" t="s">
        <v>108</v>
      </c>
      <c r="D1744" t="s">
        <v>6270</v>
      </c>
      <c r="E1744" t="s">
        <v>108</v>
      </c>
    </row>
    <row r="1745" spans="1:5">
      <c r="A1745" t="s">
        <v>7547</v>
      </c>
      <c r="B1745">
        <v>2.75</v>
      </c>
      <c r="C1745" t="s">
        <v>108</v>
      </c>
      <c r="D1745" t="s">
        <v>6253</v>
      </c>
      <c r="E1745" t="s">
        <v>108</v>
      </c>
    </row>
    <row r="1746" spans="1:5">
      <c r="A1746" t="s">
        <v>7548</v>
      </c>
      <c r="B1746">
        <v>2.2999999999999998</v>
      </c>
      <c r="C1746" t="s">
        <v>108</v>
      </c>
      <c r="D1746" t="s">
        <v>6253</v>
      </c>
      <c r="E1746" t="s">
        <v>108</v>
      </c>
    </row>
    <row r="1747" spans="1:5">
      <c r="A1747" t="s">
        <v>7549</v>
      </c>
      <c r="B1747">
        <v>2.2000000000000002</v>
      </c>
      <c r="C1747" t="s">
        <v>108</v>
      </c>
      <c r="D1747" t="s">
        <v>6270</v>
      </c>
      <c r="E1747" t="s">
        <v>108</v>
      </c>
    </row>
    <row r="1748" spans="1:5">
      <c r="A1748" t="s">
        <v>7550</v>
      </c>
      <c r="B1748">
        <v>2.2000000000000002</v>
      </c>
      <c r="C1748" t="s">
        <v>108</v>
      </c>
      <c r="D1748" t="s">
        <v>6270</v>
      </c>
      <c r="E1748" t="s">
        <v>108</v>
      </c>
    </row>
    <row r="1749" spans="1:5">
      <c r="A1749" t="s">
        <v>7551</v>
      </c>
      <c r="B1749">
        <v>2.25</v>
      </c>
      <c r="C1749" t="s">
        <v>108</v>
      </c>
      <c r="D1749" t="s">
        <v>6270</v>
      </c>
      <c r="E1749" t="s">
        <v>108</v>
      </c>
    </row>
    <row r="1750" spans="1:5">
      <c r="A1750" t="s">
        <v>7552</v>
      </c>
      <c r="B1750">
        <v>2.35</v>
      </c>
      <c r="C1750" t="s">
        <v>108</v>
      </c>
      <c r="D1750" t="s">
        <v>6270</v>
      </c>
      <c r="E1750" t="s">
        <v>108</v>
      </c>
    </row>
    <row r="1751" spans="1:5">
      <c r="A1751" t="s">
        <v>7553</v>
      </c>
      <c r="B1751">
        <v>2.5499999999999998</v>
      </c>
      <c r="C1751" t="s">
        <v>108</v>
      </c>
      <c r="D1751" t="s">
        <v>6270</v>
      </c>
      <c r="E1751" t="s">
        <v>108</v>
      </c>
    </row>
    <row r="1752" spans="1:5">
      <c r="A1752" t="s">
        <v>7554</v>
      </c>
      <c r="B1752">
        <v>2.9</v>
      </c>
      <c r="C1752" t="s">
        <v>108</v>
      </c>
      <c r="D1752" t="s">
        <v>6253</v>
      </c>
      <c r="E1752" t="s">
        <v>108</v>
      </c>
    </row>
    <row r="1753" spans="1:5">
      <c r="A1753" t="s">
        <v>7555</v>
      </c>
      <c r="B1753">
        <v>2.85</v>
      </c>
      <c r="C1753" t="s">
        <v>108</v>
      </c>
      <c r="D1753" t="s">
        <v>6253</v>
      </c>
      <c r="E1753" t="s">
        <v>108</v>
      </c>
    </row>
    <row r="1754" spans="1:5">
      <c r="A1754" t="s">
        <v>7556</v>
      </c>
      <c r="B1754">
        <v>2.85</v>
      </c>
      <c r="C1754" t="s">
        <v>108</v>
      </c>
      <c r="D1754" t="s">
        <v>6253</v>
      </c>
      <c r="E1754" t="s">
        <v>108</v>
      </c>
    </row>
    <row r="1755" spans="1:5">
      <c r="A1755" t="s">
        <v>7557</v>
      </c>
      <c r="B1755">
        <v>2.85</v>
      </c>
      <c r="C1755" t="s">
        <v>108</v>
      </c>
      <c r="D1755" t="s">
        <v>6253</v>
      </c>
      <c r="E1755" t="s">
        <v>108</v>
      </c>
    </row>
    <row r="1756" spans="1:5">
      <c r="A1756" t="s">
        <v>7558</v>
      </c>
      <c r="B1756">
        <v>2.7</v>
      </c>
      <c r="C1756" t="s">
        <v>108</v>
      </c>
      <c r="D1756" t="s">
        <v>6270</v>
      </c>
      <c r="E1756" t="s">
        <v>108</v>
      </c>
    </row>
    <row r="1757" spans="1:5">
      <c r="A1757" t="s">
        <v>7559</v>
      </c>
      <c r="B1757">
        <v>2.9</v>
      </c>
      <c r="C1757" t="s">
        <v>108</v>
      </c>
      <c r="D1757" t="s">
        <v>6263</v>
      </c>
      <c r="E1757" t="s">
        <v>108</v>
      </c>
    </row>
    <row r="1758" spans="1:5">
      <c r="A1758" t="s">
        <v>7560</v>
      </c>
      <c r="B1758">
        <v>2.95</v>
      </c>
      <c r="C1758" t="s">
        <v>108</v>
      </c>
      <c r="D1758" t="s">
        <v>6263</v>
      </c>
      <c r="E1758" t="s">
        <v>108</v>
      </c>
    </row>
    <row r="1759" spans="1:5">
      <c r="A1759" t="s">
        <v>7561</v>
      </c>
      <c r="B1759">
        <v>2.15</v>
      </c>
      <c r="C1759" t="s">
        <v>108</v>
      </c>
      <c r="D1759" t="s">
        <v>6270</v>
      </c>
      <c r="E1759" t="s">
        <v>108</v>
      </c>
    </row>
    <row r="1760" spans="1:5">
      <c r="A1760" t="s">
        <v>7562</v>
      </c>
      <c r="B1760">
        <v>2.2999999999999998</v>
      </c>
      <c r="C1760" t="s">
        <v>108</v>
      </c>
      <c r="D1760" t="s">
        <v>6270</v>
      </c>
      <c r="E1760" t="s">
        <v>108</v>
      </c>
    </row>
    <row r="1761" spans="1:5">
      <c r="A1761" t="s">
        <v>7563</v>
      </c>
      <c r="B1761">
        <v>2.5499999999999998</v>
      </c>
      <c r="C1761" t="s">
        <v>108</v>
      </c>
      <c r="D1761" t="s">
        <v>6253</v>
      </c>
      <c r="E1761" t="s">
        <v>108</v>
      </c>
    </row>
    <row r="1762" spans="1:5">
      <c r="A1762" t="s">
        <v>7564</v>
      </c>
      <c r="B1762">
        <v>1.75</v>
      </c>
      <c r="C1762" t="s">
        <v>108</v>
      </c>
      <c r="D1762" t="s">
        <v>6272</v>
      </c>
      <c r="E1762" t="s">
        <v>108</v>
      </c>
    </row>
    <row r="1763" spans="1:5">
      <c r="A1763" t="s">
        <v>7565</v>
      </c>
      <c r="B1763">
        <v>1.6</v>
      </c>
      <c r="C1763" t="s">
        <v>108</v>
      </c>
      <c r="D1763" t="s">
        <v>6272</v>
      </c>
      <c r="E1763" t="s">
        <v>108</v>
      </c>
    </row>
    <row r="1764" spans="1:5">
      <c r="A1764" t="s">
        <v>7566</v>
      </c>
      <c r="B1764">
        <v>1.3</v>
      </c>
      <c r="C1764" t="s">
        <v>3601</v>
      </c>
      <c r="D1764" t="s">
        <v>6272</v>
      </c>
      <c r="E1764" t="s">
        <v>108</v>
      </c>
    </row>
    <row r="1765" spans="1:5">
      <c r="A1765" t="s">
        <v>7567</v>
      </c>
      <c r="B1765">
        <v>1.3</v>
      </c>
      <c r="C1765" t="s">
        <v>4621</v>
      </c>
      <c r="D1765" t="s">
        <v>6272</v>
      </c>
      <c r="E1765" t="s">
        <v>108</v>
      </c>
    </row>
    <row r="1766" spans="1:5">
      <c r="A1766" t="s">
        <v>7568</v>
      </c>
      <c r="B1766">
        <v>1.3</v>
      </c>
      <c r="C1766" t="s">
        <v>3664</v>
      </c>
      <c r="D1766" t="s">
        <v>6272</v>
      </c>
      <c r="E1766" t="s">
        <v>108</v>
      </c>
    </row>
    <row r="1767" spans="1:5">
      <c r="A1767" t="s">
        <v>7569</v>
      </c>
      <c r="B1767">
        <v>1.3</v>
      </c>
      <c r="C1767" t="s">
        <v>3115</v>
      </c>
      <c r="D1767" t="s">
        <v>6272</v>
      </c>
      <c r="E1767" t="s">
        <v>108</v>
      </c>
    </row>
    <row r="1768" spans="1:5">
      <c r="A1768" t="s">
        <v>7570</v>
      </c>
      <c r="B1768">
        <v>2.19</v>
      </c>
      <c r="C1768" t="s">
        <v>7571</v>
      </c>
      <c r="D1768" t="s">
        <v>6308</v>
      </c>
      <c r="E1768" t="s">
        <v>108</v>
      </c>
    </row>
    <row r="1769" spans="1:5">
      <c r="A1769" t="s">
        <v>7572</v>
      </c>
      <c r="B1769">
        <v>1.85</v>
      </c>
      <c r="C1769" t="s">
        <v>5293</v>
      </c>
      <c r="D1769" t="s">
        <v>6270</v>
      </c>
      <c r="E1769" t="s">
        <v>108</v>
      </c>
    </row>
    <row r="1770" spans="1:5">
      <c r="A1770" t="s">
        <v>7573</v>
      </c>
      <c r="B1770">
        <v>2.2000000000000002</v>
      </c>
      <c r="C1770" t="s">
        <v>108</v>
      </c>
      <c r="D1770" t="s">
        <v>6249</v>
      </c>
      <c r="E1770" t="s">
        <v>108</v>
      </c>
    </row>
    <row r="1771" spans="1:5">
      <c r="A1771" t="s">
        <v>7574</v>
      </c>
      <c r="B1771">
        <v>1.85</v>
      </c>
      <c r="C1771" t="s">
        <v>5293</v>
      </c>
      <c r="D1771" t="s">
        <v>6270</v>
      </c>
      <c r="E1771" t="s">
        <v>108</v>
      </c>
    </row>
    <row r="1772" spans="1:5">
      <c r="A1772" t="s">
        <v>7575</v>
      </c>
      <c r="B1772">
        <v>1.5</v>
      </c>
      <c r="C1772" t="s">
        <v>4891</v>
      </c>
      <c r="D1772" t="s">
        <v>5631</v>
      </c>
      <c r="E1772" t="s">
        <v>108</v>
      </c>
    </row>
    <row r="1773" spans="1:5">
      <c r="A1773" t="s">
        <v>7576</v>
      </c>
      <c r="B1773">
        <v>1.7</v>
      </c>
      <c r="C1773" t="s">
        <v>3666</v>
      </c>
      <c r="D1773" t="s">
        <v>7290</v>
      </c>
      <c r="E1773" t="s">
        <v>6929</v>
      </c>
    </row>
    <row r="1774" spans="1:5">
      <c r="A1774" t="s">
        <v>7577</v>
      </c>
      <c r="B1774">
        <v>2.0499999999999998</v>
      </c>
      <c r="C1774" t="s">
        <v>3954</v>
      </c>
      <c r="D1774" t="s">
        <v>6412</v>
      </c>
      <c r="E1774" t="s">
        <v>108</v>
      </c>
    </row>
    <row r="1775" spans="1:5">
      <c r="A1775" t="s">
        <v>7578</v>
      </c>
      <c r="B1775">
        <v>1.8</v>
      </c>
      <c r="C1775" t="s">
        <v>7579</v>
      </c>
      <c r="D1775" t="s">
        <v>5505</v>
      </c>
      <c r="E1775" t="s">
        <v>108</v>
      </c>
    </row>
    <row r="1776" spans="1:5">
      <c r="A1776" t="s">
        <v>7580</v>
      </c>
      <c r="B1776">
        <v>2.7</v>
      </c>
      <c r="C1776" t="s">
        <v>3034</v>
      </c>
      <c r="D1776" t="s">
        <v>6368</v>
      </c>
      <c r="E1776" t="s">
        <v>108</v>
      </c>
    </row>
    <row r="1777" spans="1:5">
      <c r="A1777" t="s">
        <v>7581</v>
      </c>
      <c r="B1777">
        <v>2.4500000000000002</v>
      </c>
      <c r="C1777" t="s">
        <v>7582</v>
      </c>
      <c r="D1777" t="s">
        <v>6270</v>
      </c>
      <c r="E1777" t="s">
        <v>108</v>
      </c>
    </row>
    <row r="1778" spans="1:5">
      <c r="A1778" t="s">
        <v>7583</v>
      </c>
      <c r="B1778">
        <v>2.62</v>
      </c>
      <c r="C1778" t="s">
        <v>108</v>
      </c>
      <c r="D1778" t="s">
        <v>6253</v>
      </c>
      <c r="E1778" t="s">
        <v>108</v>
      </c>
    </row>
    <row r="1779" spans="1:5">
      <c r="A1779" t="s">
        <v>7584</v>
      </c>
      <c r="B1779">
        <v>2.2000000000000002</v>
      </c>
      <c r="C1779" t="s">
        <v>7585</v>
      </c>
      <c r="D1779" t="s">
        <v>6270</v>
      </c>
      <c r="E1779" t="s">
        <v>108</v>
      </c>
    </row>
    <row r="1780" spans="1:5">
      <c r="A1780" t="s">
        <v>7586</v>
      </c>
      <c r="B1780">
        <v>2.2000000000000002</v>
      </c>
      <c r="C1780" t="s">
        <v>7587</v>
      </c>
      <c r="D1780" t="s">
        <v>6263</v>
      </c>
      <c r="E1780" t="s">
        <v>108</v>
      </c>
    </row>
    <row r="1781" spans="1:5">
      <c r="A1781" t="s">
        <v>7588</v>
      </c>
      <c r="B1781">
        <v>2.2799999999999998</v>
      </c>
      <c r="C1781" t="s">
        <v>3363</v>
      </c>
      <c r="D1781" t="s">
        <v>6270</v>
      </c>
      <c r="E1781" t="s">
        <v>108</v>
      </c>
    </row>
    <row r="1782" spans="1:5">
      <c r="A1782" t="s">
        <v>7589</v>
      </c>
      <c r="B1782">
        <v>2.2599999999999998</v>
      </c>
      <c r="C1782" t="s">
        <v>108</v>
      </c>
      <c r="D1782" t="s">
        <v>6253</v>
      </c>
      <c r="E1782" t="s">
        <v>108</v>
      </c>
    </row>
    <row r="1783" spans="1:5">
      <c r="A1783" t="s">
        <v>7590</v>
      </c>
      <c r="B1783">
        <v>2.37</v>
      </c>
      <c r="C1783" t="s">
        <v>7591</v>
      </c>
      <c r="D1783" t="s">
        <v>6308</v>
      </c>
      <c r="E1783" t="s">
        <v>108</v>
      </c>
    </row>
    <row r="1784" spans="1:5">
      <c r="A1784" t="s">
        <v>7592</v>
      </c>
      <c r="B1784">
        <v>2.8</v>
      </c>
      <c r="C1784" t="s">
        <v>3103</v>
      </c>
      <c r="D1784" t="s">
        <v>6270</v>
      </c>
      <c r="E1784" t="s">
        <v>108</v>
      </c>
    </row>
    <row r="1785" spans="1:5">
      <c r="A1785" t="s">
        <v>7593</v>
      </c>
      <c r="B1785">
        <v>1.1000000000000001</v>
      </c>
      <c r="C1785" t="s">
        <v>7594</v>
      </c>
      <c r="D1785" t="s">
        <v>5911</v>
      </c>
      <c r="E1785" t="s">
        <v>108</v>
      </c>
    </row>
    <row r="1786" spans="1:5">
      <c r="A1786" t="s">
        <v>7595</v>
      </c>
      <c r="B1786">
        <v>1.3</v>
      </c>
      <c r="C1786" t="s">
        <v>7596</v>
      </c>
      <c r="D1786" t="s">
        <v>5911</v>
      </c>
      <c r="E1786" t="s">
        <v>108</v>
      </c>
    </row>
    <row r="1787" spans="1:5">
      <c r="A1787" t="s">
        <v>7597</v>
      </c>
      <c r="B1787">
        <v>1.7</v>
      </c>
      <c r="C1787" t="s">
        <v>108</v>
      </c>
      <c r="D1787" t="s">
        <v>6865</v>
      </c>
      <c r="E1787" t="s">
        <v>108</v>
      </c>
    </row>
    <row r="1788" spans="1:5">
      <c r="A1788" t="s">
        <v>7598</v>
      </c>
      <c r="B1788">
        <v>2.9</v>
      </c>
      <c r="C1788" t="s">
        <v>3034</v>
      </c>
      <c r="D1788" t="s">
        <v>6308</v>
      </c>
      <c r="E1788" t="s">
        <v>108</v>
      </c>
    </row>
    <row r="1789" spans="1:5">
      <c r="A1789" t="s">
        <v>7599</v>
      </c>
      <c r="B1789">
        <v>2.2000000000000002</v>
      </c>
      <c r="C1789" t="s">
        <v>108</v>
      </c>
      <c r="D1789" t="s">
        <v>108</v>
      </c>
      <c r="E1789" t="s">
        <v>108</v>
      </c>
    </row>
    <row r="1790" spans="1:5">
      <c r="A1790" t="s">
        <v>7600</v>
      </c>
      <c r="B1790">
        <v>1.75</v>
      </c>
      <c r="C1790" t="s">
        <v>3103</v>
      </c>
      <c r="D1790" t="s">
        <v>6429</v>
      </c>
      <c r="E1790" t="s">
        <v>108</v>
      </c>
    </row>
  </sheetData>
  <pageMargins left="0.511811024" right="0.511811024" top="0.78740157499999996" bottom="0.78740157499999996" header="0.31496062000000002" footer="0.31496062000000002"/>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0C140-970E-4F32-84FB-CA4D5ACAABB8}">
  <sheetPr codeName="Planilha7"/>
  <dimension ref="A1:D2893"/>
  <sheetViews>
    <sheetView zoomScale="85" zoomScaleNormal="85" workbookViewId="0">
      <selection activeCell="C1025" sqref="C1025"/>
    </sheetView>
  </sheetViews>
  <sheetFormatPr defaultRowHeight="13.2"/>
  <cols>
    <col min="1" max="1" width="35.77734375" bestFit="1" customWidth="1"/>
    <col min="2" max="2" width="17.6640625" bestFit="1" customWidth="1"/>
    <col min="3" max="4" width="80.88671875" bestFit="1" customWidth="1"/>
  </cols>
  <sheetData>
    <row r="1" spans="1:4">
      <c r="A1" t="s">
        <v>499</v>
      </c>
      <c r="B1" t="s">
        <v>2388</v>
      </c>
      <c r="C1" t="s">
        <v>2389</v>
      </c>
      <c r="D1" t="s">
        <v>2390</v>
      </c>
    </row>
    <row r="2" spans="1:4">
      <c r="A2" t="s">
        <v>2391</v>
      </c>
      <c r="B2">
        <v>3.02</v>
      </c>
      <c r="C2" t="s">
        <v>2392</v>
      </c>
      <c r="D2" t="s">
        <v>2393</v>
      </c>
    </row>
    <row r="3" spans="1:4">
      <c r="A3" t="s">
        <v>2394</v>
      </c>
      <c r="B3">
        <v>2.99</v>
      </c>
      <c r="C3" t="s">
        <v>2395</v>
      </c>
      <c r="D3" t="s">
        <v>2393</v>
      </c>
    </row>
    <row r="4" spans="1:4">
      <c r="A4" t="s">
        <v>2396</v>
      </c>
      <c r="B4">
        <v>3</v>
      </c>
      <c r="C4" t="s">
        <v>2397</v>
      </c>
      <c r="D4" t="s">
        <v>2398</v>
      </c>
    </row>
    <row r="5" spans="1:4">
      <c r="A5" t="s">
        <v>2399</v>
      </c>
      <c r="B5">
        <v>3.18</v>
      </c>
      <c r="C5" t="s">
        <v>2397</v>
      </c>
      <c r="D5" t="s">
        <v>2400</v>
      </c>
    </row>
    <row r="6" spans="1:4">
      <c r="A6" t="s">
        <v>2401</v>
      </c>
      <c r="B6">
        <v>3.09</v>
      </c>
      <c r="C6" t="s">
        <v>2397</v>
      </c>
      <c r="D6" t="s">
        <v>2393</v>
      </c>
    </row>
    <row r="7" spans="1:4">
      <c r="A7" t="s">
        <v>2402</v>
      </c>
      <c r="B7">
        <v>3.14</v>
      </c>
      <c r="C7" t="s">
        <v>2403</v>
      </c>
      <c r="D7" t="s">
        <v>2393</v>
      </c>
    </row>
    <row r="8" spans="1:4">
      <c r="A8" t="s">
        <v>2404</v>
      </c>
      <c r="B8">
        <v>3.11</v>
      </c>
      <c r="C8" t="s">
        <v>2397</v>
      </c>
      <c r="D8" t="s">
        <v>2393</v>
      </c>
    </row>
    <row r="9" spans="1:4">
      <c r="A9" t="s">
        <v>2405</v>
      </c>
      <c r="B9">
        <v>3.01</v>
      </c>
      <c r="C9" t="s">
        <v>2406</v>
      </c>
      <c r="D9" t="s">
        <v>2393</v>
      </c>
    </row>
    <row r="10" spans="1:4">
      <c r="A10" t="s">
        <v>2407</v>
      </c>
      <c r="B10">
        <v>3.03</v>
      </c>
      <c r="C10" t="s">
        <v>2408</v>
      </c>
      <c r="D10" t="s">
        <v>2393</v>
      </c>
    </row>
    <row r="11" spans="1:4">
      <c r="A11" t="s">
        <v>2409</v>
      </c>
      <c r="B11">
        <v>3.08</v>
      </c>
      <c r="C11" t="s">
        <v>2410</v>
      </c>
      <c r="D11" t="s">
        <v>2393</v>
      </c>
    </row>
    <row r="12" spans="1:4">
      <c r="A12" t="s">
        <v>2411</v>
      </c>
      <c r="B12">
        <v>3.05</v>
      </c>
      <c r="C12" t="s">
        <v>2410</v>
      </c>
      <c r="D12" t="s">
        <v>2393</v>
      </c>
    </row>
    <row r="13" spans="1:4">
      <c r="A13" t="s">
        <v>2412</v>
      </c>
      <c r="B13">
        <v>3.06</v>
      </c>
      <c r="C13" t="s">
        <v>2408</v>
      </c>
      <c r="D13" t="s">
        <v>2393</v>
      </c>
    </row>
    <row r="14" spans="1:4">
      <c r="A14" t="s">
        <v>2413</v>
      </c>
      <c r="B14">
        <v>2.97</v>
      </c>
      <c r="C14" t="s">
        <v>2397</v>
      </c>
      <c r="D14" t="s">
        <v>2393</v>
      </c>
    </row>
    <row r="15" spans="1:4">
      <c r="A15" t="s">
        <v>2414</v>
      </c>
      <c r="B15">
        <v>3.06</v>
      </c>
      <c r="C15" t="s">
        <v>2415</v>
      </c>
      <c r="D15" t="s">
        <v>2393</v>
      </c>
    </row>
    <row r="16" spans="1:4">
      <c r="A16" t="s">
        <v>2416</v>
      </c>
      <c r="B16">
        <v>3.14</v>
      </c>
      <c r="C16" t="s">
        <v>2408</v>
      </c>
      <c r="D16" t="s">
        <v>2393</v>
      </c>
    </row>
    <row r="17" spans="1:4">
      <c r="A17" t="s">
        <v>2417</v>
      </c>
      <c r="B17">
        <v>3</v>
      </c>
      <c r="C17" t="s">
        <v>2418</v>
      </c>
      <c r="D17" t="s">
        <v>2419</v>
      </c>
    </row>
    <row r="18" spans="1:4">
      <c r="A18" t="s">
        <v>2420</v>
      </c>
      <c r="B18">
        <v>3.11</v>
      </c>
      <c r="C18" t="s">
        <v>2421</v>
      </c>
      <c r="D18" t="s">
        <v>2393</v>
      </c>
    </row>
    <row r="19" spans="1:4">
      <c r="A19" t="s">
        <v>2422</v>
      </c>
      <c r="B19">
        <v>3.01</v>
      </c>
      <c r="C19" t="s">
        <v>2423</v>
      </c>
      <c r="D19" t="s">
        <v>2393</v>
      </c>
    </row>
    <row r="20" spans="1:4">
      <c r="A20" t="s">
        <v>2424</v>
      </c>
      <c r="B20">
        <v>3.03</v>
      </c>
      <c r="C20" t="s">
        <v>2423</v>
      </c>
      <c r="D20" t="s">
        <v>2393</v>
      </c>
    </row>
    <row r="21" spans="1:4">
      <c r="A21" t="s">
        <v>2425</v>
      </c>
      <c r="B21">
        <v>3.06</v>
      </c>
      <c r="C21" t="s">
        <v>2403</v>
      </c>
      <c r="D21" t="s">
        <v>2393</v>
      </c>
    </row>
    <row r="22" spans="1:4">
      <c r="A22" t="s">
        <v>2426</v>
      </c>
      <c r="B22">
        <v>2.98</v>
      </c>
      <c r="C22" t="s">
        <v>2418</v>
      </c>
      <c r="D22" t="s">
        <v>2427</v>
      </c>
    </row>
    <row r="23" spans="1:4">
      <c r="A23" t="s">
        <v>2428</v>
      </c>
      <c r="B23">
        <v>3.05</v>
      </c>
      <c r="C23" t="s">
        <v>2392</v>
      </c>
      <c r="D23" t="s">
        <v>2393</v>
      </c>
    </row>
    <row r="24" spans="1:4">
      <c r="A24" t="s">
        <v>2429</v>
      </c>
      <c r="B24">
        <v>3.08</v>
      </c>
      <c r="C24" t="s">
        <v>2395</v>
      </c>
      <c r="D24" t="s">
        <v>2393</v>
      </c>
    </row>
    <row r="25" spans="1:4">
      <c r="A25" t="s">
        <v>2430</v>
      </c>
      <c r="B25">
        <v>3.18</v>
      </c>
      <c r="C25" t="s">
        <v>2410</v>
      </c>
      <c r="D25" t="s">
        <v>2400</v>
      </c>
    </row>
    <row r="26" spans="1:4">
      <c r="A26" t="s">
        <v>2431</v>
      </c>
      <c r="B26">
        <v>3.05</v>
      </c>
      <c r="C26" t="s">
        <v>2415</v>
      </c>
      <c r="D26" t="s">
        <v>2393</v>
      </c>
    </row>
    <row r="27" spans="1:4">
      <c r="A27" t="s">
        <v>2432</v>
      </c>
      <c r="B27">
        <v>3.08</v>
      </c>
      <c r="C27" t="s">
        <v>2397</v>
      </c>
      <c r="D27" t="s">
        <v>2393</v>
      </c>
    </row>
    <row r="28" spans="1:4">
      <c r="A28" t="s">
        <v>2433</v>
      </c>
      <c r="B28">
        <v>3.13</v>
      </c>
      <c r="C28" t="s">
        <v>2410</v>
      </c>
      <c r="D28" t="s">
        <v>2393</v>
      </c>
    </row>
    <row r="29" spans="1:4">
      <c r="A29" t="s">
        <v>2434</v>
      </c>
      <c r="B29">
        <v>3.1</v>
      </c>
      <c r="C29" t="s">
        <v>2410</v>
      </c>
      <c r="D29" t="s">
        <v>2393</v>
      </c>
    </row>
    <row r="30" spans="1:4">
      <c r="A30" t="s">
        <v>2435</v>
      </c>
      <c r="B30">
        <v>3.1</v>
      </c>
      <c r="C30" t="s">
        <v>2410</v>
      </c>
      <c r="D30" t="s">
        <v>2393</v>
      </c>
    </row>
    <row r="31" spans="1:4">
      <c r="A31" t="s">
        <v>2436</v>
      </c>
      <c r="B31">
        <v>3</v>
      </c>
      <c r="C31" t="s">
        <v>2410</v>
      </c>
      <c r="D31" t="s">
        <v>2393</v>
      </c>
    </row>
    <row r="32" spans="1:4">
      <c r="A32" t="s">
        <v>2437</v>
      </c>
      <c r="B32">
        <v>3.02</v>
      </c>
      <c r="C32" t="s">
        <v>2397</v>
      </c>
      <c r="D32" t="s">
        <v>2393</v>
      </c>
    </row>
    <row r="33" spans="1:4">
      <c r="A33" t="s">
        <v>2438</v>
      </c>
      <c r="B33">
        <v>3.07</v>
      </c>
      <c r="C33" t="s">
        <v>2415</v>
      </c>
      <c r="D33" t="s">
        <v>2393</v>
      </c>
    </row>
    <row r="34" spans="1:4">
      <c r="A34" t="s">
        <v>2439</v>
      </c>
      <c r="B34">
        <v>3.04</v>
      </c>
      <c r="C34" t="s">
        <v>2397</v>
      </c>
      <c r="D34" t="s">
        <v>2393</v>
      </c>
    </row>
    <row r="35" spans="1:4">
      <c r="A35" t="s">
        <v>2440</v>
      </c>
      <c r="B35">
        <v>3.05</v>
      </c>
      <c r="C35" t="s">
        <v>2410</v>
      </c>
      <c r="D35" t="s">
        <v>2393</v>
      </c>
    </row>
    <row r="36" spans="1:4">
      <c r="A36" t="s">
        <v>2441</v>
      </c>
      <c r="B36">
        <v>3.05</v>
      </c>
      <c r="C36" t="s">
        <v>2408</v>
      </c>
      <c r="D36" t="s">
        <v>2393</v>
      </c>
    </row>
    <row r="37" spans="1:4">
      <c r="A37" t="s">
        <v>2442</v>
      </c>
      <c r="B37">
        <v>3.07</v>
      </c>
      <c r="C37" t="s">
        <v>2415</v>
      </c>
      <c r="D37" t="s">
        <v>2393</v>
      </c>
    </row>
    <row r="38" spans="1:4">
      <c r="A38" t="s">
        <v>2443</v>
      </c>
      <c r="B38">
        <v>3.07</v>
      </c>
      <c r="C38" t="s">
        <v>2395</v>
      </c>
      <c r="D38" t="s">
        <v>2393</v>
      </c>
    </row>
    <row r="39" spans="1:4">
      <c r="A39" t="s">
        <v>2444</v>
      </c>
      <c r="B39">
        <v>3.05</v>
      </c>
      <c r="C39" t="s">
        <v>2392</v>
      </c>
      <c r="D39" t="s">
        <v>2393</v>
      </c>
    </row>
    <row r="40" spans="1:4">
      <c r="A40" t="s">
        <v>2445</v>
      </c>
      <c r="B40">
        <v>3.03</v>
      </c>
      <c r="C40" t="s">
        <v>2395</v>
      </c>
      <c r="D40" t="s">
        <v>2393</v>
      </c>
    </row>
    <row r="41" spans="1:4">
      <c r="A41" t="s">
        <v>2446</v>
      </c>
      <c r="B41">
        <v>3.05</v>
      </c>
      <c r="C41" t="s">
        <v>2392</v>
      </c>
      <c r="D41" t="s">
        <v>2393</v>
      </c>
    </row>
    <row r="42" spans="1:4">
      <c r="A42" t="s">
        <v>2447</v>
      </c>
      <c r="B42">
        <v>3</v>
      </c>
      <c r="C42" t="s">
        <v>2392</v>
      </c>
      <c r="D42" t="s">
        <v>2393</v>
      </c>
    </row>
    <row r="43" spans="1:4">
      <c r="A43" t="s">
        <v>2448</v>
      </c>
      <c r="B43">
        <v>2.97</v>
      </c>
      <c r="C43" t="s">
        <v>2395</v>
      </c>
      <c r="D43" t="s">
        <v>2419</v>
      </c>
    </row>
    <row r="44" spans="1:4">
      <c r="A44" t="s">
        <v>2449</v>
      </c>
      <c r="B44">
        <v>3.2</v>
      </c>
      <c r="C44" t="s">
        <v>2397</v>
      </c>
      <c r="D44" t="s">
        <v>2450</v>
      </c>
    </row>
    <row r="45" spans="1:4">
      <c r="A45" t="s">
        <v>2451</v>
      </c>
      <c r="B45">
        <v>3.11</v>
      </c>
      <c r="C45" t="s">
        <v>2410</v>
      </c>
      <c r="D45" t="s">
        <v>2400</v>
      </c>
    </row>
    <row r="46" spans="1:4">
      <c r="A46" t="s">
        <v>2452</v>
      </c>
      <c r="B46">
        <v>3.18</v>
      </c>
      <c r="C46" t="s">
        <v>2397</v>
      </c>
      <c r="D46" t="s">
        <v>2400</v>
      </c>
    </row>
    <row r="47" spans="1:4">
      <c r="A47" t="s">
        <v>2453</v>
      </c>
      <c r="B47">
        <v>3.16</v>
      </c>
      <c r="C47" t="s">
        <v>2397</v>
      </c>
      <c r="D47" t="s">
        <v>2400</v>
      </c>
    </row>
    <row r="48" spans="1:4">
      <c r="A48" t="s">
        <v>2454</v>
      </c>
      <c r="B48">
        <v>3.05</v>
      </c>
      <c r="C48" t="s">
        <v>2455</v>
      </c>
      <c r="D48" t="s">
        <v>2393</v>
      </c>
    </row>
    <row r="49" spans="1:4">
      <c r="A49" t="s">
        <v>2456</v>
      </c>
      <c r="B49">
        <v>3.08</v>
      </c>
      <c r="C49" t="s">
        <v>2408</v>
      </c>
      <c r="D49" t="s">
        <v>2393</v>
      </c>
    </row>
    <row r="50" spans="1:4">
      <c r="A50" t="s">
        <v>2457</v>
      </c>
      <c r="B50">
        <v>3.1</v>
      </c>
      <c r="C50" t="s">
        <v>2458</v>
      </c>
      <c r="D50" t="s">
        <v>2393</v>
      </c>
    </row>
    <row r="51" spans="1:4">
      <c r="A51" t="s">
        <v>2459</v>
      </c>
      <c r="B51">
        <v>3</v>
      </c>
      <c r="C51" t="s">
        <v>2403</v>
      </c>
      <c r="D51" t="s">
        <v>2393</v>
      </c>
    </row>
    <row r="52" spans="1:4">
      <c r="A52" t="s">
        <v>2460</v>
      </c>
      <c r="B52">
        <v>3.02</v>
      </c>
      <c r="C52" t="s">
        <v>2458</v>
      </c>
      <c r="D52" t="s">
        <v>2393</v>
      </c>
    </row>
    <row r="53" spans="1:4">
      <c r="A53" t="s">
        <v>2461</v>
      </c>
      <c r="B53">
        <v>3.05</v>
      </c>
      <c r="C53" t="s">
        <v>2423</v>
      </c>
      <c r="D53" t="s">
        <v>2393</v>
      </c>
    </row>
    <row r="54" spans="1:4">
      <c r="A54" t="s">
        <v>2462</v>
      </c>
      <c r="B54">
        <v>3.15</v>
      </c>
      <c r="C54" t="s">
        <v>2421</v>
      </c>
      <c r="D54" t="s">
        <v>2450</v>
      </c>
    </row>
    <row r="55" spans="1:4">
      <c r="A55" t="s">
        <v>2463</v>
      </c>
      <c r="B55">
        <v>3.05</v>
      </c>
      <c r="C55" t="s">
        <v>2464</v>
      </c>
      <c r="D55" t="s">
        <v>2393</v>
      </c>
    </row>
    <row r="56" spans="1:4">
      <c r="A56" t="s">
        <v>2465</v>
      </c>
      <c r="B56">
        <v>3.08</v>
      </c>
      <c r="C56" t="s">
        <v>2406</v>
      </c>
      <c r="D56" t="s">
        <v>2393</v>
      </c>
    </row>
    <row r="57" spans="1:4">
      <c r="A57" t="s">
        <v>2466</v>
      </c>
      <c r="B57">
        <v>2.97</v>
      </c>
      <c r="C57" t="s">
        <v>2418</v>
      </c>
      <c r="D57" t="s">
        <v>2393</v>
      </c>
    </row>
    <row r="58" spans="1:4">
      <c r="A58" t="s">
        <v>2467</v>
      </c>
      <c r="B58">
        <v>2.94</v>
      </c>
      <c r="C58" t="s">
        <v>2421</v>
      </c>
      <c r="D58" t="s">
        <v>2393</v>
      </c>
    </row>
    <row r="59" spans="1:4">
      <c r="A59" t="s">
        <v>2468</v>
      </c>
      <c r="B59">
        <v>3</v>
      </c>
      <c r="C59" t="s">
        <v>2403</v>
      </c>
      <c r="D59" t="s">
        <v>2393</v>
      </c>
    </row>
    <row r="60" spans="1:4">
      <c r="A60" t="s">
        <v>2469</v>
      </c>
      <c r="B60">
        <v>2.97</v>
      </c>
      <c r="C60" t="s">
        <v>2470</v>
      </c>
      <c r="D60" t="s">
        <v>2393</v>
      </c>
    </row>
    <row r="61" spans="1:4">
      <c r="A61" t="s">
        <v>2471</v>
      </c>
      <c r="B61">
        <v>3.02</v>
      </c>
      <c r="C61" t="s">
        <v>2458</v>
      </c>
      <c r="D61" t="s">
        <v>2393</v>
      </c>
    </row>
    <row r="62" spans="1:4">
      <c r="A62" t="s">
        <v>2472</v>
      </c>
      <c r="B62">
        <v>3.05</v>
      </c>
      <c r="C62" t="s">
        <v>2408</v>
      </c>
      <c r="D62" t="s">
        <v>2393</v>
      </c>
    </row>
    <row r="63" spans="1:4">
      <c r="A63" t="s">
        <v>2473</v>
      </c>
      <c r="B63">
        <v>3.12</v>
      </c>
      <c r="C63" t="s">
        <v>2392</v>
      </c>
      <c r="D63" t="s">
        <v>2474</v>
      </c>
    </row>
    <row r="64" spans="1:4">
      <c r="A64" t="s">
        <v>2475</v>
      </c>
      <c r="B64">
        <v>3.15</v>
      </c>
      <c r="C64" t="s">
        <v>2392</v>
      </c>
      <c r="D64" t="s">
        <v>2450</v>
      </c>
    </row>
    <row r="65" spans="1:4">
      <c r="A65" t="s">
        <v>2476</v>
      </c>
      <c r="B65">
        <v>3</v>
      </c>
      <c r="C65" t="s">
        <v>2392</v>
      </c>
      <c r="D65" t="s">
        <v>2393</v>
      </c>
    </row>
    <row r="66" spans="1:4">
      <c r="A66" t="s">
        <v>2477</v>
      </c>
      <c r="B66">
        <v>3.05</v>
      </c>
      <c r="C66" t="s">
        <v>2478</v>
      </c>
      <c r="D66" t="s">
        <v>2393</v>
      </c>
    </row>
    <row r="67" spans="1:4">
      <c r="A67" t="s">
        <v>2479</v>
      </c>
      <c r="B67">
        <v>3.08</v>
      </c>
      <c r="C67" t="s">
        <v>2395</v>
      </c>
      <c r="D67" t="s">
        <v>2393</v>
      </c>
    </row>
    <row r="68" spans="1:4">
      <c r="A68" t="s">
        <v>2480</v>
      </c>
      <c r="B68">
        <v>3.03</v>
      </c>
      <c r="C68" t="s">
        <v>2392</v>
      </c>
      <c r="D68" t="s">
        <v>2393</v>
      </c>
    </row>
    <row r="69" spans="1:4">
      <c r="A69" t="s">
        <v>2481</v>
      </c>
      <c r="B69">
        <v>3</v>
      </c>
      <c r="C69" t="s">
        <v>2395</v>
      </c>
      <c r="D69" t="s">
        <v>2393</v>
      </c>
    </row>
    <row r="70" spans="1:4">
      <c r="A70" t="s">
        <v>2482</v>
      </c>
      <c r="B70">
        <v>2.96</v>
      </c>
      <c r="C70" t="s">
        <v>2392</v>
      </c>
      <c r="D70" t="s">
        <v>2419</v>
      </c>
    </row>
    <row r="71" spans="1:4">
      <c r="A71" t="s">
        <v>2483</v>
      </c>
      <c r="B71">
        <v>2.97</v>
      </c>
      <c r="C71" t="s">
        <v>2484</v>
      </c>
      <c r="D71" t="s">
        <v>2393</v>
      </c>
    </row>
    <row r="72" spans="1:4">
      <c r="A72" t="s">
        <v>2485</v>
      </c>
      <c r="B72">
        <v>3.18</v>
      </c>
      <c r="C72" t="s">
        <v>2397</v>
      </c>
      <c r="D72" t="s">
        <v>2450</v>
      </c>
    </row>
    <row r="73" spans="1:4">
      <c r="A73" t="s">
        <v>2486</v>
      </c>
      <c r="B73">
        <v>3.1</v>
      </c>
      <c r="C73" t="s">
        <v>2397</v>
      </c>
      <c r="D73" t="s">
        <v>2450</v>
      </c>
    </row>
    <row r="74" spans="1:4">
      <c r="A74" t="s">
        <v>2487</v>
      </c>
      <c r="B74">
        <v>3.02</v>
      </c>
      <c r="C74" t="s">
        <v>2403</v>
      </c>
      <c r="D74" t="s">
        <v>2393</v>
      </c>
    </row>
    <row r="75" spans="1:4">
      <c r="A75" t="s">
        <v>2488</v>
      </c>
      <c r="B75">
        <v>3.05</v>
      </c>
      <c r="C75" t="s">
        <v>2415</v>
      </c>
      <c r="D75" t="s">
        <v>2393</v>
      </c>
    </row>
    <row r="76" spans="1:4">
      <c r="A76" t="s">
        <v>2489</v>
      </c>
      <c r="B76">
        <v>3</v>
      </c>
      <c r="C76" t="s">
        <v>108</v>
      </c>
      <c r="D76" t="s">
        <v>2393</v>
      </c>
    </row>
    <row r="77" spans="1:4">
      <c r="A77" t="s">
        <v>2490</v>
      </c>
      <c r="B77">
        <v>3.05</v>
      </c>
      <c r="C77" t="s">
        <v>2423</v>
      </c>
      <c r="D77" t="s">
        <v>2393</v>
      </c>
    </row>
    <row r="78" spans="1:4">
      <c r="A78" t="s">
        <v>2491</v>
      </c>
      <c r="B78">
        <v>3.1</v>
      </c>
      <c r="C78" t="s">
        <v>2421</v>
      </c>
      <c r="D78" t="s">
        <v>2393</v>
      </c>
    </row>
    <row r="79" spans="1:4">
      <c r="A79" t="s">
        <v>2492</v>
      </c>
      <c r="B79">
        <v>3</v>
      </c>
      <c r="C79" t="s">
        <v>108</v>
      </c>
      <c r="D79" t="s">
        <v>2393</v>
      </c>
    </row>
    <row r="80" spans="1:4">
      <c r="A80" t="s">
        <v>2493</v>
      </c>
      <c r="B80">
        <v>3.07</v>
      </c>
      <c r="C80" t="s">
        <v>2418</v>
      </c>
      <c r="D80" t="s">
        <v>2393</v>
      </c>
    </row>
    <row r="81" spans="1:4">
      <c r="A81" t="s">
        <v>2494</v>
      </c>
      <c r="B81">
        <v>3.05</v>
      </c>
      <c r="C81" t="s">
        <v>2421</v>
      </c>
      <c r="D81" t="s">
        <v>2393</v>
      </c>
    </row>
    <row r="82" spans="1:4">
      <c r="A82" t="s">
        <v>2495</v>
      </c>
      <c r="B82">
        <v>3.07</v>
      </c>
      <c r="C82" t="s">
        <v>2392</v>
      </c>
      <c r="D82" t="s">
        <v>2400</v>
      </c>
    </row>
    <row r="83" spans="1:4">
      <c r="A83" t="s">
        <v>2496</v>
      </c>
      <c r="B83">
        <v>3.05</v>
      </c>
      <c r="C83" t="s">
        <v>2392</v>
      </c>
      <c r="D83" t="s">
        <v>2393</v>
      </c>
    </row>
    <row r="84" spans="1:4">
      <c r="A84" t="s">
        <v>2497</v>
      </c>
      <c r="B84">
        <v>3.03</v>
      </c>
      <c r="C84" t="s">
        <v>2395</v>
      </c>
      <c r="D84" t="s">
        <v>2393</v>
      </c>
    </row>
    <row r="85" spans="1:4">
      <c r="A85" t="s">
        <v>2498</v>
      </c>
      <c r="B85">
        <v>3</v>
      </c>
      <c r="C85" t="s">
        <v>2392</v>
      </c>
      <c r="D85" t="s">
        <v>2393</v>
      </c>
    </row>
    <row r="86" spans="1:4">
      <c r="A86" t="s">
        <v>2499</v>
      </c>
      <c r="B86">
        <v>2.97</v>
      </c>
      <c r="C86" t="s">
        <v>2392</v>
      </c>
      <c r="D86" t="s">
        <v>2419</v>
      </c>
    </row>
    <row r="87" spans="1:4">
      <c r="A87" t="s">
        <v>2500</v>
      </c>
      <c r="B87">
        <v>3.08</v>
      </c>
      <c r="C87" t="s">
        <v>2410</v>
      </c>
      <c r="D87" t="s">
        <v>2393</v>
      </c>
    </row>
    <row r="88" spans="1:4">
      <c r="A88" t="s">
        <v>2501</v>
      </c>
      <c r="B88">
        <v>3.02</v>
      </c>
      <c r="C88" t="s">
        <v>2410</v>
      </c>
      <c r="D88" t="s">
        <v>2393</v>
      </c>
    </row>
    <row r="89" spans="1:4">
      <c r="A89" t="s">
        <v>2502</v>
      </c>
      <c r="B89">
        <v>3</v>
      </c>
      <c r="C89" t="s">
        <v>2421</v>
      </c>
      <c r="D89" t="s">
        <v>2393</v>
      </c>
    </row>
    <row r="90" spans="1:4">
      <c r="A90" t="s">
        <v>2503</v>
      </c>
      <c r="B90">
        <v>3.08</v>
      </c>
      <c r="C90" t="s">
        <v>2395</v>
      </c>
      <c r="D90" t="s">
        <v>2400</v>
      </c>
    </row>
    <row r="91" spans="1:4">
      <c r="A91" t="s">
        <v>2504</v>
      </c>
      <c r="B91">
        <v>3.05</v>
      </c>
      <c r="C91" t="s">
        <v>2395</v>
      </c>
      <c r="D91" t="s">
        <v>2393</v>
      </c>
    </row>
    <row r="92" spans="1:4">
      <c r="A92" t="s">
        <v>2505</v>
      </c>
      <c r="B92">
        <v>3</v>
      </c>
      <c r="C92" t="s">
        <v>2392</v>
      </c>
      <c r="D92" t="s">
        <v>2393</v>
      </c>
    </row>
    <row r="93" spans="1:4">
      <c r="A93" t="s">
        <v>2506</v>
      </c>
      <c r="B93">
        <v>2.97</v>
      </c>
      <c r="C93" t="s">
        <v>2395</v>
      </c>
      <c r="D93" t="s">
        <v>2419</v>
      </c>
    </row>
    <row r="94" spans="1:4">
      <c r="A94" t="s">
        <v>2507</v>
      </c>
      <c r="B94">
        <v>3.03</v>
      </c>
      <c r="C94" t="s">
        <v>2458</v>
      </c>
      <c r="D94" t="s">
        <v>2393</v>
      </c>
    </row>
    <row r="95" spans="1:4">
      <c r="A95" t="s">
        <v>2508</v>
      </c>
      <c r="B95">
        <v>2.98</v>
      </c>
      <c r="C95" t="s">
        <v>2423</v>
      </c>
      <c r="D95" t="s">
        <v>2393</v>
      </c>
    </row>
    <row r="96" spans="1:4">
      <c r="A96" t="s">
        <v>2509</v>
      </c>
      <c r="B96">
        <v>3.14</v>
      </c>
      <c r="C96" t="s">
        <v>2392</v>
      </c>
      <c r="D96" t="s">
        <v>2450</v>
      </c>
    </row>
    <row r="97" spans="1:4">
      <c r="A97" t="s">
        <v>2510</v>
      </c>
      <c r="B97">
        <v>3.13</v>
      </c>
      <c r="C97" t="s">
        <v>2418</v>
      </c>
      <c r="D97" t="s">
        <v>2450</v>
      </c>
    </row>
    <row r="98" spans="1:4">
      <c r="A98" t="s">
        <v>2511</v>
      </c>
      <c r="B98">
        <v>3.03</v>
      </c>
      <c r="C98" t="s">
        <v>2415</v>
      </c>
      <c r="D98" t="s">
        <v>2393</v>
      </c>
    </row>
    <row r="99" spans="1:4">
      <c r="A99" t="s">
        <v>2512</v>
      </c>
      <c r="B99">
        <v>2.98</v>
      </c>
      <c r="C99" t="s">
        <v>2458</v>
      </c>
      <c r="D99" t="s">
        <v>2393</v>
      </c>
    </row>
    <row r="100" spans="1:4">
      <c r="A100" t="s">
        <v>2513</v>
      </c>
      <c r="B100">
        <v>3</v>
      </c>
      <c r="C100" t="s">
        <v>2421</v>
      </c>
      <c r="D100" t="s">
        <v>2393</v>
      </c>
    </row>
    <row r="101" spans="1:4">
      <c r="A101" t="s">
        <v>2514</v>
      </c>
      <c r="B101">
        <v>2.93</v>
      </c>
      <c r="C101" t="s">
        <v>2515</v>
      </c>
      <c r="D101" t="s">
        <v>2393</v>
      </c>
    </row>
    <row r="102" spans="1:4">
      <c r="A102" t="s">
        <v>2516</v>
      </c>
      <c r="B102">
        <v>3.14</v>
      </c>
      <c r="C102" t="s">
        <v>2392</v>
      </c>
      <c r="D102" t="s">
        <v>2450</v>
      </c>
    </row>
    <row r="103" spans="1:4">
      <c r="A103" t="s">
        <v>2517</v>
      </c>
      <c r="B103">
        <v>3.13</v>
      </c>
      <c r="C103" t="s">
        <v>2392</v>
      </c>
      <c r="D103" t="s">
        <v>2450</v>
      </c>
    </row>
    <row r="104" spans="1:4">
      <c r="A104" t="s">
        <v>2518</v>
      </c>
      <c r="B104">
        <v>3.06</v>
      </c>
      <c r="C104" t="s">
        <v>2392</v>
      </c>
      <c r="D104" t="s">
        <v>2400</v>
      </c>
    </row>
    <row r="105" spans="1:4">
      <c r="A105" t="s">
        <v>2519</v>
      </c>
      <c r="B105">
        <v>3.03</v>
      </c>
      <c r="C105" t="s">
        <v>2392</v>
      </c>
      <c r="D105" t="s">
        <v>2393</v>
      </c>
    </row>
    <row r="106" spans="1:4">
      <c r="A106" t="s">
        <v>2520</v>
      </c>
      <c r="B106">
        <v>3.01</v>
      </c>
      <c r="C106" t="s">
        <v>2395</v>
      </c>
      <c r="D106" t="s">
        <v>2393</v>
      </c>
    </row>
    <row r="107" spans="1:4">
      <c r="A107" t="s">
        <v>2521</v>
      </c>
      <c r="B107">
        <v>2.98</v>
      </c>
      <c r="C107" t="s">
        <v>2395</v>
      </c>
      <c r="D107" t="s">
        <v>2393</v>
      </c>
    </row>
    <row r="108" spans="1:4">
      <c r="A108" t="s">
        <v>2522</v>
      </c>
      <c r="B108">
        <v>3.07</v>
      </c>
      <c r="C108" t="s">
        <v>2408</v>
      </c>
      <c r="D108" t="s">
        <v>2450</v>
      </c>
    </row>
    <row r="109" spans="1:4">
      <c r="A109" t="s">
        <v>2523</v>
      </c>
      <c r="B109">
        <v>3.01</v>
      </c>
      <c r="C109" t="s">
        <v>2415</v>
      </c>
      <c r="D109" t="s">
        <v>2393</v>
      </c>
    </row>
    <row r="110" spans="1:4">
      <c r="A110" t="s">
        <v>2524</v>
      </c>
      <c r="B110">
        <v>2.94</v>
      </c>
      <c r="C110" t="s">
        <v>2406</v>
      </c>
      <c r="D110" t="s">
        <v>2393</v>
      </c>
    </row>
    <row r="111" spans="1:4">
      <c r="A111" t="s">
        <v>2525</v>
      </c>
      <c r="B111">
        <v>3.07</v>
      </c>
      <c r="C111" t="s">
        <v>2458</v>
      </c>
      <c r="D111" t="s">
        <v>2450</v>
      </c>
    </row>
    <row r="112" spans="1:4">
      <c r="A112" t="s">
        <v>2526</v>
      </c>
      <c r="B112">
        <v>3.01</v>
      </c>
      <c r="C112" t="s">
        <v>2458</v>
      </c>
      <c r="D112" t="s">
        <v>2393</v>
      </c>
    </row>
    <row r="113" spans="1:4">
      <c r="A113" t="s">
        <v>2527</v>
      </c>
      <c r="B113">
        <v>2.94</v>
      </c>
      <c r="C113" t="s">
        <v>2458</v>
      </c>
      <c r="D113" t="s">
        <v>2393</v>
      </c>
    </row>
    <row r="114" spans="1:4">
      <c r="A114" t="s">
        <v>2528</v>
      </c>
      <c r="B114">
        <v>3.07</v>
      </c>
      <c r="C114" t="s">
        <v>2395</v>
      </c>
      <c r="D114" t="s">
        <v>2450</v>
      </c>
    </row>
    <row r="115" spans="1:4">
      <c r="A115" t="s">
        <v>2529</v>
      </c>
      <c r="B115">
        <v>3.04</v>
      </c>
      <c r="C115" t="s">
        <v>2395</v>
      </c>
      <c r="D115" t="s">
        <v>2450</v>
      </c>
    </row>
    <row r="116" spans="1:4">
      <c r="A116" t="s">
        <v>2530</v>
      </c>
      <c r="B116">
        <v>3.01</v>
      </c>
      <c r="C116" t="s">
        <v>2392</v>
      </c>
      <c r="D116" t="s">
        <v>2393</v>
      </c>
    </row>
    <row r="117" spans="1:4">
      <c r="A117" t="s">
        <v>2531</v>
      </c>
      <c r="B117">
        <v>2.92</v>
      </c>
      <c r="C117" t="s">
        <v>2395</v>
      </c>
      <c r="D117" t="s">
        <v>2393</v>
      </c>
    </row>
    <row r="118" spans="1:4">
      <c r="A118" t="s">
        <v>2532</v>
      </c>
      <c r="B118">
        <v>2.89</v>
      </c>
      <c r="C118" t="s">
        <v>2395</v>
      </c>
      <c r="D118" t="s">
        <v>2393</v>
      </c>
    </row>
    <row r="119" spans="1:4">
      <c r="A119" t="s">
        <v>2533</v>
      </c>
      <c r="B119">
        <v>2.97</v>
      </c>
      <c r="C119" t="s">
        <v>2423</v>
      </c>
      <c r="D119" t="s">
        <v>2393</v>
      </c>
    </row>
    <row r="120" spans="1:4">
      <c r="A120" t="s">
        <v>2534</v>
      </c>
      <c r="B120">
        <v>2.97</v>
      </c>
      <c r="C120" t="s">
        <v>2408</v>
      </c>
      <c r="D120" t="s">
        <v>2393</v>
      </c>
    </row>
    <row r="121" spans="1:4">
      <c r="A121" t="s">
        <v>2535</v>
      </c>
      <c r="B121">
        <v>2.87</v>
      </c>
      <c r="C121" t="s">
        <v>2392</v>
      </c>
      <c r="D121" t="s">
        <v>2536</v>
      </c>
    </row>
    <row r="122" spans="1:4">
      <c r="A122" t="s">
        <v>2537</v>
      </c>
      <c r="B122">
        <v>2.9</v>
      </c>
      <c r="C122" t="s">
        <v>2421</v>
      </c>
      <c r="D122" t="s">
        <v>2393</v>
      </c>
    </row>
    <row r="123" spans="1:4">
      <c r="A123" t="s">
        <v>2538</v>
      </c>
      <c r="B123">
        <v>2.98</v>
      </c>
      <c r="C123" t="s">
        <v>2392</v>
      </c>
      <c r="D123" t="s">
        <v>2400</v>
      </c>
    </row>
    <row r="124" spans="1:4">
      <c r="A124" t="s">
        <v>2539</v>
      </c>
      <c r="B124">
        <v>2.91</v>
      </c>
      <c r="C124" t="s">
        <v>2395</v>
      </c>
      <c r="D124" t="s">
        <v>2393</v>
      </c>
    </row>
    <row r="125" spans="1:4">
      <c r="A125" t="s">
        <v>2540</v>
      </c>
      <c r="B125">
        <v>2.87</v>
      </c>
      <c r="C125" t="s">
        <v>2392</v>
      </c>
      <c r="D125" t="s">
        <v>2536</v>
      </c>
    </row>
    <row r="126" spans="1:4">
      <c r="A126" t="s">
        <v>2541</v>
      </c>
      <c r="B126">
        <v>2.86</v>
      </c>
      <c r="C126" t="s">
        <v>2395</v>
      </c>
      <c r="D126" t="s">
        <v>2393</v>
      </c>
    </row>
    <row r="127" spans="1:4">
      <c r="A127" t="s">
        <v>2542</v>
      </c>
      <c r="B127">
        <v>2.95</v>
      </c>
      <c r="C127" t="s">
        <v>2395</v>
      </c>
      <c r="D127" t="s">
        <v>2393</v>
      </c>
    </row>
    <row r="128" spans="1:4">
      <c r="A128" t="s">
        <v>2543</v>
      </c>
      <c r="B128">
        <v>2.87</v>
      </c>
      <c r="C128" t="s">
        <v>2395</v>
      </c>
      <c r="D128" t="s">
        <v>2536</v>
      </c>
    </row>
    <row r="129" spans="1:4">
      <c r="A129" t="s">
        <v>2544</v>
      </c>
      <c r="B129">
        <v>3.05</v>
      </c>
      <c r="C129" t="s">
        <v>2397</v>
      </c>
      <c r="D129" t="s">
        <v>2450</v>
      </c>
    </row>
    <row r="130" spans="1:4">
      <c r="A130" t="s">
        <v>2545</v>
      </c>
      <c r="B130">
        <v>3.07</v>
      </c>
      <c r="C130" t="s">
        <v>2458</v>
      </c>
      <c r="D130" t="s">
        <v>2450</v>
      </c>
    </row>
    <row r="131" spans="1:4">
      <c r="A131" t="s">
        <v>2546</v>
      </c>
      <c r="B131">
        <v>2.98</v>
      </c>
      <c r="C131" t="s">
        <v>2415</v>
      </c>
      <c r="D131" t="s">
        <v>2393</v>
      </c>
    </row>
    <row r="132" spans="1:4">
      <c r="A132" t="s">
        <v>2547</v>
      </c>
      <c r="B132">
        <v>3.07</v>
      </c>
      <c r="C132" t="s">
        <v>2415</v>
      </c>
      <c r="D132" t="s">
        <v>2450</v>
      </c>
    </row>
    <row r="133" spans="1:4">
      <c r="A133" t="s">
        <v>2548</v>
      </c>
      <c r="B133">
        <v>2.98</v>
      </c>
      <c r="C133" t="s">
        <v>2415</v>
      </c>
      <c r="D133" t="s">
        <v>2393</v>
      </c>
    </row>
    <row r="134" spans="1:4">
      <c r="A134" t="s">
        <v>2549</v>
      </c>
      <c r="B134">
        <v>3.07</v>
      </c>
      <c r="C134" t="s">
        <v>2392</v>
      </c>
      <c r="D134" t="s">
        <v>2450</v>
      </c>
    </row>
    <row r="135" spans="1:4">
      <c r="A135" t="s">
        <v>2550</v>
      </c>
      <c r="B135">
        <v>3.07</v>
      </c>
      <c r="C135" t="s">
        <v>2395</v>
      </c>
      <c r="D135" t="s">
        <v>2450</v>
      </c>
    </row>
    <row r="136" spans="1:4">
      <c r="A136" t="s">
        <v>2551</v>
      </c>
      <c r="B136">
        <v>3.04</v>
      </c>
      <c r="C136" t="s">
        <v>2395</v>
      </c>
      <c r="D136" t="s">
        <v>2400</v>
      </c>
    </row>
    <row r="137" spans="1:4">
      <c r="A137" t="s">
        <v>2552</v>
      </c>
      <c r="B137">
        <v>2.98</v>
      </c>
      <c r="C137" t="s">
        <v>2392</v>
      </c>
      <c r="D137" t="s">
        <v>2393</v>
      </c>
    </row>
    <row r="138" spans="1:4">
      <c r="A138" t="s">
        <v>2553</v>
      </c>
      <c r="B138">
        <v>2.93</v>
      </c>
      <c r="C138" t="s">
        <v>2392</v>
      </c>
      <c r="D138" t="s">
        <v>2393</v>
      </c>
    </row>
    <row r="139" spans="1:4">
      <c r="A139" t="s">
        <v>2554</v>
      </c>
      <c r="B139">
        <v>2.92</v>
      </c>
      <c r="C139" t="s">
        <v>2410</v>
      </c>
      <c r="D139" t="s">
        <v>2555</v>
      </c>
    </row>
    <row r="140" spans="1:4">
      <c r="A140" t="s">
        <v>2556</v>
      </c>
      <c r="B140">
        <v>2.94</v>
      </c>
      <c r="C140" t="s">
        <v>2403</v>
      </c>
      <c r="D140" t="s">
        <v>2393</v>
      </c>
    </row>
    <row r="141" spans="1:4">
      <c r="A141" t="s">
        <v>2557</v>
      </c>
      <c r="B141">
        <v>3.05</v>
      </c>
      <c r="C141" t="s">
        <v>2421</v>
      </c>
      <c r="D141" t="s">
        <v>2558</v>
      </c>
    </row>
    <row r="142" spans="1:4">
      <c r="A142" t="s">
        <v>2559</v>
      </c>
      <c r="B142">
        <v>2.94</v>
      </c>
      <c r="C142" t="s">
        <v>2406</v>
      </c>
      <c r="D142" t="s">
        <v>2393</v>
      </c>
    </row>
    <row r="143" spans="1:4">
      <c r="A143" t="s">
        <v>2560</v>
      </c>
      <c r="B143">
        <v>2.92</v>
      </c>
      <c r="C143" t="s">
        <v>2395</v>
      </c>
      <c r="D143" t="s">
        <v>2555</v>
      </c>
    </row>
    <row r="144" spans="1:4">
      <c r="A144" t="s">
        <v>2561</v>
      </c>
      <c r="B144">
        <v>2.94</v>
      </c>
      <c r="C144" t="s">
        <v>2395</v>
      </c>
      <c r="D144" t="s">
        <v>2393</v>
      </c>
    </row>
    <row r="145" spans="1:4">
      <c r="A145" t="s">
        <v>2562</v>
      </c>
      <c r="B145">
        <v>2.86</v>
      </c>
      <c r="C145" t="s">
        <v>2392</v>
      </c>
      <c r="D145" t="s">
        <v>2393</v>
      </c>
    </row>
    <row r="146" spans="1:4">
      <c r="A146" t="s">
        <v>2563</v>
      </c>
      <c r="B146">
        <v>2.88</v>
      </c>
      <c r="C146" t="s">
        <v>2392</v>
      </c>
      <c r="D146" t="s">
        <v>2555</v>
      </c>
    </row>
    <row r="147" spans="1:4">
      <c r="A147" t="s">
        <v>2564</v>
      </c>
      <c r="B147">
        <v>2.88</v>
      </c>
      <c r="C147" t="s">
        <v>2395</v>
      </c>
      <c r="D147" t="s">
        <v>2565</v>
      </c>
    </row>
    <row r="148" spans="1:4">
      <c r="A148" t="s">
        <v>2566</v>
      </c>
      <c r="B148">
        <v>2.93</v>
      </c>
      <c r="C148" t="s">
        <v>2464</v>
      </c>
      <c r="D148" t="s">
        <v>2419</v>
      </c>
    </row>
    <row r="149" spans="1:4">
      <c r="A149" t="s">
        <v>2567</v>
      </c>
      <c r="B149">
        <v>3.08</v>
      </c>
      <c r="C149" t="s">
        <v>2568</v>
      </c>
      <c r="D149" t="s">
        <v>2450</v>
      </c>
    </row>
    <row r="150" spans="1:4">
      <c r="A150" t="s">
        <v>2569</v>
      </c>
      <c r="B150">
        <v>3.07</v>
      </c>
      <c r="C150" t="s">
        <v>2570</v>
      </c>
      <c r="D150" t="s">
        <v>2450</v>
      </c>
    </row>
    <row r="151" spans="1:4">
      <c r="A151" t="s">
        <v>2571</v>
      </c>
      <c r="B151">
        <v>3.06</v>
      </c>
      <c r="C151" t="s">
        <v>2397</v>
      </c>
      <c r="D151" t="s">
        <v>2393</v>
      </c>
    </row>
    <row r="152" spans="1:4">
      <c r="A152" t="s">
        <v>2572</v>
      </c>
      <c r="B152">
        <v>2.93</v>
      </c>
      <c r="C152" t="s">
        <v>2573</v>
      </c>
      <c r="D152" t="s">
        <v>2393</v>
      </c>
    </row>
    <row r="153" spans="1:4">
      <c r="A153" t="s">
        <v>2574</v>
      </c>
      <c r="B153">
        <v>2.83</v>
      </c>
      <c r="C153" t="s">
        <v>2395</v>
      </c>
      <c r="D153" t="s">
        <v>2536</v>
      </c>
    </row>
    <row r="154" spans="1:4">
      <c r="A154" t="s">
        <v>2575</v>
      </c>
      <c r="B154">
        <v>3.01</v>
      </c>
      <c r="C154" t="s">
        <v>2576</v>
      </c>
      <c r="D154" t="s">
        <v>2577</v>
      </c>
    </row>
    <row r="155" spans="1:4">
      <c r="A155" t="s">
        <v>2578</v>
      </c>
      <c r="B155">
        <v>2.85</v>
      </c>
      <c r="C155" t="s">
        <v>2392</v>
      </c>
      <c r="D155" t="s">
        <v>2536</v>
      </c>
    </row>
    <row r="156" spans="1:4">
      <c r="A156" t="s">
        <v>2579</v>
      </c>
      <c r="B156">
        <v>2.76</v>
      </c>
      <c r="C156" t="s">
        <v>2392</v>
      </c>
      <c r="D156" t="s">
        <v>2577</v>
      </c>
    </row>
    <row r="157" spans="1:4">
      <c r="A157" t="s">
        <v>2580</v>
      </c>
      <c r="B157">
        <v>2.9</v>
      </c>
      <c r="C157" t="s">
        <v>2392</v>
      </c>
      <c r="D157" t="s">
        <v>2536</v>
      </c>
    </row>
    <row r="158" spans="1:4">
      <c r="A158" t="s">
        <v>2581</v>
      </c>
      <c r="B158">
        <v>3</v>
      </c>
      <c r="C158" t="s">
        <v>2395</v>
      </c>
      <c r="D158" t="s">
        <v>2565</v>
      </c>
    </row>
    <row r="159" spans="1:4">
      <c r="A159" t="s">
        <v>2582</v>
      </c>
      <c r="B159">
        <v>3.02</v>
      </c>
      <c r="C159" t="s">
        <v>2464</v>
      </c>
      <c r="D159" t="s">
        <v>2393</v>
      </c>
    </row>
    <row r="160" spans="1:4">
      <c r="A160" t="s">
        <v>2583</v>
      </c>
      <c r="B160">
        <v>3.01</v>
      </c>
      <c r="C160" t="s">
        <v>2392</v>
      </c>
      <c r="D160" t="s">
        <v>2393</v>
      </c>
    </row>
    <row r="161" spans="1:4">
      <c r="A161" t="s">
        <v>2584</v>
      </c>
      <c r="B161">
        <v>2.98</v>
      </c>
      <c r="C161" t="s">
        <v>2392</v>
      </c>
      <c r="D161" t="s">
        <v>2393</v>
      </c>
    </row>
    <row r="162" spans="1:4">
      <c r="A162" t="s">
        <v>2585</v>
      </c>
      <c r="B162">
        <v>3.02</v>
      </c>
      <c r="C162" t="s">
        <v>2392</v>
      </c>
      <c r="D162" t="s">
        <v>2450</v>
      </c>
    </row>
    <row r="163" spans="1:4">
      <c r="A163" t="s">
        <v>2586</v>
      </c>
      <c r="B163">
        <v>3.02</v>
      </c>
      <c r="C163" t="s">
        <v>2392</v>
      </c>
      <c r="D163" t="s">
        <v>2393</v>
      </c>
    </row>
    <row r="164" spans="1:4">
      <c r="A164" t="s">
        <v>2587</v>
      </c>
      <c r="B164">
        <v>2.97</v>
      </c>
      <c r="C164" t="s">
        <v>2395</v>
      </c>
      <c r="D164" t="s">
        <v>2393</v>
      </c>
    </row>
    <row r="165" spans="1:4">
      <c r="A165" t="s">
        <v>2588</v>
      </c>
      <c r="B165">
        <v>3.01</v>
      </c>
      <c r="C165" t="s">
        <v>2392</v>
      </c>
      <c r="D165" t="s">
        <v>2393</v>
      </c>
    </row>
    <row r="166" spans="1:4">
      <c r="A166" t="s">
        <v>2589</v>
      </c>
      <c r="B166">
        <v>3.1</v>
      </c>
      <c r="C166" t="s">
        <v>2392</v>
      </c>
      <c r="D166" t="s">
        <v>2450</v>
      </c>
    </row>
    <row r="167" spans="1:4">
      <c r="A167" t="s">
        <v>2590</v>
      </c>
      <c r="B167">
        <v>2.96</v>
      </c>
      <c r="C167" t="s">
        <v>2395</v>
      </c>
      <c r="D167" t="s">
        <v>2393</v>
      </c>
    </row>
    <row r="168" spans="1:4">
      <c r="A168" t="s">
        <v>2591</v>
      </c>
      <c r="B168">
        <v>2.93</v>
      </c>
      <c r="C168" t="s">
        <v>2392</v>
      </c>
      <c r="D168" t="s">
        <v>2393</v>
      </c>
    </row>
    <row r="169" spans="1:4">
      <c r="A169" t="s">
        <v>2592</v>
      </c>
      <c r="B169">
        <v>3.04</v>
      </c>
      <c r="C169" t="s">
        <v>2392</v>
      </c>
      <c r="D169" t="s">
        <v>2450</v>
      </c>
    </row>
    <row r="170" spans="1:4">
      <c r="A170" t="s">
        <v>2593</v>
      </c>
      <c r="B170">
        <v>2.89</v>
      </c>
      <c r="C170" t="s">
        <v>2397</v>
      </c>
      <c r="D170" t="s">
        <v>2555</v>
      </c>
    </row>
    <row r="171" spans="1:4">
      <c r="A171" t="s">
        <v>2594</v>
      </c>
      <c r="B171">
        <v>2.9</v>
      </c>
      <c r="C171" t="s">
        <v>2395</v>
      </c>
      <c r="D171" t="s">
        <v>2555</v>
      </c>
    </row>
    <row r="172" spans="1:4">
      <c r="A172" t="s">
        <v>2595</v>
      </c>
      <c r="B172">
        <v>3.05</v>
      </c>
      <c r="C172" t="s">
        <v>2464</v>
      </c>
      <c r="D172" t="s">
        <v>2393</v>
      </c>
    </row>
    <row r="173" spans="1:4">
      <c r="A173" t="s">
        <v>2596</v>
      </c>
      <c r="B173">
        <v>2.98</v>
      </c>
      <c r="C173" t="s">
        <v>2455</v>
      </c>
      <c r="D173" t="s">
        <v>2536</v>
      </c>
    </row>
    <row r="174" spans="1:4">
      <c r="A174" t="s">
        <v>2597</v>
      </c>
      <c r="B174">
        <v>2.98</v>
      </c>
      <c r="C174" t="s">
        <v>2570</v>
      </c>
      <c r="D174" t="s">
        <v>2393</v>
      </c>
    </row>
    <row r="175" spans="1:4">
      <c r="A175" t="s">
        <v>2598</v>
      </c>
      <c r="B175">
        <v>3.11</v>
      </c>
      <c r="C175" t="s">
        <v>2599</v>
      </c>
      <c r="D175" t="s">
        <v>2393</v>
      </c>
    </row>
    <row r="176" spans="1:4">
      <c r="A176" t="s">
        <v>2600</v>
      </c>
      <c r="B176">
        <v>3.11</v>
      </c>
      <c r="C176" t="s">
        <v>2464</v>
      </c>
      <c r="D176" t="s">
        <v>2400</v>
      </c>
    </row>
    <row r="177" spans="1:4">
      <c r="A177" t="s">
        <v>2601</v>
      </c>
      <c r="B177">
        <v>3.08</v>
      </c>
      <c r="C177" t="s">
        <v>2570</v>
      </c>
      <c r="D177" t="s">
        <v>2393</v>
      </c>
    </row>
    <row r="178" spans="1:4">
      <c r="A178" t="s">
        <v>2602</v>
      </c>
      <c r="B178">
        <v>3.08</v>
      </c>
      <c r="C178" t="s">
        <v>2484</v>
      </c>
      <c r="D178" t="s">
        <v>2393</v>
      </c>
    </row>
    <row r="179" spans="1:4">
      <c r="A179" t="s">
        <v>2603</v>
      </c>
      <c r="B179">
        <v>3.05</v>
      </c>
      <c r="C179" t="s">
        <v>2604</v>
      </c>
      <c r="D179" t="s">
        <v>2419</v>
      </c>
    </row>
    <row r="180" spans="1:4">
      <c r="A180" t="s">
        <v>2605</v>
      </c>
      <c r="B180">
        <v>3.1</v>
      </c>
      <c r="C180" t="s">
        <v>2484</v>
      </c>
      <c r="D180" t="s">
        <v>2393</v>
      </c>
    </row>
    <row r="181" spans="1:4">
      <c r="A181" t="s">
        <v>2606</v>
      </c>
      <c r="B181">
        <v>3.1</v>
      </c>
      <c r="C181" t="s">
        <v>2604</v>
      </c>
      <c r="D181" t="s">
        <v>2393</v>
      </c>
    </row>
    <row r="182" spans="1:4">
      <c r="A182" t="s">
        <v>2607</v>
      </c>
      <c r="B182">
        <v>2.98</v>
      </c>
      <c r="C182" t="s">
        <v>2392</v>
      </c>
      <c r="D182" t="s">
        <v>2536</v>
      </c>
    </row>
    <row r="183" spans="1:4">
      <c r="A183" t="s">
        <v>2608</v>
      </c>
      <c r="B183">
        <v>3.02</v>
      </c>
      <c r="C183" t="s">
        <v>2609</v>
      </c>
      <c r="D183" t="s">
        <v>2393</v>
      </c>
    </row>
    <row r="184" spans="1:4">
      <c r="A184" t="s">
        <v>2610</v>
      </c>
      <c r="B184">
        <v>3.02</v>
      </c>
      <c r="C184" t="s">
        <v>2573</v>
      </c>
      <c r="D184" t="s">
        <v>2393</v>
      </c>
    </row>
    <row r="185" spans="1:4">
      <c r="A185" t="s">
        <v>2611</v>
      </c>
      <c r="B185">
        <v>2.99</v>
      </c>
      <c r="C185" t="s">
        <v>2612</v>
      </c>
      <c r="D185" t="s">
        <v>2419</v>
      </c>
    </row>
    <row r="186" spans="1:4">
      <c r="A186" t="s">
        <v>2613</v>
      </c>
      <c r="B186">
        <v>3.04</v>
      </c>
      <c r="C186" t="s">
        <v>2614</v>
      </c>
      <c r="D186" t="s">
        <v>2393</v>
      </c>
    </row>
    <row r="187" spans="1:4">
      <c r="A187" t="s">
        <v>2615</v>
      </c>
      <c r="B187">
        <v>3.04</v>
      </c>
      <c r="C187" t="s">
        <v>2478</v>
      </c>
      <c r="D187" t="s">
        <v>2393</v>
      </c>
    </row>
    <row r="188" spans="1:4">
      <c r="A188" t="s">
        <v>2616</v>
      </c>
      <c r="B188">
        <v>3.03</v>
      </c>
      <c r="C188" t="s">
        <v>2573</v>
      </c>
      <c r="D188" t="s">
        <v>2565</v>
      </c>
    </row>
    <row r="189" spans="1:4">
      <c r="A189" t="s">
        <v>2617</v>
      </c>
      <c r="B189">
        <v>3</v>
      </c>
      <c r="C189" t="s">
        <v>2484</v>
      </c>
      <c r="D189" t="s">
        <v>2393</v>
      </c>
    </row>
    <row r="190" spans="1:4">
      <c r="A190" t="s">
        <v>2618</v>
      </c>
      <c r="B190">
        <v>2.98</v>
      </c>
      <c r="C190" t="s">
        <v>2599</v>
      </c>
      <c r="D190" t="s">
        <v>2565</v>
      </c>
    </row>
    <row r="191" spans="1:4">
      <c r="A191" t="s">
        <v>2619</v>
      </c>
      <c r="B191">
        <v>3.07</v>
      </c>
      <c r="C191" t="s">
        <v>2620</v>
      </c>
      <c r="D191" t="s">
        <v>2621</v>
      </c>
    </row>
    <row r="192" spans="1:4">
      <c r="A192" t="s">
        <v>2622</v>
      </c>
      <c r="B192">
        <v>3.09</v>
      </c>
      <c r="C192" t="s">
        <v>2620</v>
      </c>
      <c r="D192" t="s">
        <v>2621</v>
      </c>
    </row>
    <row r="193" spans="1:4">
      <c r="A193" t="s">
        <v>2623</v>
      </c>
      <c r="B193">
        <v>3.09</v>
      </c>
      <c r="C193" t="s">
        <v>2484</v>
      </c>
      <c r="D193" t="s">
        <v>2393</v>
      </c>
    </row>
    <row r="194" spans="1:4">
      <c r="A194" t="s">
        <v>2624</v>
      </c>
      <c r="B194">
        <v>3.1</v>
      </c>
      <c r="C194" t="s">
        <v>2568</v>
      </c>
      <c r="D194" t="s">
        <v>2393</v>
      </c>
    </row>
    <row r="195" spans="1:4">
      <c r="A195" t="s">
        <v>2625</v>
      </c>
      <c r="B195">
        <v>3.1</v>
      </c>
      <c r="C195" t="s">
        <v>2573</v>
      </c>
      <c r="D195" t="s">
        <v>2393</v>
      </c>
    </row>
    <row r="196" spans="1:4">
      <c r="A196" t="s">
        <v>2626</v>
      </c>
      <c r="B196">
        <v>3.1</v>
      </c>
      <c r="C196" t="s">
        <v>2627</v>
      </c>
      <c r="D196" t="s">
        <v>2393</v>
      </c>
    </row>
    <row r="197" spans="1:4">
      <c r="A197" t="s">
        <v>2628</v>
      </c>
      <c r="B197">
        <v>3.03</v>
      </c>
      <c r="C197" t="s">
        <v>2576</v>
      </c>
      <c r="D197" t="s">
        <v>2393</v>
      </c>
    </row>
    <row r="198" spans="1:4">
      <c r="A198" t="s">
        <v>2629</v>
      </c>
      <c r="B198">
        <v>3.03</v>
      </c>
      <c r="C198" t="s">
        <v>2455</v>
      </c>
      <c r="D198" t="s">
        <v>2393</v>
      </c>
    </row>
    <row r="199" spans="1:4">
      <c r="A199" t="s">
        <v>2630</v>
      </c>
      <c r="B199">
        <v>3.03</v>
      </c>
      <c r="C199" t="s">
        <v>2609</v>
      </c>
      <c r="D199" t="s">
        <v>2393</v>
      </c>
    </row>
    <row r="200" spans="1:4">
      <c r="A200" t="s">
        <v>2631</v>
      </c>
      <c r="B200">
        <v>3.05</v>
      </c>
      <c r="C200" t="s">
        <v>2632</v>
      </c>
      <c r="D200" t="s">
        <v>2393</v>
      </c>
    </row>
    <row r="201" spans="1:4">
      <c r="A201" t="s">
        <v>2633</v>
      </c>
      <c r="B201">
        <v>3.05</v>
      </c>
      <c r="C201" t="s">
        <v>2634</v>
      </c>
      <c r="D201" t="s">
        <v>2393</v>
      </c>
    </row>
    <row r="202" spans="1:4">
      <c r="A202" t="s">
        <v>2635</v>
      </c>
      <c r="B202">
        <v>3.03</v>
      </c>
      <c r="C202" t="s">
        <v>2636</v>
      </c>
      <c r="D202" t="s">
        <v>2565</v>
      </c>
    </row>
    <row r="203" spans="1:4">
      <c r="A203" t="s">
        <v>2637</v>
      </c>
      <c r="B203">
        <v>2.97</v>
      </c>
      <c r="C203" t="s">
        <v>2632</v>
      </c>
      <c r="D203" t="s">
        <v>2419</v>
      </c>
    </row>
    <row r="204" spans="1:4">
      <c r="A204" t="s">
        <v>2638</v>
      </c>
      <c r="B204">
        <v>2.98</v>
      </c>
      <c r="C204" t="s">
        <v>2397</v>
      </c>
      <c r="D204" t="s">
        <v>2419</v>
      </c>
    </row>
    <row r="205" spans="1:4">
      <c r="A205" t="s">
        <v>2639</v>
      </c>
      <c r="B205">
        <v>2.95</v>
      </c>
      <c r="C205" t="s">
        <v>2410</v>
      </c>
      <c r="D205" t="s">
        <v>2640</v>
      </c>
    </row>
    <row r="206" spans="1:4">
      <c r="A206" t="s">
        <v>2641</v>
      </c>
      <c r="B206">
        <v>2.98</v>
      </c>
      <c r="C206" t="s">
        <v>2478</v>
      </c>
      <c r="D206" t="s">
        <v>2640</v>
      </c>
    </row>
    <row r="207" spans="1:4">
      <c r="A207" t="s">
        <v>2642</v>
      </c>
      <c r="B207">
        <v>3.06</v>
      </c>
      <c r="C207" t="s">
        <v>2397</v>
      </c>
      <c r="D207" t="s">
        <v>2393</v>
      </c>
    </row>
    <row r="208" spans="1:4">
      <c r="A208" t="s">
        <v>2643</v>
      </c>
      <c r="B208">
        <v>3.04</v>
      </c>
      <c r="C208" t="s">
        <v>2397</v>
      </c>
      <c r="D208" t="s">
        <v>2419</v>
      </c>
    </row>
    <row r="209" spans="1:4">
      <c r="A209" t="s">
        <v>2644</v>
      </c>
      <c r="B209">
        <v>3.01</v>
      </c>
      <c r="C209" t="s">
        <v>2410</v>
      </c>
      <c r="D209" t="s">
        <v>2393</v>
      </c>
    </row>
    <row r="210" spans="1:4">
      <c r="A210" t="s">
        <v>2645</v>
      </c>
      <c r="B210">
        <v>2.99</v>
      </c>
      <c r="C210" t="s">
        <v>2397</v>
      </c>
      <c r="D210" t="s">
        <v>2419</v>
      </c>
    </row>
    <row r="211" spans="1:4">
      <c r="A211" t="s">
        <v>2646</v>
      </c>
      <c r="B211">
        <v>2.93</v>
      </c>
      <c r="C211" t="s">
        <v>2397</v>
      </c>
      <c r="D211" t="s">
        <v>2419</v>
      </c>
    </row>
    <row r="212" spans="1:4">
      <c r="A212" t="s">
        <v>2647</v>
      </c>
      <c r="B212">
        <v>3.03</v>
      </c>
      <c r="C212" t="s">
        <v>2410</v>
      </c>
      <c r="D212" t="s">
        <v>2393</v>
      </c>
    </row>
    <row r="213" spans="1:4">
      <c r="A213" t="s">
        <v>2648</v>
      </c>
      <c r="B213">
        <v>2.99</v>
      </c>
      <c r="C213" t="s">
        <v>2410</v>
      </c>
      <c r="D213" t="s">
        <v>2640</v>
      </c>
    </row>
    <row r="214" spans="1:4">
      <c r="A214" t="s">
        <v>2649</v>
      </c>
      <c r="B214">
        <v>3.02</v>
      </c>
      <c r="C214" t="s">
        <v>2410</v>
      </c>
      <c r="D214" t="s">
        <v>2640</v>
      </c>
    </row>
    <row r="215" spans="1:4">
      <c r="A215" t="s">
        <v>2650</v>
      </c>
      <c r="B215">
        <v>2.99</v>
      </c>
      <c r="C215" t="s">
        <v>2397</v>
      </c>
      <c r="D215" t="s">
        <v>2419</v>
      </c>
    </row>
    <row r="216" spans="1:4">
      <c r="A216" t="s">
        <v>2651</v>
      </c>
      <c r="B216">
        <v>2.99</v>
      </c>
      <c r="C216" t="s">
        <v>2410</v>
      </c>
      <c r="D216" t="s">
        <v>2640</v>
      </c>
    </row>
    <row r="217" spans="1:4">
      <c r="A217" t="s">
        <v>2652</v>
      </c>
      <c r="B217">
        <v>2.94</v>
      </c>
      <c r="C217" t="s">
        <v>2410</v>
      </c>
      <c r="D217" t="s">
        <v>2640</v>
      </c>
    </row>
    <row r="218" spans="1:4">
      <c r="A218" t="s">
        <v>2653</v>
      </c>
      <c r="B218">
        <v>2.97</v>
      </c>
      <c r="C218" t="s">
        <v>2397</v>
      </c>
      <c r="D218" t="s">
        <v>2640</v>
      </c>
    </row>
    <row r="219" spans="1:4">
      <c r="A219" t="s">
        <v>2654</v>
      </c>
      <c r="B219">
        <v>2.95</v>
      </c>
      <c r="C219" t="s">
        <v>2478</v>
      </c>
      <c r="D219" t="s">
        <v>2640</v>
      </c>
    </row>
    <row r="220" spans="1:4">
      <c r="A220" t="s">
        <v>2655</v>
      </c>
      <c r="B220">
        <v>2.91</v>
      </c>
      <c r="C220" t="s">
        <v>2410</v>
      </c>
      <c r="D220" t="s">
        <v>2656</v>
      </c>
    </row>
    <row r="221" spans="1:4">
      <c r="A221" t="s">
        <v>2657</v>
      </c>
      <c r="B221">
        <v>2.85</v>
      </c>
      <c r="C221" t="s">
        <v>2658</v>
      </c>
      <c r="D221" t="s">
        <v>2659</v>
      </c>
    </row>
    <row r="222" spans="1:4">
      <c r="A222" t="s">
        <v>2660</v>
      </c>
      <c r="B222">
        <v>3.08</v>
      </c>
      <c r="C222" t="s">
        <v>2421</v>
      </c>
      <c r="D222" t="s">
        <v>2393</v>
      </c>
    </row>
    <row r="223" spans="1:4">
      <c r="A223" t="s">
        <v>2661</v>
      </c>
      <c r="B223">
        <v>3.1</v>
      </c>
      <c r="C223" t="s">
        <v>2418</v>
      </c>
      <c r="D223" t="s">
        <v>2393</v>
      </c>
    </row>
    <row r="224" spans="1:4">
      <c r="A224" t="s">
        <v>2662</v>
      </c>
      <c r="B224">
        <v>3.02</v>
      </c>
      <c r="C224" t="s">
        <v>2484</v>
      </c>
      <c r="D224" t="s">
        <v>2419</v>
      </c>
    </row>
    <row r="225" spans="1:4">
      <c r="A225" t="s">
        <v>2663</v>
      </c>
      <c r="B225">
        <v>3.01</v>
      </c>
      <c r="C225" t="s">
        <v>2421</v>
      </c>
      <c r="D225" t="s">
        <v>2393</v>
      </c>
    </row>
    <row r="226" spans="1:4">
      <c r="A226" t="s">
        <v>2664</v>
      </c>
      <c r="B226">
        <v>3.03</v>
      </c>
      <c r="C226" t="s">
        <v>2418</v>
      </c>
      <c r="D226" t="s">
        <v>2393</v>
      </c>
    </row>
    <row r="227" spans="1:4">
      <c r="A227" t="s">
        <v>2665</v>
      </c>
      <c r="B227">
        <v>2.99</v>
      </c>
      <c r="C227" t="s">
        <v>2421</v>
      </c>
      <c r="D227" t="s">
        <v>2640</v>
      </c>
    </row>
    <row r="228" spans="1:4">
      <c r="A228" t="s">
        <v>2666</v>
      </c>
      <c r="B228">
        <v>2.95</v>
      </c>
      <c r="C228" t="s">
        <v>2421</v>
      </c>
      <c r="D228" t="s">
        <v>2640</v>
      </c>
    </row>
    <row r="229" spans="1:4">
      <c r="A229" t="s">
        <v>2667</v>
      </c>
      <c r="B229">
        <v>3.07</v>
      </c>
      <c r="C229" t="s">
        <v>2612</v>
      </c>
      <c r="D229" t="s">
        <v>2393</v>
      </c>
    </row>
    <row r="230" spans="1:4">
      <c r="A230" t="s">
        <v>2668</v>
      </c>
      <c r="B230">
        <v>3.01</v>
      </c>
      <c r="C230" t="s">
        <v>2392</v>
      </c>
      <c r="D230" t="s">
        <v>2393</v>
      </c>
    </row>
    <row r="231" spans="1:4">
      <c r="A231" t="s">
        <v>2669</v>
      </c>
      <c r="B231">
        <v>2.98</v>
      </c>
      <c r="C231" t="s">
        <v>2395</v>
      </c>
      <c r="D231" t="s">
        <v>2419</v>
      </c>
    </row>
    <row r="232" spans="1:4">
      <c r="A232" t="s">
        <v>2670</v>
      </c>
      <c r="B232">
        <v>3.04</v>
      </c>
      <c r="C232" t="s">
        <v>2397</v>
      </c>
      <c r="D232" t="s">
        <v>2419</v>
      </c>
    </row>
    <row r="233" spans="1:4">
      <c r="A233" t="s">
        <v>2671</v>
      </c>
      <c r="B233">
        <v>3.06</v>
      </c>
      <c r="C233" t="s">
        <v>2410</v>
      </c>
      <c r="D233" t="s">
        <v>2419</v>
      </c>
    </row>
    <row r="234" spans="1:4">
      <c r="A234" t="s">
        <v>2672</v>
      </c>
      <c r="B234">
        <v>3.09</v>
      </c>
      <c r="C234" t="s">
        <v>2397</v>
      </c>
      <c r="D234" t="s">
        <v>2393</v>
      </c>
    </row>
    <row r="235" spans="1:4">
      <c r="A235" t="s">
        <v>2673</v>
      </c>
      <c r="B235">
        <v>2.99</v>
      </c>
      <c r="C235" t="s">
        <v>2410</v>
      </c>
      <c r="D235" t="s">
        <v>2419</v>
      </c>
    </row>
    <row r="236" spans="1:4">
      <c r="A236" t="s">
        <v>2674</v>
      </c>
      <c r="B236">
        <v>2.99</v>
      </c>
      <c r="C236" t="s">
        <v>2397</v>
      </c>
      <c r="D236" t="s">
        <v>2419</v>
      </c>
    </row>
    <row r="237" spans="1:4">
      <c r="A237" t="s">
        <v>2675</v>
      </c>
      <c r="B237">
        <v>3</v>
      </c>
      <c r="C237" t="s">
        <v>2410</v>
      </c>
      <c r="D237" t="s">
        <v>2419</v>
      </c>
    </row>
    <row r="238" spans="1:4">
      <c r="A238" t="s">
        <v>2676</v>
      </c>
      <c r="B238">
        <v>3</v>
      </c>
      <c r="C238" t="s">
        <v>2397</v>
      </c>
      <c r="D238" t="s">
        <v>2419</v>
      </c>
    </row>
    <row r="239" spans="1:4">
      <c r="A239" t="s">
        <v>2677</v>
      </c>
      <c r="B239">
        <v>3.14</v>
      </c>
      <c r="C239" t="s">
        <v>2418</v>
      </c>
      <c r="D239" t="s">
        <v>2400</v>
      </c>
    </row>
    <row r="240" spans="1:4">
      <c r="A240" t="s">
        <v>2678</v>
      </c>
      <c r="B240">
        <v>3.06</v>
      </c>
      <c r="C240" t="s">
        <v>2408</v>
      </c>
      <c r="D240" t="s">
        <v>2393</v>
      </c>
    </row>
    <row r="241" spans="1:4">
      <c r="A241" t="s">
        <v>2679</v>
      </c>
      <c r="B241">
        <v>3.06</v>
      </c>
      <c r="C241" t="s">
        <v>2418</v>
      </c>
      <c r="D241" t="s">
        <v>2393</v>
      </c>
    </row>
    <row r="242" spans="1:4">
      <c r="A242" t="s">
        <v>2680</v>
      </c>
      <c r="B242">
        <v>3.02</v>
      </c>
      <c r="C242" t="s">
        <v>2421</v>
      </c>
      <c r="D242" t="s">
        <v>2419</v>
      </c>
    </row>
    <row r="243" spans="1:4">
      <c r="A243" t="s">
        <v>2681</v>
      </c>
      <c r="B243">
        <v>3.07</v>
      </c>
      <c r="C243" t="s">
        <v>2421</v>
      </c>
      <c r="D243" t="s">
        <v>2682</v>
      </c>
    </row>
    <row r="244" spans="1:4">
      <c r="A244" t="s">
        <v>2683</v>
      </c>
      <c r="B244">
        <v>3.05</v>
      </c>
      <c r="C244" t="s">
        <v>2421</v>
      </c>
      <c r="D244" t="s">
        <v>2419</v>
      </c>
    </row>
    <row r="245" spans="1:4">
      <c r="A245" t="s">
        <v>2684</v>
      </c>
      <c r="B245">
        <v>3.04</v>
      </c>
      <c r="C245" t="s">
        <v>2604</v>
      </c>
      <c r="D245" t="s">
        <v>2419</v>
      </c>
    </row>
    <row r="246" spans="1:4">
      <c r="A246" t="s">
        <v>2685</v>
      </c>
      <c r="B246">
        <v>3.14</v>
      </c>
      <c r="C246" t="s">
        <v>2421</v>
      </c>
      <c r="D246" t="s">
        <v>2400</v>
      </c>
    </row>
    <row r="247" spans="1:4">
      <c r="A247" t="s">
        <v>2686</v>
      </c>
      <c r="B247">
        <v>3.12</v>
      </c>
      <c r="C247" t="s">
        <v>2418</v>
      </c>
      <c r="D247" t="s">
        <v>2400</v>
      </c>
    </row>
    <row r="248" spans="1:4">
      <c r="A248" t="s">
        <v>2687</v>
      </c>
      <c r="B248">
        <v>3.16</v>
      </c>
      <c r="C248" t="s">
        <v>2418</v>
      </c>
      <c r="D248" t="s">
        <v>2400</v>
      </c>
    </row>
    <row r="249" spans="1:4">
      <c r="A249" t="s">
        <v>2688</v>
      </c>
      <c r="B249">
        <v>3.01</v>
      </c>
      <c r="C249" t="s">
        <v>2418</v>
      </c>
      <c r="D249" t="s">
        <v>2393</v>
      </c>
    </row>
    <row r="250" spans="1:4">
      <c r="A250" t="s">
        <v>2689</v>
      </c>
      <c r="B250">
        <v>3.04</v>
      </c>
      <c r="C250" t="s">
        <v>2690</v>
      </c>
      <c r="D250" t="s">
        <v>2419</v>
      </c>
    </row>
    <row r="251" spans="1:4">
      <c r="A251" t="s">
        <v>2691</v>
      </c>
      <c r="B251">
        <v>3.13</v>
      </c>
      <c r="C251" t="s">
        <v>2395</v>
      </c>
      <c r="D251" t="s">
        <v>2393</v>
      </c>
    </row>
    <row r="252" spans="1:4">
      <c r="A252" t="s">
        <v>2692</v>
      </c>
      <c r="B252">
        <v>3.07</v>
      </c>
      <c r="C252" t="s">
        <v>2395</v>
      </c>
      <c r="D252" t="s">
        <v>2693</v>
      </c>
    </row>
    <row r="253" spans="1:4">
      <c r="A253" t="s">
        <v>2694</v>
      </c>
      <c r="B253">
        <v>3.08</v>
      </c>
      <c r="C253" t="s">
        <v>2392</v>
      </c>
      <c r="D253" t="s">
        <v>2393</v>
      </c>
    </row>
    <row r="254" spans="1:4">
      <c r="A254" t="s">
        <v>2695</v>
      </c>
      <c r="B254">
        <v>3.02</v>
      </c>
      <c r="C254" t="s">
        <v>2392</v>
      </c>
      <c r="D254" t="s">
        <v>2393</v>
      </c>
    </row>
    <row r="255" spans="1:4">
      <c r="A255" t="s">
        <v>2696</v>
      </c>
      <c r="B255">
        <v>3.06</v>
      </c>
      <c r="C255" t="s">
        <v>2392</v>
      </c>
      <c r="D255" t="s">
        <v>2393</v>
      </c>
    </row>
    <row r="256" spans="1:4">
      <c r="A256" t="s">
        <v>2697</v>
      </c>
      <c r="B256">
        <v>3.04</v>
      </c>
      <c r="C256" t="s">
        <v>2392</v>
      </c>
      <c r="D256" t="s">
        <v>2682</v>
      </c>
    </row>
    <row r="257" spans="1:4">
      <c r="A257" t="s">
        <v>2698</v>
      </c>
      <c r="B257">
        <v>3.07</v>
      </c>
      <c r="C257" t="s">
        <v>2392</v>
      </c>
      <c r="D257" t="s">
        <v>2682</v>
      </c>
    </row>
    <row r="258" spans="1:4">
      <c r="A258" t="s">
        <v>2699</v>
      </c>
      <c r="B258">
        <v>3.04</v>
      </c>
      <c r="C258" t="s">
        <v>2392</v>
      </c>
      <c r="D258" t="s">
        <v>2682</v>
      </c>
    </row>
    <row r="259" spans="1:4">
      <c r="A259" t="s">
        <v>2700</v>
      </c>
      <c r="B259">
        <v>2.98</v>
      </c>
      <c r="C259" t="s">
        <v>2395</v>
      </c>
      <c r="D259" t="s">
        <v>2393</v>
      </c>
    </row>
    <row r="260" spans="1:4">
      <c r="A260" t="s">
        <v>2701</v>
      </c>
      <c r="B260">
        <v>3.01</v>
      </c>
      <c r="C260" t="s">
        <v>2395</v>
      </c>
      <c r="D260" t="s">
        <v>2393</v>
      </c>
    </row>
    <row r="261" spans="1:4">
      <c r="A261" t="s">
        <v>2702</v>
      </c>
      <c r="B261">
        <v>2.98</v>
      </c>
      <c r="C261" t="s">
        <v>2395</v>
      </c>
      <c r="D261" t="s">
        <v>2536</v>
      </c>
    </row>
    <row r="262" spans="1:4">
      <c r="A262" t="s">
        <v>2703</v>
      </c>
      <c r="B262">
        <v>3.02</v>
      </c>
      <c r="C262" t="s">
        <v>2392</v>
      </c>
      <c r="D262" t="s">
        <v>2693</v>
      </c>
    </row>
    <row r="263" spans="1:4">
      <c r="A263" t="s">
        <v>2704</v>
      </c>
      <c r="B263">
        <v>3.07</v>
      </c>
      <c r="C263" t="s">
        <v>2410</v>
      </c>
      <c r="D263" t="s">
        <v>2393</v>
      </c>
    </row>
    <row r="264" spans="1:4">
      <c r="A264" t="s">
        <v>2705</v>
      </c>
      <c r="B264">
        <v>3.02</v>
      </c>
      <c r="C264" t="s">
        <v>2397</v>
      </c>
      <c r="D264" t="s">
        <v>2419</v>
      </c>
    </row>
    <row r="265" spans="1:4">
      <c r="A265" t="s">
        <v>2706</v>
      </c>
      <c r="B265">
        <v>3.08</v>
      </c>
      <c r="C265" t="s">
        <v>2410</v>
      </c>
      <c r="D265" t="s">
        <v>2419</v>
      </c>
    </row>
    <row r="266" spans="1:4">
      <c r="A266" t="s">
        <v>2707</v>
      </c>
      <c r="B266">
        <v>3.1</v>
      </c>
      <c r="C266" t="s">
        <v>2397</v>
      </c>
      <c r="D266" t="s">
        <v>2393</v>
      </c>
    </row>
    <row r="267" spans="1:4">
      <c r="A267" t="s">
        <v>2708</v>
      </c>
      <c r="B267">
        <v>3.02</v>
      </c>
      <c r="C267" t="s">
        <v>2410</v>
      </c>
      <c r="D267" t="s">
        <v>2419</v>
      </c>
    </row>
    <row r="268" spans="1:4">
      <c r="A268" t="s">
        <v>2709</v>
      </c>
      <c r="B268">
        <v>3.02</v>
      </c>
      <c r="C268" t="s">
        <v>2397</v>
      </c>
      <c r="D268" t="s">
        <v>2393</v>
      </c>
    </row>
    <row r="269" spans="1:4">
      <c r="A269" t="s">
        <v>2710</v>
      </c>
      <c r="B269">
        <v>2.99</v>
      </c>
      <c r="C269" t="s">
        <v>2397</v>
      </c>
      <c r="D269" t="s">
        <v>2419</v>
      </c>
    </row>
    <row r="270" spans="1:4">
      <c r="A270" t="s">
        <v>2711</v>
      </c>
      <c r="B270">
        <v>3</v>
      </c>
      <c r="C270" t="s">
        <v>2410</v>
      </c>
      <c r="D270" t="s">
        <v>2393</v>
      </c>
    </row>
    <row r="271" spans="1:4">
      <c r="A271" t="s">
        <v>2712</v>
      </c>
      <c r="B271">
        <v>3.04</v>
      </c>
      <c r="C271" t="s">
        <v>2713</v>
      </c>
      <c r="D271" t="s">
        <v>2393</v>
      </c>
    </row>
    <row r="272" spans="1:4">
      <c r="A272" t="s">
        <v>2714</v>
      </c>
      <c r="B272">
        <v>2.97</v>
      </c>
      <c r="C272" t="s">
        <v>2397</v>
      </c>
      <c r="D272" t="s">
        <v>2640</v>
      </c>
    </row>
    <row r="273" spans="1:4">
      <c r="A273" t="s">
        <v>2715</v>
      </c>
      <c r="B273">
        <v>2.95</v>
      </c>
      <c r="C273" t="s">
        <v>2410</v>
      </c>
      <c r="D273" t="s">
        <v>2640</v>
      </c>
    </row>
    <row r="274" spans="1:4">
      <c r="A274" t="s">
        <v>2716</v>
      </c>
      <c r="B274">
        <v>2.99</v>
      </c>
      <c r="C274" t="s">
        <v>2410</v>
      </c>
      <c r="D274" t="s">
        <v>2419</v>
      </c>
    </row>
    <row r="275" spans="1:4">
      <c r="A275" t="s">
        <v>2717</v>
      </c>
      <c r="B275">
        <v>3</v>
      </c>
      <c r="C275" t="s">
        <v>2410</v>
      </c>
      <c r="D275" t="s">
        <v>2393</v>
      </c>
    </row>
    <row r="276" spans="1:4">
      <c r="A276" t="s">
        <v>2718</v>
      </c>
      <c r="B276">
        <v>3.02</v>
      </c>
      <c r="C276" t="s">
        <v>2410</v>
      </c>
      <c r="D276" t="s">
        <v>2419</v>
      </c>
    </row>
    <row r="277" spans="1:4">
      <c r="A277" t="s">
        <v>2719</v>
      </c>
      <c r="B277">
        <v>3.08</v>
      </c>
      <c r="C277" t="s">
        <v>2410</v>
      </c>
      <c r="D277" t="s">
        <v>2393</v>
      </c>
    </row>
    <row r="278" spans="1:4">
      <c r="A278" t="s">
        <v>2720</v>
      </c>
      <c r="B278">
        <v>3.12</v>
      </c>
      <c r="C278" t="s">
        <v>2418</v>
      </c>
      <c r="D278" t="s">
        <v>2400</v>
      </c>
    </row>
    <row r="279" spans="1:4">
      <c r="A279" t="s">
        <v>2721</v>
      </c>
      <c r="B279">
        <v>3.08</v>
      </c>
      <c r="C279" t="s">
        <v>2395</v>
      </c>
      <c r="D279" t="s">
        <v>2393</v>
      </c>
    </row>
    <row r="280" spans="1:4">
      <c r="A280" t="s">
        <v>2722</v>
      </c>
      <c r="B280">
        <v>3.12</v>
      </c>
      <c r="C280" t="s">
        <v>2620</v>
      </c>
      <c r="D280" t="s">
        <v>2621</v>
      </c>
    </row>
    <row r="281" spans="1:4">
      <c r="A281" t="s">
        <v>2723</v>
      </c>
      <c r="B281">
        <v>3.03</v>
      </c>
      <c r="C281" t="s">
        <v>2421</v>
      </c>
      <c r="D281" t="s">
        <v>2393</v>
      </c>
    </row>
    <row r="282" spans="1:4">
      <c r="A282" t="s">
        <v>2724</v>
      </c>
      <c r="B282">
        <v>3.07</v>
      </c>
      <c r="C282" t="s">
        <v>2421</v>
      </c>
      <c r="D282" t="s">
        <v>2393</v>
      </c>
    </row>
    <row r="283" spans="1:4">
      <c r="A283" t="s">
        <v>2725</v>
      </c>
      <c r="B283">
        <v>3.05</v>
      </c>
      <c r="C283" t="s">
        <v>2421</v>
      </c>
      <c r="D283" t="s">
        <v>2393</v>
      </c>
    </row>
    <row r="284" spans="1:4">
      <c r="A284" t="s">
        <v>2726</v>
      </c>
      <c r="B284">
        <v>3.08</v>
      </c>
      <c r="C284" t="s">
        <v>2421</v>
      </c>
      <c r="D284" t="s">
        <v>2393</v>
      </c>
    </row>
    <row r="285" spans="1:4">
      <c r="A285" t="s">
        <v>2727</v>
      </c>
      <c r="B285">
        <v>3.02</v>
      </c>
      <c r="C285" t="s">
        <v>2421</v>
      </c>
      <c r="D285" t="s">
        <v>2419</v>
      </c>
    </row>
    <row r="286" spans="1:4">
      <c r="A286" t="s">
        <v>2728</v>
      </c>
      <c r="B286">
        <v>3.04</v>
      </c>
      <c r="C286" t="s">
        <v>2418</v>
      </c>
      <c r="D286" t="s">
        <v>2419</v>
      </c>
    </row>
    <row r="287" spans="1:4">
      <c r="A287" t="s">
        <v>2729</v>
      </c>
      <c r="B287">
        <v>3.02</v>
      </c>
      <c r="C287" t="s">
        <v>2418</v>
      </c>
      <c r="D287" t="s">
        <v>2393</v>
      </c>
    </row>
    <row r="288" spans="1:4">
      <c r="A288" t="s">
        <v>2730</v>
      </c>
      <c r="B288">
        <v>3.02</v>
      </c>
      <c r="C288" t="s">
        <v>2418</v>
      </c>
      <c r="D288" t="s">
        <v>2393</v>
      </c>
    </row>
    <row r="289" spans="1:4">
      <c r="A289" t="s">
        <v>2731</v>
      </c>
      <c r="B289">
        <v>2.99</v>
      </c>
      <c r="C289" t="s">
        <v>2421</v>
      </c>
      <c r="D289" t="s">
        <v>2393</v>
      </c>
    </row>
    <row r="290" spans="1:4">
      <c r="A290" t="s">
        <v>2732</v>
      </c>
      <c r="B290">
        <v>3.04</v>
      </c>
      <c r="C290" t="s">
        <v>2421</v>
      </c>
      <c r="D290" t="s">
        <v>2393</v>
      </c>
    </row>
    <row r="291" spans="1:4">
      <c r="A291" t="s">
        <v>2733</v>
      </c>
      <c r="B291">
        <v>2.99</v>
      </c>
      <c r="C291" t="s">
        <v>2418</v>
      </c>
      <c r="D291" t="s">
        <v>2419</v>
      </c>
    </row>
    <row r="292" spans="1:4">
      <c r="A292" t="s">
        <v>2734</v>
      </c>
      <c r="B292">
        <v>2.99</v>
      </c>
      <c r="C292" t="s">
        <v>2418</v>
      </c>
      <c r="D292" t="s">
        <v>2419</v>
      </c>
    </row>
    <row r="293" spans="1:4">
      <c r="A293" t="s">
        <v>2735</v>
      </c>
      <c r="B293">
        <v>3.03</v>
      </c>
      <c r="C293" t="s">
        <v>2418</v>
      </c>
      <c r="D293" t="s">
        <v>2393</v>
      </c>
    </row>
    <row r="294" spans="1:4">
      <c r="A294" t="s">
        <v>2736</v>
      </c>
      <c r="B294">
        <v>3.02</v>
      </c>
      <c r="C294" t="s">
        <v>2421</v>
      </c>
      <c r="D294" t="s">
        <v>2398</v>
      </c>
    </row>
    <row r="295" spans="1:4">
      <c r="A295" t="s">
        <v>2737</v>
      </c>
      <c r="B295">
        <v>3.08</v>
      </c>
      <c r="C295" t="s">
        <v>2392</v>
      </c>
      <c r="D295" t="s">
        <v>2400</v>
      </c>
    </row>
    <row r="296" spans="1:4">
      <c r="A296" t="s">
        <v>2738</v>
      </c>
      <c r="B296">
        <v>3.05</v>
      </c>
      <c r="C296" t="s">
        <v>2395</v>
      </c>
      <c r="D296" t="s">
        <v>2393</v>
      </c>
    </row>
    <row r="297" spans="1:4">
      <c r="A297" t="s">
        <v>2739</v>
      </c>
      <c r="B297">
        <v>3.07</v>
      </c>
      <c r="C297" t="s">
        <v>2395</v>
      </c>
      <c r="D297" t="s">
        <v>2393</v>
      </c>
    </row>
    <row r="298" spans="1:4">
      <c r="A298" t="s">
        <v>2740</v>
      </c>
      <c r="B298">
        <v>3.02</v>
      </c>
      <c r="C298" t="s">
        <v>2395</v>
      </c>
      <c r="D298" t="s">
        <v>2565</v>
      </c>
    </row>
    <row r="299" spans="1:4">
      <c r="A299" t="s">
        <v>2741</v>
      </c>
      <c r="B299">
        <v>3.03</v>
      </c>
      <c r="C299" t="s">
        <v>2395</v>
      </c>
      <c r="D299" t="s">
        <v>2393</v>
      </c>
    </row>
    <row r="300" spans="1:4">
      <c r="A300" t="s">
        <v>2742</v>
      </c>
      <c r="B300">
        <v>3.05</v>
      </c>
      <c r="C300" t="s">
        <v>2392</v>
      </c>
      <c r="D300" t="s">
        <v>2393</v>
      </c>
    </row>
    <row r="301" spans="1:4">
      <c r="A301" t="s">
        <v>2743</v>
      </c>
      <c r="B301">
        <v>3.02</v>
      </c>
      <c r="C301" t="s">
        <v>2392</v>
      </c>
      <c r="D301" t="s">
        <v>2419</v>
      </c>
    </row>
    <row r="302" spans="1:4">
      <c r="A302" t="s">
        <v>2744</v>
      </c>
      <c r="B302">
        <v>2.99</v>
      </c>
      <c r="C302" t="s">
        <v>2395</v>
      </c>
      <c r="D302" t="s">
        <v>2393</v>
      </c>
    </row>
    <row r="303" spans="1:4">
      <c r="A303" t="s">
        <v>2745</v>
      </c>
      <c r="B303">
        <v>3.02</v>
      </c>
      <c r="C303" t="s">
        <v>2392</v>
      </c>
      <c r="D303" t="s">
        <v>2393</v>
      </c>
    </row>
    <row r="304" spans="1:4">
      <c r="A304" t="s">
        <v>2746</v>
      </c>
      <c r="B304">
        <v>3</v>
      </c>
      <c r="C304" t="s">
        <v>2392</v>
      </c>
      <c r="D304" t="s">
        <v>2419</v>
      </c>
    </row>
    <row r="305" spans="1:4">
      <c r="A305" t="s">
        <v>2747</v>
      </c>
      <c r="B305">
        <v>3.03</v>
      </c>
      <c r="C305" t="s">
        <v>2392</v>
      </c>
      <c r="D305" t="s">
        <v>2419</v>
      </c>
    </row>
    <row r="306" spans="1:4">
      <c r="A306" t="s">
        <v>2748</v>
      </c>
      <c r="B306">
        <v>2.99</v>
      </c>
      <c r="C306" t="s">
        <v>2392</v>
      </c>
      <c r="D306" t="s">
        <v>2393</v>
      </c>
    </row>
    <row r="307" spans="1:4">
      <c r="A307" t="s">
        <v>2749</v>
      </c>
      <c r="B307">
        <v>3.04</v>
      </c>
      <c r="C307" t="s">
        <v>2750</v>
      </c>
      <c r="D307" t="s">
        <v>2393</v>
      </c>
    </row>
    <row r="308" spans="1:4">
      <c r="A308" t="s">
        <v>2751</v>
      </c>
      <c r="B308">
        <v>2.99</v>
      </c>
      <c r="C308" t="s">
        <v>2576</v>
      </c>
      <c r="D308" t="s">
        <v>2393</v>
      </c>
    </row>
    <row r="309" spans="1:4">
      <c r="A309" t="s">
        <v>2752</v>
      </c>
      <c r="B309">
        <v>3.06</v>
      </c>
      <c r="C309" t="s">
        <v>2410</v>
      </c>
      <c r="D309" t="s">
        <v>2393</v>
      </c>
    </row>
    <row r="310" spans="1:4">
      <c r="A310" t="s">
        <v>2753</v>
      </c>
      <c r="B310">
        <v>3.02</v>
      </c>
      <c r="C310" t="s">
        <v>2410</v>
      </c>
      <c r="D310" t="s">
        <v>2419</v>
      </c>
    </row>
    <row r="311" spans="1:4">
      <c r="A311" t="s">
        <v>2754</v>
      </c>
      <c r="B311">
        <v>2.97</v>
      </c>
      <c r="C311" t="s">
        <v>2397</v>
      </c>
      <c r="D311" t="s">
        <v>2419</v>
      </c>
    </row>
    <row r="312" spans="1:4">
      <c r="A312" t="s">
        <v>2755</v>
      </c>
      <c r="B312">
        <v>2.99</v>
      </c>
      <c r="C312" t="s">
        <v>2410</v>
      </c>
      <c r="D312" t="s">
        <v>2393</v>
      </c>
    </row>
    <row r="313" spans="1:4">
      <c r="A313" t="s">
        <v>2756</v>
      </c>
      <c r="B313">
        <v>2.97</v>
      </c>
      <c r="C313" t="s">
        <v>2410</v>
      </c>
      <c r="D313" t="s">
        <v>2565</v>
      </c>
    </row>
    <row r="314" spans="1:4">
      <c r="A314" t="s">
        <v>2757</v>
      </c>
      <c r="B314">
        <v>3.01</v>
      </c>
      <c r="C314" t="s">
        <v>2397</v>
      </c>
      <c r="D314" t="s">
        <v>2419</v>
      </c>
    </row>
    <row r="315" spans="1:4">
      <c r="A315" t="s">
        <v>2758</v>
      </c>
      <c r="B315">
        <v>3.05</v>
      </c>
      <c r="C315" t="s">
        <v>2397</v>
      </c>
      <c r="D315" t="s">
        <v>2419</v>
      </c>
    </row>
    <row r="316" spans="1:4">
      <c r="A316" t="s">
        <v>2759</v>
      </c>
      <c r="B316">
        <v>2.98</v>
      </c>
      <c r="C316" t="s">
        <v>2397</v>
      </c>
      <c r="D316" t="s">
        <v>2760</v>
      </c>
    </row>
    <row r="317" spans="1:4">
      <c r="A317" t="s">
        <v>2761</v>
      </c>
      <c r="B317">
        <v>3</v>
      </c>
      <c r="C317" t="s">
        <v>2397</v>
      </c>
      <c r="D317" t="s">
        <v>2419</v>
      </c>
    </row>
    <row r="318" spans="1:4">
      <c r="A318" t="s">
        <v>2762</v>
      </c>
      <c r="B318">
        <v>2.88</v>
      </c>
      <c r="C318" t="s">
        <v>2410</v>
      </c>
      <c r="D318" t="s">
        <v>2419</v>
      </c>
    </row>
    <row r="319" spans="1:4">
      <c r="A319" t="s">
        <v>2763</v>
      </c>
      <c r="B319">
        <v>2.98</v>
      </c>
      <c r="C319" t="s">
        <v>2397</v>
      </c>
      <c r="D319" t="s">
        <v>2419</v>
      </c>
    </row>
    <row r="320" spans="1:4">
      <c r="A320" t="s">
        <v>2764</v>
      </c>
      <c r="B320">
        <v>2.98</v>
      </c>
      <c r="C320" t="s">
        <v>2410</v>
      </c>
      <c r="D320" t="s">
        <v>2393</v>
      </c>
    </row>
    <row r="321" spans="1:4">
      <c r="A321" t="s">
        <v>2765</v>
      </c>
      <c r="B321">
        <v>3.06</v>
      </c>
      <c r="C321" t="s">
        <v>2392</v>
      </c>
      <c r="D321" t="s">
        <v>2400</v>
      </c>
    </row>
    <row r="322" spans="1:4">
      <c r="A322" t="s">
        <v>2766</v>
      </c>
      <c r="B322">
        <v>3.1</v>
      </c>
      <c r="C322" t="s">
        <v>2632</v>
      </c>
      <c r="D322" t="s">
        <v>2393</v>
      </c>
    </row>
    <row r="323" spans="1:4">
      <c r="A323" t="s">
        <v>2767</v>
      </c>
      <c r="B323">
        <v>3.11</v>
      </c>
      <c r="C323" t="s">
        <v>2421</v>
      </c>
      <c r="D323" t="s">
        <v>2400</v>
      </c>
    </row>
    <row r="324" spans="1:4">
      <c r="A324" t="s">
        <v>2768</v>
      </c>
      <c r="B324">
        <v>3.03</v>
      </c>
      <c r="C324" t="s">
        <v>2515</v>
      </c>
      <c r="D324" t="s">
        <v>2393</v>
      </c>
    </row>
    <row r="325" spans="1:4">
      <c r="A325" t="s">
        <v>2769</v>
      </c>
      <c r="B325">
        <v>2.95</v>
      </c>
      <c r="C325" t="s">
        <v>2392</v>
      </c>
      <c r="D325" t="s">
        <v>2450</v>
      </c>
    </row>
    <row r="326" spans="1:4">
      <c r="A326" t="s">
        <v>2770</v>
      </c>
      <c r="B326">
        <v>3.06</v>
      </c>
      <c r="C326" t="s">
        <v>2418</v>
      </c>
      <c r="D326" t="s">
        <v>2393</v>
      </c>
    </row>
    <row r="327" spans="1:4">
      <c r="A327" t="s">
        <v>2771</v>
      </c>
      <c r="B327">
        <v>3.01</v>
      </c>
      <c r="C327" t="s">
        <v>2418</v>
      </c>
      <c r="D327" t="s">
        <v>2536</v>
      </c>
    </row>
    <row r="328" spans="1:4">
      <c r="A328" t="s">
        <v>2772</v>
      </c>
      <c r="B328">
        <v>3.02</v>
      </c>
      <c r="C328" t="s">
        <v>2418</v>
      </c>
      <c r="D328" t="s">
        <v>2419</v>
      </c>
    </row>
    <row r="329" spans="1:4">
      <c r="A329" t="s">
        <v>2773</v>
      </c>
      <c r="B329">
        <v>3.11</v>
      </c>
      <c r="C329" t="s">
        <v>2421</v>
      </c>
      <c r="D329" t="s">
        <v>2400</v>
      </c>
    </row>
    <row r="330" spans="1:4">
      <c r="A330" t="s">
        <v>2774</v>
      </c>
      <c r="B330">
        <v>3.05</v>
      </c>
      <c r="C330" t="s">
        <v>2418</v>
      </c>
      <c r="D330" t="s">
        <v>2393</v>
      </c>
    </row>
    <row r="331" spans="1:4">
      <c r="A331" t="s">
        <v>2775</v>
      </c>
      <c r="B331">
        <v>3.14</v>
      </c>
      <c r="C331" t="s">
        <v>2421</v>
      </c>
      <c r="D331" t="s">
        <v>2400</v>
      </c>
    </row>
    <row r="332" spans="1:4">
      <c r="A332" t="s">
        <v>2776</v>
      </c>
      <c r="B332">
        <v>2.99</v>
      </c>
      <c r="C332" t="s">
        <v>2418</v>
      </c>
      <c r="D332" t="s">
        <v>2393</v>
      </c>
    </row>
    <row r="333" spans="1:4">
      <c r="A333" t="s">
        <v>2777</v>
      </c>
      <c r="B333">
        <v>3.17</v>
      </c>
      <c r="C333" t="s">
        <v>2395</v>
      </c>
      <c r="D333" t="s">
        <v>2450</v>
      </c>
    </row>
    <row r="334" spans="1:4">
      <c r="A334" t="s">
        <v>2778</v>
      </c>
      <c r="B334">
        <v>3.16</v>
      </c>
      <c r="C334" t="s">
        <v>2395</v>
      </c>
      <c r="D334" t="s">
        <v>2450</v>
      </c>
    </row>
    <row r="335" spans="1:4">
      <c r="A335" t="s">
        <v>2779</v>
      </c>
      <c r="B335">
        <v>3.16</v>
      </c>
      <c r="C335" t="s">
        <v>2395</v>
      </c>
      <c r="D335" t="s">
        <v>2450</v>
      </c>
    </row>
    <row r="336" spans="1:4">
      <c r="A336" t="s">
        <v>2780</v>
      </c>
      <c r="B336">
        <v>3.06</v>
      </c>
      <c r="C336" t="s">
        <v>2395</v>
      </c>
      <c r="D336" t="s">
        <v>2400</v>
      </c>
    </row>
    <row r="337" spans="1:4">
      <c r="A337" t="s">
        <v>2781</v>
      </c>
      <c r="B337">
        <v>3.12</v>
      </c>
      <c r="C337" t="s">
        <v>2395</v>
      </c>
      <c r="D337" t="s">
        <v>2400</v>
      </c>
    </row>
    <row r="338" spans="1:4">
      <c r="A338" t="s">
        <v>2782</v>
      </c>
      <c r="B338">
        <v>3.1</v>
      </c>
      <c r="C338" t="s">
        <v>2783</v>
      </c>
      <c r="D338" t="s">
        <v>2682</v>
      </c>
    </row>
    <row r="339" spans="1:4">
      <c r="A339" t="s">
        <v>2784</v>
      </c>
      <c r="B339">
        <v>3</v>
      </c>
      <c r="C339" t="s">
        <v>2392</v>
      </c>
      <c r="D339" t="s">
        <v>2393</v>
      </c>
    </row>
    <row r="340" spans="1:4">
      <c r="A340" t="s">
        <v>2785</v>
      </c>
      <c r="B340">
        <v>2.97</v>
      </c>
      <c r="C340" t="s">
        <v>2395</v>
      </c>
      <c r="D340" t="s">
        <v>2393</v>
      </c>
    </row>
    <row r="341" spans="1:4">
      <c r="A341" t="s">
        <v>2786</v>
      </c>
      <c r="B341">
        <v>3.06</v>
      </c>
      <c r="C341" t="s">
        <v>2395</v>
      </c>
      <c r="D341" t="s">
        <v>2393</v>
      </c>
    </row>
    <row r="342" spans="1:4">
      <c r="A342" t="s">
        <v>2787</v>
      </c>
      <c r="B342">
        <v>3.06</v>
      </c>
      <c r="C342" t="s">
        <v>2395</v>
      </c>
      <c r="D342" t="s">
        <v>2393</v>
      </c>
    </row>
    <row r="343" spans="1:4">
      <c r="A343" t="s">
        <v>2788</v>
      </c>
      <c r="B343">
        <v>3.05</v>
      </c>
      <c r="C343" t="s">
        <v>2395</v>
      </c>
      <c r="D343" t="s">
        <v>2419</v>
      </c>
    </row>
    <row r="344" spans="1:4">
      <c r="A344" t="s">
        <v>2789</v>
      </c>
      <c r="B344">
        <v>3.04</v>
      </c>
      <c r="C344" t="s">
        <v>2395</v>
      </c>
      <c r="D344" t="s">
        <v>2393</v>
      </c>
    </row>
    <row r="345" spans="1:4">
      <c r="A345" t="s">
        <v>2790</v>
      </c>
      <c r="B345">
        <v>2.99</v>
      </c>
      <c r="C345" t="s">
        <v>2395</v>
      </c>
      <c r="D345" t="s">
        <v>2393</v>
      </c>
    </row>
    <row r="346" spans="1:4">
      <c r="A346" t="s">
        <v>2791</v>
      </c>
      <c r="B346">
        <v>2.97</v>
      </c>
      <c r="C346" t="s">
        <v>2392</v>
      </c>
      <c r="D346" t="s">
        <v>2565</v>
      </c>
    </row>
    <row r="347" spans="1:4">
      <c r="A347" t="s">
        <v>2792</v>
      </c>
      <c r="B347">
        <v>3.05</v>
      </c>
      <c r="C347" t="s">
        <v>2397</v>
      </c>
      <c r="D347" t="s">
        <v>2393</v>
      </c>
    </row>
    <row r="348" spans="1:4">
      <c r="A348" t="s">
        <v>2793</v>
      </c>
      <c r="B348">
        <v>3.01</v>
      </c>
      <c r="C348" t="s">
        <v>2410</v>
      </c>
      <c r="D348" t="s">
        <v>2419</v>
      </c>
    </row>
    <row r="349" spans="1:4">
      <c r="A349" t="s">
        <v>2794</v>
      </c>
      <c r="B349">
        <v>3.08</v>
      </c>
      <c r="C349" t="s">
        <v>2410</v>
      </c>
      <c r="D349" t="s">
        <v>2393</v>
      </c>
    </row>
    <row r="350" spans="1:4">
      <c r="A350" t="s">
        <v>2795</v>
      </c>
      <c r="B350">
        <v>3</v>
      </c>
      <c r="C350" t="s">
        <v>2410</v>
      </c>
      <c r="D350" t="s">
        <v>2393</v>
      </c>
    </row>
    <row r="351" spans="1:4">
      <c r="A351" t="s">
        <v>2796</v>
      </c>
      <c r="B351">
        <v>2.96</v>
      </c>
      <c r="C351" t="s">
        <v>2410</v>
      </c>
      <c r="D351" t="s">
        <v>2565</v>
      </c>
    </row>
    <row r="352" spans="1:4">
      <c r="A352" t="s">
        <v>2797</v>
      </c>
      <c r="B352">
        <v>2.96</v>
      </c>
      <c r="C352" t="s">
        <v>2410</v>
      </c>
      <c r="D352" t="s">
        <v>2565</v>
      </c>
    </row>
    <row r="353" spans="1:4">
      <c r="A353" t="s">
        <v>2798</v>
      </c>
      <c r="B353">
        <v>3.05</v>
      </c>
      <c r="C353" t="s">
        <v>2421</v>
      </c>
      <c r="D353" t="s">
        <v>2393</v>
      </c>
    </row>
    <row r="354" spans="1:4">
      <c r="A354" t="s">
        <v>2799</v>
      </c>
      <c r="B354">
        <v>3.04</v>
      </c>
      <c r="C354" t="s">
        <v>2392</v>
      </c>
      <c r="D354" t="s">
        <v>2393</v>
      </c>
    </row>
    <row r="355" spans="1:4">
      <c r="A355" t="s">
        <v>2800</v>
      </c>
      <c r="B355">
        <v>3</v>
      </c>
      <c r="C355" t="s">
        <v>2392</v>
      </c>
      <c r="D355" t="s">
        <v>2419</v>
      </c>
    </row>
    <row r="356" spans="1:4">
      <c r="A356" t="s">
        <v>2801</v>
      </c>
      <c r="B356">
        <v>2.88</v>
      </c>
      <c r="C356" t="s">
        <v>2397</v>
      </c>
      <c r="D356" t="s">
        <v>2419</v>
      </c>
    </row>
    <row r="357" spans="1:4">
      <c r="A357" t="s">
        <v>2802</v>
      </c>
      <c r="B357">
        <v>3.12</v>
      </c>
      <c r="C357" t="s">
        <v>2620</v>
      </c>
      <c r="D357" t="s">
        <v>2621</v>
      </c>
    </row>
    <row r="358" spans="1:4">
      <c r="A358" t="s">
        <v>2803</v>
      </c>
      <c r="B358">
        <v>3.01</v>
      </c>
      <c r="C358" t="s">
        <v>2690</v>
      </c>
      <c r="D358" t="s">
        <v>2393</v>
      </c>
    </row>
    <row r="359" spans="1:4">
      <c r="A359" t="s">
        <v>2804</v>
      </c>
      <c r="B359">
        <v>3.06</v>
      </c>
      <c r="C359" t="s">
        <v>2418</v>
      </c>
      <c r="D359" t="s">
        <v>2393</v>
      </c>
    </row>
    <row r="360" spans="1:4">
      <c r="A360" t="s">
        <v>2805</v>
      </c>
      <c r="B360">
        <v>2.97</v>
      </c>
      <c r="C360" t="s">
        <v>2690</v>
      </c>
      <c r="D360" t="s">
        <v>2419</v>
      </c>
    </row>
    <row r="361" spans="1:4">
      <c r="A361" t="s">
        <v>2806</v>
      </c>
      <c r="B361">
        <v>3.12</v>
      </c>
      <c r="C361" t="s">
        <v>2421</v>
      </c>
      <c r="D361" t="s">
        <v>2400</v>
      </c>
    </row>
    <row r="362" spans="1:4">
      <c r="A362" t="s">
        <v>2807</v>
      </c>
      <c r="B362">
        <v>2.97</v>
      </c>
      <c r="C362" t="s">
        <v>2421</v>
      </c>
      <c r="D362" t="s">
        <v>2393</v>
      </c>
    </row>
    <row r="363" spans="1:4">
      <c r="A363" t="s">
        <v>2808</v>
      </c>
      <c r="B363">
        <v>2.94</v>
      </c>
      <c r="C363" t="s">
        <v>2690</v>
      </c>
      <c r="D363" t="s">
        <v>2398</v>
      </c>
    </row>
    <row r="364" spans="1:4">
      <c r="A364" t="s">
        <v>2809</v>
      </c>
      <c r="B364">
        <v>3</v>
      </c>
      <c r="C364" t="s">
        <v>2418</v>
      </c>
      <c r="D364" t="s">
        <v>2393</v>
      </c>
    </row>
    <row r="365" spans="1:4">
      <c r="A365" t="s">
        <v>2810</v>
      </c>
      <c r="B365">
        <v>2.91</v>
      </c>
      <c r="C365" t="s">
        <v>2690</v>
      </c>
      <c r="D365" t="s">
        <v>2427</v>
      </c>
    </row>
    <row r="366" spans="1:4">
      <c r="A366" t="s">
        <v>2811</v>
      </c>
      <c r="B366">
        <v>2.99</v>
      </c>
      <c r="C366" t="s">
        <v>2421</v>
      </c>
      <c r="D366" t="s">
        <v>2565</v>
      </c>
    </row>
    <row r="367" spans="1:4">
      <c r="A367" t="s">
        <v>2812</v>
      </c>
      <c r="B367">
        <v>2.8</v>
      </c>
      <c r="C367" t="s">
        <v>2690</v>
      </c>
      <c r="D367" t="s">
        <v>2656</v>
      </c>
    </row>
    <row r="368" spans="1:4">
      <c r="A368" t="s">
        <v>2813</v>
      </c>
      <c r="B368">
        <v>3.12</v>
      </c>
      <c r="C368" t="s">
        <v>2392</v>
      </c>
      <c r="D368" t="s">
        <v>2400</v>
      </c>
    </row>
    <row r="369" spans="1:4">
      <c r="A369" t="s">
        <v>2814</v>
      </c>
      <c r="B369">
        <v>3.12</v>
      </c>
      <c r="C369" t="s">
        <v>2395</v>
      </c>
      <c r="D369" t="s">
        <v>2400</v>
      </c>
    </row>
    <row r="370" spans="1:4">
      <c r="A370" t="s">
        <v>2815</v>
      </c>
      <c r="B370">
        <v>3.05</v>
      </c>
      <c r="C370" t="s">
        <v>2783</v>
      </c>
      <c r="D370" t="s">
        <v>2682</v>
      </c>
    </row>
    <row r="371" spans="1:4">
      <c r="A371" t="s">
        <v>2816</v>
      </c>
      <c r="B371">
        <v>3</v>
      </c>
      <c r="C371" t="s">
        <v>2395</v>
      </c>
      <c r="D371" t="s">
        <v>2536</v>
      </c>
    </row>
    <row r="372" spans="1:4">
      <c r="A372" t="s">
        <v>2817</v>
      </c>
      <c r="B372">
        <v>3.05</v>
      </c>
      <c r="C372" t="s">
        <v>2418</v>
      </c>
      <c r="D372" t="s">
        <v>2393</v>
      </c>
    </row>
    <row r="373" spans="1:4">
      <c r="A373" t="s">
        <v>2818</v>
      </c>
      <c r="B373">
        <v>3</v>
      </c>
      <c r="C373" t="s">
        <v>2392</v>
      </c>
      <c r="D373" t="s">
        <v>2393</v>
      </c>
    </row>
    <row r="374" spans="1:4">
      <c r="A374" t="s">
        <v>2819</v>
      </c>
      <c r="B374">
        <v>3.06</v>
      </c>
      <c r="C374" t="s">
        <v>2395</v>
      </c>
      <c r="D374" t="s">
        <v>2393</v>
      </c>
    </row>
    <row r="375" spans="1:4">
      <c r="A375" t="s">
        <v>2820</v>
      </c>
      <c r="B375">
        <v>3.07</v>
      </c>
      <c r="C375" t="s">
        <v>2392</v>
      </c>
      <c r="D375" t="s">
        <v>2393</v>
      </c>
    </row>
    <row r="376" spans="1:4">
      <c r="A376" t="s">
        <v>2821</v>
      </c>
      <c r="B376">
        <v>2.97</v>
      </c>
      <c r="C376" t="s">
        <v>2395</v>
      </c>
      <c r="D376" t="s">
        <v>2393</v>
      </c>
    </row>
    <row r="377" spans="1:4">
      <c r="A377" t="s">
        <v>2822</v>
      </c>
      <c r="B377">
        <v>3.06</v>
      </c>
      <c r="C377" t="s">
        <v>2395</v>
      </c>
      <c r="D377" t="s">
        <v>2393</v>
      </c>
    </row>
    <row r="378" spans="1:4">
      <c r="A378" t="s">
        <v>2823</v>
      </c>
      <c r="B378">
        <v>3.03</v>
      </c>
      <c r="C378" t="s">
        <v>2395</v>
      </c>
      <c r="D378" t="s">
        <v>2393</v>
      </c>
    </row>
    <row r="379" spans="1:4">
      <c r="A379" t="s">
        <v>2824</v>
      </c>
      <c r="B379">
        <v>3.02</v>
      </c>
      <c r="C379" t="s">
        <v>2392</v>
      </c>
      <c r="D379" t="s">
        <v>2419</v>
      </c>
    </row>
    <row r="380" spans="1:4">
      <c r="A380" t="s">
        <v>2825</v>
      </c>
      <c r="B380">
        <v>3</v>
      </c>
      <c r="C380" t="s">
        <v>2395</v>
      </c>
      <c r="D380" t="s">
        <v>2419</v>
      </c>
    </row>
    <row r="381" spans="1:4">
      <c r="A381" t="s">
        <v>2826</v>
      </c>
      <c r="B381">
        <v>2.96</v>
      </c>
      <c r="C381" t="s">
        <v>2827</v>
      </c>
      <c r="D381" t="s">
        <v>2393</v>
      </c>
    </row>
    <row r="382" spans="1:4">
      <c r="A382" t="s">
        <v>2828</v>
      </c>
      <c r="B382">
        <v>3</v>
      </c>
      <c r="C382" t="s">
        <v>2418</v>
      </c>
      <c r="D382" t="s">
        <v>2393</v>
      </c>
    </row>
    <row r="383" spans="1:4">
      <c r="A383" t="s">
        <v>2829</v>
      </c>
      <c r="B383">
        <v>3</v>
      </c>
      <c r="C383" t="s">
        <v>2395</v>
      </c>
      <c r="D383" t="s">
        <v>2393</v>
      </c>
    </row>
    <row r="384" spans="1:4">
      <c r="A384" t="s">
        <v>2830</v>
      </c>
      <c r="B384">
        <v>2.97</v>
      </c>
      <c r="C384" t="s">
        <v>2827</v>
      </c>
      <c r="D384" t="s">
        <v>2419</v>
      </c>
    </row>
    <row r="385" spans="1:4">
      <c r="A385" t="s">
        <v>2831</v>
      </c>
      <c r="B385">
        <v>3</v>
      </c>
      <c r="C385" t="s">
        <v>2395</v>
      </c>
      <c r="D385" t="s">
        <v>2393</v>
      </c>
    </row>
    <row r="386" spans="1:4">
      <c r="A386" t="s">
        <v>2832</v>
      </c>
      <c r="B386">
        <v>3.03</v>
      </c>
      <c r="C386" t="s">
        <v>2410</v>
      </c>
      <c r="D386" t="s">
        <v>2393</v>
      </c>
    </row>
    <row r="387" spans="1:4">
      <c r="A387" t="s">
        <v>2833</v>
      </c>
      <c r="B387">
        <v>2.93</v>
      </c>
      <c r="C387" t="s">
        <v>2397</v>
      </c>
      <c r="D387" t="s">
        <v>2834</v>
      </c>
    </row>
    <row r="388" spans="1:4">
      <c r="A388" t="s">
        <v>2835</v>
      </c>
      <c r="B388">
        <v>2.98</v>
      </c>
      <c r="C388" t="s">
        <v>2612</v>
      </c>
      <c r="D388" t="s">
        <v>2393</v>
      </c>
    </row>
    <row r="389" spans="1:4">
      <c r="A389" t="s">
        <v>2836</v>
      </c>
      <c r="B389">
        <v>3.02</v>
      </c>
      <c r="C389" t="s">
        <v>2410</v>
      </c>
      <c r="D389" t="s">
        <v>2419</v>
      </c>
    </row>
    <row r="390" spans="1:4">
      <c r="A390" t="s">
        <v>2837</v>
      </c>
      <c r="B390">
        <v>2.95</v>
      </c>
      <c r="C390" t="s">
        <v>2397</v>
      </c>
      <c r="D390" t="s">
        <v>2419</v>
      </c>
    </row>
    <row r="391" spans="1:4">
      <c r="A391" t="s">
        <v>2838</v>
      </c>
      <c r="B391">
        <v>3.01</v>
      </c>
      <c r="C391" t="s">
        <v>2397</v>
      </c>
      <c r="D391" t="s">
        <v>2393</v>
      </c>
    </row>
    <row r="392" spans="1:4">
      <c r="A392" t="s">
        <v>2839</v>
      </c>
      <c r="B392">
        <v>3.03</v>
      </c>
      <c r="C392" t="s">
        <v>2690</v>
      </c>
      <c r="D392" t="s">
        <v>2693</v>
      </c>
    </row>
    <row r="393" spans="1:4">
      <c r="A393" t="s">
        <v>2840</v>
      </c>
      <c r="B393">
        <v>2.98</v>
      </c>
      <c r="C393" t="s">
        <v>2392</v>
      </c>
      <c r="D393" t="s">
        <v>2536</v>
      </c>
    </row>
    <row r="394" spans="1:4">
      <c r="A394" t="s">
        <v>2841</v>
      </c>
      <c r="B394">
        <v>3</v>
      </c>
      <c r="C394" t="s">
        <v>2612</v>
      </c>
      <c r="D394" t="s">
        <v>2393</v>
      </c>
    </row>
    <row r="395" spans="1:4">
      <c r="A395" t="s">
        <v>2842</v>
      </c>
      <c r="B395">
        <v>3.04</v>
      </c>
      <c r="C395" t="s">
        <v>2392</v>
      </c>
      <c r="D395" t="s">
        <v>2536</v>
      </c>
    </row>
    <row r="396" spans="1:4">
      <c r="A396" t="s">
        <v>2843</v>
      </c>
      <c r="B396">
        <v>3.03</v>
      </c>
      <c r="C396" t="s">
        <v>2418</v>
      </c>
      <c r="D396" t="s">
        <v>2393</v>
      </c>
    </row>
    <row r="397" spans="1:4">
      <c r="A397" t="s">
        <v>2844</v>
      </c>
      <c r="B397">
        <v>3.01</v>
      </c>
      <c r="C397" t="s">
        <v>2418</v>
      </c>
      <c r="D397" t="s">
        <v>2536</v>
      </c>
    </row>
    <row r="398" spans="1:4">
      <c r="A398" t="s">
        <v>2845</v>
      </c>
      <c r="B398">
        <v>2.98</v>
      </c>
      <c r="C398" t="s">
        <v>2418</v>
      </c>
      <c r="D398" t="s">
        <v>2565</v>
      </c>
    </row>
    <row r="399" spans="1:4">
      <c r="A399" t="s">
        <v>2846</v>
      </c>
      <c r="B399">
        <v>3.05</v>
      </c>
      <c r="C399" t="s">
        <v>2421</v>
      </c>
      <c r="D399" t="s">
        <v>2682</v>
      </c>
    </row>
    <row r="400" spans="1:4">
      <c r="A400" t="s">
        <v>2847</v>
      </c>
      <c r="B400">
        <v>3.03</v>
      </c>
      <c r="C400" t="s">
        <v>2690</v>
      </c>
      <c r="D400" t="s">
        <v>2693</v>
      </c>
    </row>
    <row r="401" spans="1:4">
      <c r="A401" t="s">
        <v>2848</v>
      </c>
      <c r="B401">
        <v>2.96</v>
      </c>
      <c r="C401" t="s">
        <v>2392</v>
      </c>
      <c r="D401" t="s">
        <v>2536</v>
      </c>
    </row>
    <row r="402" spans="1:4">
      <c r="A402" t="s">
        <v>2849</v>
      </c>
      <c r="B402">
        <v>2.98</v>
      </c>
      <c r="C402" t="s">
        <v>2418</v>
      </c>
      <c r="D402" t="s">
        <v>2393</v>
      </c>
    </row>
    <row r="403" spans="1:4">
      <c r="A403" t="s">
        <v>2850</v>
      </c>
      <c r="B403">
        <v>2.95</v>
      </c>
      <c r="C403" t="s">
        <v>2418</v>
      </c>
      <c r="D403" t="s">
        <v>2565</v>
      </c>
    </row>
    <row r="404" spans="1:4">
      <c r="A404" t="s">
        <v>2851</v>
      </c>
      <c r="B404">
        <v>2.9</v>
      </c>
      <c r="C404" t="s">
        <v>2418</v>
      </c>
      <c r="D404" t="s">
        <v>2834</v>
      </c>
    </row>
    <row r="405" spans="1:4">
      <c r="A405" t="s">
        <v>2852</v>
      </c>
      <c r="B405">
        <v>3.19</v>
      </c>
      <c r="C405" t="s">
        <v>2392</v>
      </c>
      <c r="D405" t="s">
        <v>2450</v>
      </c>
    </row>
    <row r="406" spans="1:4">
      <c r="A406" t="s">
        <v>2853</v>
      </c>
      <c r="B406">
        <v>3</v>
      </c>
      <c r="C406" t="s">
        <v>2392</v>
      </c>
      <c r="D406" t="s">
        <v>2555</v>
      </c>
    </row>
    <row r="407" spans="1:4">
      <c r="A407" t="s">
        <v>2854</v>
      </c>
      <c r="B407">
        <v>3.08</v>
      </c>
      <c r="C407" t="s">
        <v>2395</v>
      </c>
      <c r="D407" t="s">
        <v>2400</v>
      </c>
    </row>
    <row r="408" spans="1:4">
      <c r="A408" t="s">
        <v>2855</v>
      </c>
      <c r="B408">
        <v>3.08</v>
      </c>
      <c r="C408" t="s">
        <v>2392</v>
      </c>
      <c r="D408" t="s">
        <v>2400</v>
      </c>
    </row>
    <row r="409" spans="1:4">
      <c r="A409" t="s">
        <v>2856</v>
      </c>
      <c r="B409">
        <v>2.98</v>
      </c>
      <c r="C409" t="s">
        <v>2395</v>
      </c>
      <c r="D409" t="s">
        <v>2536</v>
      </c>
    </row>
    <row r="410" spans="1:4">
      <c r="A410" t="s">
        <v>2857</v>
      </c>
      <c r="B410">
        <v>3.04</v>
      </c>
      <c r="C410" t="s">
        <v>2395</v>
      </c>
      <c r="D410" t="s">
        <v>2536</v>
      </c>
    </row>
    <row r="411" spans="1:4">
      <c r="A411" t="s">
        <v>2858</v>
      </c>
      <c r="B411">
        <v>2.95</v>
      </c>
      <c r="C411" t="s">
        <v>2627</v>
      </c>
      <c r="D411" t="s">
        <v>2859</v>
      </c>
    </row>
    <row r="412" spans="1:4">
      <c r="A412" t="s">
        <v>2860</v>
      </c>
      <c r="B412">
        <v>3.03</v>
      </c>
      <c r="C412" t="s">
        <v>2395</v>
      </c>
      <c r="D412" t="s">
        <v>2393</v>
      </c>
    </row>
    <row r="413" spans="1:4">
      <c r="A413" t="s">
        <v>2861</v>
      </c>
      <c r="B413">
        <v>3.04</v>
      </c>
      <c r="C413" t="s">
        <v>2392</v>
      </c>
      <c r="D413" t="s">
        <v>2565</v>
      </c>
    </row>
    <row r="414" spans="1:4">
      <c r="A414" t="s">
        <v>2862</v>
      </c>
      <c r="B414">
        <v>3.03</v>
      </c>
      <c r="C414" t="s">
        <v>2395</v>
      </c>
      <c r="D414" t="s">
        <v>2393</v>
      </c>
    </row>
    <row r="415" spans="1:4">
      <c r="A415" t="s">
        <v>2863</v>
      </c>
      <c r="B415">
        <v>2.92</v>
      </c>
      <c r="C415" t="s">
        <v>2783</v>
      </c>
      <c r="D415" t="s">
        <v>2419</v>
      </c>
    </row>
    <row r="416" spans="1:4">
      <c r="A416" t="s">
        <v>2864</v>
      </c>
      <c r="B416">
        <v>3.02</v>
      </c>
      <c r="C416" t="s">
        <v>2392</v>
      </c>
      <c r="D416" t="s">
        <v>2419</v>
      </c>
    </row>
    <row r="417" spans="1:4">
      <c r="A417" t="s">
        <v>2865</v>
      </c>
      <c r="B417">
        <v>3</v>
      </c>
      <c r="C417" t="s">
        <v>2395</v>
      </c>
      <c r="D417" t="s">
        <v>2419</v>
      </c>
    </row>
    <row r="418" spans="1:4">
      <c r="A418" t="s">
        <v>2866</v>
      </c>
      <c r="B418">
        <v>2.96</v>
      </c>
      <c r="C418" t="s">
        <v>2395</v>
      </c>
      <c r="D418" t="s">
        <v>2536</v>
      </c>
    </row>
    <row r="419" spans="1:4">
      <c r="A419" t="s">
        <v>2867</v>
      </c>
      <c r="B419">
        <v>2.95</v>
      </c>
      <c r="C419" t="s">
        <v>2395</v>
      </c>
      <c r="D419" t="s">
        <v>2393</v>
      </c>
    </row>
    <row r="420" spans="1:4">
      <c r="A420" t="s">
        <v>2868</v>
      </c>
      <c r="B420">
        <v>2.95</v>
      </c>
      <c r="C420" t="s">
        <v>2395</v>
      </c>
      <c r="D420" t="s">
        <v>2565</v>
      </c>
    </row>
    <row r="421" spans="1:4">
      <c r="A421" t="s">
        <v>2869</v>
      </c>
      <c r="B421">
        <v>3</v>
      </c>
      <c r="C421" t="s">
        <v>2410</v>
      </c>
      <c r="D421" t="s">
        <v>2393</v>
      </c>
    </row>
    <row r="422" spans="1:4">
      <c r="A422" t="s">
        <v>2870</v>
      </c>
      <c r="B422">
        <v>2.98</v>
      </c>
      <c r="C422" t="s">
        <v>2397</v>
      </c>
      <c r="D422" t="s">
        <v>2565</v>
      </c>
    </row>
    <row r="423" spans="1:4">
      <c r="A423" t="s">
        <v>2871</v>
      </c>
      <c r="B423">
        <v>3.01</v>
      </c>
      <c r="C423" t="s">
        <v>2397</v>
      </c>
      <c r="D423" t="s">
        <v>2419</v>
      </c>
    </row>
    <row r="424" spans="1:4">
      <c r="A424" t="s">
        <v>2872</v>
      </c>
      <c r="B424">
        <v>3.04</v>
      </c>
      <c r="C424" t="s">
        <v>2392</v>
      </c>
      <c r="D424" t="s">
        <v>2536</v>
      </c>
    </row>
    <row r="425" spans="1:4">
      <c r="A425" t="s">
        <v>2873</v>
      </c>
      <c r="B425">
        <v>2.96</v>
      </c>
      <c r="C425" t="s">
        <v>2395</v>
      </c>
      <c r="D425" t="s">
        <v>2536</v>
      </c>
    </row>
    <row r="426" spans="1:4">
      <c r="A426" t="s">
        <v>2874</v>
      </c>
      <c r="B426">
        <v>3.02</v>
      </c>
      <c r="C426" t="s">
        <v>2875</v>
      </c>
      <c r="D426" t="s">
        <v>2400</v>
      </c>
    </row>
    <row r="427" spans="1:4">
      <c r="A427" t="s">
        <v>2876</v>
      </c>
      <c r="B427">
        <v>3</v>
      </c>
      <c r="C427" t="s">
        <v>2421</v>
      </c>
      <c r="D427" t="s">
        <v>2393</v>
      </c>
    </row>
    <row r="428" spans="1:4">
      <c r="A428" t="s">
        <v>2877</v>
      </c>
      <c r="B428">
        <v>3</v>
      </c>
      <c r="C428" t="s">
        <v>2878</v>
      </c>
      <c r="D428" t="s">
        <v>2393</v>
      </c>
    </row>
    <row r="429" spans="1:4">
      <c r="A429" t="s">
        <v>2879</v>
      </c>
      <c r="B429">
        <v>3</v>
      </c>
      <c r="C429" t="s">
        <v>2418</v>
      </c>
      <c r="D429" t="s">
        <v>2393</v>
      </c>
    </row>
    <row r="430" spans="1:4">
      <c r="A430" t="s">
        <v>2880</v>
      </c>
      <c r="B430">
        <v>3.04</v>
      </c>
      <c r="C430" t="s">
        <v>2421</v>
      </c>
      <c r="D430" t="s">
        <v>2682</v>
      </c>
    </row>
    <row r="431" spans="1:4">
      <c r="A431" t="s">
        <v>2881</v>
      </c>
      <c r="B431">
        <v>3.02</v>
      </c>
      <c r="C431" t="s">
        <v>2418</v>
      </c>
      <c r="D431" t="s">
        <v>2419</v>
      </c>
    </row>
    <row r="432" spans="1:4">
      <c r="A432" t="s">
        <v>2882</v>
      </c>
      <c r="B432">
        <v>3.05</v>
      </c>
      <c r="C432" t="s">
        <v>2421</v>
      </c>
      <c r="D432" t="s">
        <v>2393</v>
      </c>
    </row>
    <row r="433" spans="1:4">
      <c r="A433" t="s">
        <v>2883</v>
      </c>
      <c r="B433">
        <v>2.97</v>
      </c>
      <c r="C433" t="s">
        <v>2421</v>
      </c>
      <c r="D433" t="s">
        <v>2393</v>
      </c>
    </row>
    <row r="434" spans="1:4">
      <c r="A434" t="s">
        <v>2884</v>
      </c>
      <c r="B434">
        <v>2.95</v>
      </c>
      <c r="C434" t="s">
        <v>2418</v>
      </c>
      <c r="D434" t="s">
        <v>2393</v>
      </c>
    </row>
    <row r="435" spans="1:4">
      <c r="A435" t="s">
        <v>2885</v>
      </c>
      <c r="B435">
        <v>3.11</v>
      </c>
      <c r="C435" t="s">
        <v>2395</v>
      </c>
      <c r="D435" t="s">
        <v>2450</v>
      </c>
    </row>
    <row r="436" spans="1:4">
      <c r="A436" t="s">
        <v>2886</v>
      </c>
      <c r="B436">
        <v>2.98</v>
      </c>
      <c r="C436" t="s">
        <v>2395</v>
      </c>
      <c r="D436" t="s">
        <v>2555</v>
      </c>
    </row>
    <row r="437" spans="1:4">
      <c r="A437" t="s">
        <v>2887</v>
      </c>
      <c r="B437">
        <v>3.02</v>
      </c>
      <c r="C437" t="s">
        <v>2888</v>
      </c>
      <c r="D437" t="s">
        <v>2400</v>
      </c>
    </row>
    <row r="438" spans="1:4">
      <c r="A438" t="s">
        <v>2889</v>
      </c>
      <c r="B438">
        <v>3.02</v>
      </c>
      <c r="C438" t="s">
        <v>2395</v>
      </c>
      <c r="D438" t="s">
        <v>2400</v>
      </c>
    </row>
    <row r="439" spans="1:4">
      <c r="A439" t="s">
        <v>2890</v>
      </c>
      <c r="B439">
        <v>3.06</v>
      </c>
      <c r="C439" t="s">
        <v>2395</v>
      </c>
      <c r="D439" t="s">
        <v>2682</v>
      </c>
    </row>
    <row r="440" spans="1:4">
      <c r="A440" t="s">
        <v>2891</v>
      </c>
      <c r="B440">
        <v>3</v>
      </c>
      <c r="C440" t="s">
        <v>2392</v>
      </c>
      <c r="D440" t="s">
        <v>2565</v>
      </c>
    </row>
    <row r="441" spans="1:4">
      <c r="A441" t="s">
        <v>2892</v>
      </c>
      <c r="B441">
        <v>3</v>
      </c>
      <c r="C441" t="s">
        <v>2875</v>
      </c>
      <c r="D441" t="s">
        <v>2393</v>
      </c>
    </row>
    <row r="442" spans="1:4">
      <c r="A442" t="s">
        <v>2893</v>
      </c>
      <c r="B442">
        <v>3</v>
      </c>
      <c r="C442" t="s">
        <v>2395</v>
      </c>
      <c r="D442" t="s">
        <v>2393</v>
      </c>
    </row>
    <row r="443" spans="1:4">
      <c r="A443" t="s">
        <v>2894</v>
      </c>
      <c r="B443">
        <v>2.99</v>
      </c>
      <c r="C443" t="s">
        <v>2395</v>
      </c>
      <c r="D443" t="s">
        <v>2419</v>
      </c>
    </row>
    <row r="444" spans="1:4">
      <c r="A444" t="s">
        <v>2895</v>
      </c>
      <c r="B444">
        <v>2.98</v>
      </c>
      <c r="C444" t="s">
        <v>2395</v>
      </c>
      <c r="D444" t="s">
        <v>2393</v>
      </c>
    </row>
    <row r="445" spans="1:4">
      <c r="A445" t="s">
        <v>2896</v>
      </c>
      <c r="B445">
        <v>2.95</v>
      </c>
      <c r="C445" t="s">
        <v>2395</v>
      </c>
      <c r="D445" t="s">
        <v>2393</v>
      </c>
    </row>
    <row r="446" spans="1:4">
      <c r="A446" t="s">
        <v>2897</v>
      </c>
      <c r="B446">
        <v>2.99</v>
      </c>
      <c r="C446" t="s">
        <v>2397</v>
      </c>
      <c r="D446" t="s">
        <v>2393</v>
      </c>
    </row>
    <row r="447" spans="1:4">
      <c r="A447" t="s">
        <v>2898</v>
      </c>
      <c r="B447">
        <v>2.95</v>
      </c>
      <c r="C447" t="s">
        <v>2599</v>
      </c>
      <c r="D447" t="s">
        <v>2859</v>
      </c>
    </row>
    <row r="448" spans="1:4">
      <c r="A448" t="s">
        <v>2899</v>
      </c>
      <c r="B448">
        <v>2.91</v>
      </c>
      <c r="C448" t="s">
        <v>2573</v>
      </c>
      <c r="D448" t="s">
        <v>2834</v>
      </c>
    </row>
    <row r="449" spans="1:4">
      <c r="A449" t="s">
        <v>2900</v>
      </c>
      <c r="B449">
        <v>2.99</v>
      </c>
      <c r="C449" t="s">
        <v>2418</v>
      </c>
      <c r="D449" t="s">
        <v>2393</v>
      </c>
    </row>
    <row r="450" spans="1:4">
      <c r="A450" t="s">
        <v>2901</v>
      </c>
      <c r="B450">
        <v>2.98</v>
      </c>
      <c r="C450" t="s">
        <v>2421</v>
      </c>
      <c r="D450" t="s">
        <v>2393</v>
      </c>
    </row>
    <row r="451" spans="1:4">
      <c r="A451" t="s">
        <v>2902</v>
      </c>
      <c r="B451">
        <v>2.99</v>
      </c>
      <c r="C451" t="s">
        <v>2418</v>
      </c>
      <c r="D451" t="s">
        <v>2393</v>
      </c>
    </row>
    <row r="452" spans="1:4">
      <c r="A452" t="s">
        <v>2903</v>
      </c>
      <c r="B452">
        <v>2.94</v>
      </c>
      <c r="C452" t="s">
        <v>2418</v>
      </c>
      <c r="D452" t="s">
        <v>2536</v>
      </c>
    </row>
    <row r="453" spans="1:4">
      <c r="A453" t="s">
        <v>2904</v>
      </c>
      <c r="B453">
        <v>2.92</v>
      </c>
      <c r="C453" t="s">
        <v>2418</v>
      </c>
      <c r="D453" t="s">
        <v>2536</v>
      </c>
    </row>
    <row r="454" spans="1:4">
      <c r="A454" t="s">
        <v>2905</v>
      </c>
      <c r="B454">
        <v>3.01</v>
      </c>
      <c r="C454" t="s">
        <v>2395</v>
      </c>
      <c r="D454" t="s">
        <v>2555</v>
      </c>
    </row>
    <row r="455" spans="1:4">
      <c r="A455" t="s">
        <v>2906</v>
      </c>
      <c r="B455">
        <v>2.99</v>
      </c>
      <c r="C455" t="s">
        <v>2395</v>
      </c>
      <c r="D455" t="s">
        <v>2393</v>
      </c>
    </row>
    <row r="456" spans="1:4">
      <c r="A456" t="s">
        <v>2907</v>
      </c>
      <c r="B456">
        <v>2.98</v>
      </c>
      <c r="C456" t="s">
        <v>2395</v>
      </c>
      <c r="D456" t="s">
        <v>2693</v>
      </c>
    </row>
    <row r="457" spans="1:4">
      <c r="A457" t="s">
        <v>2908</v>
      </c>
      <c r="B457">
        <v>3</v>
      </c>
      <c r="C457" t="s">
        <v>2395</v>
      </c>
      <c r="D457" t="s">
        <v>2393</v>
      </c>
    </row>
    <row r="458" spans="1:4">
      <c r="A458" t="s">
        <v>2909</v>
      </c>
      <c r="B458">
        <v>2.94</v>
      </c>
      <c r="C458" t="s">
        <v>2392</v>
      </c>
      <c r="D458" t="s">
        <v>2536</v>
      </c>
    </row>
    <row r="459" spans="1:4">
      <c r="A459" t="s">
        <v>2910</v>
      </c>
      <c r="B459">
        <v>2.89</v>
      </c>
      <c r="C459" t="s">
        <v>2395</v>
      </c>
      <c r="D459" t="s">
        <v>2400</v>
      </c>
    </row>
    <row r="460" spans="1:4">
      <c r="A460" t="s">
        <v>2911</v>
      </c>
      <c r="B460">
        <v>2.92</v>
      </c>
      <c r="C460" t="s">
        <v>2392</v>
      </c>
      <c r="D460" t="s">
        <v>2536</v>
      </c>
    </row>
    <row r="461" spans="1:4">
      <c r="A461" t="s">
        <v>2912</v>
      </c>
      <c r="B461">
        <v>3.02</v>
      </c>
      <c r="C461" t="s">
        <v>2875</v>
      </c>
      <c r="D461" t="s">
        <v>2400</v>
      </c>
    </row>
    <row r="462" spans="1:4">
      <c r="A462" t="s">
        <v>2913</v>
      </c>
      <c r="B462">
        <v>3</v>
      </c>
      <c r="C462" t="s">
        <v>2914</v>
      </c>
      <c r="D462" t="s">
        <v>2400</v>
      </c>
    </row>
    <row r="463" spans="1:4">
      <c r="A463" t="s">
        <v>2915</v>
      </c>
      <c r="B463">
        <v>3.02</v>
      </c>
      <c r="C463" t="s">
        <v>2888</v>
      </c>
      <c r="D463" t="s">
        <v>2400</v>
      </c>
    </row>
    <row r="464" spans="1:4">
      <c r="A464" t="s">
        <v>2916</v>
      </c>
      <c r="B464">
        <v>3</v>
      </c>
      <c r="C464" t="s">
        <v>2917</v>
      </c>
      <c r="D464" t="s">
        <v>2400</v>
      </c>
    </row>
    <row r="465" spans="1:4">
      <c r="A465" t="s">
        <v>2918</v>
      </c>
      <c r="B465">
        <v>3.01</v>
      </c>
      <c r="C465" t="s">
        <v>2410</v>
      </c>
      <c r="D465" t="s">
        <v>2693</v>
      </c>
    </row>
    <row r="466" spans="1:4">
      <c r="A466" t="s">
        <v>2919</v>
      </c>
      <c r="B466">
        <v>3.04</v>
      </c>
      <c r="C466" t="s">
        <v>2658</v>
      </c>
      <c r="D466" t="s">
        <v>2682</v>
      </c>
    </row>
    <row r="467" spans="1:4">
      <c r="A467" t="s">
        <v>2920</v>
      </c>
      <c r="B467">
        <v>3.01</v>
      </c>
      <c r="C467" t="s">
        <v>2410</v>
      </c>
      <c r="D467" t="s">
        <v>2693</v>
      </c>
    </row>
    <row r="468" spans="1:4">
      <c r="A468" t="s">
        <v>2921</v>
      </c>
      <c r="B468">
        <v>2.92</v>
      </c>
      <c r="C468" t="s">
        <v>2658</v>
      </c>
      <c r="D468" t="s">
        <v>2419</v>
      </c>
    </row>
    <row r="469" spans="1:4">
      <c r="A469" t="s">
        <v>2922</v>
      </c>
      <c r="B469">
        <v>2.97</v>
      </c>
      <c r="C469" t="s">
        <v>2410</v>
      </c>
      <c r="D469" t="s">
        <v>2640</v>
      </c>
    </row>
    <row r="470" spans="1:4">
      <c r="A470" t="s">
        <v>2923</v>
      </c>
      <c r="B470">
        <v>2.94</v>
      </c>
      <c r="C470" t="s">
        <v>2395</v>
      </c>
      <c r="D470" t="s">
        <v>2400</v>
      </c>
    </row>
    <row r="471" spans="1:4">
      <c r="A471" t="s">
        <v>2924</v>
      </c>
      <c r="B471">
        <v>3</v>
      </c>
      <c r="C471" t="s">
        <v>2783</v>
      </c>
      <c r="D471" t="s">
        <v>2682</v>
      </c>
    </row>
    <row r="472" spans="1:4">
      <c r="A472" t="s">
        <v>2925</v>
      </c>
      <c r="B472">
        <v>3</v>
      </c>
      <c r="C472" t="s">
        <v>2620</v>
      </c>
      <c r="D472" t="s">
        <v>2621</v>
      </c>
    </row>
    <row r="473" spans="1:4">
      <c r="A473" t="s">
        <v>2926</v>
      </c>
      <c r="B473">
        <v>3.02</v>
      </c>
      <c r="C473" t="s">
        <v>2620</v>
      </c>
      <c r="D473" t="s">
        <v>2621</v>
      </c>
    </row>
    <row r="474" spans="1:4">
      <c r="A474" t="s">
        <v>2927</v>
      </c>
      <c r="B474">
        <v>3.01</v>
      </c>
      <c r="C474" t="s">
        <v>2421</v>
      </c>
      <c r="D474" t="s">
        <v>2400</v>
      </c>
    </row>
    <row r="475" spans="1:4">
      <c r="A475" t="s">
        <v>2928</v>
      </c>
      <c r="B475">
        <v>2.92</v>
      </c>
      <c r="C475" t="s">
        <v>2418</v>
      </c>
      <c r="D475" t="s">
        <v>2400</v>
      </c>
    </row>
    <row r="476" spans="1:4">
      <c r="A476" t="s">
        <v>2929</v>
      </c>
      <c r="B476">
        <v>3.02</v>
      </c>
      <c r="C476" t="s">
        <v>2418</v>
      </c>
      <c r="D476" t="s">
        <v>2400</v>
      </c>
    </row>
    <row r="477" spans="1:4">
      <c r="A477" t="s">
        <v>2930</v>
      </c>
      <c r="B477">
        <v>2.95</v>
      </c>
      <c r="C477" t="s">
        <v>2421</v>
      </c>
      <c r="D477" t="s">
        <v>2393</v>
      </c>
    </row>
    <row r="478" spans="1:4">
      <c r="A478" t="s">
        <v>2931</v>
      </c>
      <c r="B478">
        <v>3.05</v>
      </c>
      <c r="C478" t="s">
        <v>2392</v>
      </c>
      <c r="D478" t="s">
        <v>2450</v>
      </c>
    </row>
    <row r="479" spans="1:4">
      <c r="A479" t="s">
        <v>2932</v>
      </c>
      <c r="B479">
        <v>3.01</v>
      </c>
      <c r="C479" t="s">
        <v>2392</v>
      </c>
      <c r="D479" t="s">
        <v>2400</v>
      </c>
    </row>
    <row r="480" spans="1:4">
      <c r="A480" t="s">
        <v>2933</v>
      </c>
      <c r="B480">
        <v>3.01</v>
      </c>
      <c r="C480" t="s">
        <v>2392</v>
      </c>
      <c r="D480" t="s">
        <v>2400</v>
      </c>
    </row>
    <row r="481" spans="1:4">
      <c r="A481" t="s">
        <v>2934</v>
      </c>
      <c r="B481">
        <v>2.97</v>
      </c>
      <c r="C481" t="s">
        <v>2783</v>
      </c>
      <c r="D481" t="s">
        <v>2682</v>
      </c>
    </row>
    <row r="482" spans="1:4">
      <c r="A482" t="s">
        <v>2935</v>
      </c>
      <c r="B482">
        <v>2.98</v>
      </c>
      <c r="C482" t="s">
        <v>2392</v>
      </c>
      <c r="D482" t="s">
        <v>2400</v>
      </c>
    </row>
    <row r="483" spans="1:4">
      <c r="A483" t="s">
        <v>2936</v>
      </c>
      <c r="B483">
        <v>2.92</v>
      </c>
      <c r="C483" t="s">
        <v>2395</v>
      </c>
      <c r="D483" t="s">
        <v>2400</v>
      </c>
    </row>
    <row r="484" spans="1:4">
      <c r="A484" t="s">
        <v>2937</v>
      </c>
      <c r="B484">
        <v>3</v>
      </c>
      <c r="C484" t="s">
        <v>2395</v>
      </c>
      <c r="D484" t="s">
        <v>2400</v>
      </c>
    </row>
    <row r="485" spans="1:4">
      <c r="A485" t="s">
        <v>2938</v>
      </c>
      <c r="B485">
        <v>2.89</v>
      </c>
      <c r="C485" t="s">
        <v>2783</v>
      </c>
      <c r="D485" t="s">
        <v>2419</v>
      </c>
    </row>
    <row r="486" spans="1:4">
      <c r="A486" t="s">
        <v>2939</v>
      </c>
      <c r="B486">
        <v>2.95</v>
      </c>
      <c r="C486" t="s">
        <v>2783</v>
      </c>
      <c r="D486" t="s">
        <v>2393</v>
      </c>
    </row>
    <row r="487" spans="1:4">
      <c r="A487" t="s">
        <v>2940</v>
      </c>
      <c r="B487">
        <v>2.99</v>
      </c>
      <c r="C487" t="s">
        <v>2410</v>
      </c>
      <c r="D487" t="s">
        <v>2693</v>
      </c>
    </row>
    <row r="488" spans="1:4">
      <c r="A488" t="s">
        <v>2941</v>
      </c>
      <c r="B488">
        <v>3.05</v>
      </c>
      <c r="C488" t="s">
        <v>2421</v>
      </c>
      <c r="D488" t="s">
        <v>2450</v>
      </c>
    </row>
    <row r="489" spans="1:4">
      <c r="A489" t="s">
        <v>2942</v>
      </c>
      <c r="B489">
        <v>3.04</v>
      </c>
      <c r="C489" t="s">
        <v>2392</v>
      </c>
      <c r="D489" t="s">
        <v>2393</v>
      </c>
    </row>
    <row r="490" spans="1:4">
      <c r="A490" t="s">
        <v>2943</v>
      </c>
      <c r="B490">
        <v>3</v>
      </c>
      <c r="C490" t="s">
        <v>2392</v>
      </c>
      <c r="D490" t="s">
        <v>2693</v>
      </c>
    </row>
    <row r="491" spans="1:4">
      <c r="A491" t="s">
        <v>2944</v>
      </c>
      <c r="B491">
        <v>2.94</v>
      </c>
      <c r="C491" t="s">
        <v>2410</v>
      </c>
      <c r="D491" t="s">
        <v>2536</v>
      </c>
    </row>
    <row r="492" spans="1:4">
      <c r="A492" t="s">
        <v>2945</v>
      </c>
      <c r="B492">
        <v>2.95</v>
      </c>
      <c r="C492" t="s">
        <v>2415</v>
      </c>
      <c r="D492" t="s">
        <v>2393</v>
      </c>
    </row>
    <row r="493" spans="1:4">
      <c r="A493" t="s">
        <v>2946</v>
      </c>
      <c r="B493">
        <v>2.96</v>
      </c>
      <c r="C493" t="s">
        <v>2418</v>
      </c>
      <c r="D493" t="s">
        <v>2555</v>
      </c>
    </row>
    <row r="494" spans="1:4">
      <c r="A494" t="s">
        <v>2947</v>
      </c>
      <c r="B494">
        <v>3.01</v>
      </c>
      <c r="C494" t="s">
        <v>2421</v>
      </c>
      <c r="D494" t="s">
        <v>2555</v>
      </c>
    </row>
    <row r="495" spans="1:4">
      <c r="A495" t="s">
        <v>2948</v>
      </c>
      <c r="B495">
        <v>2.9</v>
      </c>
      <c r="C495" t="s">
        <v>2421</v>
      </c>
      <c r="D495" t="s">
        <v>2393</v>
      </c>
    </row>
    <row r="496" spans="1:4">
      <c r="A496" t="s">
        <v>2949</v>
      </c>
      <c r="B496">
        <v>2.94</v>
      </c>
      <c r="C496" t="s">
        <v>2418</v>
      </c>
      <c r="D496" t="s">
        <v>2536</v>
      </c>
    </row>
    <row r="497" spans="1:4">
      <c r="A497" t="s">
        <v>2950</v>
      </c>
      <c r="B497">
        <v>2.95</v>
      </c>
      <c r="C497" t="s">
        <v>2406</v>
      </c>
      <c r="D497" t="s">
        <v>2393</v>
      </c>
    </row>
    <row r="498" spans="1:4">
      <c r="A498" t="s">
        <v>2951</v>
      </c>
      <c r="B498">
        <v>3</v>
      </c>
      <c r="C498" t="s">
        <v>2418</v>
      </c>
      <c r="D498" t="s">
        <v>2393</v>
      </c>
    </row>
    <row r="499" spans="1:4">
      <c r="A499" t="s">
        <v>2952</v>
      </c>
      <c r="B499">
        <v>2.88</v>
      </c>
      <c r="C499" t="s">
        <v>108</v>
      </c>
      <c r="D499" t="s">
        <v>2393</v>
      </c>
    </row>
    <row r="500" spans="1:4">
      <c r="A500" t="s">
        <v>2953</v>
      </c>
      <c r="B500">
        <v>3.01</v>
      </c>
      <c r="C500" t="s">
        <v>2395</v>
      </c>
      <c r="D500" t="s">
        <v>2393</v>
      </c>
    </row>
    <row r="501" spans="1:4">
      <c r="A501" t="s">
        <v>2954</v>
      </c>
      <c r="B501">
        <v>2.96</v>
      </c>
      <c r="C501" t="s">
        <v>108</v>
      </c>
      <c r="D501" t="s">
        <v>2555</v>
      </c>
    </row>
    <row r="502" spans="1:4">
      <c r="A502" t="s">
        <v>2955</v>
      </c>
      <c r="B502">
        <v>3.01</v>
      </c>
      <c r="C502" t="s">
        <v>2392</v>
      </c>
      <c r="D502" t="s">
        <v>2555</v>
      </c>
    </row>
    <row r="503" spans="1:4">
      <c r="A503" t="s">
        <v>2956</v>
      </c>
      <c r="B503">
        <v>2.98</v>
      </c>
      <c r="C503" t="s">
        <v>2395</v>
      </c>
      <c r="D503" t="s">
        <v>2555</v>
      </c>
    </row>
    <row r="504" spans="1:4">
      <c r="A504" t="s">
        <v>2957</v>
      </c>
      <c r="B504">
        <v>2.94</v>
      </c>
      <c r="C504" t="s">
        <v>2395</v>
      </c>
      <c r="D504" t="s">
        <v>2400</v>
      </c>
    </row>
    <row r="505" spans="1:4">
      <c r="A505" t="s">
        <v>2958</v>
      </c>
      <c r="B505">
        <v>3</v>
      </c>
      <c r="C505" t="s">
        <v>2783</v>
      </c>
      <c r="D505" t="s">
        <v>2682</v>
      </c>
    </row>
    <row r="506" spans="1:4">
      <c r="A506" t="s">
        <v>2959</v>
      </c>
      <c r="B506">
        <v>2.94</v>
      </c>
      <c r="C506" t="s">
        <v>2392</v>
      </c>
      <c r="D506" t="s">
        <v>2536</v>
      </c>
    </row>
    <row r="507" spans="1:4">
      <c r="A507" t="s">
        <v>2960</v>
      </c>
      <c r="B507">
        <v>2.92</v>
      </c>
      <c r="C507" t="s">
        <v>108</v>
      </c>
      <c r="D507" t="s">
        <v>2393</v>
      </c>
    </row>
    <row r="508" spans="1:4">
      <c r="A508" t="s">
        <v>2961</v>
      </c>
      <c r="B508">
        <v>2.84</v>
      </c>
      <c r="C508" t="s">
        <v>2614</v>
      </c>
      <c r="D508" t="s">
        <v>2536</v>
      </c>
    </row>
    <row r="509" spans="1:4">
      <c r="A509" t="s">
        <v>2962</v>
      </c>
      <c r="B509">
        <v>2.88</v>
      </c>
      <c r="C509" t="s">
        <v>2392</v>
      </c>
      <c r="D509" t="s">
        <v>2536</v>
      </c>
    </row>
    <row r="510" spans="1:4">
      <c r="A510" t="s">
        <v>2963</v>
      </c>
      <c r="B510">
        <v>2.86</v>
      </c>
      <c r="C510" t="s">
        <v>2395</v>
      </c>
      <c r="D510" t="s">
        <v>2536</v>
      </c>
    </row>
    <row r="511" spans="1:4">
      <c r="A511" t="s">
        <v>2964</v>
      </c>
      <c r="B511">
        <v>2.99</v>
      </c>
      <c r="C511" t="s">
        <v>2410</v>
      </c>
      <c r="D511" t="s">
        <v>2640</v>
      </c>
    </row>
    <row r="512" spans="1:4">
      <c r="A512" t="s">
        <v>2965</v>
      </c>
      <c r="B512">
        <v>3.01</v>
      </c>
      <c r="C512" t="s">
        <v>2397</v>
      </c>
      <c r="D512" t="s">
        <v>2419</v>
      </c>
    </row>
    <row r="513" spans="1:4">
      <c r="A513" t="s">
        <v>2966</v>
      </c>
      <c r="B513">
        <v>3.01</v>
      </c>
      <c r="C513" t="s">
        <v>2421</v>
      </c>
      <c r="D513" t="s">
        <v>2419</v>
      </c>
    </row>
    <row r="514" spans="1:4">
      <c r="A514" t="s">
        <v>2967</v>
      </c>
      <c r="B514">
        <v>3.04</v>
      </c>
      <c r="C514" t="s">
        <v>2609</v>
      </c>
      <c r="D514" t="s">
        <v>2419</v>
      </c>
    </row>
    <row r="515" spans="1:4">
      <c r="A515" t="s">
        <v>2968</v>
      </c>
      <c r="B515">
        <v>3.1</v>
      </c>
      <c r="C515" t="s">
        <v>2470</v>
      </c>
      <c r="D515" t="s">
        <v>2393</v>
      </c>
    </row>
    <row r="516" spans="1:4">
      <c r="A516" t="s">
        <v>2969</v>
      </c>
      <c r="B516">
        <v>3.05</v>
      </c>
      <c r="C516" t="s">
        <v>2614</v>
      </c>
      <c r="D516" t="s">
        <v>2393</v>
      </c>
    </row>
    <row r="517" spans="1:4">
      <c r="A517" t="s">
        <v>2970</v>
      </c>
      <c r="B517">
        <v>2.98</v>
      </c>
      <c r="C517" t="s">
        <v>2392</v>
      </c>
      <c r="D517" t="s">
        <v>2393</v>
      </c>
    </row>
    <row r="518" spans="1:4">
      <c r="A518" t="s">
        <v>2971</v>
      </c>
      <c r="B518">
        <v>2.98</v>
      </c>
      <c r="C518" t="s">
        <v>2397</v>
      </c>
      <c r="D518" t="s">
        <v>2393</v>
      </c>
    </row>
    <row r="519" spans="1:4">
      <c r="A519" t="s">
        <v>2972</v>
      </c>
      <c r="B519">
        <v>3</v>
      </c>
      <c r="C519" t="s">
        <v>2636</v>
      </c>
      <c r="D519" t="s">
        <v>2393</v>
      </c>
    </row>
    <row r="520" spans="1:4">
      <c r="A520" t="s">
        <v>2973</v>
      </c>
      <c r="B520">
        <v>3.02</v>
      </c>
      <c r="C520" t="s">
        <v>2636</v>
      </c>
      <c r="D520" t="s">
        <v>2393</v>
      </c>
    </row>
    <row r="521" spans="1:4">
      <c r="A521" t="s">
        <v>2974</v>
      </c>
      <c r="B521">
        <v>3.06</v>
      </c>
      <c r="C521" t="s">
        <v>2395</v>
      </c>
      <c r="D521" t="s">
        <v>2393</v>
      </c>
    </row>
    <row r="522" spans="1:4">
      <c r="A522" t="s">
        <v>2975</v>
      </c>
      <c r="B522">
        <v>3</v>
      </c>
      <c r="C522" t="s">
        <v>2478</v>
      </c>
      <c r="D522" t="s">
        <v>2393</v>
      </c>
    </row>
    <row r="523" spans="1:4">
      <c r="A523" t="s">
        <v>2976</v>
      </c>
      <c r="B523">
        <v>2.92</v>
      </c>
      <c r="C523" t="s">
        <v>2395</v>
      </c>
      <c r="D523" t="s">
        <v>2400</v>
      </c>
    </row>
    <row r="524" spans="1:4">
      <c r="A524" t="s">
        <v>2977</v>
      </c>
      <c r="B524">
        <v>2.95</v>
      </c>
      <c r="C524" t="s">
        <v>2783</v>
      </c>
      <c r="D524" t="s">
        <v>2393</v>
      </c>
    </row>
    <row r="525" spans="1:4">
      <c r="A525" t="s">
        <v>2978</v>
      </c>
      <c r="B525">
        <v>3.07</v>
      </c>
      <c r="C525" t="s">
        <v>2636</v>
      </c>
      <c r="D525" t="s">
        <v>2393</v>
      </c>
    </row>
    <row r="526" spans="1:4">
      <c r="A526" t="s">
        <v>2979</v>
      </c>
      <c r="B526">
        <v>3</v>
      </c>
      <c r="C526" t="s">
        <v>2570</v>
      </c>
      <c r="D526" t="s">
        <v>2419</v>
      </c>
    </row>
    <row r="527" spans="1:4">
      <c r="A527" t="s">
        <v>2980</v>
      </c>
      <c r="B527">
        <v>2.99</v>
      </c>
      <c r="C527" t="s">
        <v>2599</v>
      </c>
      <c r="D527" t="s">
        <v>2419</v>
      </c>
    </row>
    <row r="528" spans="1:4">
      <c r="A528" t="s">
        <v>2981</v>
      </c>
      <c r="B528">
        <v>3.03</v>
      </c>
      <c r="C528" t="s">
        <v>2612</v>
      </c>
      <c r="D528" t="s">
        <v>2419</v>
      </c>
    </row>
    <row r="529" spans="1:4">
      <c r="A529" t="s">
        <v>2982</v>
      </c>
      <c r="B529">
        <v>2.99</v>
      </c>
      <c r="C529" t="s">
        <v>2983</v>
      </c>
      <c r="D529" t="s">
        <v>2393</v>
      </c>
    </row>
    <row r="530" spans="1:4">
      <c r="A530" t="s">
        <v>2984</v>
      </c>
      <c r="B530">
        <v>3.06</v>
      </c>
      <c r="C530" t="s">
        <v>2985</v>
      </c>
      <c r="D530" t="s">
        <v>2393</v>
      </c>
    </row>
    <row r="531" spans="1:4">
      <c r="A531" t="s">
        <v>2986</v>
      </c>
      <c r="B531">
        <v>3.09</v>
      </c>
      <c r="C531" t="s">
        <v>2421</v>
      </c>
      <c r="D531" t="s">
        <v>2393</v>
      </c>
    </row>
    <row r="532" spans="1:4">
      <c r="A532" t="s">
        <v>2987</v>
      </c>
      <c r="B532">
        <v>2.98</v>
      </c>
      <c r="C532" t="s">
        <v>2392</v>
      </c>
      <c r="D532" t="s">
        <v>2393</v>
      </c>
    </row>
    <row r="533" spans="1:4">
      <c r="A533" t="s">
        <v>2988</v>
      </c>
      <c r="B533">
        <v>3.17</v>
      </c>
      <c r="C533" t="s">
        <v>2392</v>
      </c>
      <c r="D533" t="s">
        <v>2450</v>
      </c>
    </row>
    <row r="534" spans="1:4">
      <c r="A534" t="s">
        <v>2989</v>
      </c>
      <c r="B534">
        <v>3.06</v>
      </c>
      <c r="C534" t="s">
        <v>2627</v>
      </c>
      <c r="D534" t="s">
        <v>2393</v>
      </c>
    </row>
    <row r="535" spans="1:4">
      <c r="A535" t="s">
        <v>2990</v>
      </c>
      <c r="B535">
        <v>2.88</v>
      </c>
      <c r="C535" t="s">
        <v>2397</v>
      </c>
      <c r="D535" t="s">
        <v>2419</v>
      </c>
    </row>
    <row r="536" spans="1:4">
      <c r="A536" t="s">
        <v>2991</v>
      </c>
      <c r="B536">
        <v>2.78</v>
      </c>
      <c r="C536" t="s">
        <v>2455</v>
      </c>
      <c r="D536" t="s">
        <v>2577</v>
      </c>
    </row>
    <row r="537" spans="1:4">
      <c r="A537" t="s">
        <v>2992</v>
      </c>
      <c r="B537">
        <v>3.1</v>
      </c>
      <c r="C537" t="s">
        <v>2993</v>
      </c>
      <c r="D537" t="s">
        <v>2393</v>
      </c>
    </row>
    <row r="538" spans="1:4">
      <c r="A538" t="s">
        <v>2994</v>
      </c>
      <c r="B538">
        <v>3.05</v>
      </c>
      <c r="C538" t="s">
        <v>2418</v>
      </c>
      <c r="D538" t="s">
        <v>2393</v>
      </c>
    </row>
    <row r="539" spans="1:4">
      <c r="A539" t="s">
        <v>2995</v>
      </c>
      <c r="B539">
        <v>3</v>
      </c>
      <c r="C539" t="s">
        <v>2418</v>
      </c>
      <c r="D539" t="s">
        <v>2393</v>
      </c>
    </row>
    <row r="540" spans="1:4">
      <c r="A540" t="s">
        <v>2996</v>
      </c>
      <c r="B540">
        <v>2.82</v>
      </c>
      <c r="C540" t="s">
        <v>2993</v>
      </c>
      <c r="D540" t="s">
        <v>2536</v>
      </c>
    </row>
    <row r="541" spans="1:4">
      <c r="A541" t="s">
        <v>2997</v>
      </c>
      <c r="B541">
        <v>2.77</v>
      </c>
      <c r="C541" t="s">
        <v>2392</v>
      </c>
      <c r="D541" t="s">
        <v>2536</v>
      </c>
    </row>
    <row r="542" spans="1:4">
      <c r="A542" t="s">
        <v>2998</v>
      </c>
      <c r="B542">
        <v>2.91</v>
      </c>
      <c r="C542" t="s">
        <v>2570</v>
      </c>
      <c r="D542" t="s">
        <v>2834</v>
      </c>
    </row>
    <row r="543" spans="1:4">
      <c r="A543" t="s">
        <v>2999</v>
      </c>
      <c r="B543">
        <v>2.94</v>
      </c>
      <c r="C543" t="s">
        <v>2614</v>
      </c>
      <c r="D543" t="s">
        <v>3000</v>
      </c>
    </row>
    <row r="544" spans="1:4">
      <c r="A544" t="s">
        <v>3001</v>
      </c>
      <c r="B544">
        <v>3.08</v>
      </c>
      <c r="C544" t="s">
        <v>2395</v>
      </c>
      <c r="D544" t="s">
        <v>2393</v>
      </c>
    </row>
    <row r="545" spans="1:4">
      <c r="A545" t="s">
        <v>3002</v>
      </c>
      <c r="B545">
        <v>3.18</v>
      </c>
      <c r="C545" t="s">
        <v>2395</v>
      </c>
      <c r="D545" t="s">
        <v>2450</v>
      </c>
    </row>
    <row r="546" spans="1:4">
      <c r="A546" t="s">
        <v>3003</v>
      </c>
      <c r="B546">
        <v>3.1</v>
      </c>
      <c r="C546" t="s">
        <v>2395</v>
      </c>
      <c r="D546" t="s">
        <v>2450</v>
      </c>
    </row>
    <row r="547" spans="1:4">
      <c r="A547" t="s">
        <v>3004</v>
      </c>
      <c r="B547">
        <v>3.05</v>
      </c>
      <c r="C547" t="s">
        <v>2993</v>
      </c>
      <c r="D547" t="s">
        <v>2393</v>
      </c>
    </row>
    <row r="548" spans="1:4">
      <c r="A548" t="s">
        <v>3005</v>
      </c>
      <c r="B548">
        <v>3.05</v>
      </c>
      <c r="C548" t="s">
        <v>2599</v>
      </c>
      <c r="D548" t="s">
        <v>2393</v>
      </c>
    </row>
    <row r="549" spans="1:4">
      <c r="A549" t="s">
        <v>3006</v>
      </c>
      <c r="B549">
        <v>2.98</v>
      </c>
      <c r="C549" t="s">
        <v>2395</v>
      </c>
      <c r="D549" t="s">
        <v>2419</v>
      </c>
    </row>
    <row r="550" spans="1:4">
      <c r="A550" t="s">
        <v>3007</v>
      </c>
      <c r="B550">
        <v>3</v>
      </c>
      <c r="C550" t="s">
        <v>2395</v>
      </c>
      <c r="D550" t="s">
        <v>2419</v>
      </c>
    </row>
    <row r="551" spans="1:4">
      <c r="A551" t="s">
        <v>3008</v>
      </c>
      <c r="B551">
        <v>2.98</v>
      </c>
      <c r="C551" t="s">
        <v>2464</v>
      </c>
      <c r="D551" t="s">
        <v>3009</v>
      </c>
    </row>
    <row r="552" spans="1:4">
      <c r="A552" t="s">
        <v>3010</v>
      </c>
      <c r="B552">
        <v>2.97</v>
      </c>
      <c r="C552" t="s">
        <v>2410</v>
      </c>
      <c r="D552" t="s">
        <v>2640</v>
      </c>
    </row>
    <row r="553" spans="1:4">
      <c r="A553" t="s">
        <v>3011</v>
      </c>
      <c r="B553">
        <v>3.03</v>
      </c>
      <c r="C553" t="s">
        <v>2484</v>
      </c>
      <c r="D553" t="s">
        <v>2393</v>
      </c>
    </row>
    <row r="554" spans="1:4">
      <c r="A554" t="s">
        <v>3012</v>
      </c>
      <c r="B554">
        <v>3.1</v>
      </c>
      <c r="C554" t="s">
        <v>2395</v>
      </c>
      <c r="D554" t="s">
        <v>2450</v>
      </c>
    </row>
    <row r="555" spans="1:4">
      <c r="A555" t="s">
        <v>3013</v>
      </c>
      <c r="B555">
        <v>3.12</v>
      </c>
      <c r="C555" t="s">
        <v>2620</v>
      </c>
      <c r="D555" t="s">
        <v>2621</v>
      </c>
    </row>
    <row r="556" spans="1:4">
      <c r="A556" t="s">
        <v>3014</v>
      </c>
      <c r="B556">
        <v>3.03</v>
      </c>
      <c r="C556" t="s">
        <v>2395</v>
      </c>
      <c r="D556" t="s">
        <v>2393</v>
      </c>
    </row>
    <row r="557" spans="1:4">
      <c r="A557" t="s">
        <v>3015</v>
      </c>
      <c r="B557">
        <v>3.1</v>
      </c>
      <c r="C557" t="s">
        <v>2392</v>
      </c>
      <c r="D557" t="s">
        <v>2450</v>
      </c>
    </row>
    <row r="558" spans="1:4">
      <c r="A558" t="s">
        <v>3016</v>
      </c>
      <c r="B558">
        <v>3.2</v>
      </c>
      <c r="C558" t="s">
        <v>2392</v>
      </c>
      <c r="D558" t="s">
        <v>2450</v>
      </c>
    </row>
    <row r="559" spans="1:4">
      <c r="A559" t="s">
        <v>3017</v>
      </c>
      <c r="B559">
        <v>3.12</v>
      </c>
      <c r="C559" t="s">
        <v>2392</v>
      </c>
      <c r="D559" t="s">
        <v>2393</v>
      </c>
    </row>
    <row r="560" spans="1:4">
      <c r="A560" t="s">
        <v>3018</v>
      </c>
      <c r="B560">
        <v>3.14</v>
      </c>
      <c r="C560" t="s">
        <v>2392</v>
      </c>
      <c r="D560" t="s">
        <v>2450</v>
      </c>
    </row>
    <row r="561" spans="1:4">
      <c r="A561" t="s">
        <v>3019</v>
      </c>
      <c r="B561">
        <v>2.95</v>
      </c>
      <c r="C561" t="s">
        <v>2395</v>
      </c>
      <c r="D561" t="s">
        <v>2419</v>
      </c>
    </row>
    <row r="562" spans="1:4">
      <c r="A562" t="s">
        <v>3020</v>
      </c>
      <c r="B562">
        <v>3.04</v>
      </c>
      <c r="C562" t="s">
        <v>2410</v>
      </c>
      <c r="D562" t="s">
        <v>2419</v>
      </c>
    </row>
    <row r="563" spans="1:4">
      <c r="A563" t="s">
        <v>3021</v>
      </c>
      <c r="B563">
        <v>3.02</v>
      </c>
      <c r="C563" t="s">
        <v>3022</v>
      </c>
      <c r="D563" t="s">
        <v>2393</v>
      </c>
    </row>
    <row r="564" spans="1:4">
      <c r="A564" t="s">
        <v>3023</v>
      </c>
      <c r="B564">
        <v>3.08</v>
      </c>
      <c r="C564" t="s">
        <v>2620</v>
      </c>
      <c r="D564" t="s">
        <v>2450</v>
      </c>
    </row>
    <row r="565" spans="1:4">
      <c r="A565" t="s">
        <v>3024</v>
      </c>
      <c r="B565">
        <v>3.08</v>
      </c>
      <c r="C565" t="s">
        <v>2599</v>
      </c>
      <c r="D565" t="s">
        <v>2393</v>
      </c>
    </row>
    <row r="566" spans="1:4">
      <c r="A566" t="s">
        <v>3025</v>
      </c>
      <c r="B566">
        <v>3.12</v>
      </c>
      <c r="C566" t="s">
        <v>2392</v>
      </c>
      <c r="D566" t="s">
        <v>2450</v>
      </c>
    </row>
    <row r="567" spans="1:4">
      <c r="A567" t="s">
        <v>3026</v>
      </c>
      <c r="B567">
        <v>3.07</v>
      </c>
      <c r="C567" t="s">
        <v>2392</v>
      </c>
      <c r="D567" t="s">
        <v>2450</v>
      </c>
    </row>
    <row r="568" spans="1:4">
      <c r="A568" t="s">
        <v>3027</v>
      </c>
      <c r="B568">
        <v>3.02</v>
      </c>
      <c r="C568" t="s">
        <v>2392</v>
      </c>
      <c r="D568" t="s">
        <v>2393</v>
      </c>
    </row>
    <row r="569" spans="1:4">
      <c r="A569" t="s">
        <v>3028</v>
      </c>
      <c r="B569">
        <v>3.02</v>
      </c>
      <c r="C569" t="s">
        <v>2392</v>
      </c>
      <c r="D569" t="s">
        <v>2393</v>
      </c>
    </row>
    <row r="570" spans="1:4">
      <c r="A570" t="s">
        <v>3029</v>
      </c>
      <c r="B570">
        <v>3.04</v>
      </c>
      <c r="C570" t="s">
        <v>2395</v>
      </c>
      <c r="D570" t="s">
        <v>2682</v>
      </c>
    </row>
    <row r="571" spans="1:4">
      <c r="A571" t="s">
        <v>3030</v>
      </c>
      <c r="B571">
        <v>3.04</v>
      </c>
      <c r="C571" t="s">
        <v>2392</v>
      </c>
      <c r="D571" t="s">
        <v>2682</v>
      </c>
    </row>
    <row r="572" spans="1:4">
      <c r="A572" t="s">
        <v>3031</v>
      </c>
      <c r="B572">
        <v>3.08</v>
      </c>
      <c r="C572" t="s">
        <v>3032</v>
      </c>
      <c r="D572" t="s">
        <v>2393</v>
      </c>
    </row>
    <row r="573" spans="1:4">
      <c r="A573" t="s">
        <v>3033</v>
      </c>
      <c r="B573">
        <v>3.13</v>
      </c>
      <c r="C573" t="s">
        <v>3034</v>
      </c>
      <c r="D573" t="s">
        <v>2621</v>
      </c>
    </row>
    <row r="574" spans="1:4">
      <c r="A574" t="s">
        <v>3035</v>
      </c>
      <c r="B574">
        <v>2.95</v>
      </c>
      <c r="C574" t="s">
        <v>2395</v>
      </c>
      <c r="D574" t="s">
        <v>2450</v>
      </c>
    </row>
    <row r="575" spans="1:4">
      <c r="A575" t="s">
        <v>3036</v>
      </c>
      <c r="B575">
        <v>2.99</v>
      </c>
      <c r="C575" t="s">
        <v>2397</v>
      </c>
      <c r="D575" t="s">
        <v>2640</v>
      </c>
    </row>
    <row r="576" spans="1:4">
      <c r="A576" t="s">
        <v>3037</v>
      </c>
      <c r="B576">
        <v>3.01</v>
      </c>
      <c r="C576" t="s">
        <v>2576</v>
      </c>
      <c r="D576" t="s">
        <v>2393</v>
      </c>
    </row>
    <row r="577" spans="1:4">
      <c r="A577" t="s">
        <v>3038</v>
      </c>
      <c r="B577">
        <v>3.01</v>
      </c>
      <c r="C577" t="s">
        <v>3039</v>
      </c>
      <c r="D577" t="s">
        <v>2565</v>
      </c>
    </row>
    <row r="578" spans="1:4">
      <c r="A578" t="s">
        <v>3040</v>
      </c>
      <c r="B578">
        <v>3</v>
      </c>
      <c r="C578" t="s">
        <v>2875</v>
      </c>
      <c r="D578" t="s">
        <v>2393</v>
      </c>
    </row>
    <row r="579" spans="1:4">
      <c r="A579" t="s">
        <v>3041</v>
      </c>
      <c r="B579">
        <v>3.02</v>
      </c>
      <c r="C579" t="s">
        <v>2888</v>
      </c>
      <c r="D579" t="s">
        <v>2400</v>
      </c>
    </row>
    <row r="580" spans="1:4">
      <c r="A580" t="s">
        <v>3042</v>
      </c>
      <c r="B580">
        <v>3.08</v>
      </c>
      <c r="C580" t="s">
        <v>2392</v>
      </c>
      <c r="D580" t="s">
        <v>2400</v>
      </c>
    </row>
    <row r="581" spans="1:4">
      <c r="A581" t="s">
        <v>3043</v>
      </c>
      <c r="B581">
        <v>3.04</v>
      </c>
      <c r="C581" t="s">
        <v>2783</v>
      </c>
      <c r="D581" t="s">
        <v>2682</v>
      </c>
    </row>
    <row r="582" spans="1:4">
      <c r="A582" t="s">
        <v>3044</v>
      </c>
      <c r="B582">
        <v>3.02</v>
      </c>
      <c r="C582" t="s">
        <v>2392</v>
      </c>
      <c r="D582" t="s">
        <v>2393</v>
      </c>
    </row>
    <row r="583" spans="1:4">
      <c r="A583" t="s">
        <v>3045</v>
      </c>
      <c r="B583">
        <v>3</v>
      </c>
      <c r="C583" t="s">
        <v>2392</v>
      </c>
      <c r="D583" t="s">
        <v>2419</v>
      </c>
    </row>
    <row r="584" spans="1:4">
      <c r="A584" t="s">
        <v>3046</v>
      </c>
      <c r="B584">
        <v>3.02</v>
      </c>
      <c r="C584" t="s">
        <v>2878</v>
      </c>
      <c r="D584" t="s">
        <v>2400</v>
      </c>
    </row>
    <row r="585" spans="1:4">
      <c r="A585" t="s">
        <v>3047</v>
      </c>
      <c r="B585">
        <v>3</v>
      </c>
      <c r="C585" t="s">
        <v>2875</v>
      </c>
      <c r="D585" t="s">
        <v>2400</v>
      </c>
    </row>
    <row r="586" spans="1:4">
      <c r="A586" t="s">
        <v>3048</v>
      </c>
      <c r="B586">
        <v>3.08</v>
      </c>
      <c r="C586" t="s">
        <v>2455</v>
      </c>
      <c r="D586" t="s">
        <v>2400</v>
      </c>
    </row>
    <row r="587" spans="1:4">
      <c r="A587" t="s">
        <v>3049</v>
      </c>
      <c r="B587">
        <v>3.07</v>
      </c>
      <c r="C587" t="s">
        <v>2632</v>
      </c>
      <c r="D587" t="s">
        <v>2393</v>
      </c>
    </row>
    <row r="588" spans="1:4">
      <c r="A588" t="s">
        <v>3050</v>
      </c>
      <c r="B588">
        <v>3</v>
      </c>
      <c r="C588" t="s">
        <v>2464</v>
      </c>
      <c r="D588" t="s">
        <v>2393</v>
      </c>
    </row>
    <row r="589" spans="1:4">
      <c r="A589" t="s">
        <v>3051</v>
      </c>
      <c r="B589">
        <v>3.05</v>
      </c>
      <c r="C589" t="s">
        <v>2570</v>
      </c>
      <c r="D589" t="s">
        <v>2419</v>
      </c>
    </row>
    <row r="590" spans="1:4">
      <c r="A590" t="s">
        <v>3052</v>
      </c>
      <c r="B590">
        <v>3.05</v>
      </c>
      <c r="C590" t="s">
        <v>2397</v>
      </c>
      <c r="D590" t="s">
        <v>2419</v>
      </c>
    </row>
    <row r="591" spans="1:4">
      <c r="A591" t="s">
        <v>3053</v>
      </c>
      <c r="B591">
        <v>2.96</v>
      </c>
      <c r="C591" t="s">
        <v>2410</v>
      </c>
      <c r="D591" t="s">
        <v>2640</v>
      </c>
    </row>
    <row r="592" spans="1:4">
      <c r="A592" t="s">
        <v>3054</v>
      </c>
      <c r="B592">
        <v>2.99</v>
      </c>
      <c r="C592" t="s">
        <v>3039</v>
      </c>
      <c r="D592" t="s">
        <v>2393</v>
      </c>
    </row>
    <row r="593" spans="1:4">
      <c r="A593" t="s">
        <v>3055</v>
      </c>
      <c r="B593">
        <v>3.06</v>
      </c>
      <c r="C593" t="s">
        <v>2410</v>
      </c>
      <c r="D593" t="s">
        <v>2393</v>
      </c>
    </row>
    <row r="594" spans="1:4">
      <c r="A594" t="s">
        <v>3056</v>
      </c>
      <c r="B594">
        <v>3.05</v>
      </c>
      <c r="C594" t="s">
        <v>2410</v>
      </c>
      <c r="D594" t="s">
        <v>2419</v>
      </c>
    </row>
    <row r="595" spans="1:4">
      <c r="A595" t="s">
        <v>3057</v>
      </c>
      <c r="B595">
        <v>3.02</v>
      </c>
      <c r="C595" t="s">
        <v>2395</v>
      </c>
      <c r="D595" t="s">
        <v>2682</v>
      </c>
    </row>
    <row r="596" spans="1:4">
      <c r="A596" t="s">
        <v>3058</v>
      </c>
      <c r="B596">
        <v>3.04</v>
      </c>
      <c r="C596" t="s">
        <v>2397</v>
      </c>
      <c r="D596" t="s">
        <v>2393</v>
      </c>
    </row>
    <row r="597" spans="1:4">
      <c r="A597" t="s">
        <v>3059</v>
      </c>
      <c r="B597">
        <v>3.04</v>
      </c>
      <c r="C597" t="s">
        <v>2397</v>
      </c>
      <c r="D597" t="s">
        <v>2393</v>
      </c>
    </row>
    <row r="598" spans="1:4">
      <c r="A598" t="s">
        <v>3060</v>
      </c>
      <c r="B598">
        <v>3.04</v>
      </c>
      <c r="C598" t="s">
        <v>2570</v>
      </c>
      <c r="D598" t="s">
        <v>2393</v>
      </c>
    </row>
    <row r="599" spans="1:4">
      <c r="A599" t="s">
        <v>3061</v>
      </c>
      <c r="B599">
        <v>2.97</v>
      </c>
      <c r="C599" t="s">
        <v>2395</v>
      </c>
      <c r="D599" t="s">
        <v>2419</v>
      </c>
    </row>
    <row r="600" spans="1:4">
      <c r="A600" t="s">
        <v>3062</v>
      </c>
      <c r="B600">
        <v>3.03</v>
      </c>
      <c r="C600" t="s">
        <v>2410</v>
      </c>
      <c r="D600" t="s">
        <v>2393</v>
      </c>
    </row>
    <row r="601" spans="1:4">
      <c r="A601" t="s">
        <v>3063</v>
      </c>
      <c r="B601">
        <v>3.1</v>
      </c>
      <c r="C601" t="s">
        <v>2395</v>
      </c>
      <c r="D601" t="s">
        <v>2400</v>
      </c>
    </row>
    <row r="602" spans="1:4">
      <c r="A602" t="s">
        <v>3064</v>
      </c>
      <c r="B602">
        <v>3.03</v>
      </c>
      <c r="C602" t="s">
        <v>2392</v>
      </c>
      <c r="D602" t="s">
        <v>2393</v>
      </c>
    </row>
    <row r="603" spans="1:4">
      <c r="A603" t="s">
        <v>3065</v>
      </c>
      <c r="B603">
        <v>2.97</v>
      </c>
      <c r="C603" t="s">
        <v>2395</v>
      </c>
      <c r="D603" t="s">
        <v>2565</v>
      </c>
    </row>
    <row r="604" spans="1:4">
      <c r="A604" t="s">
        <v>3066</v>
      </c>
      <c r="B604">
        <v>2.93</v>
      </c>
      <c r="C604" t="s">
        <v>2397</v>
      </c>
      <c r="D604" t="s">
        <v>2565</v>
      </c>
    </row>
    <row r="605" spans="1:4">
      <c r="A605" t="s">
        <v>3067</v>
      </c>
      <c r="B605">
        <v>3.08</v>
      </c>
      <c r="C605" t="s">
        <v>2392</v>
      </c>
      <c r="D605" t="s">
        <v>2400</v>
      </c>
    </row>
    <row r="606" spans="1:4">
      <c r="A606" t="s">
        <v>3068</v>
      </c>
      <c r="B606">
        <v>2.98</v>
      </c>
      <c r="C606" t="s">
        <v>2395</v>
      </c>
      <c r="D606" t="s">
        <v>2393</v>
      </c>
    </row>
    <row r="607" spans="1:4">
      <c r="A607" t="s">
        <v>3069</v>
      </c>
      <c r="B607">
        <v>2.95</v>
      </c>
      <c r="C607" t="s">
        <v>2392</v>
      </c>
      <c r="D607" t="s">
        <v>2565</v>
      </c>
    </row>
    <row r="608" spans="1:4">
      <c r="A608" t="s">
        <v>3070</v>
      </c>
      <c r="B608">
        <v>3.02</v>
      </c>
      <c r="C608" t="s">
        <v>2395</v>
      </c>
      <c r="D608" t="s">
        <v>2400</v>
      </c>
    </row>
    <row r="609" spans="1:4">
      <c r="A609" t="s">
        <v>3071</v>
      </c>
      <c r="B609">
        <v>2.96</v>
      </c>
      <c r="C609" t="s">
        <v>2410</v>
      </c>
      <c r="D609" t="s">
        <v>2640</v>
      </c>
    </row>
    <row r="610" spans="1:4">
      <c r="A610" t="s">
        <v>3072</v>
      </c>
      <c r="B610">
        <v>2.97</v>
      </c>
      <c r="C610" t="s">
        <v>2397</v>
      </c>
      <c r="D610" t="s">
        <v>2419</v>
      </c>
    </row>
    <row r="611" spans="1:4">
      <c r="A611" t="s">
        <v>3073</v>
      </c>
      <c r="B611">
        <v>2.96</v>
      </c>
      <c r="C611" t="s">
        <v>2392</v>
      </c>
      <c r="D611" t="s">
        <v>2419</v>
      </c>
    </row>
    <row r="612" spans="1:4">
      <c r="A612" t="s">
        <v>3074</v>
      </c>
      <c r="B612">
        <v>2.97</v>
      </c>
      <c r="C612" t="s">
        <v>2410</v>
      </c>
      <c r="D612" t="s">
        <v>2419</v>
      </c>
    </row>
    <row r="613" spans="1:4">
      <c r="A613" t="s">
        <v>3075</v>
      </c>
      <c r="B613">
        <v>3.06</v>
      </c>
      <c r="C613" t="s">
        <v>2395</v>
      </c>
      <c r="D613" t="s">
        <v>2393</v>
      </c>
    </row>
    <row r="614" spans="1:4">
      <c r="A614" t="s">
        <v>3076</v>
      </c>
      <c r="B614">
        <v>3.03</v>
      </c>
      <c r="C614" t="s">
        <v>2395</v>
      </c>
      <c r="D614" t="s">
        <v>2393</v>
      </c>
    </row>
    <row r="615" spans="1:4">
      <c r="A615" t="s">
        <v>3077</v>
      </c>
      <c r="B615">
        <v>2.99</v>
      </c>
      <c r="C615" t="s">
        <v>2392</v>
      </c>
      <c r="D615" t="s">
        <v>2565</v>
      </c>
    </row>
    <row r="616" spans="1:4">
      <c r="A616" t="s">
        <v>3078</v>
      </c>
      <c r="B616">
        <v>3</v>
      </c>
      <c r="C616" t="s">
        <v>2395</v>
      </c>
      <c r="D616" t="s">
        <v>2393</v>
      </c>
    </row>
    <row r="617" spans="1:4">
      <c r="A617" t="s">
        <v>3079</v>
      </c>
      <c r="B617">
        <v>2.95</v>
      </c>
      <c r="C617" t="s">
        <v>2410</v>
      </c>
      <c r="D617" t="s">
        <v>2565</v>
      </c>
    </row>
    <row r="618" spans="1:4">
      <c r="A618" t="s">
        <v>3080</v>
      </c>
      <c r="B618">
        <v>3.03</v>
      </c>
      <c r="C618" t="s">
        <v>2395</v>
      </c>
      <c r="D618" t="s">
        <v>2393</v>
      </c>
    </row>
    <row r="619" spans="1:4">
      <c r="A619" t="s">
        <v>3081</v>
      </c>
      <c r="B619">
        <v>2.91</v>
      </c>
      <c r="C619" t="s">
        <v>2392</v>
      </c>
      <c r="D619" t="s">
        <v>2393</v>
      </c>
    </row>
    <row r="620" spans="1:4">
      <c r="A620" t="s">
        <v>3082</v>
      </c>
      <c r="B620">
        <v>2.89</v>
      </c>
      <c r="C620" t="s">
        <v>3083</v>
      </c>
      <c r="D620" t="s">
        <v>2450</v>
      </c>
    </row>
    <row r="621" spans="1:4">
      <c r="A621" t="s">
        <v>3084</v>
      </c>
      <c r="B621">
        <v>2.89</v>
      </c>
      <c r="C621" t="s">
        <v>3085</v>
      </c>
      <c r="D621" t="s">
        <v>2558</v>
      </c>
    </row>
    <row r="622" spans="1:4">
      <c r="A622" t="s">
        <v>3086</v>
      </c>
      <c r="B622">
        <v>2.88</v>
      </c>
      <c r="C622" t="s">
        <v>3087</v>
      </c>
      <c r="D622" t="s">
        <v>3088</v>
      </c>
    </row>
    <row r="623" spans="1:4">
      <c r="A623" t="s">
        <v>3089</v>
      </c>
      <c r="B623">
        <v>2.93</v>
      </c>
      <c r="C623" t="s">
        <v>3090</v>
      </c>
      <c r="D623" t="s">
        <v>2450</v>
      </c>
    </row>
    <row r="624" spans="1:4">
      <c r="A624" t="s">
        <v>3091</v>
      </c>
      <c r="B624">
        <v>2.97</v>
      </c>
      <c r="C624" t="s">
        <v>3092</v>
      </c>
      <c r="D624" t="s">
        <v>2621</v>
      </c>
    </row>
    <row r="625" spans="1:4">
      <c r="A625" t="s">
        <v>3093</v>
      </c>
      <c r="B625">
        <v>3.04</v>
      </c>
      <c r="C625" t="s">
        <v>3087</v>
      </c>
      <c r="D625" t="s">
        <v>2621</v>
      </c>
    </row>
    <row r="626" spans="1:4">
      <c r="A626" t="s">
        <v>3094</v>
      </c>
      <c r="B626">
        <v>3.14</v>
      </c>
      <c r="C626" t="s">
        <v>3095</v>
      </c>
      <c r="D626" t="s">
        <v>2621</v>
      </c>
    </row>
    <row r="627" spans="1:4">
      <c r="A627" t="s">
        <v>3096</v>
      </c>
      <c r="B627">
        <v>2.97</v>
      </c>
      <c r="C627" t="s">
        <v>3097</v>
      </c>
      <c r="D627" t="s">
        <v>2621</v>
      </c>
    </row>
    <row r="628" spans="1:4">
      <c r="A628" t="s">
        <v>3098</v>
      </c>
      <c r="B628">
        <v>2.88</v>
      </c>
      <c r="C628" t="s">
        <v>3099</v>
      </c>
      <c r="D628" t="s">
        <v>2621</v>
      </c>
    </row>
    <row r="629" spans="1:4">
      <c r="A629" t="s">
        <v>3100</v>
      </c>
      <c r="B629">
        <v>3</v>
      </c>
      <c r="C629" t="s">
        <v>3101</v>
      </c>
      <c r="D629" t="s">
        <v>3088</v>
      </c>
    </row>
    <row r="630" spans="1:4">
      <c r="A630" t="s">
        <v>3102</v>
      </c>
      <c r="B630">
        <v>3.14</v>
      </c>
      <c r="C630" t="s">
        <v>3103</v>
      </c>
      <c r="D630" t="s">
        <v>3088</v>
      </c>
    </row>
    <row r="631" spans="1:4">
      <c r="A631" t="s">
        <v>3104</v>
      </c>
      <c r="B631">
        <v>2.96</v>
      </c>
      <c r="C631" t="s">
        <v>3105</v>
      </c>
      <c r="D631" t="s">
        <v>3088</v>
      </c>
    </row>
    <row r="632" spans="1:4">
      <c r="A632" t="s">
        <v>3106</v>
      </c>
      <c r="B632">
        <v>3.05</v>
      </c>
      <c r="C632" t="s">
        <v>3107</v>
      </c>
      <c r="D632" t="s">
        <v>3108</v>
      </c>
    </row>
    <row r="633" spans="1:4">
      <c r="A633" t="s">
        <v>3109</v>
      </c>
      <c r="B633">
        <v>2.79</v>
      </c>
      <c r="C633" t="s">
        <v>2392</v>
      </c>
      <c r="D633" t="s">
        <v>2450</v>
      </c>
    </row>
    <row r="634" spans="1:4">
      <c r="A634" t="s">
        <v>3110</v>
      </c>
      <c r="B634">
        <v>3.02</v>
      </c>
      <c r="C634" t="s">
        <v>3111</v>
      </c>
      <c r="D634" t="s">
        <v>2450</v>
      </c>
    </row>
    <row r="635" spans="1:4">
      <c r="A635" t="s">
        <v>3112</v>
      </c>
      <c r="B635">
        <v>2.98</v>
      </c>
      <c r="C635" t="s">
        <v>3113</v>
      </c>
      <c r="D635" t="s">
        <v>2450</v>
      </c>
    </row>
    <row r="636" spans="1:4">
      <c r="A636" t="s">
        <v>3114</v>
      </c>
      <c r="B636">
        <v>2.9</v>
      </c>
      <c r="C636" t="s">
        <v>3115</v>
      </c>
      <c r="D636" t="s">
        <v>2450</v>
      </c>
    </row>
    <row r="637" spans="1:4">
      <c r="A637" t="s">
        <v>3116</v>
      </c>
      <c r="B637">
        <v>3.07</v>
      </c>
      <c r="C637" t="s">
        <v>3117</v>
      </c>
      <c r="D637" t="s">
        <v>2450</v>
      </c>
    </row>
    <row r="638" spans="1:4">
      <c r="A638" t="s">
        <v>3118</v>
      </c>
      <c r="B638">
        <v>3.02</v>
      </c>
      <c r="C638" t="s">
        <v>3119</v>
      </c>
      <c r="D638" t="s">
        <v>2450</v>
      </c>
    </row>
    <row r="639" spans="1:4">
      <c r="A639" t="s">
        <v>3120</v>
      </c>
      <c r="B639">
        <v>3.03</v>
      </c>
      <c r="C639" t="s">
        <v>3121</v>
      </c>
      <c r="D639" t="s">
        <v>2450</v>
      </c>
    </row>
    <row r="640" spans="1:4">
      <c r="A640" t="s">
        <v>3122</v>
      </c>
      <c r="B640">
        <v>2.96</v>
      </c>
      <c r="C640" t="s">
        <v>3123</v>
      </c>
      <c r="D640" t="s">
        <v>2450</v>
      </c>
    </row>
    <row r="641" spans="1:4">
      <c r="A641" t="s">
        <v>3124</v>
      </c>
      <c r="B641">
        <v>3.02</v>
      </c>
      <c r="C641" t="s">
        <v>3125</v>
      </c>
      <c r="D641" t="s">
        <v>2558</v>
      </c>
    </row>
    <row r="642" spans="1:4">
      <c r="A642" t="s">
        <v>3126</v>
      </c>
      <c r="B642">
        <v>2.94</v>
      </c>
      <c r="C642" t="s">
        <v>3127</v>
      </c>
      <c r="D642" t="s">
        <v>2558</v>
      </c>
    </row>
    <row r="643" spans="1:4">
      <c r="A643" t="s">
        <v>3128</v>
      </c>
      <c r="B643">
        <v>3.02</v>
      </c>
      <c r="C643" t="s">
        <v>3129</v>
      </c>
      <c r="D643" t="s">
        <v>2558</v>
      </c>
    </row>
    <row r="644" spans="1:4">
      <c r="A644" t="s">
        <v>3130</v>
      </c>
      <c r="B644">
        <v>2.92</v>
      </c>
      <c r="C644" t="s">
        <v>3131</v>
      </c>
      <c r="D644" t="s">
        <v>2450</v>
      </c>
    </row>
    <row r="645" spans="1:4">
      <c r="A645" t="s">
        <v>3132</v>
      </c>
      <c r="B645">
        <v>2.94</v>
      </c>
      <c r="C645" t="s">
        <v>3133</v>
      </c>
      <c r="D645" t="s">
        <v>2450</v>
      </c>
    </row>
    <row r="646" spans="1:4">
      <c r="A646" t="s">
        <v>3134</v>
      </c>
      <c r="B646">
        <v>2.85</v>
      </c>
      <c r="C646" t="s">
        <v>3135</v>
      </c>
      <c r="D646" t="s">
        <v>2450</v>
      </c>
    </row>
    <row r="647" spans="1:4">
      <c r="A647" t="s">
        <v>3136</v>
      </c>
      <c r="B647">
        <v>3.02</v>
      </c>
      <c r="C647" t="s">
        <v>3137</v>
      </c>
      <c r="D647" t="s">
        <v>2450</v>
      </c>
    </row>
    <row r="648" spans="1:4">
      <c r="A648" t="s">
        <v>3138</v>
      </c>
      <c r="B648">
        <v>3.07</v>
      </c>
      <c r="C648" t="s">
        <v>2783</v>
      </c>
      <c r="D648" t="s">
        <v>3088</v>
      </c>
    </row>
    <row r="649" spans="1:4">
      <c r="A649" t="s">
        <v>3139</v>
      </c>
      <c r="B649">
        <v>2.9</v>
      </c>
      <c r="C649" t="s">
        <v>3140</v>
      </c>
      <c r="D649" t="s">
        <v>2450</v>
      </c>
    </row>
    <row r="650" spans="1:4">
      <c r="A650" t="s">
        <v>3141</v>
      </c>
      <c r="B650">
        <v>2.95</v>
      </c>
      <c r="C650" t="s">
        <v>3142</v>
      </c>
      <c r="D650" t="s">
        <v>2450</v>
      </c>
    </row>
    <row r="651" spans="1:4">
      <c r="A651" t="s">
        <v>3143</v>
      </c>
      <c r="B651">
        <v>2.91</v>
      </c>
      <c r="C651" t="s">
        <v>3144</v>
      </c>
      <c r="D651" t="s">
        <v>2450</v>
      </c>
    </row>
    <row r="652" spans="1:4">
      <c r="A652" t="s">
        <v>3145</v>
      </c>
      <c r="B652">
        <v>3</v>
      </c>
      <c r="C652" t="s">
        <v>3146</v>
      </c>
      <c r="D652" t="s">
        <v>2558</v>
      </c>
    </row>
    <row r="653" spans="1:4">
      <c r="A653" t="s">
        <v>3147</v>
      </c>
      <c r="B653">
        <v>2.94</v>
      </c>
      <c r="C653" t="s">
        <v>3099</v>
      </c>
      <c r="D653" t="s">
        <v>2558</v>
      </c>
    </row>
    <row r="654" spans="1:4">
      <c r="A654" t="s">
        <v>3148</v>
      </c>
      <c r="B654">
        <v>2.93</v>
      </c>
      <c r="C654" t="s">
        <v>3149</v>
      </c>
      <c r="D654" t="s">
        <v>2558</v>
      </c>
    </row>
    <row r="655" spans="1:4">
      <c r="A655" t="s">
        <v>3150</v>
      </c>
      <c r="B655">
        <v>2.95</v>
      </c>
      <c r="C655" t="s">
        <v>3151</v>
      </c>
      <c r="D655" t="s">
        <v>2558</v>
      </c>
    </row>
    <row r="656" spans="1:4">
      <c r="A656" t="s">
        <v>3152</v>
      </c>
      <c r="B656">
        <v>3.05</v>
      </c>
      <c r="C656" t="s">
        <v>3153</v>
      </c>
      <c r="D656" t="s">
        <v>2558</v>
      </c>
    </row>
    <row r="657" spans="1:4">
      <c r="A657" t="s">
        <v>3154</v>
      </c>
      <c r="B657">
        <v>2.9</v>
      </c>
      <c r="C657" t="s">
        <v>3155</v>
      </c>
      <c r="D657" t="s">
        <v>2558</v>
      </c>
    </row>
    <row r="658" spans="1:4">
      <c r="A658" t="s">
        <v>3156</v>
      </c>
      <c r="B658">
        <v>3</v>
      </c>
      <c r="C658" t="s">
        <v>3151</v>
      </c>
      <c r="D658" t="s">
        <v>2558</v>
      </c>
    </row>
    <row r="659" spans="1:4">
      <c r="A659" t="s">
        <v>3157</v>
      </c>
      <c r="B659">
        <v>3.15</v>
      </c>
      <c r="C659" t="s">
        <v>3158</v>
      </c>
      <c r="D659" t="s">
        <v>2450</v>
      </c>
    </row>
    <row r="660" spans="1:4">
      <c r="A660" t="s">
        <v>3159</v>
      </c>
      <c r="B660">
        <v>3.54</v>
      </c>
      <c r="C660" t="s">
        <v>2397</v>
      </c>
      <c r="D660" t="s">
        <v>2558</v>
      </c>
    </row>
    <row r="661" spans="1:4">
      <c r="A661" t="s">
        <v>3160</v>
      </c>
      <c r="B661">
        <v>3.54</v>
      </c>
      <c r="C661" t="s">
        <v>2410</v>
      </c>
      <c r="D661" t="s">
        <v>2558</v>
      </c>
    </row>
    <row r="662" spans="1:4">
      <c r="A662" t="s">
        <v>3161</v>
      </c>
      <c r="B662">
        <v>2.78</v>
      </c>
      <c r="C662" t="s">
        <v>2783</v>
      </c>
      <c r="D662" t="s">
        <v>3162</v>
      </c>
    </row>
    <row r="663" spans="1:4">
      <c r="A663" t="s">
        <v>3163</v>
      </c>
      <c r="B663">
        <v>2.8</v>
      </c>
      <c r="C663" t="s">
        <v>3164</v>
      </c>
      <c r="D663" t="s">
        <v>2474</v>
      </c>
    </row>
    <row r="664" spans="1:4">
      <c r="A664" t="s">
        <v>3165</v>
      </c>
      <c r="B664">
        <v>2.65</v>
      </c>
      <c r="C664" t="s">
        <v>3166</v>
      </c>
      <c r="D664" t="s">
        <v>2558</v>
      </c>
    </row>
    <row r="665" spans="1:4">
      <c r="A665" t="s">
        <v>3167</v>
      </c>
      <c r="B665">
        <v>2.9</v>
      </c>
      <c r="C665" t="s">
        <v>2690</v>
      </c>
      <c r="D665" t="s">
        <v>2558</v>
      </c>
    </row>
    <row r="666" spans="1:4">
      <c r="A666" t="s">
        <v>3168</v>
      </c>
      <c r="B666">
        <v>2.6</v>
      </c>
      <c r="C666" t="s">
        <v>3166</v>
      </c>
      <c r="D666" t="s">
        <v>2558</v>
      </c>
    </row>
    <row r="667" spans="1:4">
      <c r="A667" t="s">
        <v>3169</v>
      </c>
      <c r="B667">
        <v>2.9</v>
      </c>
      <c r="C667" t="s">
        <v>2395</v>
      </c>
      <c r="D667" t="s">
        <v>2450</v>
      </c>
    </row>
    <row r="668" spans="1:4">
      <c r="A668" t="s">
        <v>3170</v>
      </c>
      <c r="B668">
        <v>2.87</v>
      </c>
      <c r="C668" t="s">
        <v>2395</v>
      </c>
      <c r="D668" t="s">
        <v>2450</v>
      </c>
    </row>
    <row r="669" spans="1:4">
      <c r="A669" t="s">
        <v>3171</v>
      </c>
      <c r="B669">
        <v>2.61</v>
      </c>
      <c r="C669" t="s">
        <v>2783</v>
      </c>
      <c r="D669" t="s">
        <v>3172</v>
      </c>
    </row>
    <row r="670" spans="1:4">
      <c r="A670" t="s">
        <v>3173</v>
      </c>
      <c r="B670">
        <v>3.15</v>
      </c>
      <c r="C670" t="s">
        <v>2983</v>
      </c>
      <c r="D670" t="s">
        <v>2555</v>
      </c>
    </row>
    <row r="671" spans="1:4">
      <c r="A671" t="s">
        <v>3174</v>
      </c>
      <c r="B671">
        <v>3.04</v>
      </c>
      <c r="C671" t="s">
        <v>108</v>
      </c>
      <c r="D671" t="s">
        <v>3175</v>
      </c>
    </row>
    <row r="672" spans="1:4">
      <c r="A672" t="s">
        <v>3176</v>
      </c>
      <c r="B672">
        <v>3.01</v>
      </c>
      <c r="C672" t="s">
        <v>2395</v>
      </c>
      <c r="D672" t="s">
        <v>3177</v>
      </c>
    </row>
    <row r="673" spans="1:4">
      <c r="A673" t="s">
        <v>3178</v>
      </c>
      <c r="B673">
        <v>2.98</v>
      </c>
      <c r="C673" t="s">
        <v>108</v>
      </c>
      <c r="D673" t="s">
        <v>3175</v>
      </c>
    </row>
    <row r="674" spans="1:4">
      <c r="A674" t="s">
        <v>3179</v>
      </c>
      <c r="B674">
        <v>2.96</v>
      </c>
      <c r="C674" t="s">
        <v>2392</v>
      </c>
      <c r="D674" t="s">
        <v>3177</v>
      </c>
    </row>
    <row r="675" spans="1:4">
      <c r="A675" t="s">
        <v>3180</v>
      </c>
      <c r="B675">
        <v>2.97</v>
      </c>
      <c r="C675" t="s">
        <v>2783</v>
      </c>
      <c r="D675" t="s">
        <v>3177</v>
      </c>
    </row>
    <row r="676" spans="1:4">
      <c r="A676" t="s">
        <v>3181</v>
      </c>
      <c r="B676">
        <v>3.03</v>
      </c>
      <c r="C676" t="s">
        <v>2783</v>
      </c>
      <c r="D676" t="s">
        <v>3177</v>
      </c>
    </row>
    <row r="677" spans="1:4">
      <c r="A677" t="s">
        <v>3182</v>
      </c>
      <c r="B677">
        <v>2.95</v>
      </c>
      <c r="C677" t="s">
        <v>2392</v>
      </c>
      <c r="D677" t="s">
        <v>3177</v>
      </c>
    </row>
    <row r="678" spans="1:4">
      <c r="A678" t="s">
        <v>3183</v>
      </c>
      <c r="B678">
        <v>2.96</v>
      </c>
      <c r="C678" t="s">
        <v>2392</v>
      </c>
      <c r="D678" t="s">
        <v>3177</v>
      </c>
    </row>
    <row r="679" spans="1:4">
      <c r="A679" t="s">
        <v>3184</v>
      </c>
      <c r="B679">
        <v>2.95</v>
      </c>
      <c r="C679" t="s">
        <v>2609</v>
      </c>
      <c r="D679" t="s">
        <v>3175</v>
      </c>
    </row>
    <row r="680" spans="1:4">
      <c r="A680" t="s">
        <v>3185</v>
      </c>
      <c r="B680">
        <v>2.94</v>
      </c>
      <c r="C680" t="s">
        <v>2614</v>
      </c>
      <c r="D680" t="s">
        <v>3000</v>
      </c>
    </row>
    <row r="681" spans="1:4">
      <c r="A681" t="s">
        <v>3186</v>
      </c>
      <c r="B681">
        <v>3.01</v>
      </c>
      <c r="C681" t="s">
        <v>2395</v>
      </c>
      <c r="D681" t="s">
        <v>3177</v>
      </c>
    </row>
    <row r="682" spans="1:4">
      <c r="A682" t="s">
        <v>3187</v>
      </c>
      <c r="B682">
        <v>2.96</v>
      </c>
      <c r="C682" t="s">
        <v>2392</v>
      </c>
      <c r="D682" t="s">
        <v>3177</v>
      </c>
    </row>
    <row r="683" spans="1:4">
      <c r="A683" t="s">
        <v>3188</v>
      </c>
      <c r="B683">
        <v>2.92</v>
      </c>
      <c r="C683" t="s">
        <v>2395</v>
      </c>
      <c r="D683" t="s">
        <v>3177</v>
      </c>
    </row>
    <row r="684" spans="1:4">
      <c r="A684" t="s">
        <v>3189</v>
      </c>
      <c r="B684">
        <v>3</v>
      </c>
      <c r="C684" t="s">
        <v>2783</v>
      </c>
      <c r="D684" t="s">
        <v>2621</v>
      </c>
    </row>
    <row r="685" spans="1:4">
      <c r="A685" t="s">
        <v>3190</v>
      </c>
      <c r="B685">
        <v>2.78</v>
      </c>
      <c r="C685" t="s">
        <v>108</v>
      </c>
      <c r="D685" t="s">
        <v>108</v>
      </c>
    </row>
    <row r="686" spans="1:4">
      <c r="A686" t="s">
        <v>3191</v>
      </c>
      <c r="B686">
        <v>2.52</v>
      </c>
      <c r="C686" t="s">
        <v>108</v>
      </c>
      <c r="D686" t="s">
        <v>108</v>
      </c>
    </row>
    <row r="687" spans="1:4">
      <c r="A687" t="s">
        <v>3192</v>
      </c>
      <c r="B687">
        <v>2.58</v>
      </c>
      <c r="C687" t="s">
        <v>108</v>
      </c>
      <c r="D687" t="s">
        <v>108</v>
      </c>
    </row>
    <row r="688" spans="1:4">
      <c r="A688" t="s">
        <v>3193</v>
      </c>
      <c r="B688">
        <v>3</v>
      </c>
      <c r="C688" t="s">
        <v>108</v>
      </c>
      <c r="D688" t="s">
        <v>108</v>
      </c>
    </row>
    <row r="689" spans="1:4">
      <c r="A689" t="s">
        <v>3194</v>
      </c>
      <c r="B689">
        <v>2.93</v>
      </c>
      <c r="C689" t="s">
        <v>108</v>
      </c>
      <c r="D689" t="s">
        <v>108</v>
      </c>
    </row>
    <row r="690" spans="1:4">
      <c r="A690" t="s">
        <v>3195</v>
      </c>
      <c r="B690">
        <v>3</v>
      </c>
      <c r="C690" t="s">
        <v>2397</v>
      </c>
      <c r="D690" t="s">
        <v>2536</v>
      </c>
    </row>
    <row r="691" spans="1:4">
      <c r="A691" t="s">
        <v>3196</v>
      </c>
      <c r="B691">
        <v>3.05</v>
      </c>
      <c r="C691" t="s">
        <v>2410</v>
      </c>
      <c r="D691" t="s">
        <v>2419</v>
      </c>
    </row>
    <row r="692" spans="1:4">
      <c r="A692" t="s">
        <v>3197</v>
      </c>
      <c r="B692">
        <v>3.02</v>
      </c>
      <c r="C692" t="s">
        <v>2418</v>
      </c>
      <c r="D692" t="s">
        <v>2419</v>
      </c>
    </row>
    <row r="693" spans="1:4">
      <c r="A693" t="s">
        <v>3198</v>
      </c>
      <c r="B693">
        <v>3.02</v>
      </c>
      <c r="C693" t="s">
        <v>2421</v>
      </c>
      <c r="D693" t="s">
        <v>2419</v>
      </c>
    </row>
    <row r="694" spans="1:4">
      <c r="A694" t="s">
        <v>3199</v>
      </c>
      <c r="B694">
        <v>3</v>
      </c>
      <c r="C694" t="s">
        <v>2397</v>
      </c>
      <c r="D694" t="s">
        <v>2419</v>
      </c>
    </row>
    <row r="695" spans="1:4">
      <c r="A695" t="s">
        <v>3200</v>
      </c>
      <c r="B695">
        <v>2.98</v>
      </c>
      <c r="C695" t="s">
        <v>2410</v>
      </c>
      <c r="D695" t="s">
        <v>2419</v>
      </c>
    </row>
    <row r="696" spans="1:4">
      <c r="A696" t="s">
        <v>3201</v>
      </c>
      <c r="B696">
        <v>2.98</v>
      </c>
      <c r="C696" t="s">
        <v>2397</v>
      </c>
      <c r="D696" t="s">
        <v>2419</v>
      </c>
    </row>
    <row r="697" spans="1:4">
      <c r="A697" t="s">
        <v>3202</v>
      </c>
      <c r="B697">
        <v>3.01</v>
      </c>
      <c r="C697" t="s">
        <v>2458</v>
      </c>
      <c r="D697" t="s">
        <v>2640</v>
      </c>
    </row>
    <row r="698" spans="1:4">
      <c r="A698" t="s">
        <v>3203</v>
      </c>
      <c r="B698">
        <v>2.98</v>
      </c>
      <c r="C698" t="s">
        <v>2406</v>
      </c>
      <c r="D698" t="s">
        <v>2419</v>
      </c>
    </row>
    <row r="699" spans="1:4">
      <c r="A699" t="s">
        <v>3204</v>
      </c>
      <c r="B699">
        <v>3.16</v>
      </c>
      <c r="C699" t="s">
        <v>3205</v>
      </c>
      <c r="D699" t="s">
        <v>2450</v>
      </c>
    </row>
    <row r="700" spans="1:4">
      <c r="A700" t="s">
        <v>3206</v>
      </c>
      <c r="B700">
        <v>3.2</v>
      </c>
      <c r="C700" t="s">
        <v>3207</v>
      </c>
      <c r="D700" t="s">
        <v>2450</v>
      </c>
    </row>
    <row r="701" spans="1:4">
      <c r="A701" t="s">
        <v>3208</v>
      </c>
      <c r="B701">
        <v>3.08</v>
      </c>
      <c r="C701" t="s">
        <v>2875</v>
      </c>
      <c r="D701" t="s">
        <v>2393</v>
      </c>
    </row>
    <row r="702" spans="1:4">
      <c r="A702" t="s">
        <v>3209</v>
      </c>
      <c r="B702">
        <v>3.01</v>
      </c>
      <c r="C702" t="s">
        <v>2423</v>
      </c>
      <c r="D702" t="s">
        <v>2393</v>
      </c>
    </row>
    <row r="703" spans="1:4">
      <c r="A703" t="s">
        <v>3210</v>
      </c>
      <c r="B703">
        <v>3.06</v>
      </c>
      <c r="C703" t="s">
        <v>2415</v>
      </c>
      <c r="D703" t="s">
        <v>2393</v>
      </c>
    </row>
    <row r="704" spans="1:4">
      <c r="A704" t="s">
        <v>3211</v>
      </c>
      <c r="B704">
        <v>3.06</v>
      </c>
      <c r="C704" t="s">
        <v>2406</v>
      </c>
      <c r="D704" t="s">
        <v>2450</v>
      </c>
    </row>
    <row r="705" spans="1:4">
      <c r="A705" t="s">
        <v>3212</v>
      </c>
      <c r="B705">
        <v>3</v>
      </c>
      <c r="C705" t="s">
        <v>108</v>
      </c>
      <c r="D705" t="s">
        <v>2393</v>
      </c>
    </row>
    <row r="706" spans="1:4">
      <c r="A706" t="s">
        <v>3213</v>
      </c>
      <c r="B706">
        <v>3.05</v>
      </c>
      <c r="C706" t="s">
        <v>2421</v>
      </c>
      <c r="D706" t="s">
        <v>2393</v>
      </c>
    </row>
    <row r="707" spans="1:4">
      <c r="A707" t="s">
        <v>3214</v>
      </c>
      <c r="B707">
        <v>3</v>
      </c>
      <c r="C707" t="s">
        <v>2421</v>
      </c>
      <c r="D707" t="s">
        <v>2393</v>
      </c>
    </row>
    <row r="708" spans="1:4">
      <c r="A708" t="s">
        <v>3215</v>
      </c>
      <c r="B708">
        <v>3.05</v>
      </c>
      <c r="C708" t="s">
        <v>2421</v>
      </c>
      <c r="D708" t="s">
        <v>2393</v>
      </c>
    </row>
    <row r="709" spans="1:4">
      <c r="A709" t="s">
        <v>3216</v>
      </c>
      <c r="B709">
        <v>3.05</v>
      </c>
      <c r="C709" t="s">
        <v>3217</v>
      </c>
      <c r="D709" t="s">
        <v>2400</v>
      </c>
    </row>
    <row r="710" spans="1:4">
      <c r="A710" t="s">
        <v>3218</v>
      </c>
      <c r="B710">
        <v>3.1</v>
      </c>
      <c r="C710" t="s">
        <v>2406</v>
      </c>
      <c r="D710" t="s">
        <v>2621</v>
      </c>
    </row>
    <row r="711" spans="1:4">
      <c r="A711" t="s">
        <v>3219</v>
      </c>
      <c r="B711">
        <v>3.19</v>
      </c>
      <c r="C711" t="s">
        <v>2423</v>
      </c>
      <c r="D711" t="s">
        <v>2400</v>
      </c>
    </row>
    <row r="712" spans="1:4">
      <c r="A712" t="s">
        <v>3220</v>
      </c>
      <c r="B712">
        <v>2.92</v>
      </c>
      <c r="C712" t="s">
        <v>2418</v>
      </c>
      <c r="D712" t="s">
        <v>2427</v>
      </c>
    </row>
    <row r="713" spans="1:4">
      <c r="A713" t="s">
        <v>3221</v>
      </c>
      <c r="B713">
        <v>2.96</v>
      </c>
      <c r="C713" t="s">
        <v>2418</v>
      </c>
      <c r="D713" t="s">
        <v>2427</v>
      </c>
    </row>
    <row r="714" spans="1:4">
      <c r="A714" t="s">
        <v>3222</v>
      </c>
      <c r="B714">
        <v>3.15</v>
      </c>
      <c r="C714" t="s">
        <v>2421</v>
      </c>
      <c r="D714" t="s">
        <v>2558</v>
      </c>
    </row>
    <row r="715" spans="1:4">
      <c r="A715" t="s">
        <v>3223</v>
      </c>
      <c r="B715">
        <v>3.23</v>
      </c>
      <c r="C715" t="s">
        <v>2410</v>
      </c>
      <c r="D715" t="s">
        <v>2450</v>
      </c>
    </row>
    <row r="716" spans="1:4">
      <c r="A716" t="s">
        <v>3224</v>
      </c>
      <c r="B716">
        <v>3.22</v>
      </c>
      <c r="C716" t="s">
        <v>2415</v>
      </c>
      <c r="D716" t="s">
        <v>2400</v>
      </c>
    </row>
    <row r="717" spans="1:4">
      <c r="A717" t="s">
        <v>3225</v>
      </c>
      <c r="B717">
        <v>3.28</v>
      </c>
      <c r="C717" t="s">
        <v>2410</v>
      </c>
      <c r="D717" t="s">
        <v>2621</v>
      </c>
    </row>
    <row r="718" spans="1:4">
      <c r="A718" t="s">
        <v>3226</v>
      </c>
      <c r="B718">
        <v>3.05</v>
      </c>
      <c r="C718" t="s">
        <v>2395</v>
      </c>
      <c r="D718" t="s">
        <v>2393</v>
      </c>
    </row>
    <row r="719" spans="1:4">
      <c r="A719" t="s">
        <v>3227</v>
      </c>
      <c r="B719">
        <v>2.93</v>
      </c>
      <c r="C719" t="s">
        <v>2917</v>
      </c>
      <c r="D719" t="s">
        <v>2393</v>
      </c>
    </row>
    <row r="720" spans="1:4">
      <c r="A720" t="s">
        <v>3228</v>
      </c>
      <c r="B720">
        <v>2.97</v>
      </c>
      <c r="C720" t="s">
        <v>2421</v>
      </c>
      <c r="D720" t="s">
        <v>2536</v>
      </c>
    </row>
    <row r="721" spans="1:4">
      <c r="A721" t="s">
        <v>3229</v>
      </c>
      <c r="B721">
        <v>2.93</v>
      </c>
      <c r="C721" t="s">
        <v>2418</v>
      </c>
      <c r="D721" t="s">
        <v>2393</v>
      </c>
    </row>
    <row r="722" spans="1:4">
      <c r="A722" t="s">
        <v>3230</v>
      </c>
      <c r="B722">
        <v>3.03</v>
      </c>
      <c r="C722" t="s">
        <v>2421</v>
      </c>
      <c r="D722" t="s">
        <v>2393</v>
      </c>
    </row>
    <row r="723" spans="1:4">
      <c r="A723" t="s">
        <v>3231</v>
      </c>
      <c r="B723">
        <v>2.94</v>
      </c>
      <c r="C723" t="s">
        <v>2421</v>
      </c>
      <c r="D723" t="s">
        <v>3232</v>
      </c>
    </row>
    <row r="724" spans="1:4">
      <c r="A724" t="s">
        <v>3233</v>
      </c>
      <c r="B724">
        <v>2.91</v>
      </c>
      <c r="C724" t="s">
        <v>2418</v>
      </c>
      <c r="D724" t="s">
        <v>3232</v>
      </c>
    </row>
    <row r="725" spans="1:4">
      <c r="A725" t="s">
        <v>3234</v>
      </c>
      <c r="B725">
        <v>2.99</v>
      </c>
      <c r="C725" t="s">
        <v>2397</v>
      </c>
      <c r="D725" t="s">
        <v>2393</v>
      </c>
    </row>
    <row r="726" spans="1:4">
      <c r="A726" t="s">
        <v>3235</v>
      </c>
      <c r="B726">
        <v>2.88</v>
      </c>
      <c r="C726" t="s">
        <v>2421</v>
      </c>
      <c r="D726" t="s">
        <v>2659</v>
      </c>
    </row>
    <row r="727" spans="1:4">
      <c r="A727" t="s">
        <v>3236</v>
      </c>
      <c r="B727">
        <v>2.93</v>
      </c>
      <c r="C727" t="s">
        <v>2421</v>
      </c>
      <c r="D727" t="s">
        <v>2393</v>
      </c>
    </row>
    <row r="728" spans="1:4">
      <c r="A728" t="s">
        <v>3237</v>
      </c>
      <c r="B728">
        <v>3</v>
      </c>
      <c r="C728" t="s">
        <v>2418</v>
      </c>
      <c r="D728" t="s">
        <v>2393</v>
      </c>
    </row>
    <row r="729" spans="1:4">
      <c r="A729" t="s">
        <v>3238</v>
      </c>
      <c r="B729">
        <v>3.05</v>
      </c>
      <c r="C729" t="s">
        <v>2418</v>
      </c>
      <c r="D729" t="s">
        <v>2393</v>
      </c>
    </row>
    <row r="730" spans="1:4">
      <c r="A730" t="s">
        <v>3239</v>
      </c>
      <c r="B730">
        <v>3.09</v>
      </c>
      <c r="C730" t="s">
        <v>2418</v>
      </c>
      <c r="D730" t="s">
        <v>2393</v>
      </c>
    </row>
    <row r="731" spans="1:4">
      <c r="A731" t="s">
        <v>3240</v>
      </c>
      <c r="B731">
        <v>3.02</v>
      </c>
      <c r="C731" t="s">
        <v>2421</v>
      </c>
      <c r="D731" t="s">
        <v>2419</v>
      </c>
    </row>
    <row r="732" spans="1:4">
      <c r="A732" t="s">
        <v>3241</v>
      </c>
      <c r="B732">
        <v>3.22</v>
      </c>
      <c r="C732" t="s">
        <v>2458</v>
      </c>
      <c r="D732" t="s">
        <v>2400</v>
      </c>
    </row>
    <row r="733" spans="1:4">
      <c r="A733" t="s">
        <v>3242</v>
      </c>
      <c r="B733">
        <v>3.19</v>
      </c>
      <c r="C733" t="s">
        <v>2458</v>
      </c>
      <c r="D733" t="s">
        <v>2400</v>
      </c>
    </row>
    <row r="734" spans="1:4">
      <c r="A734" t="s">
        <v>3243</v>
      </c>
      <c r="B734">
        <v>3.07</v>
      </c>
      <c r="C734" t="s">
        <v>2421</v>
      </c>
      <c r="D734" t="s">
        <v>2682</v>
      </c>
    </row>
    <row r="735" spans="1:4">
      <c r="A735" t="s">
        <v>3244</v>
      </c>
      <c r="B735">
        <v>2.96</v>
      </c>
      <c r="C735" t="s">
        <v>3245</v>
      </c>
      <c r="D735" t="s">
        <v>3088</v>
      </c>
    </row>
    <row r="736" spans="1:4">
      <c r="A736" t="s">
        <v>3246</v>
      </c>
      <c r="B736">
        <v>2.92</v>
      </c>
      <c r="C736" t="s">
        <v>3247</v>
      </c>
      <c r="D736" t="s">
        <v>3088</v>
      </c>
    </row>
    <row r="737" spans="1:4">
      <c r="A737" t="s">
        <v>3248</v>
      </c>
      <c r="B737">
        <v>2.97</v>
      </c>
      <c r="C737" t="s">
        <v>3249</v>
      </c>
      <c r="D737" t="s">
        <v>3088</v>
      </c>
    </row>
    <row r="738" spans="1:4">
      <c r="A738" t="s">
        <v>3250</v>
      </c>
      <c r="B738">
        <v>2.95</v>
      </c>
      <c r="C738" t="s">
        <v>3251</v>
      </c>
      <c r="D738" t="s">
        <v>3088</v>
      </c>
    </row>
    <row r="739" spans="1:4">
      <c r="A739" t="s">
        <v>3252</v>
      </c>
      <c r="B739">
        <v>2.92</v>
      </c>
      <c r="C739" t="s">
        <v>3247</v>
      </c>
      <c r="D739" t="s">
        <v>3088</v>
      </c>
    </row>
    <row r="740" spans="1:4">
      <c r="A740" t="s">
        <v>3253</v>
      </c>
      <c r="B740">
        <v>2.92</v>
      </c>
      <c r="C740" t="s">
        <v>3247</v>
      </c>
      <c r="D740" t="s">
        <v>3088</v>
      </c>
    </row>
    <row r="741" spans="1:4">
      <c r="A741" t="s">
        <v>3254</v>
      </c>
      <c r="B741">
        <v>2.99</v>
      </c>
      <c r="C741" t="s">
        <v>3255</v>
      </c>
      <c r="D741" t="s">
        <v>3088</v>
      </c>
    </row>
    <row r="742" spans="1:4">
      <c r="A742" t="s">
        <v>3256</v>
      </c>
      <c r="B742">
        <v>2.94</v>
      </c>
      <c r="C742" t="s">
        <v>3245</v>
      </c>
      <c r="D742" t="s">
        <v>3088</v>
      </c>
    </row>
    <row r="743" spans="1:4">
      <c r="A743" t="s">
        <v>3257</v>
      </c>
      <c r="B743">
        <v>2.95</v>
      </c>
      <c r="C743" t="s">
        <v>3258</v>
      </c>
      <c r="D743" t="s">
        <v>3088</v>
      </c>
    </row>
    <row r="744" spans="1:4">
      <c r="A744" t="s">
        <v>3259</v>
      </c>
      <c r="B744">
        <v>2.94</v>
      </c>
      <c r="C744" t="s">
        <v>3249</v>
      </c>
      <c r="D744" t="s">
        <v>3088</v>
      </c>
    </row>
    <row r="745" spans="1:4">
      <c r="A745" t="s">
        <v>3260</v>
      </c>
      <c r="B745">
        <v>2.93</v>
      </c>
      <c r="C745" t="s">
        <v>3261</v>
      </c>
      <c r="D745" t="s">
        <v>3088</v>
      </c>
    </row>
    <row r="746" spans="1:4">
      <c r="A746" t="s">
        <v>3262</v>
      </c>
      <c r="B746">
        <v>2.93</v>
      </c>
      <c r="C746" t="s">
        <v>3249</v>
      </c>
      <c r="D746" t="s">
        <v>3088</v>
      </c>
    </row>
    <row r="747" spans="1:4">
      <c r="A747" t="s">
        <v>3263</v>
      </c>
      <c r="B747">
        <v>2.93</v>
      </c>
      <c r="C747" t="s">
        <v>3264</v>
      </c>
      <c r="D747" t="s">
        <v>3088</v>
      </c>
    </row>
    <row r="748" spans="1:4">
      <c r="A748" t="s">
        <v>3265</v>
      </c>
      <c r="B748">
        <v>2.92</v>
      </c>
      <c r="C748" t="s">
        <v>3266</v>
      </c>
      <c r="D748" t="s">
        <v>3088</v>
      </c>
    </row>
    <row r="749" spans="1:4">
      <c r="A749" t="s">
        <v>3267</v>
      </c>
      <c r="B749">
        <v>2.95</v>
      </c>
      <c r="C749" t="s">
        <v>3268</v>
      </c>
      <c r="D749" t="s">
        <v>3088</v>
      </c>
    </row>
    <row r="750" spans="1:4">
      <c r="A750" t="s">
        <v>3269</v>
      </c>
      <c r="B750">
        <v>2.92</v>
      </c>
      <c r="C750" t="s">
        <v>3270</v>
      </c>
      <c r="D750" t="s">
        <v>3088</v>
      </c>
    </row>
    <row r="751" spans="1:4">
      <c r="A751" t="s">
        <v>3271</v>
      </c>
      <c r="B751">
        <v>2.9</v>
      </c>
      <c r="C751" t="s">
        <v>3270</v>
      </c>
      <c r="D751" t="s">
        <v>3088</v>
      </c>
    </row>
    <row r="752" spans="1:4">
      <c r="A752" t="s">
        <v>3272</v>
      </c>
      <c r="B752">
        <v>2.92</v>
      </c>
      <c r="C752" t="s">
        <v>3273</v>
      </c>
      <c r="D752" t="s">
        <v>3088</v>
      </c>
    </row>
    <row r="753" spans="1:4">
      <c r="A753" t="s">
        <v>3274</v>
      </c>
      <c r="B753">
        <v>2.93</v>
      </c>
      <c r="C753" t="s">
        <v>3273</v>
      </c>
      <c r="D753" t="s">
        <v>3088</v>
      </c>
    </row>
    <row r="754" spans="1:4">
      <c r="A754" t="s">
        <v>3275</v>
      </c>
      <c r="B754">
        <v>2.92</v>
      </c>
      <c r="C754" t="s">
        <v>3276</v>
      </c>
      <c r="D754" t="s">
        <v>3088</v>
      </c>
    </row>
    <row r="755" spans="1:4">
      <c r="A755" t="s">
        <v>3277</v>
      </c>
      <c r="B755">
        <v>2.88</v>
      </c>
      <c r="C755" t="s">
        <v>3278</v>
      </c>
      <c r="D755" t="s">
        <v>3088</v>
      </c>
    </row>
    <row r="756" spans="1:4">
      <c r="A756" t="s">
        <v>3279</v>
      </c>
      <c r="B756">
        <v>2.85</v>
      </c>
      <c r="C756" t="s">
        <v>3278</v>
      </c>
      <c r="D756" t="s">
        <v>3088</v>
      </c>
    </row>
    <row r="757" spans="1:4">
      <c r="A757" t="s">
        <v>3280</v>
      </c>
      <c r="B757">
        <v>2.9</v>
      </c>
      <c r="C757" t="s">
        <v>3281</v>
      </c>
      <c r="D757" t="s">
        <v>3088</v>
      </c>
    </row>
    <row r="758" spans="1:4">
      <c r="A758" t="s">
        <v>3282</v>
      </c>
      <c r="B758">
        <v>2.93</v>
      </c>
      <c r="C758" t="s">
        <v>3283</v>
      </c>
      <c r="D758" t="s">
        <v>3088</v>
      </c>
    </row>
    <row r="759" spans="1:4">
      <c r="A759" t="s">
        <v>3284</v>
      </c>
      <c r="B759">
        <v>2.96</v>
      </c>
      <c r="C759" t="s">
        <v>3285</v>
      </c>
      <c r="D759" t="s">
        <v>3088</v>
      </c>
    </row>
    <row r="760" spans="1:4">
      <c r="A760" t="s">
        <v>3286</v>
      </c>
      <c r="B760">
        <v>2.93</v>
      </c>
      <c r="C760" t="s">
        <v>3247</v>
      </c>
      <c r="D760" t="s">
        <v>3088</v>
      </c>
    </row>
    <row r="761" spans="1:4">
      <c r="A761" t="s">
        <v>3287</v>
      </c>
      <c r="B761">
        <v>2.93</v>
      </c>
      <c r="C761" t="s">
        <v>3281</v>
      </c>
      <c r="D761" t="s">
        <v>3088</v>
      </c>
    </row>
    <row r="762" spans="1:4">
      <c r="A762" t="s">
        <v>3288</v>
      </c>
      <c r="B762">
        <v>2.96</v>
      </c>
      <c r="C762" t="s">
        <v>3281</v>
      </c>
      <c r="D762" t="s">
        <v>3088</v>
      </c>
    </row>
    <row r="763" spans="1:4">
      <c r="A763" t="s">
        <v>3289</v>
      </c>
      <c r="B763">
        <v>2.85</v>
      </c>
      <c r="C763" t="s">
        <v>3245</v>
      </c>
      <c r="D763" t="s">
        <v>3088</v>
      </c>
    </row>
    <row r="764" spans="1:4">
      <c r="A764" t="s">
        <v>3290</v>
      </c>
      <c r="B764">
        <v>2.92</v>
      </c>
      <c r="C764" t="s">
        <v>3270</v>
      </c>
      <c r="D764" t="s">
        <v>3088</v>
      </c>
    </row>
    <row r="765" spans="1:4">
      <c r="A765" t="s">
        <v>3291</v>
      </c>
      <c r="B765">
        <v>2.92</v>
      </c>
      <c r="C765" t="s">
        <v>3273</v>
      </c>
      <c r="D765" t="s">
        <v>3088</v>
      </c>
    </row>
    <row r="766" spans="1:4">
      <c r="A766" t="s">
        <v>3292</v>
      </c>
      <c r="B766">
        <v>2.9</v>
      </c>
      <c r="C766" t="s">
        <v>3293</v>
      </c>
      <c r="D766" t="s">
        <v>3088</v>
      </c>
    </row>
    <row r="767" spans="1:4">
      <c r="A767" t="s">
        <v>3294</v>
      </c>
      <c r="B767">
        <v>2.9</v>
      </c>
      <c r="C767" t="s">
        <v>3295</v>
      </c>
      <c r="D767" t="s">
        <v>3088</v>
      </c>
    </row>
    <row r="768" spans="1:4">
      <c r="A768" t="s">
        <v>3296</v>
      </c>
      <c r="B768">
        <v>3</v>
      </c>
      <c r="C768" t="s">
        <v>3297</v>
      </c>
      <c r="D768" t="s">
        <v>3088</v>
      </c>
    </row>
    <row r="769" spans="1:4">
      <c r="A769" t="s">
        <v>3298</v>
      </c>
      <c r="B769">
        <v>2.91</v>
      </c>
      <c r="C769" t="s">
        <v>3270</v>
      </c>
      <c r="D769" t="s">
        <v>3088</v>
      </c>
    </row>
    <row r="770" spans="1:4">
      <c r="A770" t="s">
        <v>3299</v>
      </c>
      <c r="B770">
        <v>2.94</v>
      </c>
      <c r="C770" t="s">
        <v>3255</v>
      </c>
      <c r="D770" t="s">
        <v>3088</v>
      </c>
    </row>
    <row r="771" spans="1:4">
      <c r="A771" t="s">
        <v>3300</v>
      </c>
      <c r="B771">
        <v>2.85</v>
      </c>
      <c r="C771" t="s">
        <v>3301</v>
      </c>
      <c r="D771" t="s">
        <v>3088</v>
      </c>
    </row>
    <row r="772" spans="1:4">
      <c r="A772" t="s">
        <v>3302</v>
      </c>
      <c r="B772">
        <v>3.03</v>
      </c>
      <c r="C772" t="s">
        <v>3303</v>
      </c>
      <c r="D772" t="s">
        <v>3088</v>
      </c>
    </row>
    <row r="773" spans="1:4">
      <c r="A773" t="s">
        <v>3304</v>
      </c>
      <c r="B773">
        <v>3</v>
      </c>
      <c r="C773" t="s">
        <v>3305</v>
      </c>
      <c r="D773" t="s">
        <v>3088</v>
      </c>
    </row>
    <row r="774" spans="1:4">
      <c r="A774" t="s">
        <v>3306</v>
      </c>
      <c r="B774">
        <v>3.03</v>
      </c>
      <c r="C774" t="s">
        <v>3307</v>
      </c>
      <c r="D774" t="s">
        <v>3088</v>
      </c>
    </row>
    <row r="775" spans="1:4">
      <c r="A775" t="s">
        <v>3308</v>
      </c>
      <c r="B775">
        <v>3.01</v>
      </c>
      <c r="C775" t="s">
        <v>3281</v>
      </c>
      <c r="D775" t="s">
        <v>3088</v>
      </c>
    </row>
    <row r="776" spans="1:4">
      <c r="A776" t="s">
        <v>3309</v>
      </c>
      <c r="B776">
        <v>2.9</v>
      </c>
      <c r="C776" t="s">
        <v>3249</v>
      </c>
      <c r="D776" t="s">
        <v>3088</v>
      </c>
    </row>
    <row r="777" spans="1:4">
      <c r="A777" t="s">
        <v>3310</v>
      </c>
      <c r="B777">
        <v>3.03</v>
      </c>
      <c r="C777" t="s">
        <v>3311</v>
      </c>
      <c r="D777" t="s">
        <v>3312</v>
      </c>
    </row>
    <row r="778" spans="1:4">
      <c r="A778" t="s">
        <v>3313</v>
      </c>
      <c r="B778">
        <v>2.93</v>
      </c>
      <c r="C778" t="s">
        <v>3314</v>
      </c>
      <c r="D778" t="s">
        <v>3312</v>
      </c>
    </row>
    <row r="779" spans="1:4">
      <c r="A779" t="s">
        <v>3315</v>
      </c>
      <c r="B779">
        <v>3.01</v>
      </c>
      <c r="C779" t="s">
        <v>3316</v>
      </c>
      <c r="D779" t="s">
        <v>3317</v>
      </c>
    </row>
    <row r="780" spans="1:4">
      <c r="A780" t="s">
        <v>3318</v>
      </c>
      <c r="B780">
        <v>2.92</v>
      </c>
      <c r="C780" t="s">
        <v>3247</v>
      </c>
      <c r="D780" t="s">
        <v>3088</v>
      </c>
    </row>
    <row r="781" spans="1:4">
      <c r="A781" t="s">
        <v>3319</v>
      </c>
      <c r="B781">
        <v>2.85</v>
      </c>
      <c r="C781" t="s">
        <v>3245</v>
      </c>
      <c r="D781" t="s">
        <v>3088</v>
      </c>
    </row>
    <row r="782" spans="1:4">
      <c r="A782" t="s">
        <v>3320</v>
      </c>
      <c r="B782">
        <v>2.96</v>
      </c>
      <c r="C782" t="s">
        <v>3293</v>
      </c>
      <c r="D782" t="s">
        <v>3088</v>
      </c>
    </row>
    <row r="783" spans="1:4">
      <c r="A783" t="s">
        <v>3321</v>
      </c>
      <c r="B783">
        <v>2.97</v>
      </c>
      <c r="C783" t="s">
        <v>3322</v>
      </c>
      <c r="D783" t="s">
        <v>3088</v>
      </c>
    </row>
    <row r="784" spans="1:4">
      <c r="A784" t="s">
        <v>3323</v>
      </c>
      <c r="B784">
        <v>2.92</v>
      </c>
      <c r="C784" t="s">
        <v>3273</v>
      </c>
      <c r="D784" t="s">
        <v>3088</v>
      </c>
    </row>
    <row r="785" spans="1:4">
      <c r="A785" t="s">
        <v>3324</v>
      </c>
      <c r="B785">
        <v>2.94</v>
      </c>
      <c r="C785" t="s">
        <v>3249</v>
      </c>
      <c r="D785" t="s">
        <v>3088</v>
      </c>
    </row>
    <row r="786" spans="1:4">
      <c r="A786" t="s">
        <v>3325</v>
      </c>
      <c r="B786">
        <v>2.97</v>
      </c>
      <c r="C786" t="s">
        <v>3295</v>
      </c>
      <c r="D786" t="s">
        <v>3088</v>
      </c>
    </row>
    <row r="787" spans="1:4">
      <c r="A787" t="s">
        <v>3326</v>
      </c>
      <c r="B787">
        <v>2.98</v>
      </c>
      <c r="C787" t="s">
        <v>3270</v>
      </c>
      <c r="D787" t="s">
        <v>3088</v>
      </c>
    </row>
    <row r="788" spans="1:4">
      <c r="A788" t="s">
        <v>3327</v>
      </c>
      <c r="B788">
        <v>2.96</v>
      </c>
      <c r="C788" t="s">
        <v>3293</v>
      </c>
      <c r="D788" t="s">
        <v>3088</v>
      </c>
    </row>
    <row r="789" spans="1:4">
      <c r="A789" t="s">
        <v>3328</v>
      </c>
      <c r="B789">
        <v>2.96</v>
      </c>
      <c r="C789" t="s">
        <v>3245</v>
      </c>
      <c r="D789" t="s">
        <v>3088</v>
      </c>
    </row>
    <row r="790" spans="1:4">
      <c r="A790" t="s">
        <v>3329</v>
      </c>
      <c r="B790">
        <v>2.96</v>
      </c>
      <c r="C790" t="s">
        <v>3258</v>
      </c>
      <c r="D790" t="s">
        <v>3088</v>
      </c>
    </row>
    <row r="791" spans="1:4">
      <c r="A791" t="s">
        <v>3330</v>
      </c>
      <c r="B791">
        <v>2.96</v>
      </c>
      <c r="C791" t="s">
        <v>3293</v>
      </c>
      <c r="D791" t="s">
        <v>3088</v>
      </c>
    </row>
    <row r="792" spans="1:4">
      <c r="A792" t="s">
        <v>3331</v>
      </c>
      <c r="B792">
        <v>2.98</v>
      </c>
      <c r="C792" t="s">
        <v>3247</v>
      </c>
      <c r="D792" t="s">
        <v>3088</v>
      </c>
    </row>
    <row r="793" spans="1:4">
      <c r="A793" t="s">
        <v>3332</v>
      </c>
      <c r="B793">
        <v>2.98</v>
      </c>
      <c r="C793" t="s">
        <v>3273</v>
      </c>
      <c r="D793" t="s">
        <v>3088</v>
      </c>
    </row>
    <row r="794" spans="1:4">
      <c r="A794" t="s">
        <v>3333</v>
      </c>
      <c r="B794">
        <v>3.02</v>
      </c>
      <c r="C794" t="s">
        <v>3258</v>
      </c>
      <c r="D794" t="s">
        <v>3088</v>
      </c>
    </row>
    <row r="795" spans="1:4">
      <c r="A795" t="s">
        <v>3334</v>
      </c>
      <c r="B795">
        <v>2.94</v>
      </c>
      <c r="C795" t="s">
        <v>3270</v>
      </c>
      <c r="D795" t="s">
        <v>3088</v>
      </c>
    </row>
    <row r="796" spans="1:4">
      <c r="A796" t="s">
        <v>3335</v>
      </c>
      <c r="B796">
        <v>2.98</v>
      </c>
      <c r="C796" t="s">
        <v>3247</v>
      </c>
      <c r="D796" t="s">
        <v>3088</v>
      </c>
    </row>
    <row r="797" spans="1:4">
      <c r="A797" t="s">
        <v>3336</v>
      </c>
      <c r="B797">
        <v>3</v>
      </c>
      <c r="C797" t="s">
        <v>3255</v>
      </c>
      <c r="D797" t="s">
        <v>3312</v>
      </c>
    </row>
    <row r="798" spans="1:4">
      <c r="A798" t="s">
        <v>3337</v>
      </c>
      <c r="B798">
        <v>3.07</v>
      </c>
      <c r="C798" t="s">
        <v>3338</v>
      </c>
      <c r="D798" t="s">
        <v>3317</v>
      </c>
    </row>
    <row r="799" spans="1:4">
      <c r="A799" t="s">
        <v>3339</v>
      </c>
      <c r="B799">
        <v>2.8</v>
      </c>
      <c r="C799" t="s">
        <v>2395</v>
      </c>
      <c r="D799" t="s">
        <v>3317</v>
      </c>
    </row>
    <row r="800" spans="1:4">
      <c r="A800" t="s">
        <v>3340</v>
      </c>
      <c r="B800">
        <v>3.21</v>
      </c>
      <c r="C800" t="s">
        <v>3341</v>
      </c>
      <c r="D800" t="s">
        <v>3342</v>
      </c>
    </row>
    <row r="801" spans="1:4">
      <c r="A801" t="s">
        <v>3343</v>
      </c>
      <c r="B801">
        <v>3.07</v>
      </c>
      <c r="C801" t="s">
        <v>2983</v>
      </c>
      <c r="D801" t="s">
        <v>2393</v>
      </c>
    </row>
    <row r="802" spans="1:4">
      <c r="A802" t="s">
        <v>3344</v>
      </c>
      <c r="B802">
        <v>2.6</v>
      </c>
      <c r="C802" t="s">
        <v>2395</v>
      </c>
      <c r="D802" t="s">
        <v>2450</v>
      </c>
    </row>
    <row r="803" spans="1:4">
      <c r="A803" t="s">
        <v>3345</v>
      </c>
      <c r="B803">
        <v>2.58</v>
      </c>
      <c r="C803" t="s">
        <v>108</v>
      </c>
      <c r="D803" t="s">
        <v>108</v>
      </c>
    </row>
    <row r="804" spans="1:4">
      <c r="A804" t="s">
        <v>3346</v>
      </c>
      <c r="B804">
        <v>2.5499999999999998</v>
      </c>
      <c r="C804" t="s">
        <v>3347</v>
      </c>
      <c r="D804" t="s">
        <v>2450</v>
      </c>
    </row>
    <row r="805" spans="1:4">
      <c r="A805" t="s">
        <v>3348</v>
      </c>
      <c r="B805">
        <v>2.5499999999999998</v>
      </c>
      <c r="C805" t="s">
        <v>3347</v>
      </c>
      <c r="D805" t="s">
        <v>2450</v>
      </c>
    </row>
    <row r="806" spans="1:4">
      <c r="A806" t="s">
        <v>3349</v>
      </c>
      <c r="B806">
        <v>2.58</v>
      </c>
      <c r="C806" t="s">
        <v>108</v>
      </c>
      <c r="D806" t="s">
        <v>108</v>
      </c>
    </row>
    <row r="807" spans="1:4">
      <c r="A807" t="s">
        <v>3350</v>
      </c>
      <c r="B807">
        <v>2.56</v>
      </c>
      <c r="C807" t="s">
        <v>2395</v>
      </c>
      <c r="D807" t="s">
        <v>2450</v>
      </c>
    </row>
    <row r="808" spans="1:4">
      <c r="A808" t="s">
        <v>3351</v>
      </c>
      <c r="B808">
        <v>2.56</v>
      </c>
      <c r="C808" t="s">
        <v>108</v>
      </c>
      <c r="D808" t="s">
        <v>108</v>
      </c>
    </row>
    <row r="809" spans="1:4">
      <c r="A809" t="s">
        <v>3352</v>
      </c>
      <c r="B809">
        <v>2.6</v>
      </c>
      <c r="C809" t="s">
        <v>3347</v>
      </c>
      <c r="D809" t="s">
        <v>2450</v>
      </c>
    </row>
    <row r="810" spans="1:4">
      <c r="A810" t="s">
        <v>3353</v>
      </c>
      <c r="B810">
        <v>2.72</v>
      </c>
      <c r="C810" t="s">
        <v>3354</v>
      </c>
      <c r="D810" t="s">
        <v>2621</v>
      </c>
    </row>
    <row r="811" spans="1:4">
      <c r="A811" t="s">
        <v>3355</v>
      </c>
      <c r="B811">
        <v>3.4</v>
      </c>
      <c r="C811" t="s">
        <v>3356</v>
      </c>
      <c r="D811" t="s">
        <v>3357</v>
      </c>
    </row>
    <row r="812" spans="1:4">
      <c r="A812" t="s">
        <v>3358</v>
      </c>
      <c r="B812">
        <v>3.2</v>
      </c>
      <c r="C812" t="s">
        <v>3359</v>
      </c>
      <c r="D812" t="s">
        <v>3357</v>
      </c>
    </row>
    <row r="813" spans="1:4">
      <c r="A813" t="s">
        <v>3360</v>
      </c>
      <c r="B813">
        <v>3</v>
      </c>
      <c r="C813" t="s">
        <v>3361</v>
      </c>
      <c r="D813" t="s">
        <v>2450</v>
      </c>
    </row>
    <row r="814" spans="1:4">
      <c r="A814" t="s">
        <v>3362</v>
      </c>
      <c r="B814">
        <v>2.93</v>
      </c>
      <c r="C814" t="s">
        <v>3363</v>
      </c>
      <c r="D814" t="s">
        <v>3088</v>
      </c>
    </row>
    <row r="815" spans="1:4">
      <c r="A815" t="s">
        <v>3364</v>
      </c>
      <c r="B815">
        <v>2.9</v>
      </c>
      <c r="C815" t="s">
        <v>3297</v>
      </c>
      <c r="D815" t="s">
        <v>3088</v>
      </c>
    </row>
    <row r="816" spans="1:4">
      <c r="A816" t="s">
        <v>3365</v>
      </c>
      <c r="B816">
        <v>2.96</v>
      </c>
      <c r="C816" t="s">
        <v>3366</v>
      </c>
      <c r="D816" t="s">
        <v>3088</v>
      </c>
    </row>
    <row r="817" spans="1:4">
      <c r="A817" t="s">
        <v>3367</v>
      </c>
      <c r="B817">
        <v>2.96</v>
      </c>
      <c r="C817" t="s">
        <v>3297</v>
      </c>
      <c r="D817" t="s">
        <v>3088</v>
      </c>
    </row>
    <row r="818" spans="1:4">
      <c r="A818" t="s">
        <v>3368</v>
      </c>
      <c r="B818">
        <v>3</v>
      </c>
      <c r="C818" t="s">
        <v>3276</v>
      </c>
      <c r="D818" t="s">
        <v>3088</v>
      </c>
    </row>
    <row r="819" spans="1:4">
      <c r="A819" t="s">
        <v>3369</v>
      </c>
      <c r="B819">
        <v>2.93</v>
      </c>
      <c r="C819" t="s">
        <v>3370</v>
      </c>
      <c r="D819" t="s">
        <v>3088</v>
      </c>
    </row>
    <row r="820" spans="1:4">
      <c r="A820" t="s">
        <v>3371</v>
      </c>
      <c r="B820">
        <v>3.03</v>
      </c>
      <c r="C820" t="s">
        <v>3372</v>
      </c>
      <c r="D820" t="s">
        <v>3088</v>
      </c>
    </row>
    <row r="821" spans="1:4">
      <c r="A821" t="s">
        <v>3373</v>
      </c>
      <c r="B821">
        <v>3.03</v>
      </c>
      <c r="C821" t="s">
        <v>3305</v>
      </c>
      <c r="D821" t="s">
        <v>3088</v>
      </c>
    </row>
    <row r="822" spans="1:4">
      <c r="A822" t="s">
        <v>3374</v>
      </c>
      <c r="B822">
        <v>3.09</v>
      </c>
      <c r="C822" t="s">
        <v>3276</v>
      </c>
      <c r="D822" t="s">
        <v>3088</v>
      </c>
    </row>
    <row r="823" spans="1:4">
      <c r="A823" t="s">
        <v>3375</v>
      </c>
      <c r="B823">
        <v>2.93</v>
      </c>
      <c r="C823" t="s">
        <v>3314</v>
      </c>
      <c r="D823" t="s">
        <v>3312</v>
      </c>
    </row>
    <row r="824" spans="1:4">
      <c r="A824" t="s">
        <v>3376</v>
      </c>
      <c r="B824">
        <v>3.03</v>
      </c>
      <c r="C824" t="s">
        <v>2570</v>
      </c>
      <c r="D824" t="s">
        <v>2400</v>
      </c>
    </row>
    <row r="825" spans="1:4">
      <c r="A825" t="s">
        <v>3377</v>
      </c>
      <c r="B825">
        <v>3.19</v>
      </c>
      <c r="C825" t="s">
        <v>2403</v>
      </c>
      <c r="D825" t="s">
        <v>2621</v>
      </c>
    </row>
    <row r="826" spans="1:4">
      <c r="A826" t="s">
        <v>3378</v>
      </c>
      <c r="B826">
        <v>2.88</v>
      </c>
      <c r="C826" t="s">
        <v>3379</v>
      </c>
      <c r="D826" t="s">
        <v>3172</v>
      </c>
    </row>
    <row r="827" spans="1:4">
      <c r="A827" t="s">
        <v>3380</v>
      </c>
      <c r="B827">
        <v>2.85</v>
      </c>
      <c r="C827" t="s">
        <v>3381</v>
      </c>
      <c r="D827" t="s">
        <v>3172</v>
      </c>
    </row>
    <row r="828" spans="1:4">
      <c r="A828" t="s">
        <v>3382</v>
      </c>
      <c r="B828">
        <v>2.9</v>
      </c>
      <c r="C828" t="s">
        <v>3379</v>
      </c>
      <c r="D828" t="s">
        <v>3172</v>
      </c>
    </row>
    <row r="829" spans="1:4">
      <c r="A829" t="s">
        <v>3383</v>
      </c>
      <c r="B829">
        <v>3.05</v>
      </c>
      <c r="C829" t="s">
        <v>3384</v>
      </c>
      <c r="D829" t="s">
        <v>3385</v>
      </c>
    </row>
    <row r="830" spans="1:4">
      <c r="A830" t="s">
        <v>3386</v>
      </c>
      <c r="B830">
        <v>3.2</v>
      </c>
      <c r="C830" t="s">
        <v>3387</v>
      </c>
      <c r="D830" t="s">
        <v>3342</v>
      </c>
    </row>
    <row r="831" spans="1:4">
      <c r="A831" t="s">
        <v>3388</v>
      </c>
      <c r="B831">
        <v>3.2</v>
      </c>
      <c r="C831" t="s">
        <v>3389</v>
      </c>
      <c r="D831" t="s">
        <v>3342</v>
      </c>
    </row>
    <row r="832" spans="1:4">
      <c r="A832" t="s">
        <v>3390</v>
      </c>
      <c r="B832">
        <v>3.18</v>
      </c>
      <c r="C832" t="s">
        <v>3391</v>
      </c>
      <c r="D832" t="s">
        <v>3342</v>
      </c>
    </row>
    <row r="833" spans="1:4">
      <c r="A833" t="s">
        <v>3392</v>
      </c>
      <c r="B833">
        <v>3.2</v>
      </c>
      <c r="C833" t="s">
        <v>3393</v>
      </c>
      <c r="D833" t="s">
        <v>3357</v>
      </c>
    </row>
    <row r="834" spans="1:4">
      <c r="A834" t="s">
        <v>3394</v>
      </c>
      <c r="B834">
        <v>3.08</v>
      </c>
      <c r="C834" t="s">
        <v>3393</v>
      </c>
      <c r="D834" t="s">
        <v>3357</v>
      </c>
    </row>
    <row r="835" spans="1:4">
      <c r="A835" t="s">
        <v>3395</v>
      </c>
      <c r="B835">
        <v>3.2</v>
      </c>
      <c r="C835" t="s">
        <v>3396</v>
      </c>
      <c r="D835" t="s">
        <v>3357</v>
      </c>
    </row>
    <row r="836" spans="1:4">
      <c r="A836" t="s">
        <v>3397</v>
      </c>
      <c r="B836">
        <v>3.21</v>
      </c>
      <c r="C836" t="s">
        <v>3356</v>
      </c>
      <c r="D836" t="s">
        <v>3342</v>
      </c>
    </row>
    <row r="837" spans="1:4">
      <c r="A837" t="s">
        <v>3398</v>
      </c>
      <c r="B837">
        <v>3.18</v>
      </c>
      <c r="C837" t="s">
        <v>3399</v>
      </c>
      <c r="D837" t="s">
        <v>3357</v>
      </c>
    </row>
    <row r="838" spans="1:4">
      <c r="A838" t="s">
        <v>3400</v>
      </c>
      <c r="B838">
        <v>3.15</v>
      </c>
      <c r="C838" t="s">
        <v>3401</v>
      </c>
      <c r="D838" t="s">
        <v>3357</v>
      </c>
    </row>
    <row r="839" spans="1:4">
      <c r="A839" t="s">
        <v>3402</v>
      </c>
      <c r="B839">
        <v>3.22</v>
      </c>
      <c r="C839" t="s">
        <v>3403</v>
      </c>
      <c r="D839" t="s">
        <v>3357</v>
      </c>
    </row>
    <row r="840" spans="1:4">
      <c r="A840" t="s">
        <v>3404</v>
      </c>
      <c r="B840">
        <v>3.15</v>
      </c>
      <c r="C840" t="s">
        <v>3405</v>
      </c>
      <c r="D840" t="s">
        <v>3357</v>
      </c>
    </row>
    <row r="841" spans="1:4">
      <c r="A841" t="s">
        <v>3406</v>
      </c>
      <c r="B841">
        <v>3.26</v>
      </c>
      <c r="C841" t="s">
        <v>3407</v>
      </c>
      <c r="D841" t="s">
        <v>3357</v>
      </c>
    </row>
    <row r="842" spans="1:4">
      <c r="A842" t="s">
        <v>3408</v>
      </c>
      <c r="B842">
        <v>3.39</v>
      </c>
      <c r="C842" t="s">
        <v>3409</v>
      </c>
      <c r="D842" t="s">
        <v>3357</v>
      </c>
    </row>
    <row r="843" spans="1:4">
      <c r="A843" t="s">
        <v>3410</v>
      </c>
      <c r="B843">
        <v>3.05</v>
      </c>
      <c r="C843" t="s">
        <v>3411</v>
      </c>
      <c r="D843" t="s">
        <v>3317</v>
      </c>
    </row>
    <row r="844" spans="1:4">
      <c r="A844" t="s">
        <v>3412</v>
      </c>
      <c r="B844">
        <v>3.04</v>
      </c>
      <c r="C844" t="s">
        <v>2395</v>
      </c>
      <c r="D844" t="s">
        <v>3317</v>
      </c>
    </row>
    <row r="845" spans="1:4">
      <c r="A845" t="s">
        <v>3413</v>
      </c>
      <c r="B845">
        <v>3.07</v>
      </c>
      <c r="C845" t="s">
        <v>2783</v>
      </c>
      <c r="D845" t="s">
        <v>3317</v>
      </c>
    </row>
    <row r="846" spans="1:4">
      <c r="A846" t="s">
        <v>3414</v>
      </c>
      <c r="B846">
        <v>2.99</v>
      </c>
      <c r="C846" t="s">
        <v>3363</v>
      </c>
      <c r="D846" t="s">
        <v>3088</v>
      </c>
    </row>
    <row r="847" spans="1:4">
      <c r="A847" t="s">
        <v>3415</v>
      </c>
      <c r="B847">
        <v>2.95</v>
      </c>
      <c r="C847" t="s">
        <v>3416</v>
      </c>
      <c r="D847" t="s">
        <v>3088</v>
      </c>
    </row>
    <row r="848" spans="1:4">
      <c r="A848" t="s">
        <v>3417</v>
      </c>
      <c r="B848">
        <v>2.95</v>
      </c>
      <c r="C848" t="s">
        <v>3363</v>
      </c>
      <c r="D848" t="s">
        <v>3088</v>
      </c>
    </row>
    <row r="849" spans="1:4">
      <c r="A849" t="s">
        <v>3418</v>
      </c>
      <c r="B849">
        <v>2.96</v>
      </c>
      <c r="C849" t="s">
        <v>3419</v>
      </c>
      <c r="D849" t="s">
        <v>2558</v>
      </c>
    </row>
    <row r="850" spans="1:4">
      <c r="A850" t="s">
        <v>3420</v>
      </c>
      <c r="B850">
        <v>2.97</v>
      </c>
      <c r="C850" t="s">
        <v>3421</v>
      </c>
      <c r="D850" t="s">
        <v>2558</v>
      </c>
    </row>
    <row r="851" spans="1:4">
      <c r="A851" t="s">
        <v>3422</v>
      </c>
      <c r="B851">
        <v>2.93</v>
      </c>
      <c r="C851" t="s">
        <v>3423</v>
      </c>
      <c r="D851" t="s">
        <v>3088</v>
      </c>
    </row>
    <row r="852" spans="1:4">
      <c r="A852" t="s">
        <v>3424</v>
      </c>
      <c r="B852">
        <v>2.92</v>
      </c>
      <c r="C852" t="s">
        <v>2392</v>
      </c>
      <c r="D852" t="s">
        <v>3088</v>
      </c>
    </row>
    <row r="853" spans="1:4">
      <c r="A853" t="s">
        <v>3425</v>
      </c>
      <c r="B853">
        <v>2.9</v>
      </c>
      <c r="C853" t="s">
        <v>108</v>
      </c>
      <c r="D853" t="s">
        <v>3088</v>
      </c>
    </row>
    <row r="854" spans="1:4">
      <c r="A854" t="s">
        <v>3426</v>
      </c>
      <c r="B854">
        <v>3.06</v>
      </c>
      <c r="C854" t="s">
        <v>108</v>
      </c>
      <c r="D854" t="s">
        <v>3088</v>
      </c>
    </row>
    <row r="855" spans="1:4">
      <c r="A855" t="s">
        <v>3427</v>
      </c>
      <c r="B855">
        <v>2.98</v>
      </c>
      <c r="C855" t="s">
        <v>108</v>
      </c>
      <c r="D855" t="s">
        <v>3088</v>
      </c>
    </row>
    <row r="856" spans="1:4">
      <c r="A856" t="s">
        <v>3428</v>
      </c>
      <c r="B856">
        <v>3.02</v>
      </c>
      <c r="C856" t="s">
        <v>108</v>
      </c>
      <c r="D856" t="s">
        <v>3088</v>
      </c>
    </row>
    <row r="857" spans="1:4">
      <c r="A857" t="s">
        <v>3429</v>
      </c>
      <c r="B857">
        <v>3.06</v>
      </c>
      <c r="C857" t="s">
        <v>108</v>
      </c>
      <c r="D857" t="s">
        <v>3088</v>
      </c>
    </row>
    <row r="858" spans="1:4">
      <c r="A858" t="s">
        <v>3430</v>
      </c>
      <c r="B858">
        <v>3.06</v>
      </c>
      <c r="C858" t="s">
        <v>108</v>
      </c>
      <c r="D858" t="s">
        <v>3088</v>
      </c>
    </row>
    <row r="859" spans="1:4">
      <c r="A859" t="s">
        <v>3431</v>
      </c>
      <c r="B859">
        <v>3.06</v>
      </c>
      <c r="C859" t="s">
        <v>108</v>
      </c>
      <c r="D859" t="s">
        <v>3088</v>
      </c>
    </row>
    <row r="860" spans="1:4">
      <c r="A860" t="s">
        <v>3432</v>
      </c>
      <c r="B860">
        <v>3.28</v>
      </c>
      <c r="C860" t="s">
        <v>3433</v>
      </c>
      <c r="D860" t="s">
        <v>3357</v>
      </c>
    </row>
    <row r="861" spans="1:4">
      <c r="A861" t="s">
        <v>3434</v>
      </c>
      <c r="B861">
        <v>3.33</v>
      </c>
      <c r="C861" t="s">
        <v>3435</v>
      </c>
      <c r="D861" t="s">
        <v>3357</v>
      </c>
    </row>
    <row r="862" spans="1:4">
      <c r="A862" t="s">
        <v>3436</v>
      </c>
      <c r="B862">
        <v>3.33</v>
      </c>
      <c r="C862" t="s">
        <v>3437</v>
      </c>
      <c r="D862" t="s">
        <v>3357</v>
      </c>
    </row>
    <row r="863" spans="1:4">
      <c r="A863" t="s">
        <v>3438</v>
      </c>
      <c r="B863">
        <v>3.4</v>
      </c>
      <c r="C863" t="s">
        <v>3359</v>
      </c>
      <c r="D863" t="s">
        <v>3342</v>
      </c>
    </row>
    <row r="864" spans="1:4">
      <c r="A864" t="s">
        <v>3439</v>
      </c>
      <c r="B864">
        <v>3.38</v>
      </c>
      <c r="C864" t="s">
        <v>3440</v>
      </c>
      <c r="D864" t="s">
        <v>3342</v>
      </c>
    </row>
    <row r="865" spans="1:4">
      <c r="A865" t="s">
        <v>3441</v>
      </c>
      <c r="B865">
        <v>3.38</v>
      </c>
      <c r="C865" t="s">
        <v>3389</v>
      </c>
      <c r="D865" t="s">
        <v>3342</v>
      </c>
    </row>
    <row r="866" spans="1:4">
      <c r="A866" t="s">
        <v>3442</v>
      </c>
      <c r="B866">
        <v>3.39</v>
      </c>
      <c r="C866" t="s">
        <v>3389</v>
      </c>
      <c r="D866" t="s">
        <v>3342</v>
      </c>
    </row>
    <row r="867" spans="1:4">
      <c r="A867" t="s">
        <v>3443</v>
      </c>
      <c r="B867">
        <v>3.31</v>
      </c>
      <c r="C867" t="s">
        <v>3440</v>
      </c>
      <c r="D867" t="s">
        <v>3342</v>
      </c>
    </row>
    <row r="868" spans="1:4">
      <c r="A868" t="s">
        <v>3444</v>
      </c>
      <c r="B868">
        <v>3.31</v>
      </c>
      <c r="C868" t="s">
        <v>3359</v>
      </c>
      <c r="D868" t="s">
        <v>3342</v>
      </c>
    </row>
    <row r="869" spans="1:4">
      <c r="A869" t="s">
        <v>3445</v>
      </c>
      <c r="B869">
        <v>3.27</v>
      </c>
      <c r="C869" t="s">
        <v>3446</v>
      </c>
      <c r="D869" t="s">
        <v>3357</v>
      </c>
    </row>
    <row r="870" spans="1:4">
      <c r="A870" t="s">
        <v>3447</v>
      </c>
      <c r="B870">
        <v>3.31</v>
      </c>
      <c r="C870" t="s">
        <v>3034</v>
      </c>
      <c r="D870" t="s">
        <v>3357</v>
      </c>
    </row>
    <row r="871" spans="1:4">
      <c r="A871" t="s">
        <v>3448</v>
      </c>
      <c r="B871">
        <v>3.3</v>
      </c>
      <c r="C871" t="s">
        <v>2620</v>
      </c>
      <c r="D871" t="s">
        <v>3357</v>
      </c>
    </row>
    <row r="872" spans="1:4">
      <c r="A872" t="s">
        <v>3449</v>
      </c>
      <c r="B872">
        <v>3.36</v>
      </c>
      <c r="C872" t="s">
        <v>2620</v>
      </c>
      <c r="D872" t="s">
        <v>3357</v>
      </c>
    </row>
    <row r="873" spans="1:4">
      <c r="A873" t="s">
        <v>3450</v>
      </c>
      <c r="B873">
        <v>3.15</v>
      </c>
      <c r="C873" t="s">
        <v>3440</v>
      </c>
      <c r="D873" t="s">
        <v>3342</v>
      </c>
    </row>
    <row r="874" spans="1:4">
      <c r="A874" t="s">
        <v>3451</v>
      </c>
      <c r="B874">
        <v>3.4</v>
      </c>
      <c r="C874" t="s">
        <v>3034</v>
      </c>
      <c r="D874" t="s">
        <v>3342</v>
      </c>
    </row>
    <row r="875" spans="1:4">
      <c r="A875" t="s">
        <v>3452</v>
      </c>
      <c r="B875">
        <v>3.25</v>
      </c>
      <c r="C875" t="s">
        <v>108</v>
      </c>
      <c r="D875" t="s">
        <v>3357</v>
      </c>
    </row>
    <row r="876" spans="1:4">
      <c r="A876" t="s">
        <v>3453</v>
      </c>
      <c r="B876">
        <v>3.24</v>
      </c>
      <c r="C876" t="s">
        <v>3359</v>
      </c>
      <c r="D876" t="s">
        <v>3357</v>
      </c>
    </row>
    <row r="877" spans="1:4">
      <c r="A877" t="s">
        <v>3454</v>
      </c>
      <c r="B877">
        <v>3.37</v>
      </c>
      <c r="C877" t="s">
        <v>108</v>
      </c>
      <c r="D877" t="s">
        <v>3357</v>
      </c>
    </row>
    <row r="878" spans="1:4">
      <c r="A878" t="s">
        <v>3455</v>
      </c>
      <c r="B878">
        <v>3.24</v>
      </c>
      <c r="C878" t="s">
        <v>3456</v>
      </c>
      <c r="D878" t="s">
        <v>3357</v>
      </c>
    </row>
    <row r="879" spans="1:4">
      <c r="A879" t="s">
        <v>3457</v>
      </c>
      <c r="B879">
        <v>3.31</v>
      </c>
      <c r="C879" t="s">
        <v>2620</v>
      </c>
      <c r="D879" t="s">
        <v>3357</v>
      </c>
    </row>
    <row r="880" spans="1:4">
      <c r="A880" t="s">
        <v>3458</v>
      </c>
      <c r="B880">
        <v>3.34</v>
      </c>
      <c r="C880" t="s">
        <v>3356</v>
      </c>
      <c r="D880" t="s">
        <v>3342</v>
      </c>
    </row>
    <row r="881" spans="1:4">
      <c r="A881" t="s">
        <v>3459</v>
      </c>
      <c r="B881">
        <v>3.2</v>
      </c>
      <c r="C881" t="s">
        <v>3391</v>
      </c>
      <c r="D881" t="s">
        <v>2450</v>
      </c>
    </row>
    <row r="882" spans="1:4">
      <c r="A882" t="s">
        <v>3460</v>
      </c>
      <c r="B882">
        <v>3.28</v>
      </c>
      <c r="C882" t="s">
        <v>3461</v>
      </c>
      <c r="D882" t="s">
        <v>3385</v>
      </c>
    </row>
    <row r="883" spans="1:4">
      <c r="A883" t="s">
        <v>3462</v>
      </c>
      <c r="B883">
        <v>3.34</v>
      </c>
      <c r="C883" t="s">
        <v>3356</v>
      </c>
      <c r="D883" t="s">
        <v>3342</v>
      </c>
    </row>
    <row r="884" spans="1:4">
      <c r="A884" t="s">
        <v>3463</v>
      </c>
      <c r="B884">
        <v>3.33</v>
      </c>
      <c r="C884" t="s">
        <v>3389</v>
      </c>
      <c r="D884" t="s">
        <v>3342</v>
      </c>
    </row>
    <row r="885" spans="1:4">
      <c r="A885" t="s">
        <v>3464</v>
      </c>
      <c r="B885">
        <v>3.27</v>
      </c>
      <c r="C885" t="s">
        <v>3389</v>
      </c>
      <c r="D885" t="s">
        <v>3385</v>
      </c>
    </row>
    <row r="886" spans="1:4">
      <c r="A886" t="s">
        <v>3465</v>
      </c>
      <c r="B886">
        <v>3.14</v>
      </c>
      <c r="C886" t="s">
        <v>3387</v>
      </c>
      <c r="D886" t="s">
        <v>3357</v>
      </c>
    </row>
    <row r="887" spans="1:4">
      <c r="A887" t="s">
        <v>3466</v>
      </c>
      <c r="B887">
        <v>3.26</v>
      </c>
      <c r="C887" t="s">
        <v>3356</v>
      </c>
      <c r="D887" t="s">
        <v>3357</v>
      </c>
    </row>
    <row r="888" spans="1:4">
      <c r="A888" t="s">
        <v>3467</v>
      </c>
      <c r="B888">
        <v>3.22</v>
      </c>
      <c r="C888" t="s">
        <v>3468</v>
      </c>
      <c r="D888" t="s">
        <v>3342</v>
      </c>
    </row>
    <row r="889" spans="1:4">
      <c r="A889" t="s">
        <v>3469</v>
      </c>
      <c r="B889">
        <v>3.26</v>
      </c>
      <c r="C889" t="s">
        <v>3456</v>
      </c>
      <c r="D889" t="s">
        <v>3342</v>
      </c>
    </row>
    <row r="890" spans="1:4">
      <c r="A890" t="s">
        <v>3470</v>
      </c>
      <c r="B890">
        <v>3.22</v>
      </c>
      <c r="C890" t="s">
        <v>3471</v>
      </c>
      <c r="D890" t="s">
        <v>3342</v>
      </c>
    </row>
    <row r="891" spans="1:4">
      <c r="A891" t="s">
        <v>3472</v>
      </c>
      <c r="B891">
        <v>3.3</v>
      </c>
      <c r="C891" t="s">
        <v>3433</v>
      </c>
      <c r="D891" t="s">
        <v>3357</v>
      </c>
    </row>
    <row r="892" spans="1:4">
      <c r="A892" t="s">
        <v>3473</v>
      </c>
      <c r="B892">
        <v>3.2</v>
      </c>
      <c r="C892" t="s">
        <v>3474</v>
      </c>
      <c r="D892" t="s">
        <v>3342</v>
      </c>
    </row>
    <row r="893" spans="1:4">
      <c r="A893" t="s">
        <v>3475</v>
      </c>
      <c r="B893">
        <v>3.14</v>
      </c>
      <c r="C893" t="s">
        <v>3387</v>
      </c>
      <c r="D893" t="s">
        <v>3357</v>
      </c>
    </row>
    <row r="894" spans="1:4">
      <c r="A894" t="s">
        <v>3476</v>
      </c>
      <c r="B894">
        <v>3.3</v>
      </c>
      <c r="C894" t="s">
        <v>3477</v>
      </c>
      <c r="D894" t="s">
        <v>3357</v>
      </c>
    </row>
    <row r="895" spans="1:4">
      <c r="A895" t="s">
        <v>3478</v>
      </c>
      <c r="B895">
        <v>3.2</v>
      </c>
      <c r="C895" t="s">
        <v>3359</v>
      </c>
      <c r="D895" t="s">
        <v>3342</v>
      </c>
    </row>
    <row r="896" spans="1:4">
      <c r="A896" t="s">
        <v>3479</v>
      </c>
      <c r="B896">
        <v>3.33</v>
      </c>
      <c r="C896" t="s">
        <v>3409</v>
      </c>
      <c r="D896" t="s">
        <v>3357</v>
      </c>
    </row>
    <row r="897" spans="1:4">
      <c r="A897" t="s">
        <v>3480</v>
      </c>
      <c r="B897">
        <v>3.24</v>
      </c>
      <c r="C897" t="s">
        <v>3481</v>
      </c>
      <c r="D897" t="s">
        <v>3357</v>
      </c>
    </row>
    <row r="898" spans="1:4">
      <c r="A898" t="s">
        <v>3482</v>
      </c>
      <c r="B898">
        <v>3.18</v>
      </c>
      <c r="C898" t="s">
        <v>3483</v>
      </c>
      <c r="D898" t="s">
        <v>3357</v>
      </c>
    </row>
    <row r="899" spans="1:4">
      <c r="A899" t="s">
        <v>3484</v>
      </c>
      <c r="B899">
        <v>3.2</v>
      </c>
      <c r="C899" t="s">
        <v>3485</v>
      </c>
      <c r="D899" t="s">
        <v>3342</v>
      </c>
    </row>
    <row r="900" spans="1:4">
      <c r="A900" t="s">
        <v>3486</v>
      </c>
      <c r="B900">
        <v>2.78</v>
      </c>
      <c r="C900" t="s">
        <v>108</v>
      </c>
      <c r="D900" t="s">
        <v>108</v>
      </c>
    </row>
    <row r="901" spans="1:4">
      <c r="A901" t="s">
        <v>3487</v>
      </c>
      <c r="B901">
        <v>3.31</v>
      </c>
      <c r="C901" t="s">
        <v>3488</v>
      </c>
      <c r="D901" t="s">
        <v>3342</v>
      </c>
    </row>
    <row r="902" spans="1:4">
      <c r="A902" t="s">
        <v>3489</v>
      </c>
      <c r="B902">
        <v>3.25</v>
      </c>
      <c r="C902" t="s">
        <v>3389</v>
      </c>
      <c r="D902" t="s">
        <v>3342</v>
      </c>
    </row>
    <row r="903" spans="1:4">
      <c r="A903" t="s">
        <v>3490</v>
      </c>
      <c r="B903">
        <v>3.17</v>
      </c>
      <c r="C903" t="s">
        <v>2620</v>
      </c>
      <c r="D903" t="s">
        <v>3357</v>
      </c>
    </row>
    <row r="904" spans="1:4">
      <c r="A904" t="s">
        <v>3491</v>
      </c>
      <c r="B904">
        <v>3.27</v>
      </c>
      <c r="C904" t="s">
        <v>3389</v>
      </c>
      <c r="D904" t="s">
        <v>3342</v>
      </c>
    </row>
    <row r="905" spans="1:4">
      <c r="A905" t="s">
        <v>3492</v>
      </c>
      <c r="B905">
        <v>3.12</v>
      </c>
      <c r="C905" t="s">
        <v>3493</v>
      </c>
      <c r="D905" t="s">
        <v>3317</v>
      </c>
    </row>
    <row r="906" spans="1:4">
      <c r="A906" t="s">
        <v>3494</v>
      </c>
      <c r="B906">
        <v>3.27</v>
      </c>
      <c r="C906" t="s">
        <v>108</v>
      </c>
      <c r="D906" t="s">
        <v>3342</v>
      </c>
    </row>
    <row r="907" spans="1:4">
      <c r="A907" t="s">
        <v>3495</v>
      </c>
      <c r="B907">
        <v>2.95</v>
      </c>
      <c r="C907" t="s">
        <v>3416</v>
      </c>
      <c r="D907" t="s">
        <v>3088</v>
      </c>
    </row>
    <row r="908" spans="1:4">
      <c r="A908" t="s">
        <v>3496</v>
      </c>
      <c r="B908">
        <v>2.95</v>
      </c>
      <c r="C908" t="s">
        <v>3416</v>
      </c>
      <c r="D908" t="s">
        <v>3088</v>
      </c>
    </row>
    <row r="909" spans="1:4">
      <c r="A909" t="s">
        <v>3497</v>
      </c>
      <c r="B909">
        <v>2.93</v>
      </c>
      <c r="C909" t="s">
        <v>108</v>
      </c>
      <c r="D909" t="s">
        <v>108</v>
      </c>
    </row>
    <row r="910" spans="1:4">
      <c r="A910" t="s">
        <v>2263</v>
      </c>
      <c r="B910">
        <v>3.2</v>
      </c>
      <c r="C910" t="s">
        <v>3440</v>
      </c>
      <c r="D910" t="s">
        <v>3342</v>
      </c>
    </row>
    <row r="911" spans="1:4">
      <c r="A911" t="s">
        <v>3498</v>
      </c>
      <c r="B911">
        <v>2.85</v>
      </c>
      <c r="C911" t="s">
        <v>3499</v>
      </c>
      <c r="D911" t="s">
        <v>3500</v>
      </c>
    </row>
    <row r="912" spans="1:4">
      <c r="A912" t="s">
        <v>3501</v>
      </c>
      <c r="B912">
        <v>3.18</v>
      </c>
      <c r="C912" t="s">
        <v>3502</v>
      </c>
      <c r="D912" t="s">
        <v>3342</v>
      </c>
    </row>
    <row r="913" spans="1:4">
      <c r="A913" t="s">
        <v>3503</v>
      </c>
      <c r="B913">
        <v>2.96</v>
      </c>
      <c r="C913" t="s">
        <v>2464</v>
      </c>
      <c r="D913" t="s">
        <v>2393</v>
      </c>
    </row>
    <row r="914" spans="1:4">
      <c r="A914" t="s">
        <v>3504</v>
      </c>
      <c r="B914">
        <v>3.38</v>
      </c>
      <c r="C914" t="s">
        <v>3389</v>
      </c>
      <c r="D914" t="s">
        <v>3342</v>
      </c>
    </row>
    <row r="915" spans="1:4">
      <c r="A915" t="s">
        <v>3505</v>
      </c>
      <c r="B915">
        <v>3.24</v>
      </c>
      <c r="C915" t="s">
        <v>3456</v>
      </c>
      <c r="D915" t="s">
        <v>3357</v>
      </c>
    </row>
    <row r="916" spans="1:4">
      <c r="A916" t="s">
        <v>3506</v>
      </c>
      <c r="B916">
        <v>3.28</v>
      </c>
      <c r="C916" t="s">
        <v>108</v>
      </c>
      <c r="D916" t="s">
        <v>3357</v>
      </c>
    </row>
    <row r="917" spans="1:4">
      <c r="A917" t="s">
        <v>3507</v>
      </c>
      <c r="B917">
        <v>3.28</v>
      </c>
      <c r="C917" t="s">
        <v>3387</v>
      </c>
      <c r="D917" t="s">
        <v>3357</v>
      </c>
    </row>
    <row r="918" spans="1:4">
      <c r="A918" t="s">
        <v>3508</v>
      </c>
      <c r="B918">
        <v>3.22</v>
      </c>
      <c r="C918" t="s">
        <v>3387</v>
      </c>
      <c r="D918" t="s">
        <v>3357</v>
      </c>
    </row>
    <row r="919" spans="1:4">
      <c r="A919" t="s">
        <v>3509</v>
      </c>
      <c r="B919">
        <v>3.31</v>
      </c>
      <c r="C919" t="s">
        <v>3387</v>
      </c>
      <c r="D919" t="s">
        <v>3342</v>
      </c>
    </row>
    <row r="920" spans="1:4">
      <c r="A920" t="s">
        <v>3510</v>
      </c>
      <c r="B920">
        <v>3.44</v>
      </c>
      <c r="C920" t="s">
        <v>3433</v>
      </c>
      <c r="D920" t="s">
        <v>3385</v>
      </c>
    </row>
    <row r="921" spans="1:4">
      <c r="A921" t="s">
        <v>3511</v>
      </c>
      <c r="B921">
        <v>3.35</v>
      </c>
      <c r="C921" t="s">
        <v>3433</v>
      </c>
      <c r="D921" t="s">
        <v>3342</v>
      </c>
    </row>
    <row r="922" spans="1:4">
      <c r="A922" t="s">
        <v>3512</v>
      </c>
      <c r="B922">
        <v>3.3</v>
      </c>
      <c r="C922" t="s">
        <v>3034</v>
      </c>
      <c r="D922" t="s">
        <v>3357</v>
      </c>
    </row>
    <row r="923" spans="1:4">
      <c r="A923" t="s">
        <v>3513</v>
      </c>
      <c r="B923">
        <v>3.39</v>
      </c>
      <c r="C923" t="s">
        <v>3440</v>
      </c>
      <c r="D923" t="s">
        <v>3342</v>
      </c>
    </row>
    <row r="924" spans="1:4">
      <c r="A924" t="s">
        <v>3514</v>
      </c>
      <c r="B924">
        <v>3.34</v>
      </c>
      <c r="C924" t="s">
        <v>3387</v>
      </c>
      <c r="D924" t="s">
        <v>3342</v>
      </c>
    </row>
    <row r="925" spans="1:4">
      <c r="A925" t="s">
        <v>3515</v>
      </c>
      <c r="B925">
        <v>3.3</v>
      </c>
      <c r="C925" t="s">
        <v>3359</v>
      </c>
      <c r="D925" t="s">
        <v>3342</v>
      </c>
    </row>
    <row r="926" spans="1:4">
      <c r="A926" t="s">
        <v>3516</v>
      </c>
      <c r="B926">
        <v>3.34</v>
      </c>
      <c r="C926" t="s">
        <v>3456</v>
      </c>
      <c r="D926" t="s">
        <v>3342</v>
      </c>
    </row>
    <row r="927" spans="1:4">
      <c r="A927" t="s">
        <v>3517</v>
      </c>
      <c r="B927">
        <v>3.2</v>
      </c>
      <c r="C927" t="s">
        <v>3391</v>
      </c>
      <c r="D927" t="s">
        <v>2450</v>
      </c>
    </row>
    <row r="928" spans="1:4">
      <c r="A928" t="s">
        <v>3518</v>
      </c>
      <c r="B928">
        <v>3.07</v>
      </c>
      <c r="C928" t="s">
        <v>3409</v>
      </c>
      <c r="D928" t="s">
        <v>2450</v>
      </c>
    </row>
    <row r="929" spans="1:4">
      <c r="A929" t="s">
        <v>3519</v>
      </c>
      <c r="B929">
        <v>3.33</v>
      </c>
      <c r="C929" t="s">
        <v>3387</v>
      </c>
      <c r="D929" t="s">
        <v>3342</v>
      </c>
    </row>
    <row r="930" spans="1:4">
      <c r="A930" t="s">
        <v>3520</v>
      </c>
      <c r="B930">
        <v>3.27</v>
      </c>
      <c r="C930" t="s">
        <v>3456</v>
      </c>
      <c r="D930" t="s">
        <v>3342</v>
      </c>
    </row>
    <row r="931" spans="1:4">
      <c r="A931" t="s">
        <v>3521</v>
      </c>
      <c r="B931">
        <v>3.27</v>
      </c>
      <c r="C931" t="s">
        <v>3387</v>
      </c>
      <c r="D931" t="s">
        <v>3342</v>
      </c>
    </row>
    <row r="932" spans="1:4">
      <c r="A932" t="s">
        <v>3522</v>
      </c>
      <c r="B932">
        <v>3.12</v>
      </c>
      <c r="C932" t="s">
        <v>3523</v>
      </c>
      <c r="D932" t="s">
        <v>3312</v>
      </c>
    </row>
    <row r="933" spans="1:4">
      <c r="A933" t="s">
        <v>3524</v>
      </c>
      <c r="B933">
        <v>2.94</v>
      </c>
      <c r="C933" t="s">
        <v>3525</v>
      </c>
      <c r="D933" t="s">
        <v>2558</v>
      </c>
    </row>
    <row r="934" spans="1:4">
      <c r="A934" t="s">
        <v>3526</v>
      </c>
      <c r="B934">
        <v>3.05</v>
      </c>
      <c r="C934" t="s">
        <v>3527</v>
      </c>
      <c r="D934" t="s">
        <v>2450</v>
      </c>
    </row>
    <row r="935" spans="1:4">
      <c r="A935" t="s">
        <v>3528</v>
      </c>
      <c r="B935">
        <v>2.88</v>
      </c>
      <c r="C935" t="s">
        <v>3527</v>
      </c>
      <c r="D935" t="s">
        <v>2450</v>
      </c>
    </row>
    <row r="936" spans="1:4">
      <c r="A936" t="s">
        <v>3529</v>
      </c>
      <c r="B936">
        <v>2.9</v>
      </c>
      <c r="C936" t="s">
        <v>3530</v>
      </c>
      <c r="D936" t="s">
        <v>2558</v>
      </c>
    </row>
    <row r="937" spans="1:4">
      <c r="A937" t="s">
        <v>3531</v>
      </c>
      <c r="B937">
        <v>3.04</v>
      </c>
      <c r="C937" t="s">
        <v>3532</v>
      </c>
      <c r="D937" t="s">
        <v>3533</v>
      </c>
    </row>
    <row r="938" spans="1:4">
      <c r="A938" t="s">
        <v>3534</v>
      </c>
      <c r="B938">
        <v>3.11</v>
      </c>
      <c r="C938" t="s">
        <v>3356</v>
      </c>
      <c r="D938" t="s">
        <v>3342</v>
      </c>
    </row>
    <row r="939" spans="1:4">
      <c r="A939" t="s">
        <v>3535</v>
      </c>
      <c r="B939">
        <v>3.21</v>
      </c>
      <c r="C939" t="s">
        <v>3536</v>
      </c>
      <c r="D939" t="s">
        <v>3342</v>
      </c>
    </row>
    <row r="940" spans="1:4">
      <c r="A940" t="s">
        <v>3537</v>
      </c>
      <c r="B940">
        <v>3.2</v>
      </c>
      <c r="C940" t="s">
        <v>3396</v>
      </c>
      <c r="D940" t="s">
        <v>3357</v>
      </c>
    </row>
    <row r="941" spans="1:4">
      <c r="A941" t="s">
        <v>3538</v>
      </c>
      <c r="B941">
        <v>3.2</v>
      </c>
      <c r="C941" t="s">
        <v>3539</v>
      </c>
      <c r="D941" t="s">
        <v>3357</v>
      </c>
    </row>
    <row r="942" spans="1:4">
      <c r="A942" t="s">
        <v>3540</v>
      </c>
      <c r="B942">
        <v>3.18</v>
      </c>
      <c r="C942" t="s">
        <v>3541</v>
      </c>
      <c r="D942" t="s">
        <v>3317</v>
      </c>
    </row>
    <row r="943" spans="1:4">
      <c r="A943" t="s">
        <v>3542</v>
      </c>
      <c r="B943">
        <v>2.9</v>
      </c>
      <c r="C943" t="s">
        <v>3543</v>
      </c>
      <c r="D943" t="s">
        <v>2450</v>
      </c>
    </row>
    <row r="944" spans="1:4">
      <c r="A944" t="s">
        <v>3544</v>
      </c>
      <c r="B944">
        <v>2.9</v>
      </c>
      <c r="C944" t="s">
        <v>3545</v>
      </c>
      <c r="D944" t="s">
        <v>2450</v>
      </c>
    </row>
    <row r="945" spans="1:4">
      <c r="A945" t="s">
        <v>3546</v>
      </c>
      <c r="B945">
        <v>3.05</v>
      </c>
      <c r="C945" t="s">
        <v>3547</v>
      </c>
      <c r="D945" t="s">
        <v>2558</v>
      </c>
    </row>
    <row r="946" spans="1:4">
      <c r="A946" t="s">
        <v>3548</v>
      </c>
      <c r="B946">
        <v>2.95</v>
      </c>
      <c r="C946" t="s">
        <v>3416</v>
      </c>
      <c r="D946" t="s">
        <v>3088</v>
      </c>
    </row>
    <row r="947" spans="1:4">
      <c r="A947" t="s">
        <v>3549</v>
      </c>
      <c r="B947">
        <v>2.98</v>
      </c>
      <c r="C947" t="s">
        <v>3550</v>
      </c>
      <c r="D947" t="s">
        <v>2450</v>
      </c>
    </row>
    <row r="948" spans="1:4">
      <c r="A948" t="s">
        <v>3551</v>
      </c>
      <c r="B948">
        <v>2.98</v>
      </c>
      <c r="C948" t="s">
        <v>2458</v>
      </c>
      <c r="D948" t="s">
        <v>2450</v>
      </c>
    </row>
    <row r="949" spans="1:4">
      <c r="A949" t="s">
        <v>3552</v>
      </c>
      <c r="B949">
        <v>2.91</v>
      </c>
      <c r="C949" t="s">
        <v>3553</v>
      </c>
      <c r="D949" t="s">
        <v>2450</v>
      </c>
    </row>
    <row r="950" spans="1:4">
      <c r="A950" t="s">
        <v>3554</v>
      </c>
      <c r="B950">
        <v>2.78</v>
      </c>
      <c r="C950" t="s">
        <v>108</v>
      </c>
      <c r="D950" t="s">
        <v>108</v>
      </c>
    </row>
    <row r="951" spans="1:4">
      <c r="A951" t="s">
        <v>3555</v>
      </c>
      <c r="B951">
        <v>2.8</v>
      </c>
      <c r="C951" t="s">
        <v>2395</v>
      </c>
      <c r="D951" t="s">
        <v>3317</v>
      </c>
    </row>
    <row r="952" spans="1:4">
      <c r="A952" t="s">
        <v>3556</v>
      </c>
      <c r="B952">
        <v>2.97</v>
      </c>
      <c r="C952" t="s">
        <v>108</v>
      </c>
      <c r="D952" t="s">
        <v>2558</v>
      </c>
    </row>
    <row r="953" spans="1:4">
      <c r="A953" t="s">
        <v>3557</v>
      </c>
      <c r="B953">
        <v>3.13</v>
      </c>
      <c r="C953" t="s">
        <v>3558</v>
      </c>
      <c r="D953" t="s">
        <v>2558</v>
      </c>
    </row>
    <row r="954" spans="1:4">
      <c r="A954" t="s">
        <v>3559</v>
      </c>
      <c r="B954">
        <v>3.05</v>
      </c>
      <c r="C954" t="s">
        <v>2418</v>
      </c>
      <c r="D954" t="s">
        <v>2393</v>
      </c>
    </row>
    <row r="955" spans="1:4">
      <c r="A955" t="s">
        <v>3560</v>
      </c>
      <c r="B955">
        <v>2.89</v>
      </c>
      <c r="C955" t="s">
        <v>3561</v>
      </c>
      <c r="D955" t="s">
        <v>2393</v>
      </c>
    </row>
    <row r="956" spans="1:4">
      <c r="A956" t="s">
        <v>3562</v>
      </c>
      <c r="B956">
        <v>2.95</v>
      </c>
      <c r="C956" t="s">
        <v>3563</v>
      </c>
      <c r="D956" t="s">
        <v>2621</v>
      </c>
    </row>
    <row r="957" spans="1:4">
      <c r="A957" t="s">
        <v>3564</v>
      </c>
      <c r="B957">
        <v>3.08</v>
      </c>
      <c r="C957" t="s">
        <v>3565</v>
      </c>
      <c r="D957" t="s">
        <v>2621</v>
      </c>
    </row>
    <row r="958" spans="1:4">
      <c r="A958" t="s">
        <v>3566</v>
      </c>
      <c r="B958">
        <v>3.15</v>
      </c>
      <c r="C958" t="s">
        <v>3567</v>
      </c>
      <c r="D958" t="s">
        <v>2450</v>
      </c>
    </row>
    <row r="959" spans="1:4">
      <c r="A959" t="s">
        <v>3568</v>
      </c>
      <c r="B959">
        <v>3.14</v>
      </c>
      <c r="C959" t="s">
        <v>3569</v>
      </c>
      <c r="D959" t="s">
        <v>2450</v>
      </c>
    </row>
    <row r="960" spans="1:4">
      <c r="A960" t="s">
        <v>3570</v>
      </c>
      <c r="B960">
        <v>2.99</v>
      </c>
      <c r="C960" t="s">
        <v>3571</v>
      </c>
      <c r="D960" t="s">
        <v>2450</v>
      </c>
    </row>
    <row r="961" spans="1:4">
      <c r="A961" t="s">
        <v>3572</v>
      </c>
      <c r="B961">
        <v>3.02</v>
      </c>
      <c r="C961" t="s">
        <v>3573</v>
      </c>
      <c r="D961" t="s">
        <v>2450</v>
      </c>
    </row>
    <row r="962" spans="1:4">
      <c r="A962" t="s">
        <v>3574</v>
      </c>
      <c r="B962">
        <v>3.05</v>
      </c>
      <c r="C962" t="s">
        <v>3575</v>
      </c>
      <c r="D962" t="s">
        <v>2450</v>
      </c>
    </row>
    <row r="963" spans="1:4">
      <c r="A963" t="s">
        <v>3576</v>
      </c>
      <c r="B963">
        <v>3.02</v>
      </c>
      <c r="C963" t="s">
        <v>3577</v>
      </c>
      <c r="D963" t="s">
        <v>2450</v>
      </c>
    </row>
    <row r="964" spans="1:4">
      <c r="A964" t="s">
        <v>3578</v>
      </c>
      <c r="B964">
        <v>2.98</v>
      </c>
      <c r="C964" t="s">
        <v>3579</v>
      </c>
      <c r="D964" t="s">
        <v>2450</v>
      </c>
    </row>
    <row r="965" spans="1:4">
      <c r="A965" t="s">
        <v>3580</v>
      </c>
      <c r="B965">
        <v>3.02</v>
      </c>
      <c r="C965" t="s">
        <v>3127</v>
      </c>
      <c r="D965" t="s">
        <v>2450</v>
      </c>
    </row>
    <row r="966" spans="1:4">
      <c r="A966" t="s">
        <v>3581</v>
      </c>
      <c r="B966">
        <v>3.01</v>
      </c>
      <c r="C966" t="s">
        <v>3530</v>
      </c>
      <c r="D966" t="s">
        <v>2450</v>
      </c>
    </row>
    <row r="967" spans="1:4">
      <c r="A967" t="s">
        <v>3582</v>
      </c>
      <c r="B967">
        <v>2.9</v>
      </c>
      <c r="C967" t="s">
        <v>3583</v>
      </c>
      <c r="D967" t="s">
        <v>2450</v>
      </c>
    </row>
    <row r="968" spans="1:4">
      <c r="A968" t="s">
        <v>3584</v>
      </c>
      <c r="B968">
        <v>3.03</v>
      </c>
      <c r="C968" t="s">
        <v>3585</v>
      </c>
      <c r="D968" t="s">
        <v>2450</v>
      </c>
    </row>
    <row r="969" spans="1:4">
      <c r="A969" t="s">
        <v>3586</v>
      </c>
      <c r="B969">
        <v>2.95</v>
      </c>
      <c r="C969" t="s">
        <v>3587</v>
      </c>
      <c r="D969" t="s">
        <v>2621</v>
      </c>
    </row>
    <row r="970" spans="1:4">
      <c r="A970" t="s">
        <v>3588</v>
      </c>
      <c r="B970">
        <v>3.14</v>
      </c>
      <c r="C970" t="s">
        <v>3589</v>
      </c>
      <c r="D970" t="s">
        <v>3317</v>
      </c>
    </row>
    <row r="971" spans="1:4">
      <c r="A971" t="s">
        <v>3590</v>
      </c>
      <c r="B971">
        <v>2.95</v>
      </c>
      <c r="C971" t="s">
        <v>3416</v>
      </c>
      <c r="D971" t="s">
        <v>3088</v>
      </c>
    </row>
    <row r="972" spans="1:4">
      <c r="A972" t="s">
        <v>3591</v>
      </c>
      <c r="B972">
        <v>3</v>
      </c>
      <c r="C972" t="s">
        <v>3363</v>
      </c>
      <c r="D972" t="s">
        <v>3088</v>
      </c>
    </row>
    <row r="973" spans="1:4">
      <c r="A973" t="s">
        <v>3592</v>
      </c>
      <c r="B973">
        <v>2.93</v>
      </c>
      <c r="C973" t="s">
        <v>3416</v>
      </c>
      <c r="D973" t="s">
        <v>3088</v>
      </c>
    </row>
    <row r="974" spans="1:4">
      <c r="A974" t="s">
        <v>3593</v>
      </c>
      <c r="B974">
        <v>2.94</v>
      </c>
      <c r="C974" t="s">
        <v>3416</v>
      </c>
      <c r="D974" t="s">
        <v>3088</v>
      </c>
    </row>
    <row r="975" spans="1:4">
      <c r="A975" t="s">
        <v>3594</v>
      </c>
      <c r="B975">
        <v>3.31</v>
      </c>
      <c r="C975" t="s">
        <v>3034</v>
      </c>
      <c r="D975" t="s">
        <v>3357</v>
      </c>
    </row>
    <row r="976" spans="1:4">
      <c r="A976" t="s">
        <v>3595</v>
      </c>
      <c r="B976">
        <v>3.37</v>
      </c>
      <c r="C976" t="s">
        <v>3437</v>
      </c>
      <c r="D976" t="s">
        <v>3357</v>
      </c>
    </row>
    <row r="977" spans="1:4">
      <c r="A977" t="s">
        <v>3596</v>
      </c>
      <c r="B977">
        <v>3.34</v>
      </c>
      <c r="C977" t="s">
        <v>3407</v>
      </c>
      <c r="D977" t="s">
        <v>3357</v>
      </c>
    </row>
    <row r="978" spans="1:4">
      <c r="A978" t="s">
        <v>3597</v>
      </c>
      <c r="B978">
        <v>3.23</v>
      </c>
      <c r="C978" t="s">
        <v>3359</v>
      </c>
      <c r="D978" t="s">
        <v>3357</v>
      </c>
    </row>
    <row r="979" spans="1:4">
      <c r="A979" t="s">
        <v>3598</v>
      </c>
      <c r="B979">
        <v>3.3</v>
      </c>
      <c r="C979" t="s">
        <v>3356</v>
      </c>
      <c r="D979" t="s">
        <v>3385</v>
      </c>
    </row>
    <row r="980" spans="1:4">
      <c r="A980" t="s">
        <v>3599</v>
      </c>
      <c r="B980">
        <v>3.31</v>
      </c>
      <c r="C980" t="s">
        <v>3359</v>
      </c>
      <c r="D980" t="s">
        <v>3385</v>
      </c>
    </row>
    <row r="981" spans="1:4">
      <c r="A981" t="s">
        <v>3600</v>
      </c>
      <c r="B981">
        <v>3</v>
      </c>
      <c r="C981" t="s">
        <v>3601</v>
      </c>
      <c r="D981" t="s">
        <v>2450</v>
      </c>
    </row>
    <row r="982" spans="1:4">
      <c r="A982" t="s">
        <v>3602</v>
      </c>
      <c r="B982">
        <v>2.9</v>
      </c>
      <c r="C982" t="s">
        <v>3127</v>
      </c>
      <c r="D982" t="s">
        <v>2450</v>
      </c>
    </row>
    <row r="983" spans="1:4">
      <c r="A983" t="s">
        <v>3603</v>
      </c>
      <c r="B983">
        <v>3</v>
      </c>
      <c r="C983" t="s">
        <v>3525</v>
      </c>
      <c r="D983" t="s">
        <v>2450</v>
      </c>
    </row>
    <row r="984" spans="1:4">
      <c r="A984" t="s">
        <v>3604</v>
      </c>
      <c r="B984">
        <v>3</v>
      </c>
      <c r="C984" t="s">
        <v>3605</v>
      </c>
      <c r="D984" t="s">
        <v>2450</v>
      </c>
    </row>
    <row r="985" spans="1:4">
      <c r="A985" t="s">
        <v>3606</v>
      </c>
      <c r="B985">
        <v>2.9</v>
      </c>
      <c r="C985" t="s">
        <v>3115</v>
      </c>
      <c r="D985" t="s">
        <v>2450</v>
      </c>
    </row>
    <row r="986" spans="1:4">
      <c r="A986" t="s">
        <v>3607</v>
      </c>
      <c r="B986">
        <v>3.22</v>
      </c>
      <c r="C986" t="s">
        <v>3608</v>
      </c>
      <c r="D986" t="s">
        <v>3533</v>
      </c>
    </row>
    <row r="987" spans="1:4">
      <c r="A987" t="s">
        <v>3609</v>
      </c>
      <c r="B987">
        <v>2.96</v>
      </c>
      <c r="C987" t="s">
        <v>3610</v>
      </c>
      <c r="D987" t="s">
        <v>3177</v>
      </c>
    </row>
    <row r="988" spans="1:4">
      <c r="A988" t="s">
        <v>3611</v>
      </c>
      <c r="B988">
        <v>2.9</v>
      </c>
      <c r="C988" t="s">
        <v>3347</v>
      </c>
      <c r="D988" t="s">
        <v>2621</v>
      </c>
    </row>
    <row r="989" spans="1:4">
      <c r="A989" t="s">
        <v>3612</v>
      </c>
      <c r="B989">
        <v>3.19</v>
      </c>
      <c r="C989" t="s">
        <v>3613</v>
      </c>
      <c r="D989" t="s">
        <v>2450</v>
      </c>
    </row>
    <row r="990" spans="1:4">
      <c r="A990" t="s">
        <v>3614</v>
      </c>
      <c r="B990">
        <v>2.7</v>
      </c>
      <c r="C990" t="s">
        <v>3615</v>
      </c>
      <c r="D990" t="s">
        <v>2621</v>
      </c>
    </row>
    <row r="991" spans="1:4">
      <c r="A991" t="s">
        <v>3616</v>
      </c>
      <c r="B991">
        <v>2.92</v>
      </c>
      <c r="C991" t="s">
        <v>3617</v>
      </c>
      <c r="D991" t="s">
        <v>3088</v>
      </c>
    </row>
    <row r="992" spans="1:4">
      <c r="A992" t="s">
        <v>3618</v>
      </c>
      <c r="B992">
        <v>3.76</v>
      </c>
      <c r="C992" t="s">
        <v>2410</v>
      </c>
      <c r="D992" t="s">
        <v>2558</v>
      </c>
    </row>
    <row r="993" spans="1:4">
      <c r="A993" t="s">
        <v>3619</v>
      </c>
      <c r="B993">
        <v>3.76</v>
      </c>
      <c r="C993" t="s">
        <v>2410</v>
      </c>
      <c r="D993" t="s">
        <v>2558</v>
      </c>
    </row>
    <row r="994" spans="1:4">
      <c r="A994" t="s">
        <v>3620</v>
      </c>
      <c r="B994">
        <v>3.76</v>
      </c>
      <c r="C994" t="s">
        <v>108</v>
      </c>
      <c r="D994" t="s">
        <v>108</v>
      </c>
    </row>
    <row r="995" spans="1:4">
      <c r="A995" t="s">
        <v>3621</v>
      </c>
      <c r="B995">
        <v>3.6</v>
      </c>
      <c r="C995" t="s">
        <v>2410</v>
      </c>
      <c r="D995" t="s">
        <v>2558</v>
      </c>
    </row>
    <row r="996" spans="1:4">
      <c r="A996" t="s">
        <v>3622</v>
      </c>
      <c r="B996">
        <v>3.54</v>
      </c>
      <c r="C996" t="s">
        <v>2410</v>
      </c>
      <c r="D996" t="s">
        <v>2558</v>
      </c>
    </row>
    <row r="997" spans="1:4">
      <c r="A997" t="s">
        <v>3623</v>
      </c>
      <c r="B997">
        <v>3.16</v>
      </c>
      <c r="C997" t="s">
        <v>2397</v>
      </c>
      <c r="D997" t="s">
        <v>2558</v>
      </c>
    </row>
    <row r="998" spans="1:4">
      <c r="A998" t="s">
        <v>3624</v>
      </c>
      <c r="B998">
        <v>3.51</v>
      </c>
      <c r="C998" t="s">
        <v>2397</v>
      </c>
      <c r="D998" t="s">
        <v>2558</v>
      </c>
    </row>
    <row r="999" spans="1:4">
      <c r="A999" t="s">
        <v>3625</v>
      </c>
      <c r="B999">
        <v>3.76</v>
      </c>
      <c r="C999" t="s">
        <v>2397</v>
      </c>
      <c r="D999" t="s">
        <v>2558</v>
      </c>
    </row>
    <row r="1000" spans="1:4">
      <c r="A1000" t="s">
        <v>3626</v>
      </c>
      <c r="B1000">
        <v>3.76</v>
      </c>
      <c r="C1000" t="s">
        <v>2410</v>
      </c>
      <c r="D1000" t="s">
        <v>2558</v>
      </c>
    </row>
    <row r="1001" spans="1:4">
      <c r="A1001" t="s">
        <v>3627</v>
      </c>
      <c r="B1001">
        <v>3.76</v>
      </c>
      <c r="C1001" t="s">
        <v>2410</v>
      </c>
      <c r="D1001" t="s">
        <v>2558</v>
      </c>
    </row>
    <row r="1002" spans="1:4">
      <c r="A1002" t="s">
        <v>3628</v>
      </c>
      <c r="B1002">
        <v>3.76</v>
      </c>
      <c r="C1002" t="s">
        <v>2410</v>
      </c>
      <c r="D1002" t="s">
        <v>2558</v>
      </c>
    </row>
    <row r="1003" spans="1:4">
      <c r="A1003" t="s">
        <v>3629</v>
      </c>
      <c r="B1003">
        <v>3.08</v>
      </c>
      <c r="C1003" t="s">
        <v>3630</v>
      </c>
      <c r="D1003" t="s">
        <v>2450</v>
      </c>
    </row>
    <row r="1004" spans="1:4">
      <c r="A1004" t="s">
        <v>3631</v>
      </c>
      <c r="B1004">
        <v>3.05</v>
      </c>
      <c r="C1004" t="s">
        <v>3347</v>
      </c>
      <c r="D1004" t="s">
        <v>3088</v>
      </c>
    </row>
    <row r="1005" spans="1:4">
      <c r="A1005" t="s">
        <v>3632</v>
      </c>
      <c r="B1005">
        <v>2.96</v>
      </c>
      <c r="C1005" t="s">
        <v>3633</v>
      </c>
      <c r="D1005" t="s">
        <v>3500</v>
      </c>
    </row>
    <row r="1006" spans="1:4">
      <c r="A1006" t="s">
        <v>3634</v>
      </c>
      <c r="B1006">
        <v>2.87</v>
      </c>
      <c r="C1006" t="s">
        <v>3347</v>
      </c>
      <c r="D1006" t="s">
        <v>3635</v>
      </c>
    </row>
    <row r="1007" spans="1:4">
      <c r="A1007" t="s">
        <v>3636</v>
      </c>
      <c r="B1007">
        <v>2.96</v>
      </c>
      <c r="C1007" t="s">
        <v>3633</v>
      </c>
      <c r="D1007" t="s">
        <v>3635</v>
      </c>
    </row>
    <row r="1008" spans="1:4">
      <c r="A1008" t="s">
        <v>3637</v>
      </c>
      <c r="B1008">
        <v>2.74</v>
      </c>
      <c r="C1008" t="s">
        <v>3633</v>
      </c>
      <c r="D1008" t="s">
        <v>2450</v>
      </c>
    </row>
    <row r="1009" spans="1:4">
      <c r="A1009" t="s">
        <v>3638</v>
      </c>
      <c r="B1009">
        <v>3.01</v>
      </c>
      <c r="C1009" t="s">
        <v>3633</v>
      </c>
      <c r="D1009" t="s">
        <v>3639</v>
      </c>
    </row>
    <row r="1010" spans="1:4">
      <c r="A1010" t="s">
        <v>3640</v>
      </c>
      <c r="B1010">
        <v>2.98</v>
      </c>
      <c r="C1010" t="s">
        <v>3347</v>
      </c>
      <c r="D1010" t="s">
        <v>3641</v>
      </c>
    </row>
    <row r="1011" spans="1:4">
      <c r="A1011" t="s">
        <v>3642</v>
      </c>
      <c r="B1011">
        <v>3.1</v>
      </c>
      <c r="C1011" t="s">
        <v>3613</v>
      </c>
      <c r="D1011" t="s">
        <v>2450</v>
      </c>
    </row>
    <row r="1012" spans="1:4">
      <c r="A1012" t="s">
        <v>3643</v>
      </c>
      <c r="B1012">
        <v>2.87</v>
      </c>
      <c r="C1012" t="s">
        <v>3347</v>
      </c>
      <c r="D1012" t="s">
        <v>3635</v>
      </c>
    </row>
    <row r="1013" spans="1:4">
      <c r="A1013" t="s">
        <v>3644</v>
      </c>
      <c r="B1013">
        <v>2.87</v>
      </c>
      <c r="C1013" t="s">
        <v>3347</v>
      </c>
      <c r="D1013" t="s">
        <v>3635</v>
      </c>
    </row>
    <row r="1014" spans="1:4">
      <c r="A1014" t="s">
        <v>3645</v>
      </c>
      <c r="B1014">
        <v>3.16</v>
      </c>
      <c r="C1014" t="s">
        <v>3633</v>
      </c>
      <c r="D1014" t="s">
        <v>2558</v>
      </c>
    </row>
    <row r="1015" spans="1:4">
      <c r="A1015" t="s">
        <v>3646</v>
      </c>
      <c r="B1015">
        <v>2.95</v>
      </c>
      <c r="C1015" t="s">
        <v>3633</v>
      </c>
      <c r="D1015" t="s">
        <v>3647</v>
      </c>
    </row>
    <row r="1016" spans="1:4">
      <c r="A1016" t="s">
        <v>3648</v>
      </c>
      <c r="B1016">
        <v>2.9</v>
      </c>
      <c r="C1016" t="s">
        <v>3633</v>
      </c>
      <c r="D1016" t="s">
        <v>3649</v>
      </c>
    </row>
    <row r="1017" spans="1:4">
      <c r="A1017" t="s">
        <v>3650</v>
      </c>
      <c r="B1017">
        <v>3.01</v>
      </c>
      <c r="C1017" t="s">
        <v>3347</v>
      </c>
      <c r="D1017" t="s">
        <v>3639</v>
      </c>
    </row>
    <row r="1018" spans="1:4">
      <c r="A1018" t="s">
        <v>3651</v>
      </c>
      <c r="B1018">
        <v>2.9</v>
      </c>
      <c r="C1018" t="s">
        <v>3633</v>
      </c>
      <c r="D1018" t="s">
        <v>3649</v>
      </c>
    </row>
    <row r="1019" spans="1:4">
      <c r="A1019" t="s">
        <v>3652</v>
      </c>
      <c r="B1019">
        <v>2.89</v>
      </c>
      <c r="C1019" t="s">
        <v>3347</v>
      </c>
      <c r="D1019" t="s">
        <v>3649</v>
      </c>
    </row>
    <row r="1020" spans="1:4">
      <c r="A1020" t="s">
        <v>3653</v>
      </c>
      <c r="B1020">
        <v>2.65</v>
      </c>
      <c r="C1020" t="s">
        <v>3347</v>
      </c>
      <c r="D1020" t="s">
        <v>3639</v>
      </c>
    </row>
    <row r="1021" spans="1:4">
      <c r="A1021" t="s">
        <v>3654</v>
      </c>
      <c r="B1021">
        <v>2.89</v>
      </c>
      <c r="C1021" t="s">
        <v>3347</v>
      </c>
      <c r="D1021" t="s">
        <v>3647</v>
      </c>
    </row>
    <row r="1022" spans="1:4">
      <c r="A1022" t="s">
        <v>3655</v>
      </c>
      <c r="B1022">
        <v>2.9</v>
      </c>
      <c r="C1022" t="s">
        <v>3633</v>
      </c>
      <c r="D1022" t="s">
        <v>3649</v>
      </c>
    </row>
    <row r="1023" spans="1:4">
      <c r="A1023" t="s">
        <v>3656</v>
      </c>
      <c r="B1023">
        <v>2.95</v>
      </c>
      <c r="C1023" t="s">
        <v>3610</v>
      </c>
      <c r="D1023" t="s">
        <v>3657</v>
      </c>
    </row>
    <row r="1024" spans="1:4">
      <c r="A1024" t="s">
        <v>3658</v>
      </c>
      <c r="B1024">
        <v>3</v>
      </c>
      <c r="C1024" t="s">
        <v>3633</v>
      </c>
      <c r="D1024" t="s">
        <v>3649</v>
      </c>
    </row>
    <row r="1025" spans="1:4">
      <c r="A1025" t="s">
        <v>3659</v>
      </c>
      <c r="B1025">
        <v>2.85</v>
      </c>
      <c r="C1025" t="s">
        <v>3660</v>
      </c>
      <c r="D1025" t="s">
        <v>3500</v>
      </c>
    </row>
    <row r="1026" spans="1:4">
      <c r="A1026" t="s">
        <v>3661</v>
      </c>
      <c r="B1026">
        <v>2.94</v>
      </c>
      <c r="C1026" t="s">
        <v>3662</v>
      </c>
      <c r="D1026" t="s">
        <v>3641</v>
      </c>
    </row>
    <row r="1027" spans="1:4">
      <c r="A1027" t="s">
        <v>3663</v>
      </c>
      <c r="B1027">
        <v>2.97</v>
      </c>
      <c r="C1027" t="s">
        <v>3664</v>
      </c>
      <c r="D1027" t="s">
        <v>3641</v>
      </c>
    </row>
    <row r="1028" spans="1:4">
      <c r="A1028" t="s">
        <v>3665</v>
      </c>
      <c r="B1028">
        <v>3</v>
      </c>
      <c r="C1028" t="s">
        <v>3666</v>
      </c>
      <c r="D1028" t="s">
        <v>3641</v>
      </c>
    </row>
    <row r="1029" spans="1:4">
      <c r="A1029" t="s">
        <v>3667</v>
      </c>
      <c r="B1029">
        <v>2.95</v>
      </c>
      <c r="C1029" t="s">
        <v>3363</v>
      </c>
      <c r="D1029" t="s">
        <v>2558</v>
      </c>
    </row>
    <row r="1030" spans="1:4">
      <c r="A1030" t="s">
        <v>3668</v>
      </c>
      <c r="B1030">
        <v>3.12</v>
      </c>
      <c r="C1030" t="s">
        <v>3585</v>
      </c>
      <c r="D1030" t="s">
        <v>3533</v>
      </c>
    </row>
    <row r="1031" spans="1:4">
      <c r="A1031" t="s">
        <v>3669</v>
      </c>
      <c r="B1031">
        <v>3.1</v>
      </c>
      <c r="C1031" t="s">
        <v>3115</v>
      </c>
      <c r="D1031" t="s">
        <v>3533</v>
      </c>
    </row>
    <row r="1032" spans="1:4">
      <c r="A1032" t="s">
        <v>3670</v>
      </c>
      <c r="B1032">
        <v>3.08</v>
      </c>
      <c r="C1032" t="s">
        <v>3119</v>
      </c>
      <c r="D1032" t="s">
        <v>3533</v>
      </c>
    </row>
    <row r="1033" spans="1:4">
      <c r="A1033" t="s">
        <v>3671</v>
      </c>
      <c r="B1033">
        <v>2.92</v>
      </c>
      <c r="C1033" t="s">
        <v>3347</v>
      </c>
      <c r="D1033" t="s">
        <v>3672</v>
      </c>
    </row>
    <row r="1034" spans="1:4">
      <c r="A1034" t="s">
        <v>3673</v>
      </c>
      <c r="B1034">
        <v>2.96</v>
      </c>
      <c r="C1034" t="s">
        <v>3363</v>
      </c>
      <c r="D1034" t="s">
        <v>2558</v>
      </c>
    </row>
    <row r="1035" spans="1:4">
      <c r="A1035" t="s">
        <v>3674</v>
      </c>
      <c r="B1035">
        <v>3.05</v>
      </c>
      <c r="C1035" t="s">
        <v>3633</v>
      </c>
      <c r="D1035" t="s">
        <v>3647</v>
      </c>
    </row>
    <row r="1036" spans="1:4">
      <c r="A1036" t="s">
        <v>3675</v>
      </c>
      <c r="B1036">
        <v>2.97</v>
      </c>
      <c r="C1036" t="s">
        <v>3347</v>
      </c>
      <c r="D1036" t="s">
        <v>3676</v>
      </c>
    </row>
    <row r="1037" spans="1:4">
      <c r="A1037" t="s">
        <v>3677</v>
      </c>
      <c r="B1037">
        <v>2.9</v>
      </c>
      <c r="C1037" t="s">
        <v>3347</v>
      </c>
      <c r="D1037" t="s">
        <v>3641</v>
      </c>
    </row>
    <row r="1038" spans="1:4">
      <c r="A1038" t="s">
        <v>3678</v>
      </c>
      <c r="B1038">
        <v>2.91</v>
      </c>
      <c r="C1038" t="s">
        <v>3679</v>
      </c>
      <c r="D1038" t="s">
        <v>2450</v>
      </c>
    </row>
    <row r="1039" spans="1:4">
      <c r="A1039" t="s">
        <v>3680</v>
      </c>
      <c r="B1039">
        <v>3.02</v>
      </c>
      <c r="C1039" t="s">
        <v>3407</v>
      </c>
      <c r="D1039" t="s">
        <v>3088</v>
      </c>
    </row>
    <row r="1040" spans="1:4">
      <c r="A1040" t="s">
        <v>3681</v>
      </c>
      <c r="B1040">
        <v>2.96</v>
      </c>
      <c r="C1040" t="s">
        <v>3407</v>
      </c>
      <c r="D1040" t="s">
        <v>3088</v>
      </c>
    </row>
    <row r="1041" spans="1:4">
      <c r="A1041" t="s">
        <v>3682</v>
      </c>
      <c r="B1041">
        <v>2.96</v>
      </c>
      <c r="C1041" t="s">
        <v>3363</v>
      </c>
      <c r="D1041" t="s">
        <v>2450</v>
      </c>
    </row>
    <row r="1042" spans="1:4">
      <c r="A1042" t="s">
        <v>3683</v>
      </c>
      <c r="B1042">
        <v>2.94</v>
      </c>
      <c r="C1042" t="s">
        <v>3416</v>
      </c>
      <c r="D1042" t="s">
        <v>2450</v>
      </c>
    </row>
    <row r="1043" spans="1:4">
      <c r="A1043" t="s">
        <v>3684</v>
      </c>
      <c r="B1043">
        <v>2.94</v>
      </c>
      <c r="C1043" t="s">
        <v>3416</v>
      </c>
      <c r="D1043" t="s">
        <v>2450</v>
      </c>
    </row>
    <row r="1044" spans="1:4">
      <c r="A1044" t="s">
        <v>3685</v>
      </c>
      <c r="B1044">
        <v>3.22</v>
      </c>
      <c r="C1044" t="s">
        <v>3662</v>
      </c>
      <c r="D1044" t="s">
        <v>3533</v>
      </c>
    </row>
    <row r="1045" spans="1:4">
      <c r="A1045" t="s">
        <v>3686</v>
      </c>
      <c r="B1045">
        <v>3.15</v>
      </c>
      <c r="C1045" t="s">
        <v>3687</v>
      </c>
      <c r="D1045" t="s">
        <v>3533</v>
      </c>
    </row>
    <row r="1046" spans="1:4">
      <c r="A1046" t="s">
        <v>3688</v>
      </c>
      <c r="B1046">
        <v>2.92</v>
      </c>
      <c r="C1046" t="s">
        <v>3103</v>
      </c>
      <c r="D1046" t="s">
        <v>3172</v>
      </c>
    </row>
    <row r="1047" spans="1:4">
      <c r="A1047" t="s">
        <v>3689</v>
      </c>
      <c r="B1047">
        <v>3</v>
      </c>
      <c r="C1047" t="s">
        <v>3164</v>
      </c>
      <c r="D1047" t="s">
        <v>3690</v>
      </c>
    </row>
    <row r="1048" spans="1:4">
      <c r="A1048" t="s">
        <v>3691</v>
      </c>
      <c r="B1048">
        <v>2.9</v>
      </c>
      <c r="C1048" t="s">
        <v>2392</v>
      </c>
      <c r="D1048" t="s">
        <v>3172</v>
      </c>
    </row>
    <row r="1049" spans="1:4">
      <c r="A1049" t="s">
        <v>3692</v>
      </c>
      <c r="B1049">
        <v>2.9</v>
      </c>
      <c r="C1049" t="s">
        <v>2392</v>
      </c>
      <c r="D1049" t="s">
        <v>3172</v>
      </c>
    </row>
    <row r="1050" spans="1:4">
      <c r="A1050" t="s">
        <v>3693</v>
      </c>
      <c r="B1050">
        <v>2.95</v>
      </c>
      <c r="C1050" t="s">
        <v>2395</v>
      </c>
      <c r="D1050" t="s">
        <v>3172</v>
      </c>
    </row>
    <row r="1051" spans="1:4">
      <c r="A1051" t="s">
        <v>3694</v>
      </c>
      <c r="B1051">
        <v>2.94</v>
      </c>
      <c r="C1051" t="s">
        <v>2395</v>
      </c>
      <c r="D1051" t="s">
        <v>3172</v>
      </c>
    </row>
    <row r="1052" spans="1:4">
      <c r="A1052" t="s">
        <v>3695</v>
      </c>
      <c r="B1052">
        <v>2.92</v>
      </c>
      <c r="C1052" t="s">
        <v>2395</v>
      </c>
      <c r="D1052" t="s">
        <v>3172</v>
      </c>
    </row>
    <row r="1053" spans="1:4">
      <c r="A1053" t="s">
        <v>3696</v>
      </c>
      <c r="B1053">
        <v>2.95</v>
      </c>
      <c r="C1053" t="s">
        <v>3697</v>
      </c>
      <c r="D1053" t="s">
        <v>3172</v>
      </c>
    </row>
    <row r="1054" spans="1:4">
      <c r="A1054" t="s">
        <v>3698</v>
      </c>
      <c r="B1054">
        <v>2.95</v>
      </c>
      <c r="C1054" t="s">
        <v>2395</v>
      </c>
      <c r="D1054" t="s">
        <v>3172</v>
      </c>
    </row>
    <row r="1055" spans="1:4">
      <c r="A1055" t="s">
        <v>3699</v>
      </c>
      <c r="B1055">
        <v>2.88</v>
      </c>
      <c r="C1055" t="s">
        <v>2392</v>
      </c>
      <c r="D1055" t="s">
        <v>3700</v>
      </c>
    </row>
    <row r="1056" spans="1:4">
      <c r="A1056" t="s">
        <v>3701</v>
      </c>
      <c r="B1056">
        <v>2.97</v>
      </c>
      <c r="C1056" t="s">
        <v>3702</v>
      </c>
      <c r="D1056" t="s">
        <v>3703</v>
      </c>
    </row>
    <row r="1057" spans="1:4">
      <c r="A1057" t="s">
        <v>3704</v>
      </c>
      <c r="B1057">
        <v>2.91</v>
      </c>
      <c r="C1057" t="s">
        <v>2395</v>
      </c>
      <c r="D1057" t="s">
        <v>3705</v>
      </c>
    </row>
    <row r="1058" spans="1:4">
      <c r="A1058" t="s">
        <v>3706</v>
      </c>
      <c r="B1058">
        <v>2.89</v>
      </c>
      <c r="C1058" t="s">
        <v>2392</v>
      </c>
      <c r="D1058" t="s">
        <v>3707</v>
      </c>
    </row>
    <row r="1059" spans="1:4">
      <c r="A1059" t="s">
        <v>3708</v>
      </c>
      <c r="B1059">
        <v>2.96</v>
      </c>
      <c r="C1059" t="s">
        <v>3709</v>
      </c>
      <c r="D1059" t="s">
        <v>3710</v>
      </c>
    </row>
    <row r="1060" spans="1:4">
      <c r="A1060" t="s">
        <v>3711</v>
      </c>
      <c r="B1060">
        <v>3.01</v>
      </c>
      <c r="C1060" t="s">
        <v>3712</v>
      </c>
      <c r="D1060" t="s">
        <v>3713</v>
      </c>
    </row>
    <row r="1061" spans="1:4">
      <c r="A1061" t="s">
        <v>3714</v>
      </c>
      <c r="B1061">
        <v>3.04</v>
      </c>
      <c r="C1061" t="s">
        <v>3164</v>
      </c>
      <c r="D1061" t="s">
        <v>3710</v>
      </c>
    </row>
    <row r="1062" spans="1:4">
      <c r="A1062" t="s">
        <v>3715</v>
      </c>
      <c r="B1062">
        <v>2.98</v>
      </c>
      <c r="C1062" t="s">
        <v>3716</v>
      </c>
      <c r="D1062" t="s">
        <v>3172</v>
      </c>
    </row>
    <row r="1063" spans="1:4">
      <c r="A1063" t="s">
        <v>3717</v>
      </c>
      <c r="B1063">
        <v>3.1</v>
      </c>
      <c r="C1063" t="s">
        <v>3164</v>
      </c>
      <c r="D1063" t="s">
        <v>3690</v>
      </c>
    </row>
    <row r="1064" spans="1:4">
      <c r="A1064" t="s">
        <v>3718</v>
      </c>
      <c r="B1064">
        <v>3.09</v>
      </c>
      <c r="C1064" t="s">
        <v>3719</v>
      </c>
      <c r="D1064" t="s">
        <v>3710</v>
      </c>
    </row>
    <row r="1065" spans="1:4">
      <c r="A1065" t="s">
        <v>3720</v>
      </c>
      <c r="B1065">
        <v>3.02</v>
      </c>
      <c r="C1065" t="s">
        <v>3721</v>
      </c>
      <c r="D1065" t="s">
        <v>3690</v>
      </c>
    </row>
    <row r="1066" spans="1:4">
      <c r="A1066" t="s">
        <v>3722</v>
      </c>
      <c r="B1066">
        <v>3.04</v>
      </c>
      <c r="C1066" t="s">
        <v>3164</v>
      </c>
      <c r="D1066" t="s">
        <v>3723</v>
      </c>
    </row>
    <row r="1067" spans="1:4">
      <c r="A1067" t="s">
        <v>3724</v>
      </c>
      <c r="B1067">
        <v>3.05</v>
      </c>
      <c r="C1067" t="s">
        <v>3164</v>
      </c>
      <c r="D1067" t="s">
        <v>3710</v>
      </c>
    </row>
    <row r="1068" spans="1:4">
      <c r="A1068" t="s">
        <v>3725</v>
      </c>
      <c r="B1068">
        <v>3.03</v>
      </c>
      <c r="C1068" t="s">
        <v>3164</v>
      </c>
      <c r="D1068" t="s">
        <v>3710</v>
      </c>
    </row>
    <row r="1069" spans="1:4">
      <c r="A1069" t="s">
        <v>3726</v>
      </c>
      <c r="B1069">
        <v>3.1</v>
      </c>
      <c r="C1069" t="s">
        <v>3727</v>
      </c>
      <c r="D1069" t="s">
        <v>3710</v>
      </c>
    </row>
    <row r="1070" spans="1:4">
      <c r="A1070" t="s">
        <v>2274</v>
      </c>
      <c r="B1070">
        <v>3</v>
      </c>
      <c r="C1070" t="s">
        <v>3719</v>
      </c>
      <c r="D1070" t="s">
        <v>3710</v>
      </c>
    </row>
    <row r="1071" spans="1:4">
      <c r="A1071" t="s">
        <v>3728</v>
      </c>
      <c r="B1071">
        <v>3.1</v>
      </c>
      <c r="C1071" t="s">
        <v>108</v>
      </c>
      <c r="D1071" t="s">
        <v>3710</v>
      </c>
    </row>
    <row r="1072" spans="1:4">
      <c r="A1072" t="s">
        <v>2271</v>
      </c>
      <c r="B1072">
        <v>2.97</v>
      </c>
      <c r="C1072" t="s">
        <v>3729</v>
      </c>
      <c r="D1072" t="s">
        <v>3710</v>
      </c>
    </row>
    <row r="1073" spans="1:4">
      <c r="A1073" t="s">
        <v>3730</v>
      </c>
      <c r="B1073">
        <v>3.09</v>
      </c>
      <c r="C1073" t="s">
        <v>3731</v>
      </c>
      <c r="D1073" t="s">
        <v>3710</v>
      </c>
    </row>
    <row r="1074" spans="1:4">
      <c r="A1074" t="s">
        <v>3732</v>
      </c>
      <c r="B1074">
        <v>2.97</v>
      </c>
      <c r="C1074" t="s">
        <v>3217</v>
      </c>
      <c r="D1074" t="s">
        <v>3710</v>
      </c>
    </row>
    <row r="1075" spans="1:4">
      <c r="A1075" t="s">
        <v>3733</v>
      </c>
      <c r="B1075">
        <v>2.89</v>
      </c>
      <c r="C1075" t="s">
        <v>3721</v>
      </c>
      <c r="D1075" t="s">
        <v>3703</v>
      </c>
    </row>
    <row r="1076" spans="1:4">
      <c r="A1076" t="s">
        <v>3734</v>
      </c>
      <c r="B1076">
        <v>2.88</v>
      </c>
      <c r="C1076" t="s">
        <v>3735</v>
      </c>
      <c r="D1076" t="s">
        <v>3703</v>
      </c>
    </row>
    <row r="1077" spans="1:4">
      <c r="A1077" t="s">
        <v>3736</v>
      </c>
      <c r="B1077">
        <v>3.03</v>
      </c>
      <c r="C1077" t="s">
        <v>3697</v>
      </c>
      <c r="D1077" t="s">
        <v>3710</v>
      </c>
    </row>
    <row r="1078" spans="1:4">
      <c r="A1078" t="s">
        <v>3737</v>
      </c>
      <c r="B1078">
        <v>2.95</v>
      </c>
      <c r="C1078" t="s">
        <v>3721</v>
      </c>
      <c r="D1078" t="s">
        <v>3703</v>
      </c>
    </row>
    <row r="1079" spans="1:4">
      <c r="A1079" t="s">
        <v>3738</v>
      </c>
      <c r="B1079">
        <v>2.96</v>
      </c>
      <c r="C1079" t="s">
        <v>3735</v>
      </c>
      <c r="D1079" t="s">
        <v>3703</v>
      </c>
    </row>
    <row r="1080" spans="1:4">
      <c r="A1080" t="s">
        <v>3739</v>
      </c>
      <c r="B1080">
        <v>2.99</v>
      </c>
      <c r="C1080" t="s">
        <v>3721</v>
      </c>
      <c r="D1080" t="s">
        <v>3690</v>
      </c>
    </row>
    <row r="1081" spans="1:4">
      <c r="A1081" t="s">
        <v>3740</v>
      </c>
      <c r="B1081">
        <v>3</v>
      </c>
      <c r="C1081" t="s">
        <v>3741</v>
      </c>
      <c r="D1081" t="s">
        <v>3690</v>
      </c>
    </row>
    <row r="1082" spans="1:4">
      <c r="A1082" t="s">
        <v>3742</v>
      </c>
      <c r="B1082">
        <v>3.01</v>
      </c>
      <c r="C1082" t="s">
        <v>3743</v>
      </c>
      <c r="D1082" t="s">
        <v>3710</v>
      </c>
    </row>
    <row r="1083" spans="1:4">
      <c r="A1083" t="s">
        <v>3744</v>
      </c>
      <c r="B1083">
        <v>3.03</v>
      </c>
      <c r="C1083" t="s">
        <v>3087</v>
      </c>
      <c r="D1083" t="s">
        <v>3710</v>
      </c>
    </row>
    <row r="1084" spans="1:4">
      <c r="A1084" t="s">
        <v>3745</v>
      </c>
      <c r="B1084">
        <v>2.87</v>
      </c>
      <c r="C1084" t="s">
        <v>3721</v>
      </c>
      <c r="D1084" t="s">
        <v>3703</v>
      </c>
    </row>
    <row r="1085" spans="1:4">
      <c r="A1085" t="s">
        <v>3746</v>
      </c>
      <c r="B1085">
        <v>2.94</v>
      </c>
      <c r="C1085" t="s">
        <v>3747</v>
      </c>
      <c r="D1085" t="s">
        <v>3690</v>
      </c>
    </row>
    <row r="1086" spans="1:4">
      <c r="A1086" t="s">
        <v>3748</v>
      </c>
      <c r="B1086">
        <v>3.11</v>
      </c>
      <c r="C1086" t="s">
        <v>3731</v>
      </c>
      <c r="D1086" t="s">
        <v>3710</v>
      </c>
    </row>
    <row r="1087" spans="1:4">
      <c r="A1087" t="s">
        <v>3749</v>
      </c>
      <c r="B1087">
        <v>3.09</v>
      </c>
      <c r="C1087" t="s">
        <v>3164</v>
      </c>
      <c r="D1087" t="s">
        <v>3690</v>
      </c>
    </row>
    <row r="1088" spans="1:4">
      <c r="A1088" t="s">
        <v>3750</v>
      </c>
      <c r="B1088">
        <v>3.02</v>
      </c>
      <c r="C1088" t="s">
        <v>3751</v>
      </c>
      <c r="D1088" t="s">
        <v>3710</v>
      </c>
    </row>
    <row r="1089" spans="1:4">
      <c r="A1089" t="s">
        <v>3752</v>
      </c>
      <c r="B1089">
        <v>3.07</v>
      </c>
      <c r="C1089" t="s">
        <v>3164</v>
      </c>
      <c r="D1089" t="s">
        <v>3710</v>
      </c>
    </row>
    <row r="1090" spans="1:4">
      <c r="A1090" t="s">
        <v>3753</v>
      </c>
      <c r="B1090">
        <v>3.03</v>
      </c>
      <c r="C1090" t="s">
        <v>3164</v>
      </c>
      <c r="D1090" t="s">
        <v>3723</v>
      </c>
    </row>
    <row r="1091" spans="1:4">
      <c r="A1091" t="s">
        <v>3754</v>
      </c>
      <c r="B1091">
        <v>2.85</v>
      </c>
      <c r="C1091" t="s">
        <v>3721</v>
      </c>
      <c r="D1091" t="s">
        <v>3703</v>
      </c>
    </row>
    <row r="1092" spans="1:4">
      <c r="A1092" t="s">
        <v>3755</v>
      </c>
      <c r="B1092">
        <v>2.88</v>
      </c>
      <c r="C1092" t="s">
        <v>3721</v>
      </c>
      <c r="D1092" t="s">
        <v>3703</v>
      </c>
    </row>
    <row r="1093" spans="1:4">
      <c r="A1093" t="s">
        <v>3756</v>
      </c>
      <c r="B1093">
        <v>2.9</v>
      </c>
      <c r="C1093" t="s">
        <v>3735</v>
      </c>
      <c r="D1093" t="s">
        <v>3703</v>
      </c>
    </row>
    <row r="1094" spans="1:4">
      <c r="A1094" t="s">
        <v>2276</v>
      </c>
      <c r="B1094">
        <v>3.01</v>
      </c>
      <c r="C1094" t="s">
        <v>2783</v>
      </c>
      <c r="D1094" t="s">
        <v>3172</v>
      </c>
    </row>
    <row r="1095" spans="1:4">
      <c r="A1095" t="s">
        <v>3757</v>
      </c>
      <c r="B1095">
        <v>2.96</v>
      </c>
      <c r="C1095" t="s">
        <v>3721</v>
      </c>
      <c r="D1095" t="s">
        <v>3703</v>
      </c>
    </row>
    <row r="1096" spans="1:4">
      <c r="A1096" t="s">
        <v>3758</v>
      </c>
      <c r="B1096">
        <v>3.06</v>
      </c>
      <c r="C1096" t="s">
        <v>2783</v>
      </c>
      <c r="D1096" t="s">
        <v>3172</v>
      </c>
    </row>
    <row r="1097" spans="1:4">
      <c r="A1097" t="s">
        <v>3759</v>
      </c>
      <c r="B1097">
        <v>2.94</v>
      </c>
      <c r="C1097" t="s">
        <v>2783</v>
      </c>
      <c r="D1097" t="s">
        <v>3703</v>
      </c>
    </row>
    <row r="1098" spans="1:4">
      <c r="A1098" t="s">
        <v>3760</v>
      </c>
      <c r="B1098">
        <v>3.02</v>
      </c>
      <c r="C1098" t="s">
        <v>2783</v>
      </c>
      <c r="D1098" t="s">
        <v>3703</v>
      </c>
    </row>
    <row r="1099" spans="1:4">
      <c r="A1099" t="s">
        <v>3761</v>
      </c>
      <c r="B1099">
        <v>2.91</v>
      </c>
      <c r="C1099" t="s">
        <v>3361</v>
      </c>
      <c r="D1099" t="s">
        <v>3703</v>
      </c>
    </row>
    <row r="1100" spans="1:4">
      <c r="A1100" t="s">
        <v>3762</v>
      </c>
      <c r="B1100">
        <v>2.92</v>
      </c>
      <c r="C1100" t="s">
        <v>3361</v>
      </c>
      <c r="D1100" t="s">
        <v>3703</v>
      </c>
    </row>
    <row r="1101" spans="1:4">
      <c r="A1101" t="s">
        <v>3763</v>
      </c>
      <c r="B1101">
        <v>2.95</v>
      </c>
      <c r="C1101" t="s">
        <v>3721</v>
      </c>
      <c r="D1101" t="s">
        <v>3690</v>
      </c>
    </row>
    <row r="1102" spans="1:4">
      <c r="A1102" t="s">
        <v>3764</v>
      </c>
      <c r="B1102">
        <v>2.98</v>
      </c>
      <c r="C1102" t="s">
        <v>3721</v>
      </c>
      <c r="D1102" t="s">
        <v>3690</v>
      </c>
    </row>
    <row r="1103" spans="1:4">
      <c r="A1103" t="s">
        <v>3765</v>
      </c>
      <c r="B1103">
        <v>2.91</v>
      </c>
      <c r="C1103" t="s">
        <v>3721</v>
      </c>
      <c r="D1103" t="s">
        <v>3703</v>
      </c>
    </row>
    <row r="1104" spans="1:4">
      <c r="A1104" t="s">
        <v>3766</v>
      </c>
      <c r="B1104">
        <v>2.95</v>
      </c>
      <c r="C1104" t="s">
        <v>3767</v>
      </c>
      <c r="D1104" t="s">
        <v>3690</v>
      </c>
    </row>
    <row r="1105" spans="1:4">
      <c r="A1105" t="s">
        <v>2269</v>
      </c>
      <c r="B1105">
        <v>3.06</v>
      </c>
      <c r="C1105" t="s">
        <v>3164</v>
      </c>
      <c r="D1105" t="s">
        <v>3690</v>
      </c>
    </row>
    <row r="1106" spans="1:4">
      <c r="A1106" t="s">
        <v>3768</v>
      </c>
      <c r="B1106">
        <v>2.95</v>
      </c>
      <c r="C1106" t="s">
        <v>3767</v>
      </c>
      <c r="D1106" t="s">
        <v>3690</v>
      </c>
    </row>
    <row r="1107" spans="1:4">
      <c r="A1107" t="s">
        <v>3769</v>
      </c>
      <c r="B1107">
        <v>3</v>
      </c>
      <c r="C1107" t="s">
        <v>3164</v>
      </c>
      <c r="D1107" t="s">
        <v>3690</v>
      </c>
    </row>
    <row r="1108" spans="1:4">
      <c r="A1108" t="s">
        <v>3770</v>
      </c>
      <c r="B1108">
        <v>2.96</v>
      </c>
      <c r="C1108" t="s">
        <v>3771</v>
      </c>
      <c r="D1108" t="s">
        <v>3710</v>
      </c>
    </row>
    <row r="1109" spans="1:4">
      <c r="A1109" t="s">
        <v>3772</v>
      </c>
      <c r="B1109">
        <v>2.97</v>
      </c>
      <c r="C1109" t="s">
        <v>3771</v>
      </c>
      <c r="D1109" t="s">
        <v>3710</v>
      </c>
    </row>
    <row r="1110" spans="1:4">
      <c r="A1110" t="s">
        <v>3773</v>
      </c>
      <c r="B1110">
        <v>3.03</v>
      </c>
      <c r="C1110" t="s">
        <v>3164</v>
      </c>
      <c r="D1110" t="s">
        <v>3710</v>
      </c>
    </row>
    <row r="1111" spans="1:4">
      <c r="A1111" t="s">
        <v>2267</v>
      </c>
      <c r="B1111">
        <v>3.05</v>
      </c>
      <c r="C1111" t="s">
        <v>3164</v>
      </c>
      <c r="D1111" t="s">
        <v>3710</v>
      </c>
    </row>
    <row r="1112" spans="1:4">
      <c r="A1112" t="s">
        <v>3774</v>
      </c>
      <c r="B1112">
        <v>2.94</v>
      </c>
      <c r="C1112" t="s">
        <v>3164</v>
      </c>
      <c r="D1112" t="s">
        <v>3690</v>
      </c>
    </row>
    <row r="1113" spans="1:4">
      <c r="A1113" t="s">
        <v>3775</v>
      </c>
      <c r="B1113">
        <v>2.99</v>
      </c>
      <c r="C1113" t="s">
        <v>3741</v>
      </c>
      <c r="D1113" t="s">
        <v>3690</v>
      </c>
    </row>
    <row r="1114" spans="1:4">
      <c r="A1114" t="s">
        <v>3776</v>
      </c>
      <c r="B1114">
        <v>2.95</v>
      </c>
      <c r="C1114" t="s">
        <v>3164</v>
      </c>
      <c r="D1114" t="s">
        <v>3723</v>
      </c>
    </row>
    <row r="1115" spans="1:4">
      <c r="A1115" t="s">
        <v>3777</v>
      </c>
      <c r="B1115">
        <v>3.04</v>
      </c>
      <c r="C1115" t="s">
        <v>3164</v>
      </c>
      <c r="D1115" t="s">
        <v>3723</v>
      </c>
    </row>
    <row r="1116" spans="1:4">
      <c r="A1116" t="s">
        <v>3778</v>
      </c>
      <c r="B1116">
        <v>2.98</v>
      </c>
      <c r="C1116" t="s">
        <v>3164</v>
      </c>
      <c r="D1116" t="s">
        <v>3723</v>
      </c>
    </row>
    <row r="1117" spans="1:4">
      <c r="A1117" t="s">
        <v>3779</v>
      </c>
      <c r="B1117">
        <v>3.01</v>
      </c>
      <c r="C1117" t="s">
        <v>2783</v>
      </c>
      <c r="D1117" t="s">
        <v>3172</v>
      </c>
    </row>
    <row r="1118" spans="1:4">
      <c r="A1118" t="s">
        <v>3780</v>
      </c>
      <c r="B1118">
        <v>3.06</v>
      </c>
      <c r="C1118" t="s">
        <v>3164</v>
      </c>
      <c r="D1118" t="s">
        <v>3690</v>
      </c>
    </row>
    <row r="1119" spans="1:4">
      <c r="A1119" t="s">
        <v>3781</v>
      </c>
      <c r="B1119">
        <v>3</v>
      </c>
      <c r="C1119" t="s">
        <v>3164</v>
      </c>
      <c r="D1119" t="s">
        <v>3723</v>
      </c>
    </row>
    <row r="1120" spans="1:4">
      <c r="A1120" t="s">
        <v>3782</v>
      </c>
      <c r="B1120">
        <v>3.1</v>
      </c>
      <c r="C1120" t="s">
        <v>3164</v>
      </c>
      <c r="D1120" t="s">
        <v>3690</v>
      </c>
    </row>
    <row r="1121" spans="1:4">
      <c r="A1121" t="s">
        <v>3783</v>
      </c>
      <c r="B1121">
        <v>3.03</v>
      </c>
      <c r="C1121" t="s">
        <v>3083</v>
      </c>
      <c r="D1121" t="s">
        <v>3710</v>
      </c>
    </row>
    <row r="1122" spans="1:4">
      <c r="A1122" t="s">
        <v>3784</v>
      </c>
      <c r="B1122">
        <v>3.06</v>
      </c>
      <c r="C1122" t="s">
        <v>2783</v>
      </c>
      <c r="D1122" t="s">
        <v>3710</v>
      </c>
    </row>
    <row r="1123" spans="1:4">
      <c r="A1123" t="s">
        <v>3785</v>
      </c>
      <c r="B1123">
        <v>3.03</v>
      </c>
      <c r="C1123" t="s">
        <v>3731</v>
      </c>
      <c r="D1123" t="s">
        <v>3710</v>
      </c>
    </row>
    <row r="1124" spans="1:4">
      <c r="A1124" t="s">
        <v>3786</v>
      </c>
      <c r="B1124">
        <v>3.02</v>
      </c>
      <c r="C1124" t="s">
        <v>3735</v>
      </c>
      <c r="D1124" t="s">
        <v>3710</v>
      </c>
    </row>
    <row r="1125" spans="1:4">
      <c r="A1125" t="s">
        <v>3787</v>
      </c>
      <c r="B1125">
        <v>3.04</v>
      </c>
      <c r="C1125" t="s">
        <v>3164</v>
      </c>
      <c r="D1125" t="s">
        <v>3710</v>
      </c>
    </row>
    <row r="1126" spans="1:4">
      <c r="A1126" t="s">
        <v>3788</v>
      </c>
      <c r="B1126">
        <v>2.99</v>
      </c>
      <c r="C1126" t="s">
        <v>3741</v>
      </c>
      <c r="D1126" t="s">
        <v>3710</v>
      </c>
    </row>
    <row r="1127" spans="1:4">
      <c r="A1127" t="s">
        <v>3789</v>
      </c>
      <c r="B1127">
        <v>2.96</v>
      </c>
      <c r="C1127" t="s">
        <v>3790</v>
      </c>
      <c r="D1127" t="s">
        <v>3723</v>
      </c>
    </row>
    <row r="1128" spans="1:4">
      <c r="A1128" t="s">
        <v>3791</v>
      </c>
      <c r="B1128">
        <v>3.1</v>
      </c>
      <c r="C1128" t="s">
        <v>2783</v>
      </c>
      <c r="D1128" t="s">
        <v>3710</v>
      </c>
    </row>
    <row r="1129" spans="1:4">
      <c r="A1129" t="s">
        <v>3792</v>
      </c>
      <c r="B1129">
        <v>3.13</v>
      </c>
      <c r="C1129" t="s">
        <v>3731</v>
      </c>
      <c r="D1129" t="s">
        <v>3710</v>
      </c>
    </row>
    <row r="1130" spans="1:4">
      <c r="A1130" t="s">
        <v>3793</v>
      </c>
      <c r="B1130">
        <v>3.01</v>
      </c>
      <c r="C1130" t="s">
        <v>3716</v>
      </c>
      <c r="D1130" t="s">
        <v>3713</v>
      </c>
    </row>
    <row r="1131" spans="1:4">
      <c r="A1131" t="s">
        <v>3794</v>
      </c>
      <c r="B1131">
        <v>2.93</v>
      </c>
      <c r="C1131" t="s">
        <v>2783</v>
      </c>
      <c r="D1131" t="s">
        <v>3172</v>
      </c>
    </row>
    <row r="1132" spans="1:4">
      <c r="A1132" t="s">
        <v>3795</v>
      </c>
      <c r="B1132">
        <v>3</v>
      </c>
      <c r="C1132" t="s">
        <v>2783</v>
      </c>
      <c r="D1132" t="s">
        <v>3713</v>
      </c>
    </row>
    <row r="1133" spans="1:4">
      <c r="A1133" t="s">
        <v>3796</v>
      </c>
      <c r="B1133">
        <v>2.98</v>
      </c>
      <c r="C1133" t="s">
        <v>2783</v>
      </c>
      <c r="D1133" t="s">
        <v>3172</v>
      </c>
    </row>
    <row r="1134" spans="1:4">
      <c r="A1134" t="s">
        <v>3797</v>
      </c>
      <c r="B1134">
        <v>2.95</v>
      </c>
      <c r="C1134" t="s">
        <v>2783</v>
      </c>
      <c r="D1134" t="s">
        <v>3172</v>
      </c>
    </row>
    <row r="1135" spans="1:4">
      <c r="A1135" t="s">
        <v>3798</v>
      </c>
      <c r="B1135">
        <v>2.9</v>
      </c>
      <c r="C1135" t="s">
        <v>3697</v>
      </c>
      <c r="D1135" t="s">
        <v>3172</v>
      </c>
    </row>
    <row r="1136" spans="1:4">
      <c r="A1136" t="s">
        <v>3799</v>
      </c>
      <c r="B1136">
        <v>2.9</v>
      </c>
      <c r="C1136" t="s">
        <v>3800</v>
      </c>
      <c r="D1136" t="s">
        <v>3172</v>
      </c>
    </row>
    <row r="1137" spans="1:4">
      <c r="A1137" t="s">
        <v>3801</v>
      </c>
      <c r="B1137">
        <v>2.92</v>
      </c>
      <c r="C1137" t="s">
        <v>2783</v>
      </c>
      <c r="D1137" t="s">
        <v>3172</v>
      </c>
    </row>
    <row r="1138" spans="1:4">
      <c r="A1138" t="s">
        <v>3802</v>
      </c>
      <c r="B1138">
        <v>2.99</v>
      </c>
      <c r="C1138" t="s">
        <v>2392</v>
      </c>
      <c r="D1138" t="s">
        <v>3172</v>
      </c>
    </row>
    <row r="1139" spans="1:4">
      <c r="A1139" t="s">
        <v>3803</v>
      </c>
      <c r="B1139">
        <v>2.94</v>
      </c>
      <c r="C1139" t="s">
        <v>2783</v>
      </c>
      <c r="D1139" t="s">
        <v>3172</v>
      </c>
    </row>
    <row r="1140" spans="1:4">
      <c r="A1140" t="s">
        <v>3804</v>
      </c>
      <c r="B1140">
        <v>2.9</v>
      </c>
      <c r="C1140" t="s">
        <v>3217</v>
      </c>
      <c r="D1140" t="s">
        <v>3172</v>
      </c>
    </row>
    <row r="1141" spans="1:4">
      <c r="A1141" t="s">
        <v>3805</v>
      </c>
      <c r="B1141">
        <v>2.96</v>
      </c>
      <c r="C1141" t="s">
        <v>3697</v>
      </c>
      <c r="D1141" t="s">
        <v>3172</v>
      </c>
    </row>
    <row r="1142" spans="1:4">
      <c r="A1142" t="s">
        <v>3806</v>
      </c>
      <c r="B1142">
        <v>2.97</v>
      </c>
      <c r="C1142" t="s">
        <v>3800</v>
      </c>
      <c r="D1142" t="s">
        <v>3172</v>
      </c>
    </row>
    <row r="1143" spans="1:4">
      <c r="A1143" t="s">
        <v>3807</v>
      </c>
      <c r="B1143">
        <v>2.98</v>
      </c>
      <c r="C1143" t="s">
        <v>2783</v>
      </c>
      <c r="D1143" t="s">
        <v>3172</v>
      </c>
    </row>
    <row r="1144" spans="1:4">
      <c r="A1144" t="s">
        <v>3808</v>
      </c>
      <c r="B1144">
        <v>2.99</v>
      </c>
      <c r="C1144" t="s">
        <v>3709</v>
      </c>
      <c r="D1144" t="s">
        <v>3172</v>
      </c>
    </row>
    <row r="1145" spans="1:4">
      <c r="A1145" t="s">
        <v>3809</v>
      </c>
      <c r="B1145">
        <v>2.94</v>
      </c>
      <c r="C1145" t="s">
        <v>2392</v>
      </c>
      <c r="D1145" t="s">
        <v>3172</v>
      </c>
    </row>
    <row r="1146" spans="1:4">
      <c r="A1146" t="s">
        <v>3810</v>
      </c>
      <c r="B1146">
        <v>2.95</v>
      </c>
      <c r="C1146" t="s">
        <v>2395</v>
      </c>
      <c r="D1146" t="s">
        <v>3172</v>
      </c>
    </row>
    <row r="1147" spans="1:4">
      <c r="A1147" t="s">
        <v>3811</v>
      </c>
      <c r="B1147">
        <v>2.95</v>
      </c>
      <c r="C1147" t="s">
        <v>2783</v>
      </c>
      <c r="D1147" t="s">
        <v>3172</v>
      </c>
    </row>
    <row r="1148" spans="1:4">
      <c r="A1148" t="s">
        <v>3812</v>
      </c>
      <c r="B1148">
        <v>2.96</v>
      </c>
      <c r="C1148" t="s">
        <v>2395</v>
      </c>
      <c r="D1148" t="s">
        <v>3172</v>
      </c>
    </row>
    <row r="1149" spans="1:4">
      <c r="A1149" t="s">
        <v>3813</v>
      </c>
      <c r="B1149">
        <v>2.91</v>
      </c>
      <c r="C1149" t="s">
        <v>3800</v>
      </c>
      <c r="D1149" t="s">
        <v>3703</v>
      </c>
    </row>
    <row r="1150" spans="1:4">
      <c r="A1150" t="s">
        <v>3814</v>
      </c>
      <c r="B1150">
        <v>2.98</v>
      </c>
      <c r="C1150" t="s">
        <v>2783</v>
      </c>
      <c r="D1150" t="s">
        <v>3690</v>
      </c>
    </row>
    <row r="1151" spans="1:4">
      <c r="A1151" t="s">
        <v>3815</v>
      </c>
      <c r="B1151">
        <v>2.98</v>
      </c>
      <c r="C1151" t="s">
        <v>2395</v>
      </c>
      <c r="D1151" t="s">
        <v>3172</v>
      </c>
    </row>
    <row r="1152" spans="1:4">
      <c r="A1152" t="s">
        <v>3816</v>
      </c>
      <c r="B1152">
        <v>2.96</v>
      </c>
      <c r="C1152" t="s">
        <v>2392</v>
      </c>
      <c r="D1152" t="s">
        <v>3172</v>
      </c>
    </row>
    <row r="1153" spans="1:4">
      <c r="A1153" t="s">
        <v>3817</v>
      </c>
      <c r="B1153">
        <v>2.96</v>
      </c>
      <c r="C1153" t="s">
        <v>2783</v>
      </c>
      <c r="D1153" t="s">
        <v>3690</v>
      </c>
    </row>
    <row r="1154" spans="1:4">
      <c r="A1154" t="s">
        <v>3818</v>
      </c>
      <c r="B1154">
        <v>2.91</v>
      </c>
      <c r="C1154" t="s">
        <v>2392</v>
      </c>
      <c r="D1154" t="s">
        <v>3172</v>
      </c>
    </row>
    <row r="1155" spans="1:4">
      <c r="A1155" t="s">
        <v>3819</v>
      </c>
      <c r="B1155">
        <v>2.96</v>
      </c>
      <c r="C1155" t="s">
        <v>2395</v>
      </c>
      <c r="D1155" t="s">
        <v>3172</v>
      </c>
    </row>
    <row r="1156" spans="1:4">
      <c r="A1156" t="s">
        <v>3820</v>
      </c>
      <c r="B1156">
        <v>2.96</v>
      </c>
      <c r="C1156" t="s">
        <v>2783</v>
      </c>
      <c r="D1156" t="s">
        <v>3713</v>
      </c>
    </row>
    <row r="1157" spans="1:4">
      <c r="A1157" t="s">
        <v>3821</v>
      </c>
      <c r="B1157">
        <v>2.95</v>
      </c>
      <c r="C1157" t="s">
        <v>2392</v>
      </c>
      <c r="D1157" t="s">
        <v>3172</v>
      </c>
    </row>
    <row r="1158" spans="1:4">
      <c r="A1158" t="s">
        <v>3822</v>
      </c>
      <c r="B1158">
        <v>2.94</v>
      </c>
      <c r="C1158" t="s">
        <v>3823</v>
      </c>
      <c r="D1158" t="s">
        <v>3710</v>
      </c>
    </row>
    <row r="1159" spans="1:4">
      <c r="A1159" t="s">
        <v>3824</v>
      </c>
      <c r="B1159">
        <v>3</v>
      </c>
      <c r="C1159" t="s">
        <v>2783</v>
      </c>
      <c r="D1159" t="s">
        <v>3690</v>
      </c>
    </row>
    <row r="1160" spans="1:4">
      <c r="A1160" t="s">
        <v>3825</v>
      </c>
      <c r="B1160">
        <v>2.97</v>
      </c>
      <c r="C1160" t="s">
        <v>2392</v>
      </c>
      <c r="D1160" t="s">
        <v>3690</v>
      </c>
    </row>
    <row r="1161" spans="1:4">
      <c r="A1161" t="s">
        <v>3826</v>
      </c>
      <c r="B1161">
        <v>3.03</v>
      </c>
      <c r="C1161" t="s">
        <v>2783</v>
      </c>
      <c r="D1161" t="s">
        <v>3713</v>
      </c>
    </row>
    <row r="1162" spans="1:4">
      <c r="A1162" t="s">
        <v>3827</v>
      </c>
      <c r="B1162">
        <v>3.02</v>
      </c>
      <c r="C1162" t="s">
        <v>3217</v>
      </c>
      <c r="D1162" t="s">
        <v>3690</v>
      </c>
    </row>
    <row r="1163" spans="1:4">
      <c r="A1163" t="s">
        <v>3828</v>
      </c>
      <c r="B1163">
        <v>2.91</v>
      </c>
      <c r="C1163" t="s">
        <v>3743</v>
      </c>
      <c r="D1163" t="s">
        <v>3690</v>
      </c>
    </row>
    <row r="1164" spans="1:4">
      <c r="A1164" t="s">
        <v>3829</v>
      </c>
      <c r="B1164">
        <v>3.01</v>
      </c>
      <c r="C1164" t="s">
        <v>2783</v>
      </c>
      <c r="D1164" t="s">
        <v>3713</v>
      </c>
    </row>
    <row r="1165" spans="1:4">
      <c r="A1165" t="s">
        <v>3830</v>
      </c>
      <c r="B1165">
        <v>3.02</v>
      </c>
      <c r="C1165" t="s">
        <v>3743</v>
      </c>
      <c r="D1165" t="s">
        <v>3690</v>
      </c>
    </row>
    <row r="1166" spans="1:4">
      <c r="A1166" t="s">
        <v>3831</v>
      </c>
      <c r="B1166">
        <v>2.96</v>
      </c>
      <c r="C1166" t="s">
        <v>2395</v>
      </c>
      <c r="D1166" t="s">
        <v>3172</v>
      </c>
    </row>
    <row r="1167" spans="1:4">
      <c r="A1167" t="s">
        <v>3832</v>
      </c>
      <c r="B1167">
        <v>2.98</v>
      </c>
      <c r="C1167" t="s">
        <v>3712</v>
      </c>
      <c r="D1167" t="s">
        <v>3172</v>
      </c>
    </row>
    <row r="1168" spans="1:4">
      <c r="A1168" t="s">
        <v>3833</v>
      </c>
      <c r="B1168">
        <v>3.06</v>
      </c>
      <c r="C1168" t="s">
        <v>3164</v>
      </c>
      <c r="D1168" t="s">
        <v>3690</v>
      </c>
    </row>
    <row r="1169" spans="1:4">
      <c r="A1169" t="s">
        <v>3834</v>
      </c>
      <c r="B1169">
        <v>3.1</v>
      </c>
      <c r="C1169" t="s">
        <v>2783</v>
      </c>
      <c r="D1169" t="s">
        <v>3710</v>
      </c>
    </row>
    <row r="1170" spans="1:4">
      <c r="A1170" t="s">
        <v>3835</v>
      </c>
      <c r="B1170">
        <v>3.06</v>
      </c>
      <c r="C1170" t="s">
        <v>2783</v>
      </c>
      <c r="D1170" t="s">
        <v>3710</v>
      </c>
    </row>
    <row r="1171" spans="1:4">
      <c r="A1171" t="s">
        <v>3836</v>
      </c>
      <c r="B1171">
        <v>3.06</v>
      </c>
      <c r="C1171" t="s">
        <v>2783</v>
      </c>
      <c r="D1171" t="s">
        <v>3172</v>
      </c>
    </row>
    <row r="1172" spans="1:4">
      <c r="A1172" t="s">
        <v>3837</v>
      </c>
      <c r="B1172">
        <v>3.02</v>
      </c>
      <c r="C1172" t="s">
        <v>2783</v>
      </c>
      <c r="D1172" t="s">
        <v>3703</v>
      </c>
    </row>
    <row r="1173" spans="1:4">
      <c r="A1173" t="s">
        <v>3838</v>
      </c>
      <c r="B1173">
        <v>3.04</v>
      </c>
      <c r="C1173" t="s">
        <v>3022</v>
      </c>
      <c r="D1173" t="s">
        <v>2450</v>
      </c>
    </row>
    <row r="1174" spans="1:4">
      <c r="A1174" t="s">
        <v>3839</v>
      </c>
      <c r="B1174">
        <v>2.92</v>
      </c>
      <c r="C1174" t="s">
        <v>3022</v>
      </c>
      <c r="D1174" t="s">
        <v>2393</v>
      </c>
    </row>
    <row r="1175" spans="1:4">
      <c r="A1175" t="s">
        <v>3840</v>
      </c>
      <c r="B1175">
        <v>3.04</v>
      </c>
      <c r="C1175" t="s">
        <v>2627</v>
      </c>
      <c r="D1175" t="s">
        <v>2450</v>
      </c>
    </row>
    <row r="1176" spans="1:4">
      <c r="A1176" t="s">
        <v>3841</v>
      </c>
      <c r="B1176">
        <v>2.89</v>
      </c>
      <c r="C1176" t="s">
        <v>2573</v>
      </c>
      <c r="D1176" t="s">
        <v>2393</v>
      </c>
    </row>
    <row r="1177" spans="1:4">
      <c r="A1177" t="s">
        <v>3842</v>
      </c>
      <c r="B1177">
        <v>3.04</v>
      </c>
      <c r="C1177" t="s">
        <v>2993</v>
      </c>
      <c r="D1177" t="s">
        <v>2450</v>
      </c>
    </row>
    <row r="1178" spans="1:4">
      <c r="A1178" t="s">
        <v>3843</v>
      </c>
      <c r="B1178">
        <v>2.92</v>
      </c>
      <c r="C1178" t="s">
        <v>2627</v>
      </c>
      <c r="D1178" t="s">
        <v>2393</v>
      </c>
    </row>
    <row r="1179" spans="1:4">
      <c r="A1179" t="s">
        <v>3844</v>
      </c>
      <c r="B1179">
        <v>2.95</v>
      </c>
      <c r="C1179" t="s">
        <v>3022</v>
      </c>
      <c r="D1179" t="s">
        <v>2393</v>
      </c>
    </row>
    <row r="1180" spans="1:4">
      <c r="A1180" t="s">
        <v>3845</v>
      </c>
      <c r="B1180">
        <v>2.95</v>
      </c>
      <c r="C1180" t="s">
        <v>2599</v>
      </c>
      <c r="D1180" t="s">
        <v>2393</v>
      </c>
    </row>
    <row r="1181" spans="1:4">
      <c r="A1181" t="s">
        <v>3846</v>
      </c>
      <c r="B1181">
        <v>2.95</v>
      </c>
      <c r="C1181" t="s">
        <v>2515</v>
      </c>
      <c r="D1181" t="s">
        <v>2393</v>
      </c>
    </row>
    <row r="1182" spans="1:4">
      <c r="A1182" t="s">
        <v>3847</v>
      </c>
      <c r="B1182">
        <v>3.17</v>
      </c>
      <c r="C1182" t="s">
        <v>3613</v>
      </c>
      <c r="D1182" t="s">
        <v>3848</v>
      </c>
    </row>
    <row r="1183" spans="1:4">
      <c r="A1183" t="s">
        <v>3849</v>
      </c>
      <c r="B1183">
        <v>3.14</v>
      </c>
      <c r="C1183" t="s">
        <v>3850</v>
      </c>
      <c r="D1183" t="s">
        <v>3848</v>
      </c>
    </row>
    <row r="1184" spans="1:4">
      <c r="A1184" t="s">
        <v>3851</v>
      </c>
      <c r="B1184">
        <v>2.85</v>
      </c>
      <c r="C1184" t="s">
        <v>2783</v>
      </c>
      <c r="D1184" t="s">
        <v>3852</v>
      </c>
    </row>
    <row r="1185" spans="1:4">
      <c r="A1185" t="s">
        <v>3853</v>
      </c>
      <c r="B1185">
        <v>3.19</v>
      </c>
      <c r="C1185" t="s">
        <v>2395</v>
      </c>
      <c r="D1185" t="s">
        <v>3854</v>
      </c>
    </row>
    <row r="1186" spans="1:4">
      <c r="A1186" t="s">
        <v>3855</v>
      </c>
      <c r="B1186">
        <v>3.19</v>
      </c>
      <c r="C1186" t="s">
        <v>2395</v>
      </c>
      <c r="D1186" t="s">
        <v>3854</v>
      </c>
    </row>
    <row r="1187" spans="1:4">
      <c r="A1187" t="s">
        <v>3856</v>
      </c>
      <c r="B1187">
        <v>3.1</v>
      </c>
      <c r="C1187" t="s">
        <v>2395</v>
      </c>
      <c r="D1187" t="s">
        <v>3852</v>
      </c>
    </row>
    <row r="1188" spans="1:4">
      <c r="A1188" t="s">
        <v>3857</v>
      </c>
      <c r="B1188">
        <v>2.9</v>
      </c>
      <c r="C1188" t="s">
        <v>3858</v>
      </c>
      <c r="D1188" t="s">
        <v>3859</v>
      </c>
    </row>
    <row r="1189" spans="1:4">
      <c r="A1189" t="s">
        <v>3860</v>
      </c>
      <c r="B1189">
        <v>3.07</v>
      </c>
      <c r="C1189" t="s">
        <v>3861</v>
      </c>
      <c r="D1189" t="s">
        <v>3859</v>
      </c>
    </row>
    <row r="1190" spans="1:4">
      <c r="A1190" t="s">
        <v>3862</v>
      </c>
      <c r="B1190">
        <v>2.83</v>
      </c>
      <c r="C1190" t="s">
        <v>3863</v>
      </c>
      <c r="D1190" t="s">
        <v>3859</v>
      </c>
    </row>
    <row r="1191" spans="1:4">
      <c r="A1191" t="s">
        <v>3864</v>
      </c>
      <c r="B1191">
        <v>2.7</v>
      </c>
      <c r="C1191" t="s">
        <v>3863</v>
      </c>
      <c r="D1191" t="s">
        <v>3859</v>
      </c>
    </row>
    <row r="1192" spans="1:4">
      <c r="A1192" t="s">
        <v>3865</v>
      </c>
      <c r="B1192">
        <v>2.83</v>
      </c>
      <c r="C1192" t="s">
        <v>2421</v>
      </c>
      <c r="D1192" t="s">
        <v>3859</v>
      </c>
    </row>
    <row r="1193" spans="1:4">
      <c r="A1193" t="s">
        <v>3866</v>
      </c>
      <c r="B1193">
        <v>2.83</v>
      </c>
      <c r="C1193" t="s">
        <v>3863</v>
      </c>
      <c r="D1193" t="s">
        <v>3859</v>
      </c>
    </row>
    <row r="1194" spans="1:4">
      <c r="A1194" t="s">
        <v>3867</v>
      </c>
      <c r="B1194">
        <v>2.85</v>
      </c>
      <c r="C1194" t="s">
        <v>3868</v>
      </c>
      <c r="D1194" t="s">
        <v>3859</v>
      </c>
    </row>
    <row r="1195" spans="1:4">
      <c r="A1195" t="s">
        <v>3869</v>
      </c>
      <c r="B1195">
        <v>2.83</v>
      </c>
      <c r="C1195" t="s">
        <v>2690</v>
      </c>
      <c r="D1195" t="s">
        <v>3859</v>
      </c>
    </row>
    <row r="1196" spans="1:4">
      <c r="A1196" t="s">
        <v>3870</v>
      </c>
      <c r="B1196">
        <v>2.5299999999999998</v>
      </c>
      <c r="C1196" t="s">
        <v>2392</v>
      </c>
      <c r="D1196" t="s">
        <v>3852</v>
      </c>
    </row>
    <row r="1197" spans="1:4">
      <c r="A1197" t="s">
        <v>3871</v>
      </c>
      <c r="B1197">
        <v>3</v>
      </c>
      <c r="C1197" t="s">
        <v>108</v>
      </c>
      <c r="D1197" t="s">
        <v>3872</v>
      </c>
    </row>
    <row r="1198" spans="1:4">
      <c r="A1198" t="s">
        <v>3873</v>
      </c>
      <c r="B1198">
        <v>3.13</v>
      </c>
      <c r="C1198" t="s">
        <v>2418</v>
      </c>
      <c r="D1198" t="s">
        <v>3874</v>
      </c>
    </row>
    <row r="1199" spans="1:4">
      <c r="A1199" t="s">
        <v>3875</v>
      </c>
      <c r="B1199">
        <v>3.12</v>
      </c>
      <c r="C1199" t="s">
        <v>2395</v>
      </c>
      <c r="D1199" t="s">
        <v>3876</v>
      </c>
    </row>
    <row r="1200" spans="1:4">
      <c r="A1200" t="s">
        <v>3877</v>
      </c>
      <c r="B1200">
        <v>3.22</v>
      </c>
      <c r="C1200" t="s">
        <v>2395</v>
      </c>
      <c r="D1200" t="s">
        <v>3878</v>
      </c>
    </row>
    <row r="1201" spans="1:4">
      <c r="A1201" t="s">
        <v>3879</v>
      </c>
      <c r="B1201">
        <v>3.19</v>
      </c>
      <c r="C1201" t="s">
        <v>2395</v>
      </c>
      <c r="D1201" t="s">
        <v>3878</v>
      </c>
    </row>
    <row r="1202" spans="1:4">
      <c r="A1202" t="s">
        <v>3880</v>
      </c>
      <c r="B1202">
        <v>3.07</v>
      </c>
      <c r="C1202" t="s">
        <v>3881</v>
      </c>
      <c r="D1202" t="s">
        <v>3878</v>
      </c>
    </row>
    <row r="1203" spans="1:4">
      <c r="A1203" t="s">
        <v>3882</v>
      </c>
      <c r="B1203">
        <v>3.25</v>
      </c>
      <c r="C1203" t="s">
        <v>2395</v>
      </c>
      <c r="D1203" t="s">
        <v>3878</v>
      </c>
    </row>
    <row r="1204" spans="1:4">
      <c r="A1204" t="s">
        <v>3883</v>
      </c>
      <c r="B1204">
        <v>3.26</v>
      </c>
      <c r="C1204" t="s">
        <v>2395</v>
      </c>
      <c r="D1204" t="s">
        <v>3878</v>
      </c>
    </row>
    <row r="1205" spans="1:4">
      <c r="A1205" t="s">
        <v>3884</v>
      </c>
      <c r="B1205">
        <v>3.26</v>
      </c>
      <c r="C1205" t="s">
        <v>3885</v>
      </c>
      <c r="D1205" t="s">
        <v>3886</v>
      </c>
    </row>
    <row r="1206" spans="1:4">
      <c r="A1206" t="s">
        <v>3887</v>
      </c>
      <c r="B1206">
        <v>3.1</v>
      </c>
      <c r="C1206" t="s">
        <v>3888</v>
      </c>
      <c r="D1206" t="s">
        <v>3889</v>
      </c>
    </row>
    <row r="1207" spans="1:4">
      <c r="A1207" t="s">
        <v>3890</v>
      </c>
      <c r="B1207">
        <v>3.28</v>
      </c>
      <c r="C1207" t="s">
        <v>2395</v>
      </c>
      <c r="D1207" t="s">
        <v>3878</v>
      </c>
    </row>
    <row r="1208" spans="1:4">
      <c r="A1208" t="s">
        <v>3891</v>
      </c>
      <c r="B1208">
        <v>3.31</v>
      </c>
      <c r="C1208" t="s">
        <v>2395</v>
      </c>
      <c r="D1208" t="s">
        <v>3892</v>
      </c>
    </row>
    <row r="1209" spans="1:4">
      <c r="A1209" t="s">
        <v>3893</v>
      </c>
      <c r="B1209">
        <v>3.2</v>
      </c>
      <c r="C1209" t="s">
        <v>2392</v>
      </c>
      <c r="D1209" t="s">
        <v>3892</v>
      </c>
    </row>
    <row r="1210" spans="1:4">
      <c r="A1210" t="s">
        <v>3894</v>
      </c>
      <c r="B1210">
        <v>3.26</v>
      </c>
      <c r="C1210" t="s">
        <v>2395</v>
      </c>
      <c r="D1210" t="s">
        <v>3878</v>
      </c>
    </row>
    <row r="1211" spans="1:4">
      <c r="A1211" t="s">
        <v>3895</v>
      </c>
      <c r="B1211">
        <v>3.23</v>
      </c>
      <c r="C1211" t="s">
        <v>2392</v>
      </c>
      <c r="D1211" t="s">
        <v>3878</v>
      </c>
    </row>
    <row r="1212" spans="1:4">
      <c r="A1212" t="s">
        <v>3896</v>
      </c>
      <c r="B1212">
        <v>3.26</v>
      </c>
      <c r="C1212" t="s">
        <v>2392</v>
      </c>
      <c r="D1212" t="s">
        <v>3878</v>
      </c>
    </row>
    <row r="1213" spans="1:4">
      <c r="A1213" t="s">
        <v>3897</v>
      </c>
      <c r="B1213">
        <v>3.07</v>
      </c>
      <c r="C1213" t="s">
        <v>3898</v>
      </c>
      <c r="D1213" t="s">
        <v>3878</v>
      </c>
    </row>
    <row r="1214" spans="1:4">
      <c r="A1214" t="s">
        <v>3899</v>
      </c>
      <c r="B1214">
        <v>3.03</v>
      </c>
      <c r="C1214" t="s">
        <v>2392</v>
      </c>
      <c r="D1214" t="s">
        <v>3876</v>
      </c>
    </row>
    <row r="1215" spans="1:4">
      <c r="A1215" t="s">
        <v>3900</v>
      </c>
      <c r="B1215">
        <v>2.97</v>
      </c>
      <c r="C1215" t="s">
        <v>2392</v>
      </c>
      <c r="D1215" t="s">
        <v>3878</v>
      </c>
    </row>
    <row r="1216" spans="1:4">
      <c r="A1216" t="s">
        <v>3901</v>
      </c>
      <c r="B1216">
        <v>2.85</v>
      </c>
      <c r="C1216" t="s">
        <v>2395</v>
      </c>
      <c r="D1216" t="s">
        <v>3902</v>
      </c>
    </row>
    <row r="1217" spans="1:4">
      <c r="A1217" t="s">
        <v>3903</v>
      </c>
      <c r="B1217">
        <v>3.07</v>
      </c>
      <c r="C1217" t="s">
        <v>3904</v>
      </c>
      <c r="D1217" t="s">
        <v>3878</v>
      </c>
    </row>
    <row r="1218" spans="1:4">
      <c r="A1218" t="s">
        <v>3905</v>
      </c>
      <c r="B1218">
        <v>3.23</v>
      </c>
      <c r="C1218" t="s">
        <v>2395</v>
      </c>
      <c r="D1218" t="s">
        <v>3878</v>
      </c>
    </row>
    <row r="1219" spans="1:4">
      <c r="A1219" t="s">
        <v>3906</v>
      </c>
      <c r="B1219">
        <v>3.19</v>
      </c>
      <c r="C1219" t="s">
        <v>2392</v>
      </c>
      <c r="D1219" t="s">
        <v>3878</v>
      </c>
    </row>
    <row r="1220" spans="1:4">
      <c r="A1220" t="s">
        <v>3907</v>
      </c>
      <c r="B1220">
        <v>3.25</v>
      </c>
      <c r="C1220" t="s">
        <v>2392</v>
      </c>
      <c r="D1220" t="s">
        <v>3878</v>
      </c>
    </row>
    <row r="1221" spans="1:4">
      <c r="A1221" t="s">
        <v>3908</v>
      </c>
      <c r="B1221">
        <v>3.12</v>
      </c>
      <c r="C1221" t="s">
        <v>2392</v>
      </c>
      <c r="D1221" t="s">
        <v>3876</v>
      </c>
    </row>
    <row r="1222" spans="1:4">
      <c r="A1222" t="s">
        <v>3909</v>
      </c>
      <c r="B1222">
        <v>3.15</v>
      </c>
      <c r="C1222" t="s">
        <v>2395</v>
      </c>
      <c r="D1222" t="s">
        <v>3878</v>
      </c>
    </row>
    <row r="1223" spans="1:4">
      <c r="A1223" t="s">
        <v>3910</v>
      </c>
      <c r="B1223">
        <v>3.23</v>
      </c>
      <c r="C1223" t="s">
        <v>2392</v>
      </c>
      <c r="D1223" t="s">
        <v>3911</v>
      </c>
    </row>
    <row r="1224" spans="1:4">
      <c r="A1224" t="s">
        <v>3912</v>
      </c>
      <c r="B1224">
        <v>3.22</v>
      </c>
      <c r="C1224" t="s">
        <v>2392</v>
      </c>
      <c r="D1224" t="s">
        <v>3878</v>
      </c>
    </row>
    <row r="1225" spans="1:4">
      <c r="A1225" t="s">
        <v>3913</v>
      </c>
      <c r="B1225">
        <v>3.38</v>
      </c>
      <c r="C1225" t="s">
        <v>108</v>
      </c>
      <c r="D1225" t="s">
        <v>3859</v>
      </c>
    </row>
    <row r="1226" spans="1:4">
      <c r="A1226" t="s">
        <v>3914</v>
      </c>
      <c r="B1226">
        <v>3.4</v>
      </c>
      <c r="C1226" t="s">
        <v>108</v>
      </c>
      <c r="D1226" t="s">
        <v>3859</v>
      </c>
    </row>
    <row r="1227" spans="1:4">
      <c r="A1227" t="s">
        <v>3915</v>
      </c>
      <c r="B1227">
        <v>3.5</v>
      </c>
      <c r="C1227" t="s">
        <v>108</v>
      </c>
      <c r="D1227" t="s">
        <v>3859</v>
      </c>
    </row>
    <row r="1228" spans="1:4">
      <c r="A1228" t="s">
        <v>3916</v>
      </c>
      <c r="B1228">
        <v>3.55</v>
      </c>
      <c r="C1228" t="s">
        <v>108</v>
      </c>
      <c r="D1228" t="s">
        <v>3859</v>
      </c>
    </row>
    <row r="1229" spans="1:4">
      <c r="A1229" t="s">
        <v>3917</v>
      </c>
      <c r="B1229">
        <v>3.62</v>
      </c>
      <c r="C1229" t="s">
        <v>108</v>
      </c>
      <c r="D1229" t="s">
        <v>3859</v>
      </c>
    </row>
    <row r="1230" spans="1:4">
      <c r="A1230" t="s">
        <v>3918</v>
      </c>
      <c r="B1230">
        <v>3.8</v>
      </c>
      <c r="C1230" t="s">
        <v>2410</v>
      </c>
      <c r="D1230" t="s">
        <v>3919</v>
      </c>
    </row>
    <row r="1231" spans="1:4">
      <c r="A1231" t="s">
        <v>3920</v>
      </c>
      <c r="B1231">
        <v>3.26</v>
      </c>
      <c r="C1231" t="s">
        <v>2392</v>
      </c>
      <c r="D1231" t="s">
        <v>3878</v>
      </c>
    </row>
    <row r="1232" spans="1:4">
      <c r="A1232" t="s">
        <v>3921</v>
      </c>
      <c r="B1232">
        <v>3.19</v>
      </c>
      <c r="C1232" t="s">
        <v>2392</v>
      </c>
      <c r="D1232" t="s">
        <v>3878</v>
      </c>
    </row>
    <row r="1233" spans="1:4">
      <c r="A1233" t="s">
        <v>3922</v>
      </c>
      <c r="B1233">
        <v>3.25</v>
      </c>
      <c r="C1233" t="s">
        <v>2392</v>
      </c>
      <c r="D1233" t="s">
        <v>3878</v>
      </c>
    </row>
    <row r="1234" spans="1:4">
      <c r="A1234" t="s">
        <v>3923</v>
      </c>
      <c r="B1234">
        <v>3.22</v>
      </c>
      <c r="C1234" t="s">
        <v>2392</v>
      </c>
      <c r="D1234" t="s">
        <v>3878</v>
      </c>
    </row>
    <row r="1235" spans="1:4">
      <c r="A1235" t="s">
        <v>3924</v>
      </c>
      <c r="B1235">
        <v>3.12</v>
      </c>
      <c r="C1235" t="s">
        <v>2392</v>
      </c>
      <c r="D1235" t="s">
        <v>3876</v>
      </c>
    </row>
    <row r="1236" spans="1:4">
      <c r="A1236" t="s">
        <v>3925</v>
      </c>
      <c r="B1236">
        <v>2.96</v>
      </c>
      <c r="C1236" t="s">
        <v>2395</v>
      </c>
      <c r="D1236" t="s">
        <v>3926</v>
      </c>
    </row>
    <row r="1237" spans="1:4">
      <c r="A1237" t="s">
        <v>3927</v>
      </c>
      <c r="B1237">
        <v>3.03</v>
      </c>
      <c r="C1237" t="s">
        <v>2392</v>
      </c>
      <c r="D1237" t="s">
        <v>3876</v>
      </c>
    </row>
    <row r="1238" spans="1:4">
      <c r="A1238" t="s">
        <v>3928</v>
      </c>
      <c r="B1238">
        <v>2.97</v>
      </c>
      <c r="C1238" t="s">
        <v>2395</v>
      </c>
      <c r="D1238" t="s">
        <v>3878</v>
      </c>
    </row>
    <row r="1239" spans="1:4">
      <c r="A1239" t="s">
        <v>3929</v>
      </c>
      <c r="B1239">
        <v>3.08</v>
      </c>
      <c r="C1239" t="s">
        <v>3930</v>
      </c>
      <c r="D1239" t="s">
        <v>3878</v>
      </c>
    </row>
    <row r="1240" spans="1:4">
      <c r="A1240" t="s">
        <v>3931</v>
      </c>
      <c r="B1240">
        <v>3.12</v>
      </c>
      <c r="C1240" t="s">
        <v>2395</v>
      </c>
      <c r="D1240" t="s">
        <v>3876</v>
      </c>
    </row>
    <row r="1241" spans="1:4">
      <c r="A1241" t="s">
        <v>3932</v>
      </c>
      <c r="B1241">
        <v>3.2</v>
      </c>
      <c r="C1241" t="s">
        <v>2395</v>
      </c>
      <c r="D1241" t="s">
        <v>3911</v>
      </c>
    </row>
    <row r="1242" spans="1:4">
      <c r="A1242" t="s">
        <v>3933</v>
      </c>
      <c r="B1242">
        <v>3.26</v>
      </c>
      <c r="C1242" t="s">
        <v>2395</v>
      </c>
      <c r="D1242" t="s">
        <v>3878</v>
      </c>
    </row>
    <row r="1243" spans="1:4">
      <c r="A1243" t="s">
        <v>3934</v>
      </c>
      <c r="B1243">
        <v>3.18</v>
      </c>
      <c r="C1243" t="s">
        <v>2783</v>
      </c>
      <c r="D1243" t="s">
        <v>3892</v>
      </c>
    </row>
    <row r="1244" spans="1:4">
      <c r="A1244" t="s">
        <v>3935</v>
      </c>
      <c r="B1244">
        <v>3.18</v>
      </c>
      <c r="C1244" t="s">
        <v>2783</v>
      </c>
      <c r="D1244" t="s">
        <v>3892</v>
      </c>
    </row>
    <row r="1245" spans="1:4">
      <c r="A1245" t="s">
        <v>3936</v>
      </c>
      <c r="B1245">
        <v>3.23</v>
      </c>
      <c r="C1245" t="s">
        <v>2392</v>
      </c>
      <c r="D1245" t="s">
        <v>3878</v>
      </c>
    </row>
    <row r="1246" spans="1:4">
      <c r="A1246" t="s">
        <v>3937</v>
      </c>
      <c r="B1246">
        <v>3.04</v>
      </c>
      <c r="C1246" t="s">
        <v>2395</v>
      </c>
      <c r="D1246" t="s">
        <v>3938</v>
      </c>
    </row>
    <row r="1247" spans="1:4">
      <c r="A1247" t="s">
        <v>3939</v>
      </c>
      <c r="B1247">
        <v>3.22</v>
      </c>
      <c r="C1247" t="s">
        <v>2392</v>
      </c>
      <c r="D1247" t="s">
        <v>3911</v>
      </c>
    </row>
    <row r="1248" spans="1:4">
      <c r="A1248" t="s">
        <v>3940</v>
      </c>
      <c r="B1248">
        <v>3.07</v>
      </c>
      <c r="C1248" t="s">
        <v>2395</v>
      </c>
      <c r="D1248" t="s">
        <v>3911</v>
      </c>
    </row>
    <row r="1249" spans="1:4">
      <c r="A1249" t="s">
        <v>3941</v>
      </c>
      <c r="B1249">
        <v>3</v>
      </c>
      <c r="C1249" t="s">
        <v>2392</v>
      </c>
      <c r="D1249" t="s">
        <v>3911</v>
      </c>
    </row>
    <row r="1250" spans="1:4">
      <c r="A1250" t="s">
        <v>3942</v>
      </c>
      <c r="B1250">
        <v>3.31</v>
      </c>
      <c r="C1250" t="s">
        <v>2395</v>
      </c>
      <c r="D1250" t="s">
        <v>3892</v>
      </c>
    </row>
    <row r="1251" spans="1:4">
      <c r="A1251" t="s">
        <v>3943</v>
      </c>
      <c r="B1251">
        <v>3.22</v>
      </c>
      <c r="C1251" t="s">
        <v>2395</v>
      </c>
      <c r="D1251" t="s">
        <v>3878</v>
      </c>
    </row>
    <row r="1252" spans="1:4">
      <c r="A1252" t="s">
        <v>3944</v>
      </c>
      <c r="B1252">
        <v>3.9</v>
      </c>
      <c r="C1252" t="s">
        <v>108</v>
      </c>
      <c r="D1252" t="s">
        <v>3945</v>
      </c>
    </row>
    <row r="1253" spans="1:4">
      <c r="A1253" t="s">
        <v>3946</v>
      </c>
      <c r="B1253">
        <v>3.1</v>
      </c>
      <c r="C1253" t="s">
        <v>3947</v>
      </c>
      <c r="D1253" t="s">
        <v>3948</v>
      </c>
    </row>
    <row r="1254" spans="1:4">
      <c r="A1254" t="s">
        <v>3949</v>
      </c>
      <c r="B1254">
        <v>3.05</v>
      </c>
      <c r="C1254" t="s">
        <v>108</v>
      </c>
      <c r="D1254" t="s">
        <v>3948</v>
      </c>
    </row>
    <row r="1255" spans="1:4">
      <c r="A1255" t="s">
        <v>3950</v>
      </c>
      <c r="B1255">
        <v>3.1</v>
      </c>
      <c r="C1255" t="s">
        <v>108</v>
      </c>
      <c r="D1255" t="s">
        <v>3948</v>
      </c>
    </row>
    <row r="1256" spans="1:4">
      <c r="A1256" t="s">
        <v>3951</v>
      </c>
      <c r="B1256">
        <v>3.1</v>
      </c>
      <c r="C1256" t="s">
        <v>108</v>
      </c>
      <c r="D1256" t="s">
        <v>3948</v>
      </c>
    </row>
    <row r="1257" spans="1:4">
      <c r="A1257" t="s">
        <v>3952</v>
      </c>
      <c r="B1257">
        <v>2.7</v>
      </c>
      <c r="C1257" t="s">
        <v>3166</v>
      </c>
      <c r="D1257" t="s">
        <v>3948</v>
      </c>
    </row>
    <row r="1258" spans="1:4">
      <c r="A1258" t="s">
        <v>3953</v>
      </c>
      <c r="B1258">
        <v>2.7</v>
      </c>
      <c r="C1258" t="s">
        <v>3954</v>
      </c>
      <c r="D1258" t="s">
        <v>3948</v>
      </c>
    </row>
    <row r="1259" spans="1:4">
      <c r="A1259" t="s">
        <v>3955</v>
      </c>
      <c r="B1259">
        <v>2.92</v>
      </c>
      <c r="C1259" t="s">
        <v>108</v>
      </c>
      <c r="D1259" t="s">
        <v>3948</v>
      </c>
    </row>
    <row r="1260" spans="1:4">
      <c r="A1260" t="s">
        <v>3956</v>
      </c>
      <c r="B1260">
        <v>2.92</v>
      </c>
      <c r="C1260" t="s">
        <v>108</v>
      </c>
      <c r="D1260" t="s">
        <v>3948</v>
      </c>
    </row>
    <row r="1261" spans="1:4">
      <c r="A1261" t="s">
        <v>3957</v>
      </c>
      <c r="B1261">
        <v>2.8</v>
      </c>
      <c r="C1261" t="s">
        <v>108</v>
      </c>
      <c r="D1261" t="s">
        <v>3948</v>
      </c>
    </row>
    <row r="1262" spans="1:4">
      <c r="A1262" t="s">
        <v>3958</v>
      </c>
      <c r="B1262">
        <v>2.75</v>
      </c>
      <c r="C1262" t="s">
        <v>3959</v>
      </c>
      <c r="D1262" t="s">
        <v>3948</v>
      </c>
    </row>
    <row r="1263" spans="1:4">
      <c r="A1263" t="s">
        <v>3960</v>
      </c>
      <c r="B1263">
        <v>2.2999999999999998</v>
      </c>
      <c r="C1263" t="s">
        <v>3166</v>
      </c>
      <c r="D1263" t="s">
        <v>3948</v>
      </c>
    </row>
    <row r="1264" spans="1:4">
      <c r="A1264" t="s">
        <v>3961</v>
      </c>
      <c r="B1264">
        <v>2.2999999999999998</v>
      </c>
      <c r="C1264" t="s">
        <v>3954</v>
      </c>
      <c r="D1264" t="s">
        <v>3948</v>
      </c>
    </row>
    <row r="1265" spans="1:4">
      <c r="A1265" t="s">
        <v>3962</v>
      </c>
      <c r="B1265">
        <v>2.5</v>
      </c>
      <c r="C1265" t="s">
        <v>2783</v>
      </c>
      <c r="D1265" t="s">
        <v>3963</v>
      </c>
    </row>
    <row r="1266" spans="1:4">
      <c r="A1266" t="s">
        <v>3964</v>
      </c>
      <c r="B1266">
        <v>2.5</v>
      </c>
      <c r="C1266" t="s">
        <v>3965</v>
      </c>
      <c r="D1266" t="s">
        <v>3859</v>
      </c>
    </row>
    <row r="1267" spans="1:4">
      <c r="A1267" t="s">
        <v>3966</v>
      </c>
      <c r="B1267">
        <v>2.9</v>
      </c>
      <c r="C1267" t="s">
        <v>108</v>
      </c>
      <c r="D1267" t="s">
        <v>3948</v>
      </c>
    </row>
    <row r="1268" spans="1:4">
      <c r="A1268" t="s">
        <v>3967</v>
      </c>
      <c r="B1268">
        <v>2.33</v>
      </c>
      <c r="C1268" t="s">
        <v>3103</v>
      </c>
      <c r="D1268" t="s">
        <v>3968</v>
      </c>
    </row>
    <row r="1269" spans="1:4">
      <c r="A1269" t="s">
        <v>3969</v>
      </c>
      <c r="B1269">
        <v>2.65</v>
      </c>
      <c r="C1269" t="s">
        <v>3970</v>
      </c>
      <c r="D1269" t="s">
        <v>3968</v>
      </c>
    </row>
    <row r="1270" spans="1:4">
      <c r="A1270" t="s">
        <v>3971</v>
      </c>
      <c r="B1270">
        <v>2.25</v>
      </c>
      <c r="C1270" t="s">
        <v>3615</v>
      </c>
      <c r="D1270" t="s">
        <v>3968</v>
      </c>
    </row>
    <row r="1271" spans="1:4">
      <c r="A1271" t="s">
        <v>3972</v>
      </c>
      <c r="B1271">
        <v>2.35</v>
      </c>
      <c r="C1271" t="s">
        <v>3973</v>
      </c>
      <c r="D1271" t="s">
        <v>3974</v>
      </c>
    </row>
    <row r="1272" spans="1:4">
      <c r="A1272" t="s">
        <v>3975</v>
      </c>
      <c r="B1272">
        <v>2.6</v>
      </c>
      <c r="C1272" t="s">
        <v>3976</v>
      </c>
      <c r="D1272" t="s">
        <v>3974</v>
      </c>
    </row>
    <row r="1273" spans="1:4">
      <c r="A1273" t="s">
        <v>3977</v>
      </c>
      <c r="B1273">
        <v>2.78</v>
      </c>
      <c r="C1273" t="s">
        <v>3433</v>
      </c>
      <c r="D1273" t="s">
        <v>3974</v>
      </c>
    </row>
    <row r="1274" spans="1:4">
      <c r="A1274" t="s">
        <v>3978</v>
      </c>
      <c r="B1274">
        <v>2.72</v>
      </c>
      <c r="C1274" t="s">
        <v>3409</v>
      </c>
      <c r="D1274" t="s">
        <v>3974</v>
      </c>
    </row>
    <row r="1275" spans="1:4">
      <c r="A1275" t="s">
        <v>3979</v>
      </c>
      <c r="B1275">
        <v>2.65</v>
      </c>
      <c r="C1275" t="s">
        <v>3980</v>
      </c>
      <c r="D1275" t="s">
        <v>3974</v>
      </c>
    </row>
    <row r="1276" spans="1:4">
      <c r="A1276" t="s">
        <v>3981</v>
      </c>
      <c r="B1276">
        <v>2.58</v>
      </c>
      <c r="C1276" t="s">
        <v>3982</v>
      </c>
      <c r="D1276" t="s">
        <v>3974</v>
      </c>
    </row>
    <row r="1277" spans="1:4">
      <c r="A1277" t="s">
        <v>3983</v>
      </c>
      <c r="B1277">
        <v>2.5499999999999998</v>
      </c>
      <c r="C1277" t="s">
        <v>3982</v>
      </c>
      <c r="D1277" t="s">
        <v>3974</v>
      </c>
    </row>
    <row r="1278" spans="1:4">
      <c r="A1278" t="s">
        <v>3984</v>
      </c>
      <c r="B1278">
        <v>2.78</v>
      </c>
      <c r="C1278" t="s">
        <v>3433</v>
      </c>
      <c r="D1278" t="s">
        <v>3985</v>
      </c>
    </row>
    <row r="1279" spans="1:4">
      <c r="A1279" t="s">
        <v>3986</v>
      </c>
      <c r="B1279">
        <v>2.5</v>
      </c>
      <c r="C1279" t="s">
        <v>3959</v>
      </c>
      <c r="D1279" t="s">
        <v>3974</v>
      </c>
    </row>
    <row r="1280" spans="1:4">
      <c r="A1280" t="s">
        <v>3987</v>
      </c>
      <c r="B1280">
        <v>2.78</v>
      </c>
      <c r="C1280" t="s">
        <v>3433</v>
      </c>
      <c r="D1280" t="s">
        <v>3985</v>
      </c>
    </row>
    <row r="1281" spans="1:4">
      <c r="A1281" t="s">
        <v>3988</v>
      </c>
      <c r="B1281">
        <v>2.54</v>
      </c>
      <c r="C1281" t="s">
        <v>3989</v>
      </c>
      <c r="D1281" t="s">
        <v>3948</v>
      </c>
    </row>
    <row r="1282" spans="1:4">
      <c r="A1282" t="s">
        <v>3990</v>
      </c>
      <c r="B1282">
        <v>2.97</v>
      </c>
      <c r="C1282" t="s">
        <v>3991</v>
      </c>
      <c r="D1282" t="s">
        <v>3948</v>
      </c>
    </row>
    <row r="1283" spans="1:4">
      <c r="A1283" t="s">
        <v>3992</v>
      </c>
      <c r="B1283">
        <v>3.4</v>
      </c>
      <c r="C1283" t="s">
        <v>3662</v>
      </c>
      <c r="D1283" t="s">
        <v>3993</v>
      </c>
    </row>
    <row r="1284" spans="1:4">
      <c r="A1284" t="s">
        <v>3994</v>
      </c>
      <c r="B1284">
        <v>3.55</v>
      </c>
      <c r="C1284" t="s">
        <v>3995</v>
      </c>
      <c r="D1284" t="s">
        <v>3996</v>
      </c>
    </row>
    <row r="1285" spans="1:4">
      <c r="A1285" t="s">
        <v>3997</v>
      </c>
      <c r="B1285">
        <v>3.4</v>
      </c>
      <c r="C1285" t="s">
        <v>3461</v>
      </c>
      <c r="D1285" t="s">
        <v>3993</v>
      </c>
    </row>
    <row r="1286" spans="1:4">
      <c r="A1286" t="s">
        <v>3998</v>
      </c>
      <c r="B1286">
        <v>3.8</v>
      </c>
      <c r="C1286" t="s">
        <v>3115</v>
      </c>
      <c r="D1286" t="s">
        <v>3993</v>
      </c>
    </row>
    <row r="1287" spans="1:4">
      <c r="A1287" t="s">
        <v>3999</v>
      </c>
      <c r="B1287">
        <v>3.45</v>
      </c>
      <c r="C1287" t="s">
        <v>3354</v>
      </c>
      <c r="D1287" t="s">
        <v>3852</v>
      </c>
    </row>
    <row r="1288" spans="1:4">
      <c r="A1288" t="s">
        <v>4000</v>
      </c>
      <c r="B1288">
        <v>0.2</v>
      </c>
      <c r="C1288" t="s">
        <v>4001</v>
      </c>
      <c r="D1288" t="s">
        <v>4002</v>
      </c>
    </row>
    <row r="1289" spans="1:4">
      <c r="A1289" t="s">
        <v>4003</v>
      </c>
      <c r="B1289">
        <v>0.16</v>
      </c>
      <c r="C1289" t="s">
        <v>4001</v>
      </c>
      <c r="D1289" t="s">
        <v>4004</v>
      </c>
    </row>
    <row r="1290" spans="1:4">
      <c r="A1290" t="s">
        <v>4005</v>
      </c>
      <c r="B1290">
        <v>0.16</v>
      </c>
      <c r="C1290" t="s">
        <v>4006</v>
      </c>
      <c r="D1290" t="s">
        <v>4004</v>
      </c>
    </row>
    <row r="1291" spans="1:4">
      <c r="A1291" t="s">
        <v>4007</v>
      </c>
      <c r="B1291">
        <v>3.15</v>
      </c>
      <c r="C1291" t="s">
        <v>3633</v>
      </c>
      <c r="D1291" t="s">
        <v>4008</v>
      </c>
    </row>
    <row r="1292" spans="1:4">
      <c r="A1292" t="s">
        <v>4009</v>
      </c>
      <c r="B1292">
        <v>2.7</v>
      </c>
      <c r="C1292" t="s">
        <v>4010</v>
      </c>
      <c r="D1292" t="s">
        <v>3902</v>
      </c>
    </row>
    <row r="1293" spans="1:4">
      <c r="A1293" t="s">
        <v>4011</v>
      </c>
      <c r="B1293">
        <v>4.74</v>
      </c>
      <c r="C1293" t="s">
        <v>4012</v>
      </c>
      <c r="D1293" t="s">
        <v>4013</v>
      </c>
    </row>
    <row r="1294" spans="1:4">
      <c r="A1294" t="s">
        <v>4014</v>
      </c>
      <c r="B1294">
        <v>1.94</v>
      </c>
      <c r="C1294" t="s">
        <v>3970</v>
      </c>
      <c r="D1294" t="s">
        <v>3919</v>
      </c>
    </row>
    <row r="1295" spans="1:4">
      <c r="A1295" t="s">
        <v>4015</v>
      </c>
      <c r="B1295">
        <v>2.1</v>
      </c>
      <c r="C1295" t="s">
        <v>3970</v>
      </c>
      <c r="D1295" t="s">
        <v>3919</v>
      </c>
    </row>
    <row r="1296" spans="1:4">
      <c r="A1296" t="s">
        <v>4016</v>
      </c>
      <c r="B1296">
        <v>3</v>
      </c>
      <c r="C1296" t="s">
        <v>4017</v>
      </c>
      <c r="D1296" t="s">
        <v>4018</v>
      </c>
    </row>
    <row r="1297" spans="1:4">
      <c r="A1297" t="s">
        <v>4019</v>
      </c>
      <c r="B1297">
        <v>3.1</v>
      </c>
      <c r="C1297" t="s">
        <v>4017</v>
      </c>
      <c r="D1297" t="s">
        <v>4018</v>
      </c>
    </row>
    <row r="1298" spans="1:4">
      <c r="A1298" t="s">
        <v>4020</v>
      </c>
      <c r="B1298">
        <v>3.05</v>
      </c>
      <c r="C1298" t="s">
        <v>4017</v>
      </c>
      <c r="D1298" t="s">
        <v>4018</v>
      </c>
    </row>
    <row r="1299" spans="1:4">
      <c r="A1299" t="s">
        <v>4021</v>
      </c>
      <c r="B1299">
        <v>3.05</v>
      </c>
      <c r="C1299" t="s">
        <v>108</v>
      </c>
      <c r="D1299" t="s">
        <v>3859</v>
      </c>
    </row>
    <row r="1300" spans="1:4">
      <c r="A1300" t="s">
        <v>4022</v>
      </c>
      <c r="B1300">
        <v>3.45</v>
      </c>
      <c r="C1300" t="s">
        <v>108</v>
      </c>
      <c r="D1300" t="s">
        <v>3948</v>
      </c>
    </row>
    <row r="1301" spans="1:4">
      <c r="A1301" t="s">
        <v>4023</v>
      </c>
      <c r="B1301">
        <v>3.6</v>
      </c>
      <c r="C1301" t="s">
        <v>108</v>
      </c>
      <c r="D1301" t="s">
        <v>3859</v>
      </c>
    </row>
    <row r="1302" spans="1:4">
      <c r="A1302" t="s">
        <v>4024</v>
      </c>
      <c r="B1302">
        <v>2.4500000000000002</v>
      </c>
      <c r="C1302" t="s">
        <v>4017</v>
      </c>
      <c r="D1302" t="s">
        <v>4018</v>
      </c>
    </row>
    <row r="1303" spans="1:4">
      <c r="A1303" t="s">
        <v>4025</v>
      </c>
      <c r="B1303">
        <v>2.5</v>
      </c>
      <c r="C1303" t="s">
        <v>4017</v>
      </c>
      <c r="D1303" t="s">
        <v>4018</v>
      </c>
    </row>
    <row r="1304" spans="1:4">
      <c r="A1304" t="s">
        <v>4026</v>
      </c>
      <c r="B1304">
        <v>3.7</v>
      </c>
      <c r="C1304" t="s">
        <v>108</v>
      </c>
      <c r="D1304" t="s">
        <v>3859</v>
      </c>
    </row>
    <row r="1305" spans="1:4">
      <c r="A1305" t="s">
        <v>4027</v>
      </c>
      <c r="B1305">
        <v>1.59</v>
      </c>
      <c r="C1305" t="s">
        <v>108</v>
      </c>
      <c r="D1305" t="s">
        <v>4028</v>
      </c>
    </row>
    <row r="1306" spans="1:4">
      <c r="A1306" t="s">
        <v>4029</v>
      </c>
      <c r="B1306">
        <v>1.3</v>
      </c>
      <c r="C1306" t="s">
        <v>108</v>
      </c>
      <c r="D1306" t="s">
        <v>4028</v>
      </c>
    </row>
    <row r="1307" spans="1:4">
      <c r="A1307" t="s">
        <v>4030</v>
      </c>
      <c r="B1307">
        <v>1.3</v>
      </c>
      <c r="C1307" t="s">
        <v>108</v>
      </c>
      <c r="D1307" t="s">
        <v>4028</v>
      </c>
    </row>
    <row r="1308" spans="1:4">
      <c r="A1308" t="s">
        <v>4031</v>
      </c>
      <c r="B1308">
        <v>2.58</v>
      </c>
      <c r="C1308" t="s">
        <v>2392</v>
      </c>
      <c r="D1308" t="s">
        <v>3852</v>
      </c>
    </row>
    <row r="1309" spans="1:4">
      <c r="A1309" t="s">
        <v>4032</v>
      </c>
      <c r="B1309">
        <v>2.85</v>
      </c>
      <c r="C1309" t="s">
        <v>2783</v>
      </c>
      <c r="D1309" t="s">
        <v>3852</v>
      </c>
    </row>
    <row r="1310" spans="1:4">
      <c r="A1310" t="s">
        <v>4033</v>
      </c>
      <c r="B1310">
        <v>2.65</v>
      </c>
      <c r="C1310" t="s">
        <v>2395</v>
      </c>
      <c r="D1310" t="s">
        <v>3852</v>
      </c>
    </row>
    <row r="1311" spans="1:4">
      <c r="A1311" t="s">
        <v>4034</v>
      </c>
      <c r="B1311">
        <v>2.6</v>
      </c>
      <c r="C1311" t="s">
        <v>2395</v>
      </c>
      <c r="D1311" t="s">
        <v>3852</v>
      </c>
    </row>
    <row r="1312" spans="1:4">
      <c r="A1312" t="s">
        <v>4035</v>
      </c>
      <c r="B1312">
        <v>2.5299999999999998</v>
      </c>
      <c r="C1312" t="s">
        <v>2395</v>
      </c>
      <c r="D1312" t="s">
        <v>3852</v>
      </c>
    </row>
    <row r="1313" spans="1:4">
      <c r="A1313" t="s">
        <v>4036</v>
      </c>
      <c r="B1313">
        <v>2.88</v>
      </c>
      <c r="C1313" t="s">
        <v>2392</v>
      </c>
      <c r="D1313" t="s">
        <v>3852</v>
      </c>
    </row>
    <row r="1314" spans="1:4">
      <c r="A1314" t="s">
        <v>4037</v>
      </c>
      <c r="B1314">
        <v>2.7</v>
      </c>
      <c r="C1314" t="s">
        <v>2395</v>
      </c>
      <c r="D1314" t="s">
        <v>3852</v>
      </c>
    </row>
    <row r="1315" spans="1:4">
      <c r="A1315" t="s">
        <v>4038</v>
      </c>
      <c r="B1315">
        <v>2.64</v>
      </c>
      <c r="C1315" t="s">
        <v>3347</v>
      </c>
      <c r="D1315" t="s">
        <v>3852</v>
      </c>
    </row>
    <row r="1316" spans="1:4">
      <c r="A1316" t="s">
        <v>4039</v>
      </c>
      <c r="B1316">
        <v>2.68</v>
      </c>
      <c r="C1316" t="s">
        <v>2395</v>
      </c>
      <c r="D1316" t="s">
        <v>3854</v>
      </c>
    </row>
    <row r="1317" spans="1:4">
      <c r="A1317" t="s">
        <v>4040</v>
      </c>
      <c r="B1317">
        <v>3.19</v>
      </c>
      <c r="C1317" t="s">
        <v>2392</v>
      </c>
      <c r="D1317" t="s">
        <v>3854</v>
      </c>
    </row>
    <row r="1318" spans="1:4">
      <c r="A1318" t="s">
        <v>4041</v>
      </c>
      <c r="B1318">
        <v>2.85</v>
      </c>
      <c r="C1318" t="s">
        <v>2783</v>
      </c>
      <c r="D1318" t="s">
        <v>3852</v>
      </c>
    </row>
    <row r="1319" spans="1:4">
      <c r="A1319" t="s">
        <v>4042</v>
      </c>
      <c r="B1319">
        <v>2.5</v>
      </c>
      <c r="C1319" t="s">
        <v>108</v>
      </c>
      <c r="D1319" t="s">
        <v>108</v>
      </c>
    </row>
    <row r="1320" spans="1:4">
      <c r="A1320" t="s">
        <v>4043</v>
      </c>
      <c r="B1320">
        <v>2.5</v>
      </c>
      <c r="C1320" t="s">
        <v>108</v>
      </c>
      <c r="D1320" t="s">
        <v>108</v>
      </c>
    </row>
    <row r="1321" spans="1:4">
      <c r="A1321" t="s">
        <v>4044</v>
      </c>
      <c r="B1321">
        <v>2.9</v>
      </c>
      <c r="C1321" t="s">
        <v>4012</v>
      </c>
      <c r="D1321" t="s">
        <v>3852</v>
      </c>
    </row>
    <row r="1322" spans="1:4">
      <c r="A1322" t="s">
        <v>4045</v>
      </c>
      <c r="B1322">
        <v>2.75</v>
      </c>
      <c r="C1322" t="s">
        <v>2395</v>
      </c>
      <c r="D1322" t="s">
        <v>3852</v>
      </c>
    </row>
    <row r="1323" spans="1:4">
      <c r="A1323" t="s">
        <v>4046</v>
      </c>
      <c r="B1323">
        <v>2.88</v>
      </c>
      <c r="C1323" t="s">
        <v>3633</v>
      </c>
      <c r="D1323" t="s">
        <v>3852</v>
      </c>
    </row>
    <row r="1324" spans="1:4">
      <c r="A1324" t="s">
        <v>4047</v>
      </c>
      <c r="B1324">
        <v>2.78</v>
      </c>
      <c r="C1324" t="s">
        <v>3347</v>
      </c>
      <c r="D1324" t="s">
        <v>3852</v>
      </c>
    </row>
    <row r="1325" spans="1:4">
      <c r="A1325" t="s">
        <v>4048</v>
      </c>
      <c r="B1325">
        <v>2.94</v>
      </c>
      <c r="C1325" t="s">
        <v>3354</v>
      </c>
      <c r="D1325" t="s">
        <v>3852</v>
      </c>
    </row>
    <row r="1326" spans="1:4">
      <c r="A1326" t="s">
        <v>4049</v>
      </c>
      <c r="B1326">
        <v>2.75</v>
      </c>
      <c r="C1326" t="s">
        <v>108</v>
      </c>
      <c r="D1326" t="s">
        <v>108</v>
      </c>
    </row>
    <row r="1327" spans="1:4">
      <c r="A1327" t="s">
        <v>4050</v>
      </c>
      <c r="B1327">
        <v>2.9</v>
      </c>
      <c r="C1327" t="s">
        <v>4051</v>
      </c>
      <c r="D1327" t="s">
        <v>3852</v>
      </c>
    </row>
    <row r="1328" spans="1:4">
      <c r="A1328" t="s">
        <v>4052</v>
      </c>
      <c r="B1328">
        <v>2.9</v>
      </c>
      <c r="C1328" t="s">
        <v>108</v>
      </c>
      <c r="D1328" t="s">
        <v>108</v>
      </c>
    </row>
    <row r="1329" spans="1:4">
      <c r="A1329" t="s">
        <v>4053</v>
      </c>
      <c r="B1329">
        <v>2.7</v>
      </c>
      <c r="C1329" t="s">
        <v>2395</v>
      </c>
      <c r="D1329" t="s">
        <v>3852</v>
      </c>
    </row>
    <row r="1330" spans="1:4">
      <c r="A1330" t="s">
        <v>4054</v>
      </c>
      <c r="B1330">
        <v>1.29</v>
      </c>
      <c r="C1330" t="s">
        <v>4055</v>
      </c>
      <c r="D1330" t="s">
        <v>4028</v>
      </c>
    </row>
    <row r="1331" spans="1:4">
      <c r="A1331" t="s">
        <v>4056</v>
      </c>
      <c r="B1331">
        <v>1.28</v>
      </c>
      <c r="C1331" t="s">
        <v>108</v>
      </c>
      <c r="D1331" t="s">
        <v>4028</v>
      </c>
    </row>
    <row r="1332" spans="1:4">
      <c r="A1332" t="s">
        <v>4057</v>
      </c>
      <c r="B1332">
        <v>1.29</v>
      </c>
      <c r="C1332" t="s">
        <v>4058</v>
      </c>
      <c r="D1332" t="s">
        <v>4028</v>
      </c>
    </row>
    <row r="1333" spans="1:4">
      <c r="A1333" t="s">
        <v>4059</v>
      </c>
      <c r="B1333">
        <v>1.29</v>
      </c>
      <c r="C1333" t="s">
        <v>4060</v>
      </c>
      <c r="D1333" t="s">
        <v>4028</v>
      </c>
    </row>
    <row r="1334" spans="1:4">
      <c r="A1334" t="s">
        <v>4061</v>
      </c>
      <c r="B1334">
        <v>1.29</v>
      </c>
      <c r="C1334" t="s">
        <v>108</v>
      </c>
      <c r="D1334" t="s">
        <v>4028</v>
      </c>
    </row>
    <row r="1335" spans="1:4">
      <c r="A1335" t="s">
        <v>4062</v>
      </c>
      <c r="B1335">
        <v>1.29</v>
      </c>
      <c r="C1335" t="s">
        <v>4058</v>
      </c>
      <c r="D1335" t="s">
        <v>4028</v>
      </c>
    </row>
    <row r="1336" spans="1:4">
      <c r="A1336" t="s">
        <v>4063</v>
      </c>
      <c r="B1336">
        <v>2.54</v>
      </c>
      <c r="C1336" t="s">
        <v>3615</v>
      </c>
      <c r="D1336" t="s">
        <v>3902</v>
      </c>
    </row>
    <row r="1337" spans="1:4">
      <c r="A1337" t="s">
        <v>4064</v>
      </c>
      <c r="B1337">
        <v>2.65</v>
      </c>
      <c r="C1337" t="s">
        <v>3970</v>
      </c>
      <c r="D1337" t="s">
        <v>3902</v>
      </c>
    </row>
    <row r="1338" spans="1:4">
      <c r="A1338" t="s">
        <v>4065</v>
      </c>
      <c r="B1338">
        <v>2.8</v>
      </c>
      <c r="C1338" t="s">
        <v>3615</v>
      </c>
      <c r="D1338" t="s">
        <v>3852</v>
      </c>
    </row>
    <row r="1339" spans="1:4">
      <c r="A1339" t="s">
        <v>4066</v>
      </c>
      <c r="B1339">
        <v>2.5</v>
      </c>
      <c r="C1339" t="s">
        <v>4067</v>
      </c>
      <c r="D1339" t="s">
        <v>3852</v>
      </c>
    </row>
    <row r="1340" spans="1:4">
      <c r="A1340" t="s">
        <v>4068</v>
      </c>
      <c r="B1340">
        <v>2.8</v>
      </c>
      <c r="C1340" t="s">
        <v>3970</v>
      </c>
      <c r="D1340" t="s">
        <v>3852</v>
      </c>
    </row>
    <row r="1341" spans="1:4">
      <c r="A1341" t="s">
        <v>4069</v>
      </c>
      <c r="B1341">
        <v>2.85</v>
      </c>
      <c r="C1341" t="s">
        <v>3970</v>
      </c>
      <c r="D1341" t="s">
        <v>3852</v>
      </c>
    </row>
    <row r="1342" spans="1:4">
      <c r="A1342" t="s">
        <v>4070</v>
      </c>
      <c r="B1342">
        <v>2.95</v>
      </c>
      <c r="C1342" t="s">
        <v>3615</v>
      </c>
      <c r="D1342" t="s">
        <v>3852</v>
      </c>
    </row>
    <row r="1343" spans="1:4">
      <c r="A1343" t="s">
        <v>4071</v>
      </c>
      <c r="B1343">
        <v>3.2</v>
      </c>
      <c r="C1343" t="s">
        <v>108</v>
      </c>
      <c r="D1343" t="s">
        <v>3852</v>
      </c>
    </row>
    <row r="1344" spans="1:4">
      <c r="A1344" t="s">
        <v>4072</v>
      </c>
      <c r="B1344">
        <v>3</v>
      </c>
      <c r="C1344" t="s">
        <v>4073</v>
      </c>
      <c r="D1344" t="s">
        <v>3852</v>
      </c>
    </row>
    <row r="1345" spans="1:4">
      <c r="A1345" t="s">
        <v>4074</v>
      </c>
      <c r="B1345">
        <v>3.16</v>
      </c>
      <c r="C1345" t="s">
        <v>4075</v>
      </c>
      <c r="D1345" t="s">
        <v>3872</v>
      </c>
    </row>
    <row r="1346" spans="1:4">
      <c r="A1346" t="s">
        <v>4076</v>
      </c>
      <c r="B1346">
        <v>3.3</v>
      </c>
      <c r="C1346" t="s">
        <v>4077</v>
      </c>
      <c r="D1346" t="s">
        <v>4078</v>
      </c>
    </row>
    <row r="1347" spans="1:4">
      <c r="A1347" t="s">
        <v>4079</v>
      </c>
      <c r="B1347">
        <v>3.31</v>
      </c>
      <c r="C1347" t="s">
        <v>4080</v>
      </c>
      <c r="D1347" t="s">
        <v>4081</v>
      </c>
    </row>
    <row r="1348" spans="1:4">
      <c r="A1348" t="s">
        <v>4082</v>
      </c>
      <c r="B1348">
        <v>3.3</v>
      </c>
      <c r="C1348" t="s">
        <v>4083</v>
      </c>
      <c r="D1348" t="s">
        <v>4081</v>
      </c>
    </row>
    <row r="1349" spans="1:4">
      <c r="A1349" t="s">
        <v>4084</v>
      </c>
      <c r="B1349">
        <v>3.3</v>
      </c>
      <c r="C1349" t="s">
        <v>4085</v>
      </c>
      <c r="D1349" t="s">
        <v>4081</v>
      </c>
    </row>
    <row r="1350" spans="1:4">
      <c r="A1350" t="s">
        <v>4086</v>
      </c>
      <c r="B1350">
        <v>3.18</v>
      </c>
      <c r="C1350" t="s">
        <v>3532</v>
      </c>
      <c r="D1350" t="s">
        <v>4087</v>
      </c>
    </row>
    <row r="1351" spans="1:4">
      <c r="A1351" t="s">
        <v>4088</v>
      </c>
      <c r="B1351">
        <v>3.1</v>
      </c>
      <c r="C1351" t="s">
        <v>4089</v>
      </c>
      <c r="D1351" t="s">
        <v>4087</v>
      </c>
    </row>
    <row r="1352" spans="1:4">
      <c r="A1352" t="s">
        <v>4090</v>
      </c>
      <c r="B1352">
        <v>3.2</v>
      </c>
      <c r="C1352" t="s">
        <v>3117</v>
      </c>
      <c r="D1352" t="s">
        <v>4087</v>
      </c>
    </row>
    <row r="1353" spans="1:4">
      <c r="A1353" t="s">
        <v>4091</v>
      </c>
      <c r="B1353">
        <v>3.15</v>
      </c>
      <c r="C1353" t="s">
        <v>4092</v>
      </c>
      <c r="D1353" t="s">
        <v>4087</v>
      </c>
    </row>
    <row r="1354" spans="1:4">
      <c r="A1354" t="s">
        <v>4093</v>
      </c>
      <c r="B1354">
        <v>3.15</v>
      </c>
      <c r="C1354" t="s">
        <v>4080</v>
      </c>
      <c r="D1354" t="s">
        <v>4081</v>
      </c>
    </row>
    <row r="1355" spans="1:4">
      <c r="A1355" t="s">
        <v>4094</v>
      </c>
      <c r="B1355">
        <v>3.4</v>
      </c>
      <c r="C1355" t="s">
        <v>3687</v>
      </c>
      <c r="D1355" t="s">
        <v>4095</v>
      </c>
    </row>
    <row r="1356" spans="1:4">
      <c r="A1356" t="s">
        <v>4096</v>
      </c>
      <c r="B1356">
        <v>3.33</v>
      </c>
      <c r="C1356" t="s">
        <v>4097</v>
      </c>
      <c r="D1356" t="s">
        <v>4095</v>
      </c>
    </row>
    <row r="1357" spans="1:4">
      <c r="A1357" t="s">
        <v>4098</v>
      </c>
      <c r="B1357">
        <v>3.36</v>
      </c>
      <c r="C1357" t="s">
        <v>4083</v>
      </c>
      <c r="D1357" t="s">
        <v>4087</v>
      </c>
    </row>
    <row r="1358" spans="1:4">
      <c r="A1358" t="s">
        <v>4099</v>
      </c>
      <c r="B1358">
        <v>3.28</v>
      </c>
      <c r="C1358" t="s">
        <v>3662</v>
      </c>
      <c r="D1358" t="s">
        <v>4087</v>
      </c>
    </row>
    <row r="1359" spans="1:4">
      <c r="A1359" t="s">
        <v>4100</v>
      </c>
      <c r="B1359">
        <v>3.2</v>
      </c>
      <c r="C1359" t="s">
        <v>4101</v>
      </c>
      <c r="D1359" t="s">
        <v>4102</v>
      </c>
    </row>
    <row r="1360" spans="1:4">
      <c r="A1360" t="s">
        <v>4103</v>
      </c>
      <c r="B1360">
        <v>3.17</v>
      </c>
      <c r="C1360" t="s">
        <v>4104</v>
      </c>
      <c r="D1360" t="s">
        <v>4102</v>
      </c>
    </row>
    <row r="1361" spans="1:4">
      <c r="A1361" t="s">
        <v>4105</v>
      </c>
      <c r="B1361">
        <v>3.23</v>
      </c>
      <c r="C1361" t="s">
        <v>4106</v>
      </c>
      <c r="D1361" t="s">
        <v>4102</v>
      </c>
    </row>
    <row r="1362" spans="1:4">
      <c r="A1362" t="s">
        <v>4107</v>
      </c>
      <c r="B1362">
        <v>3.22</v>
      </c>
      <c r="C1362" t="s">
        <v>4108</v>
      </c>
      <c r="D1362" t="s">
        <v>4102</v>
      </c>
    </row>
    <row r="1363" spans="1:4">
      <c r="A1363" t="s">
        <v>4109</v>
      </c>
      <c r="B1363">
        <v>2.9</v>
      </c>
      <c r="C1363" t="s">
        <v>3615</v>
      </c>
      <c r="D1363" t="s">
        <v>3852</v>
      </c>
    </row>
    <row r="1364" spans="1:4">
      <c r="A1364" t="s">
        <v>4110</v>
      </c>
      <c r="B1364">
        <v>2.7</v>
      </c>
      <c r="C1364" t="s">
        <v>3959</v>
      </c>
      <c r="D1364" t="s">
        <v>3902</v>
      </c>
    </row>
    <row r="1365" spans="1:4">
      <c r="A1365" t="s">
        <v>4111</v>
      </c>
      <c r="B1365">
        <v>2.6</v>
      </c>
      <c r="C1365" t="s">
        <v>3970</v>
      </c>
      <c r="D1365" t="s">
        <v>3902</v>
      </c>
    </row>
    <row r="1366" spans="1:4">
      <c r="A1366" t="s">
        <v>4112</v>
      </c>
      <c r="B1366">
        <v>2.61</v>
      </c>
      <c r="C1366" t="s">
        <v>4113</v>
      </c>
      <c r="D1366" t="s">
        <v>3902</v>
      </c>
    </row>
    <row r="1367" spans="1:4">
      <c r="A1367" t="s">
        <v>4114</v>
      </c>
      <c r="B1367">
        <v>2.64</v>
      </c>
      <c r="C1367" t="s">
        <v>4115</v>
      </c>
      <c r="D1367" t="s">
        <v>3902</v>
      </c>
    </row>
    <row r="1368" spans="1:4">
      <c r="A1368" t="s">
        <v>4116</v>
      </c>
      <c r="B1368">
        <v>2.6</v>
      </c>
      <c r="C1368" t="s">
        <v>4117</v>
      </c>
      <c r="D1368" t="s">
        <v>3902</v>
      </c>
    </row>
    <row r="1369" spans="1:4">
      <c r="A1369" t="s">
        <v>4118</v>
      </c>
      <c r="B1369">
        <v>2.34</v>
      </c>
      <c r="C1369" t="s">
        <v>4085</v>
      </c>
      <c r="D1369" t="s">
        <v>3902</v>
      </c>
    </row>
    <row r="1370" spans="1:4">
      <c r="A1370" t="s">
        <v>4119</v>
      </c>
      <c r="B1370">
        <v>2.63</v>
      </c>
      <c r="C1370" t="s">
        <v>3970</v>
      </c>
      <c r="D1370" t="s">
        <v>3902</v>
      </c>
    </row>
    <row r="1371" spans="1:4">
      <c r="A1371" t="s">
        <v>4120</v>
      </c>
      <c r="B1371">
        <v>2.65</v>
      </c>
      <c r="C1371" t="s">
        <v>3615</v>
      </c>
      <c r="D1371" t="s">
        <v>3902</v>
      </c>
    </row>
    <row r="1372" spans="1:4">
      <c r="A1372" t="s">
        <v>4121</v>
      </c>
      <c r="B1372">
        <v>2.65</v>
      </c>
      <c r="C1372" t="s">
        <v>4122</v>
      </c>
      <c r="D1372" t="s">
        <v>3902</v>
      </c>
    </row>
    <row r="1373" spans="1:4">
      <c r="A1373" t="s">
        <v>4123</v>
      </c>
      <c r="B1373">
        <v>2.65</v>
      </c>
      <c r="C1373" t="s">
        <v>3615</v>
      </c>
      <c r="D1373" t="s">
        <v>3902</v>
      </c>
    </row>
    <row r="1374" spans="1:4">
      <c r="A1374" t="s">
        <v>4124</v>
      </c>
      <c r="B1374">
        <v>2.6</v>
      </c>
      <c r="C1374" t="s">
        <v>3615</v>
      </c>
      <c r="D1374" t="s">
        <v>3902</v>
      </c>
    </row>
    <row r="1375" spans="1:4">
      <c r="A1375" t="s">
        <v>4125</v>
      </c>
      <c r="B1375">
        <v>2.88</v>
      </c>
      <c r="C1375" t="s">
        <v>4126</v>
      </c>
      <c r="D1375" t="s">
        <v>3852</v>
      </c>
    </row>
    <row r="1376" spans="1:4">
      <c r="A1376" t="s">
        <v>4127</v>
      </c>
      <c r="B1376">
        <v>2.9</v>
      </c>
      <c r="C1376" t="s">
        <v>4108</v>
      </c>
      <c r="D1376" t="s">
        <v>3852</v>
      </c>
    </row>
    <row r="1377" spans="1:4">
      <c r="A1377" t="s">
        <v>4128</v>
      </c>
      <c r="B1377">
        <v>3.05</v>
      </c>
      <c r="C1377" t="s">
        <v>4075</v>
      </c>
      <c r="D1377" t="s">
        <v>3852</v>
      </c>
    </row>
    <row r="1378" spans="1:4">
      <c r="A1378" t="s">
        <v>4129</v>
      </c>
      <c r="B1378">
        <v>3.05</v>
      </c>
      <c r="C1378" t="s">
        <v>4130</v>
      </c>
      <c r="D1378" t="s">
        <v>3852</v>
      </c>
    </row>
    <row r="1379" spans="1:4">
      <c r="A1379" t="s">
        <v>4131</v>
      </c>
      <c r="B1379">
        <v>3.1</v>
      </c>
      <c r="C1379" t="s">
        <v>4108</v>
      </c>
      <c r="D1379" t="s">
        <v>3852</v>
      </c>
    </row>
    <row r="1380" spans="1:4">
      <c r="A1380" t="s">
        <v>4132</v>
      </c>
      <c r="B1380">
        <v>3</v>
      </c>
      <c r="C1380" t="s">
        <v>4075</v>
      </c>
      <c r="D1380" t="s">
        <v>3852</v>
      </c>
    </row>
    <row r="1381" spans="1:4">
      <c r="A1381" t="s">
        <v>4133</v>
      </c>
      <c r="B1381">
        <v>3.03</v>
      </c>
      <c r="C1381" t="s">
        <v>3155</v>
      </c>
      <c r="D1381" t="s">
        <v>3852</v>
      </c>
    </row>
    <row r="1382" spans="1:4">
      <c r="A1382" t="s">
        <v>4134</v>
      </c>
      <c r="B1382">
        <v>3.24</v>
      </c>
      <c r="C1382" t="s">
        <v>4135</v>
      </c>
      <c r="D1382" t="s">
        <v>3852</v>
      </c>
    </row>
    <row r="1383" spans="1:4">
      <c r="A1383" t="s">
        <v>4136</v>
      </c>
      <c r="B1383">
        <v>3.22</v>
      </c>
      <c r="C1383" t="s">
        <v>4137</v>
      </c>
      <c r="D1383" t="s">
        <v>3872</v>
      </c>
    </row>
    <row r="1384" spans="1:4">
      <c r="A1384" t="s">
        <v>4138</v>
      </c>
      <c r="B1384">
        <v>3.28</v>
      </c>
      <c r="C1384" t="s">
        <v>4139</v>
      </c>
      <c r="D1384" t="s">
        <v>3872</v>
      </c>
    </row>
    <row r="1385" spans="1:4">
      <c r="A1385" t="s">
        <v>4140</v>
      </c>
      <c r="B1385">
        <v>3.25</v>
      </c>
      <c r="C1385" t="s">
        <v>4141</v>
      </c>
      <c r="D1385" t="s">
        <v>4078</v>
      </c>
    </row>
    <row r="1386" spans="1:4">
      <c r="A1386" t="s">
        <v>4142</v>
      </c>
      <c r="B1386">
        <v>3.2</v>
      </c>
      <c r="C1386" t="s">
        <v>4143</v>
      </c>
      <c r="D1386" t="s">
        <v>4078</v>
      </c>
    </row>
    <row r="1387" spans="1:4">
      <c r="A1387" t="s">
        <v>4144</v>
      </c>
      <c r="B1387">
        <v>3.29</v>
      </c>
      <c r="C1387" t="s">
        <v>4145</v>
      </c>
      <c r="D1387" t="s">
        <v>4078</v>
      </c>
    </row>
    <row r="1388" spans="1:4">
      <c r="A1388" t="s">
        <v>4146</v>
      </c>
      <c r="B1388">
        <v>3.25</v>
      </c>
      <c r="C1388" t="s">
        <v>4147</v>
      </c>
      <c r="D1388" t="s">
        <v>4078</v>
      </c>
    </row>
    <row r="1389" spans="1:4">
      <c r="A1389" t="s">
        <v>4148</v>
      </c>
      <c r="B1389">
        <v>3.2</v>
      </c>
      <c r="C1389" t="s">
        <v>3615</v>
      </c>
      <c r="D1389" t="s">
        <v>4078</v>
      </c>
    </row>
    <row r="1390" spans="1:4">
      <c r="A1390" t="s">
        <v>4149</v>
      </c>
      <c r="B1390">
        <v>3.2</v>
      </c>
      <c r="C1390" t="s">
        <v>4150</v>
      </c>
      <c r="D1390" t="s">
        <v>4078</v>
      </c>
    </row>
    <row r="1391" spans="1:4">
      <c r="A1391" t="s">
        <v>4151</v>
      </c>
      <c r="B1391">
        <v>3.26</v>
      </c>
      <c r="C1391" t="s">
        <v>4152</v>
      </c>
      <c r="D1391" t="s">
        <v>4078</v>
      </c>
    </row>
    <row r="1392" spans="1:4">
      <c r="A1392" t="s">
        <v>4153</v>
      </c>
      <c r="B1392">
        <v>3.25</v>
      </c>
      <c r="C1392" t="s">
        <v>4145</v>
      </c>
      <c r="D1392" t="s">
        <v>4078</v>
      </c>
    </row>
    <row r="1393" spans="1:4">
      <c r="A1393" t="s">
        <v>4154</v>
      </c>
      <c r="B1393">
        <v>3.24</v>
      </c>
      <c r="C1393" t="s">
        <v>3347</v>
      </c>
      <c r="D1393" t="s">
        <v>3852</v>
      </c>
    </row>
    <row r="1394" spans="1:4">
      <c r="A1394" t="s">
        <v>4155</v>
      </c>
      <c r="B1394">
        <v>4.3</v>
      </c>
      <c r="C1394" t="s">
        <v>4156</v>
      </c>
      <c r="D1394" t="s">
        <v>4157</v>
      </c>
    </row>
    <row r="1395" spans="1:4">
      <c r="A1395" t="s">
        <v>4158</v>
      </c>
      <c r="B1395">
        <v>4.3</v>
      </c>
      <c r="C1395" t="s">
        <v>4159</v>
      </c>
      <c r="D1395" t="s">
        <v>4157</v>
      </c>
    </row>
    <row r="1396" spans="1:4">
      <c r="A1396" t="s">
        <v>4160</v>
      </c>
      <c r="B1396">
        <v>3.4</v>
      </c>
      <c r="C1396" t="s">
        <v>4161</v>
      </c>
      <c r="D1396" t="s">
        <v>4162</v>
      </c>
    </row>
    <row r="1397" spans="1:4">
      <c r="A1397" t="s">
        <v>4163</v>
      </c>
      <c r="B1397">
        <v>3.33</v>
      </c>
      <c r="C1397" t="s">
        <v>4164</v>
      </c>
      <c r="D1397" t="s">
        <v>4162</v>
      </c>
    </row>
    <row r="1398" spans="1:4">
      <c r="A1398" t="s">
        <v>4165</v>
      </c>
      <c r="B1398">
        <v>3.33</v>
      </c>
      <c r="C1398" t="s">
        <v>4166</v>
      </c>
      <c r="D1398" t="s">
        <v>4162</v>
      </c>
    </row>
    <row r="1399" spans="1:4">
      <c r="A1399" t="s">
        <v>4167</v>
      </c>
      <c r="B1399">
        <v>3.22</v>
      </c>
      <c r="C1399" t="s">
        <v>4168</v>
      </c>
      <c r="D1399" t="s">
        <v>4162</v>
      </c>
    </row>
    <row r="1400" spans="1:4">
      <c r="A1400" t="s">
        <v>4169</v>
      </c>
      <c r="B1400">
        <v>3.5</v>
      </c>
      <c r="C1400" t="s">
        <v>4170</v>
      </c>
      <c r="D1400" t="s">
        <v>4171</v>
      </c>
    </row>
    <row r="1401" spans="1:4">
      <c r="A1401" t="s">
        <v>4172</v>
      </c>
      <c r="B1401">
        <v>3.5</v>
      </c>
      <c r="C1401" t="s">
        <v>4173</v>
      </c>
      <c r="D1401" t="s">
        <v>4171</v>
      </c>
    </row>
    <row r="1402" spans="1:4">
      <c r="A1402" t="s">
        <v>4174</v>
      </c>
      <c r="B1402">
        <v>3.47</v>
      </c>
      <c r="C1402" t="s">
        <v>4175</v>
      </c>
      <c r="D1402" t="s">
        <v>4171</v>
      </c>
    </row>
    <row r="1403" spans="1:4">
      <c r="A1403" t="s">
        <v>4176</v>
      </c>
      <c r="B1403">
        <v>3.4</v>
      </c>
      <c r="C1403" t="s">
        <v>4177</v>
      </c>
      <c r="D1403" t="s">
        <v>4171</v>
      </c>
    </row>
    <row r="1404" spans="1:4">
      <c r="A1404" t="s">
        <v>4178</v>
      </c>
      <c r="B1404">
        <v>3.5</v>
      </c>
      <c r="C1404" t="s">
        <v>4179</v>
      </c>
      <c r="D1404" t="s">
        <v>4171</v>
      </c>
    </row>
    <row r="1405" spans="1:4">
      <c r="A1405" t="s">
        <v>4180</v>
      </c>
      <c r="B1405">
        <v>3.47</v>
      </c>
      <c r="C1405" t="s">
        <v>4181</v>
      </c>
      <c r="D1405" t="s">
        <v>4171</v>
      </c>
    </row>
    <row r="1406" spans="1:4">
      <c r="A1406" t="s">
        <v>4182</v>
      </c>
      <c r="B1406">
        <v>3.5</v>
      </c>
      <c r="C1406" t="s">
        <v>4183</v>
      </c>
      <c r="D1406" t="s">
        <v>4171</v>
      </c>
    </row>
    <row r="1407" spans="1:4">
      <c r="A1407" t="s">
        <v>4184</v>
      </c>
      <c r="B1407">
        <v>3.5</v>
      </c>
      <c r="C1407" t="s">
        <v>4185</v>
      </c>
      <c r="D1407" t="s">
        <v>4171</v>
      </c>
    </row>
    <row r="1408" spans="1:4">
      <c r="A1408" t="s">
        <v>4186</v>
      </c>
      <c r="B1408">
        <v>3.53</v>
      </c>
      <c r="C1408" t="s">
        <v>108</v>
      </c>
      <c r="D1408" t="s">
        <v>4171</v>
      </c>
    </row>
    <row r="1409" spans="1:4">
      <c r="A1409" t="s">
        <v>4187</v>
      </c>
      <c r="B1409">
        <v>3.8</v>
      </c>
      <c r="C1409" t="s">
        <v>4089</v>
      </c>
      <c r="D1409" t="s">
        <v>4188</v>
      </c>
    </row>
    <row r="1410" spans="1:4">
      <c r="A1410" t="s">
        <v>4189</v>
      </c>
      <c r="B1410">
        <v>3.75</v>
      </c>
      <c r="C1410" t="s">
        <v>4170</v>
      </c>
      <c r="D1410" t="s">
        <v>4188</v>
      </c>
    </row>
    <row r="1411" spans="1:4">
      <c r="A1411" t="s">
        <v>4190</v>
      </c>
      <c r="B1411">
        <v>3.78</v>
      </c>
      <c r="C1411" t="s">
        <v>4191</v>
      </c>
      <c r="D1411" t="s">
        <v>4188</v>
      </c>
    </row>
    <row r="1412" spans="1:4">
      <c r="A1412" t="s">
        <v>4192</v>
      </c>
      <c r="B1412">
        <v>3.77</v>
      </c>
      <c r="C1412" t="s">
        <v>4083</v>
      </c>
      <c r="D1412" t="s">
        <v>4188</v>
      </c>
    </row>
    <row r="1413" spans="1:4">
      <c r="A1413" t="s">
        <v>4193</v>
      </c>
      <c r="B1413">
        <v>3.85</v>
      </c>
      <c r="C1413" t="s">
        <v>3662</v>
      </c>
      <c r="D1413" t="s">
        <v>4188</v>
      </c>
    </row>
    <row r="1414" spans="1:4">
      <c r="A1414" t="s">
        <v>4194</v>
      </c>
      <c r="B1414">
        <v>3.93</v>
      </c>
      <c r="C1414" t="s">
        <v>4195</v>
      </c>
      <c r="D1414" t="s">
        <v>3993</v>
      </c>
    </row>
    <row r="1415" spans="1:4">
      <c r="A1415" t="s">
        <v>4196</v>
      </c>
      <c r="B1415">
        <v>3.9</v>
      </c>
      <c r="C1415" t="s">
        <v>4197</v>
      </c>
      <c r="D1415" t="s">
        <v>3993</v>
      </c>
    </row>
    <row r="1416" spans="1:4">
      <c r="A1416" t="s">
        <v>4198</v>
      </c>
      <c r="B1416">
        <v>2.58</v>
      </c>
      <c r="C1416" t="s">
        <v>4199</v>
      </c>
      <c r="D1416" t="s">
        <v>4200</v>
      </c>
    </row>
    <row r="1417" spans="1:4">
      <c r="A1417" t="s">
        <v>4201</v>
      </c>
      <c r="B1417">
        <v>2.7</v>
      </c>
      <c r="C1417" t="s">
        <v>4202</v>
      </c>
      <c r="D1417" t="s">
        <v>3902</v>
      </c>
    </row>
    <row r="1418" spans="1:4">
      <c r="A1418" t="s">
        <v>4203</v>
      </c>
      <c r="B1418">
        <v>2.75</v>
      </c>
      <c r="C1418" t="s">
        <v>3530</v>
      </c>
      <c r="D1418" t="s">
        <v>3902</v>
      </c>
    </row>
    <row r="1419" spans="1:4">
      <c r="A1419" t="s">
        <v>4204</v>
      </c>
      <c r="B1419">
        <v>2.64</v>
      </c>
      <c r="C1419" t="s">
        <v>3608</v>
      </c>
      <c r="D1419" t="s">
        <v>3902</v>
      </c>
    </row>
    <row r="1420" spans="1:4">
      <c r="A1420" t="s">
        <v>4205</v>
      </c>
      <c r="B1420">
        <v>3.01</v>
      </c>
      <c r="C1420" t="s">
        <v>4075</v>
      </c>
      <c r="D1420" t="s">
        <v>4095</v>
      </c>
    </row>
    <row r="1421" spans="1:4">
      <c r="A1421" t="s">
        <v>4206</v>
      </c>
      <c r="B1421">
        <v>3.4</v>
      </c>
      <c r="C1421" t="s">
        <v>2392</v>
      </c>
      <c r="D1421" t="s">
        <v>4207</v>
      </c>
    </row>
    <row r="1422" spans="1:4">
      <c r="A1422" t="s">
        <v>4208</v>
      </c>
      <c r="B1422">
        <v>2.6</v>
      </c>
      <c r="C1422" t="s">
        <v>4017</v>
      </c>
      <c r="D1422" t="s">
        <v>3948</v>
      </c>
    </row>
    <row r="1423" spans="1:4">
      <c r="A1423" t="s">
        <v>4209</v>
      </c>
      <c r="B1423">
        <v>2.2200000000000002</v>
      </c>
      <c r="C1423" t="s">
        <v>4210</v>
      </c>
      <c r="D1423" t="s">
        <v>4211</v>
      </c>
    </row>
    <row r="1424" spans="1:4">
      <c r="A1424" t="s">
        <v>4212</v>
      </c>
      <c r="B1424">
        <v>2.33</v>
      </c>
      <c r="C1424" t="s">
        <v>4210</v>
      </c>
      <c r="D1424" t="s">
        <v>4200</v>
      </c>
    </row>
    <row r="1425" spans="1:4">
      <c r="A1425" t="s">
        <v>4213</v>
      </c>
      <c r="B1425">
        <v>2.33</v>
      </c>
      <c r="C1425" t="s">
        <v>4210</v>
      </c>
      <c r="D1425" t="s">
        <v>4095</v>
      </c>
    </row>
    <row r="1426" spans="1:4">
      <c r="A1426" t="s">
        <v>4214</v>
      </c>
      <c r="B1426">
        <v>2.54</v>
      </c>
      <c r="C1426" t="s">
        <v>4210</v>
      </c>
      <c r="D1426" t="s">
        <v>4095</v>
      </c>
    </row>
    <row r="1427" spans="1:4">
      <c r="A1427" t="s">
        <v>4215</v>
      </c>
      <c r="B1427">
        <v>2.79</v>
      </c>
      <c r="C1427" t="s">
        <v>4210</v>
      </c>
      <c r="D1427" t="s">
        <v>3902</v>
      </c>
    </row>
    <row r="1428" spans="1:4">
      <c r="A1428" t="s">
        <v>4216</v>
      </c>
      <c r="B1428">
        <v>2.74</v>
      </c>
      <c r="C1428" t="s">
        <v>4210</v>
      </c>
      <c r="D1428" t="s">
        <v>3902</v>
      </c>
    </row>
    <row r="1429" spans="1:4">
      <c r="A1429" t="s">
        <v>4217</v>
      </c>
      <c r="B1429">
        <v>3.25</v>
      </c>
      <c r="C1429" t="s">
        <v>4218</v>
      </c>
      <c r="D1429" t="s">
        <v>3902</v>
      </c>
    </row>
    <row r="1430" spans="1:4">
      <c r="A1430" t="s">
        <v>4219</v>
      </c>
      <c r="B1430">
        <v>1.75</v>
      </c>
      <c r="C1430" t="s">
        <v>4220</v>
      </c>
      <c r="D1430" t="s">
        <v>4221</v>
      </c>
    </row>
    <row r="1431" spans="1:4">
      <c r="A1431" t="s">
        <v>4222</v>
      </c>
      <c r="B1431">
        <v>1.87</v>
      </c>
      <c r="C1431" t="s">
        <v>4223</v>
      </c>
      <c r="D1431" t="s">
        <v>4221</v>
      </c>
    </row>
    <row r="1432" spans="1:4">
      <c r="A1432" t="s">
        <v>4224</v>
      </c>
      <c r="B1432">
        <v>3.18</v>
      </c>
      <c r="C1432" t="s">
        <v>2783</v>
      </c>
      <c r="D1432" t="s">
        <v>3892</v>
      </c>
    </row>
    <row r="1433" spans="1:4">
      <c r="A1433" t="s">
        <v>4225</v>
      </c>
      <c r="B1433">
        <v>3.29</v>
      </c>
      <c r="C1433" t="s">
        <v>108</v>
      </c>
      <c r="D1433" t="s">
        <v>3878</v>
      </c>
    </row>
    <row r="1434" spans="1:4">
      <c r="A1434" t="s">
        <v>4226</v>
      </c>
      <c r="B1434">
        <v>3.24</v>
      </c>
      <c r="C1434" t="s">
        <v>4227</v>
      </c>
      <c r="D1434" t="s">
        <v>3892</v>
      </c>
    </row>
    <row r="1435" spans="1:4">
      <c r="A1435" t="s">
        <v>4228</v>
      </c>
      <c r="B1435">
        <v>2.02</v>
      </c>
      <c r="C1435" t="s">
        <v>108</v>
      </c>
      <c r="D1435" t="s">
        <v>108</v>
      </c>
    </row>
    <row r="1436" spans="1:4">
      <c r="A1436" t="s">
        <v>4229</v>
      </c>
      <c r="B1436">
        <v>3.17</v>
      </c>
      <c r="C1436" t="s">
        <v>3347</v>
      </c>
      <c r="D1436" t="s">
        <v>3848</v>
      </c>
    </row>
    <row r="1437" spans="1:4">
      <c r="A1437" t="s">
        <v>4230</v>
      </c>
      <c r="B1437">
        <v>3.18</v>
      </c>
      <c r="C1437" t="s">
        <v>3347</v>
      </c>
      <c r="D1437" t="s">
        <v>3848</v>
      </c>
    </row>
    <row r="1438" spans="1:4">
      <c r="A1438" t="s">
        <v>4231</v>
      </c>
      <c r="B1438">
        <v>3.17</v>
      </c>
      <c r="C1438" t="s">
        <v>3633</v>
      </c>
      <c r="D1438" t="s">
        <v>3848</v>
      </c>
    </row>
    <row r="1439" spans="1:4">
      <c r="A1439" t="s">
        <v>4232</v>
      </c>
      <c r="B1439">
        <v>3.18</v>
      </c>
      <c r="C1439" t="s">
        <v>3347</v>
      </c>
      <c r="D1439" t="s">
        <v>3848</v>
      </c>
    </row>
    <row r="1440" spans="1:4">
      <c r="A1440" t="s">
        <v>4233</v>
      </c>
      <c r="B1440">
        <v>3.2</v>
      </c>
      <c r="C1440" t="s">
        <v>3347</v>
      </c>
      <c r="D1440" t="s">
        <v>3848</v>
      </c>
    </row>
    <row r="1441" spans="1:4">
      <c r="A1441" t="s">
        <v>4234</v>
      </c>
      <c r="B1441">
        <v>3.11</v>
      </c>
      <c r="C1441" t="s">
        <v>3347</v>
      </c>
      <c r="D1441" t="s">
        <v>3848</v>
      </c>
    </row>
    <row r="1442" spans="1:4">
      <c r="A1442" t="s">
        <v>4235</v>
      </c>
      <c r="B1442">
        <v>3.11</v>
      </c>
      <c r="C1442" t="s">
        <v>3347</v>
      </c>
      <c r="D1442" t="s">
        <v>3848</v>
      </c>
    </row>
    <row r="1443" spans="1:4">
      <c r="A1443" t="s">
        <v>4236</v>
      </c>
      <c r="B1443">
        <v>3.17</v>
      </c>
      <c r="C1443" t="s">
        <v>4237</v>
      </c>
      <c r="D1443" t="s">
        <v>4238</v>
      </c>
    </row>
    <row r="1444" spans="1:4">
      <c r="A1444" t="s">
        <v>4239</v>
      </c>
      <c r="B1444">
        <v>3.17</v>
      </c>
      <c r="C1444" t="s">
        <v>4237</v>
      </c>
      <c r="D1444" t="s">
        <v>4238</v>
      </c>
    </row>
    <row r="1445" spans="1:4">
      <c r="A1445" t="s">
        <v>4240</v>
      </c>
      <c r="B1445">
        <v>3.17</v>
      </c>
      <c r="C1445" t="s">
        <v>3633</v>
      </c>
      <c r="D1445" t="s">
        <v>4238</v>
      </c>
    </row>
    <row r="1446" spans="1:4">
      <c r="A1446" t="s">
        <v>4241</v>
      </c>
      <c r="B1446">
        <v>3.17</v>
      </c>
      <c r="C1446" t="s">
        <v>3347</v>
      </c>
      <c r="D1446" t="s">
        <v>4238</v>
      </c>
    </row>
    <row r="1447" spans="1:4">
      <c r="A1447" t="s">
        <v>4242</v>
      </c>
      <c r="B1447">
        <v>3.18</v>
      </c>
      <c r="C1447" t="s">
        <v>3633</v>
      </c>
      <c r="D1447" t="s">
        <v>4238</v>
      </c>
    </row>
    <row r="1448" spans="1:4">
      <c r="A1448" t="s">
        <v>4243</v>
      </c>
      <c r="B1448">
        <v>3.18</v>
      </c>
      <c r="C1448" t="s">
        <v>3347</v>
      </c>
      <c r="D1448" t="s">
        <v>4238</v>
      </c>
    </row>
    <row r="1449" spans="1:4">
      <c r="A1449" t="s">
        <v>4244</v>
      </c>
      <c r="B1449">
        <v>3.18</v>
      </c>
      <c r="C1449" t="s">
        <v>3347</v>
      </c>
      <c r="D1449" t="s">
        <v>4238</v>
      </c>
    </row>
    <row r="1450" spans="1:4">
      <c r="A1450" t="s">
        <v>4245</v>
      </c>
      <c r="B1450">
        <v>3.16</v>
      </c>
      <c r="C1450" t="s">
        <v>3633</v>
      </c>
      <c r="D1450" t="s">
        <v>3848</v>
      </c>
    </row>
    <row r="1451" spans="1:4">
      <c r="A1451" t="s">
        <v>4246</v>
      </c>
      <c r="B1451">
        <v>3.16</v>
      </c>
      <c r="C1451" t="s">
        <v>3633</v>
      </c>
      <c r="D1451" t="s">
        <v>3848</v>
      </c>
    </row>
    <row r="1452" spans="1:4">
      <c r="A1452" t="s">
        <v>4247</v>
      </c>
      <c r="B1452">
        <v>3.28</v>
      </c>
      <c r="C1452" t="s">
        <v>3347</v>
      </c>
      <c r="D1452" t="s">
        <v>3848</v>
      </c>
    </row>
    <row r="1453" spans="1:4">
      <c r="A1453" t="s">
        <v>4248</v>
      </c>
      <c r="B1453">
        <v>3.23</v>
      </c>
      <c r="C1453" t="s">
        <v>3633</v>
      </c>
      <c r="D1453" t="s">
        <v>3848</v>
      </c>
    </row>
    <row r="1454" spans="1:4">
      <c r="A1454" t="s">
        <v>4249</v>
      </c>
      <c r="B1454">
        <v>3.23</v>
      </c>
      <c r="C1454" t="s">
        <v>3347</v>
      </c>
      <c r="D1454" t="s">
        <v>3848</v>
      </c>
    </row>
    <row r="1455" spans="1:4">
      <c r="A1455" t="s">
        <v>4250</v>
      </c>
      <c r="B1455">
        <v>3.23</v>
      </c>
      <c r="C1455" t="s">
        <v>3633</v>
      </c>
      <c r="D1455" t="s">
        <v>3848</v>
      </c>
    </row>
    <row r="1456" spans="1:4">
      <c r="A1456" t="s">
        <v>4251</v>
      </c>
      <c r="B1456">
        <v>3.27</v>
      </c>
      <c r="C1456" t="s">
        <v>3347</v>
      </c>
      <c r="D1456" t="s">
        <v>3848</v>
      </c>
    </row>
    <row r="1457" spans="1:4">
      <c r="A1457" t="s">
        <v>4252</v>
      </c>
      <c r="B1457">
        <v>3.27</v>
      </c>
      <c r="C1457" t="s">
        <v>3633</v>
      </c>
      <c r="D1457" t="s">
        <v>3848</v>
      </c>
    </row>
    <row r="1458" spans="1:4">
      <c r="A1458" t="s">
        <v>4253</v>
      </c>
      <c r="B1458">
        <v>3.11</v>
      </c>
      <c r="C1458" t="s">
        <v>3347</v>
      </c>
      <c r="D1458" t="s">
        <v>3848</v>
      </c>
    </row>
    <row r="1459" spans="1:4">
      <c r="A1459" t="s">
        <v>4254</v>
      </c>
      <c r="B1459">
        <v>3.25</v>
      </c>
      <c r="C1459" t="s">
        <v>3613</v>
      </c>
      <c r="D1459" t="s">
        <v>3848</v>
      </c>
    </row>
    <row r="1460" spans="1:4">
      <c r="A1460" t="s">
        <v>4255</v>
      </c>
      <c r="B1460">
        <v>3.19</v>
      </c>
      <c r="C1460" t="s">
        <v>108</v>
      </c>
      <c r="D1460" t="s">
        <v>108</v>
      </c>
    </row>
    <row r="1461" spans="1:4">
      <c r="A1461" t="s">
        <v>4256</v>
      </c>
      <c r="B1461">
        <v>3.12</v>
      </c>
      <c r="C1461" t="s">
        <v>3613</v>
      </c>
      <c r="D1461" t="s">
        <v>4238</v>
      </c>
    </row>
    <row r="1462" spans="1:4">
      <c r="A1462" t="s">
        <v>4257</v>
      </c>
      <c r="B1462">
        <v>3.24</v>
      </c>
      <c r="C1462" t="s">
        <v>3610</v>
      </c>
      <c r="D1462" t="s">
        <v>4238</v>
      </c>
    </row>
    <row r="1463" spans="1:4">
      <c r="A1463" t="s">
        <v>4258</v>
      </c>
      <c r="B1463">
        <v>3.01</v>
      </c>
      <c r="C1463" t="s">
        <v>3613</v>
      </c>
      <c r="D1463" t="s">
        <v>4238</v>
      </c>
    </row>
    <row r="1464" spans="1:4">
      <c r="A1464" t="s">
        <v>4259</v>
      </c>
      <c r="B1464">
        <v>3.17</v>
      </c>
      <c r="C1464" t="s">
        <v>3347</v>
      </c>
      <c r="D1464" t="s">
        <v>4238</v>
      </c>
    </row>
    <row r="1465" spans="1:4">
      <c r="A1465" t="s">
        <v>4260</v>
      </c>
      <c r="B1465">
        <v>2.63</v>
      </c>
      <c r="C1465" t="s">
        <v>3633</v>
      </c>
      <c r="D1465" t="s">
        <v>4261</v>
      </c>
    </row>
    <row r="1466" spans="1:4">
      <c r="A1466" t="s">
        <v>4262</v>
      </c>
      <c r="B1466">
        <v>3.13</v>
      </c>
      <c r="C1466" t="s">
        <v>3347</v>
      </c>
      <c r="D1466" t="s">
        <v>3848</v>
      </c>
    </row>
    <row r="1467" spans="1:4">
      <c r="A1467" t="s">
        <v>4263</v>
      </c>
      <c r="B1467">
        <v>3.39</v>
      </c>
      <c r="C1467" t="s">
        <v>3347</v>
      </c>
      <c r="D1467" t="s">
        <v>3848</v>
      </c>
    </row>
    <row r="1468" spans="1:4">
      <c r="A1468" t="s">
        <v>4264</v>
      </c>
      <c r="B1468">
        <v>3.39</v>
      </c>
      <c r="C1468" t="s">
        <v>3347</v>
      </c>
      <c r="D1468" t="s">
        <v>3848</v>
      </c>
    </row>
    <row r="1469" spans="1:4">
      <c r="A1469" t="s">
        <v>4265</v>
      </c>
      <c r="B1469">
        <v>3.28</v>
      </c>
      <c r="C1469" t="s">
        <v>3633</v>
      </c>
      <c r="D1469" t="s">
        <v>3848</v>
      </c>
    </row>
    <row r="1470" spans="1:4">
      <c r="A1470" t="s">
        <v>4266</v>
      </c>
      <c r="B1470">
        <v>3.26</v>
      </c>
      <c r="C1470" t="s">
        <v>3633</v>
      </c>
      <c r="D1470" t="s">
        <v>3848</v>
      </c>
    </row>
    <row r="1471" spans="1:4">
      <c r="A1471" t="s">
        <v>4267</v>
      </c>
      <c r="B1471">
        <v>3.24</v>
      </c>
      <c r="C1471" t="s">
        <v>3347</v>
      </c>
      <c r="D1471" t="s">
        <v>3848</v>
      </c>
    </row>
    <row r="1472" spans="1:4">
      <c r="A1472" t="s">
        <v>4268</v>
      </c>
      <c r="B1472">
        <v>3.11</v>
      </c>
      <c r="C1472" t="s">
        <v>3347</v>
      </c>
      <c r="D1472" t="s">
        <v>3848</v>
      </c>
    </row>
    <row r="1473" spans="1:4">
      <c r="A1473" t="s">
        <v>4269</v>
      </c>
      <c r="B1473">
        <v>3.13</v>
      </c>
      <c r="C1473" t="s">
        <v>3347</v>
      </c>
      <c r="D1473" t="s">
        <v>3848</v>
      </c>
    </row>
    <row r="1474" spans="1:4">
      <c r="A1474" t="s">
        <v>4270</v>
      </c>
      <c r="B1474">
        <v>3.11</v>
      </c>
      <c r="C1474" t="s">
        <v>3633</v>
      </c>
      <c r="D1474" t="s">
        <v>3848</v>
      </c>
    </row>
    <row r="1475" spans="1:4">
      <c r="A1475" t="s">
        <v>4271</v>
      </c>
      <c r="B1475">
        <v>3.13</v>
      </c>
      <c r="C1475" t="s">
        <v>3633</v>
      </c>
      <c r="D1475" t="s">
        <v>3848</v>
      </c>
    </row>
    <row r="1476" spans="1:4">
      <c r="A1476" t="s">
        <v>4272</v>
      </c>
      <c r="B1476">
        <v>3.12</v>
      </c>
      <c r="C1476" t="s">
        <v>3347</v>
      </c>
      <c r="D1476" t="s">
        <v>3848</v>
      </c>
    </row>
    <row r="1477" spans="1:4">
      <c r="A1477" t="s">
        <v>4273</v>
      </c>
      <c r="B1477">
        <v>3.12</v>
      </c>
      <c r="C1477" t="s">
        <v>3347</v>
      </c>
      <c r="D1477" t="s">
        <v>3848</v>
      </c>
    </row>
    <row r="1478" spans="1:4">
      <c r="A1478" t="s">
        <v>4274</v>
      </c>
      <c r="B1478">
        <v>3.13</v>
      </c>
      <c r="C1478" t="s">
        <v>3347</v>
      </c>
      <c r="D1478" t="s">
        <v>3848</v>
      </c>
    </row>
    <row r="1479" spans="1:4">
      <c r="A1479" t="s">
        <v>4275</v>
      </c>
      <c r="B1479">
        <v>3.32</v>
      </c>
      <c r="C1479" t="s">
        <v>3633</v>
      </c>
      <c r="D1479" t="s">
        <v>4238</v>
      </c>
    </row>
    <row r="1480" spans="1:4">
      <c r="A1480" t="s">
        <v>4276</v>
      </c>
      <c r="B1480">
        <v>3.15</v>
      </c>
      <c r="C1480" t="s">
        <v>3347</v>
      </c>
      <c r="D1480" t="s">
        <v>4238</v>
      </c>
    </row>
    <row r="1481" spans="1:4">
      <c r="A1481" t="s">
        <v>4277</v>
      </c>
      <c r="B1481">
        <v>3.16</v>
      </c>
      <c r="C1481" t="s">
        <v>3633</v>
      </c>
      <c r="D1481" t="s">
        <v>3848</v>
      </c>
    </row>
    <row r="1482" spans="1:4">
      <c r="A1482" t="s">
        <v>4278</v>
      </c>
      <c r="B1482">
        <v>3.13</v>
      </c>
      <c r="C1482" t="s">
        <v>3347</v>
      </c>
      <c r="D1482" t="s">
        <v>4238</v>
      </c>
    </row>
    <row r="1483" spans="1:4">
      <c r="A1483" t="s">
        <v>4279</v>
      </c>
      <c r="B1483">
        <v>3.05</v>
      </c>
      <c r="C1483" t="s">
        <v>3633</v>
      </c>
      <c r="D1483" t="s">
        <v>3848</v>
      </c>
    </row>
    <row r="1484" spans="1:4">
      <c r="A1484" t="s">
        <v>4280</v>
      </c>
      <c r="B1484">
        <v>3.21</v>
      </c>
      <c r="C1484" t="s">
        <v>3633</v>
      </c>
      <c r="D1484" t="s">
        <v>4238</v>
      </c>
    </row>
    <row r="1485" spans="1:4">
      <c r="A1485" t="s">
        <v>4281</v>
      </c>
      <c r="B1485">
        <v>2.75</v>
      </c>
      <c r="C1485" t="s">
        <v>3610</v>
      </c>
      <c r="D1485" t="s">
        <v>4238</v>
      </c>
    </row>
    <row r="1486" spans="1:4">
      <c r="A1486" t="s">
        <v>4282</v>
      </c>
      <c r="B1486">
        <v>3.2</v>
      </c>
      <c r="C1486" t="s">
        <v>3633</v>
      </c>
      <c r="D1486" t="s">
        <v>3848</v>
      </c>
    </row>
    <row r="1487" spans="1:4">
      <c r="A1487" t="s">
        <v>4283</v>
      </c>
      <c r="B1487">
        <v>3.2</v>
      </c>
      <c r="C1487" t="s">
        <v>3630</v>
      </c>
      <c r="D1487" t="s">
        <v>4238</v>
      </c>
    </row>
    <row r="1488" spans="1:4">
      <c r="A1488" t="s">
        <v>4284</v>
      </c>
      <c r="B1488">
        <v>3.13</v>
      </c>
      <c r="C1488" t="s">
        <v>3633</v>
      </c>
      <c r="D1488" t="s">
        <v>3848</v>
      </c>
    </row>
    <row r="1489" spans="1:4">
      <c r="A1489" t="s">
        <v>4285</v>
      </c>
      <c r="B1489">
        <v>3.23</v>
      </c>
      <c r="C1489" t="s">
        <v>3347</v>
      </c>
      <c r="D1489" t="s">
        <v>3848</v>
      </c>
    </row>
    <row r="1490" spans="1:4">
      <c r="A1490" t="s">
        <v>4286</v>
      </c>
      <c r="B1490">
        <v>3.05</v>
      </c>
      <c r="C1490" t="s">
        <v>3347</v>
      </c>
      <c r="D1490" t="s">
        <v>4238</v>
      </c>
    </row>
    <row r="1491" spans="1:4">
      <c r="A1491" t="s">
        <v>4287</v>
      </c>
      <c r="B1491">
        <v>3.2</v>
      </c>
      <c r="C1491" t="s">
        <v>3633</v>
      </c>
      <c r="D1491" t="s">
        <v>3848</v>
      </c>
    </row>
    <row r="1492" spans="1:4">
      <c r="A1492" t="s">
        <v>4288</v>
      </c>
      <c r="B1492">
        <v>3.17</v>
      </c>
      <c r="C1492" t="s">
        <v>3633</v>
      </c>
      <c r="D1492" t="s">
        <v>4238</v>
      </c>
    </row>
    <row r="1493" spans="1:4">
      <c r="A1493" t="s">
        <v>4289</v>
      </c>
      <c r="B1493">
        <v>3.26</v>
      </c>
      <c r="C1493" t="s">
        <v>3630</v>
      </c>
      <c r="D1493" t="s">
        <v>4238</v>
      </c>
    </row>
    <row r="1494" spans="1:4">
      <c r="A1494" t="s">
        <v>4290</v>
      </c>
      <c r="B1494">
        <v>3.16</v>
      </c>
      <c r="C1494" t="s">
        <v>3633</v>
      </c>
      <c r="D1494" t="s">
        <v>3848</v>
      </c>
    </row>
    <row r="1495" spans="1:4">
      <c r="A1495" t="s">
        <v>4291</v>
      </c>
      <c r="B1495">
        <v>3.23</v>
      </c>
      <c r="C1495" t="s">
        <v>3633</v>
      </c>
      <c r="D1495" t="s">
        <v>3848</v>
      </c>
    </row>
    <row r="1496" spans="1:4">
      <c r="A1496" t="s">
        <v>4292</v>
      </c>
      <c r="B1496">
        <v>3.32</v>
      </c>
      <c r="C1496" t="s">
        <v>3347</v>
      </c>
      <c r="D1496" t="s">
        <v>4238</v>
      </c>
    </row>
    <row r="1497" spans="1:4">
      <c r="A1497" t="s">
        <v>4293</v>
      </c>
      <c r="B1497">
        <v>3.1</v>
      </c>
      <c r="C1497" t="s">
        <v>3347</v>
      </c>
      <c r="D1497" t="s">
        <v>4294</v>
      </c>
    </row>
    <row r="1498" spans="1:4">
      <c r="A1498" t="s">
        <v>4295</v>
      </c>
      <c r="B1498">
        <v>2.96</v>
      </c>
      <c r="C1498" t="s">
        <v>3633</v>
      </c>
      <c r="D1498" t="s">
        <v>4294</v>
      </c>
    </row>
    <row r="1499" spans="1:4">
      <c r="A1499" t="s">
        <v>4296</v>
      </c>
      <c r="B1499">
        <v>2.95</v>
      </c>
      <c r="C1499" t="s">
        <v>3633</v>
      </c>
      <c r="D1499" t="s">
        <v>4294</v>
      </c>
    </row>
    <row r="1500" spans="1:4">
      <c r="A1500" t="s">
        <v>4297</v>
      </c>
      <c r="B1500">
        <v>3</v>
      </c>
      <c r="C1500" t="s">
        <v>3347</v>
      </c>
      <c r="D1500" t="s">
        <v>4294</v>
      </c>
    </row>
    <row r="1501" spans="1:4">
      <c r="A1501" t="s">
        <v>4298</v>
      </c>
      <c r="B1501">
        <v>3</v>
      </c>
      <c r="C1501" t="s">
        <v>3347</v>
      </c>
      <c r="D1501" t="s">
        <v>4294</v>
      </c>
    </row>
    <row r="1502" spans="1:4">
      <c r="A1502" t="s">
        <v>4299</v>
      </c>
      <c r="B1502">
        <v>3.1</v>
      </c>
      <c r="C1502" t="s">
        <v>3633</v>
      </c>
      <c r="D1502" t="s">
        <v>4294</v>
      </c>
    </row>
    <row r="1503" spans="1:4">
      <c r="A1503" t="s">
        <v>4300</v>
      </c>
      <c r="B1503">
        <v>3.07</v>
      </c>
      <c r="C1503" t="s">
        <v>3347</v>
      </c>
      <c r="D1503" t="s">
        <v>3848</v>
      </c>
    </row>
    <row r="1504" spans="1:4">
      <c r="A1504" t="s">
        <v>4301</v>
      </c>
      <c r="B1504">
        <v>3.08</v>
      </c>
      <c r="C1504" t="s">
        <v>3633</v>
      </c>
      <c r="D1504" t="s">
        <v>4302</v>
      </c>
    </row>
    <row r="1505" spans="1:4">
      <c r="A1505" t="s">
        <v>4303</v>
      </c>
      <c r="B1505">
        <v>3.08</v>
      </c>
      <c r="C1505" t="s">
        <v>3347</v>
      </c>
      <c r="D1505" t="s">
        <v>3848</v>
      </c>
    </row>
    <row r="1506" spans="1:4">
      <c r="A1506" t="s">
        <v>4304</v>
      </c>
      <c r="B1506">
        <v>3.08</v>
      </c>
      <c r="C1506" t="s">
        <v>3633</v>
      </c>
      <c r="D1506" t="s">
        <v>3848</v>
      </c>
    </row>
    <row r="1507" spans="1:4">
      <c r="A1507" t="s">
        <v>4305</v>
      </c>
      <c r="B1507">
        <v>3.17</v>
      </c>
      <c r="C1507" t="s">
        <v>3633</v>
      </c>
      <c r="D1507" t="s">
        <v>3848</v>
      </c>
    </row>
    <row r="1508" spans="1:4">
      <c r="A1508" t="s">
        <v>4306</v>
      </c>
      <c r="B1508">
        <v>3.17</v>
      </c>
      <c r="C1508" t="s">
        <v>3347</v>
      </c>
      <c r="D1508" t="s">
        <v>3848</v>
      </c>
    </row>
    <row r="1509" spans="1:4">
      <c r="A1509" t="s">
        <v>4307</v>
      </c>
      <c r="B1509">
        <v>2.74</v>
      </c>
      <c r="C1509" t="s">
        <v>3103</v>
      </c>
      <c r="D1509" t="s">
        <v>4308</v>
      </c>
    </row>
    <row r="1510" spans="1:4">
      <c r="A1510" t="s">
        <v>4309</v>
      </c>
      <c r="B1510">
        <v>2.81</v>
      </c>
      <c r="C1510" t="s">
        <v>108</v>
      </c>
      <c r="D1510" t="s">
        <v>108</v>
      </c>
    </row>
    <row r="1511" spans="1:4">
      <c r="A1511" t="s">
        <v>4310</v>
      </c>
      <c r="B1511">
        <v>1.2</v>
      </c>
      <c r="C1511" t="s">
        <v>108</v>
      </c>
      <c r="D1511" t="s">
        <v>108</v>
      </c>
    </row>
    <row r="1512" spans="1:4">
      <c r="A1512" t="s">
        <v>4311</v>
      </c>
      <c r="B1512">
        <v>0.14000000000000001</v>
      </c>
      <c r="C1512" t="s">
        <v>108</v>
      </c>
      <c r="D1512" t="s">
        <v>108</v>
      </c>
    </row>
    <row r="1513" spans="1:4">
      <c r="A1513" t="s">
        <v>4312</v>
      </c>
      <c r="B1513">
        <v>0.31</v>
      </c>
      <c r="C1513" t="s">
        <v>4313</v>
      </c>
      <c r="D1513" t="s">
        <v>4002</v>
      </c>
    </row>
    <row r="1514" spans="1:4">
      <c r="A1514" t="s">
        <v>4314</v>
      </c>
      <c r="B1514">
        <v>1.25</v>
      </c>
      <c r="C1514" t="s">
        <v>4315</v>
      </c>
      <c r="D1514" t="s">
        <v>4316</v>
      </c>
    </row>
    <row r="1515" spans="1:4">
      <c r="A1515" t="s">
        <v>4317</v>
      </c>
      <c r="B1515">
        <v>1.2</v>
      </c>
      <c r="C1515" t="s">
        <v>4315</v>
      </c>
      <c r="D1515" t="s">
        <v>4316</v>
      </c>
    </row>
    <row r="1516" spans="1:4">
      <c r="A1516" t="s">
        <v>4318</v>
      </c>
      <c r="B1516">
        <v>1</v>
      </c>
      <c r="C1516" t="s">
        <v>3103</v>
      </c>
      <c r="D1516" t="s">
        <v>4319</v>
      </c>
    </row>
    <row r="1517" spans="1:4">
      <c r="A1517" t="s">
        <v>4320</v>
      </c>
      <c r="B1517">
        <v>1.5</v>
      </c>
      <c r="C1517" t="s">
        <v>108</v>
      </c>
      <c r="D1517" t="s">
        <v>4321</v>
      </c>
    </row>
    <row r="1518" spans="1:4">
      <c r="A1518" t="s">
        <v>4322</v>
      </c>
      <c r="B1518">
        <v>0.12</v>
      </c>
      <c r="C1518" t="s">
        <v>4323</v>
      </c>
      <c r="D1518" t="s">
        <v>4324</v>
      </c>
    </row>
    <row r="1519" spans="1:4">
      <c r="A1519" t="s">
        <v>4325</v>
      </c>
      <c r="B1519">
        <v>0.15</v>
      </c>
      <c r="C1519" t="s">
        <v>4315</v>
      </c>
      <c r="D1519" t="s">
        <v>4324</v>
      </c>
    </row>
    <row r="1520" spans="1:4">
      <c r="A1520" t="s">
        <v>4326</v>
      </c>
      <c r="B1520">
        <v>0.16</v>
      </c>
      <c r="C1520" t="s">
        <v>4315</v>
      </c>
      <c r="D1520" t="s">
        <v>4324</v>
      </c>
    </row>
    <row r="1521" spans="1:4">
      <c r="A1521" t="s">
        <v>4327</v>
      </c>
      <c r="B1521">
        <v>0.16</v>
      </c>
      <c r="C1521" t="s">
        <v>4315</v>
      </c>
      <c r="D1521" t="s">
        <v>4324</v>
      </c>
    </row>
    <row r="1522" spans="1:4">
      <c r="A1522" t="s">
        <v>4328</v>
      </c>
      <c r="B1522">
        <v>0.17</v>
      </c>
      <c r="C1522" t="s">
        <v>4323</v>
      </c>
      <c r="D1522" t="s">
        <v>4324</v>
      </c>
    </row>
    <row r="1523" spans="1:4">
      <c r="A1523" t="s">
        <v>4329</v>
      </c>
      <c r="B1523">
        <v>0.17</v>
      </c>
      <c r="C1523" t="s">
        <v>4323</v>
      </c>
      <c r="D1523" t="s">
        <v>4324</v>
      </c>
    </row>
    <row r="1524" spans="1:4">
      <c r="A1524" t="s">
        <v>4330</v>
      </c>
      <c r="B1524">
        <v>0.19</v>
      </c>
      <c r="C1524" t="s">
        <v>4315</v>
      </c>
      <c r="D1524" t="s">
        <v>4324</v>
      </c>
    </row>
    <row r="1525" spans="1:4">
      <c r="A1525" t="s">
        <v>4331</v>
      </c>
      <c r="B1525">
        <v>0.19</v>
      </c>
      <c r="C1525" t="s">
        <v>4315</v>
      </c>
      <c r="D1525" t="s">
        <v>4324</v>
      </c>
    </row>
    <row r="1526" spans="1:4">
      <c r="A1526" t="s">
        <v>4332</v>
      </c>
      <c r="B1526">
        <v>0.24</v>
      </c>
      <c r="C1526" t="s">
        <v>4315</v>
      </c>
      <c r="D1526" t="s">
        <v>4324</v>
      </c>
    </row>
    <row r="1527" spans="1:4">
      <c r="A1527" t="s">
        <v>4333</v>
      </c>
      <c r="B1527">
        <v>0.16</v>
      </c>
      <c r="C1527" t="s">
        <v>4323</v>
      </c>
      <c r="D1527" t="s">
        <v>4324</v>
      </c>
    </row>
    <row r="1528" spans="1:4">
      <c r="A1528" t="s">
        <v>4334</v>
      </c>
      <c r="B1528">
        <v>0.19</v>
      </c>
      <c r="C1528" t="s">
        <v>4323</v>
      </c>
      <c r="D1528" t="s">
        <v>4324</v>
      </c>
    </row>
    <row r="1529" spans="1:4">
      <c r="A1529" t="s">
        <v>4335</v>
      </c>
      <c r="B1529">
        <v>2.6</v>
      </c>
      <c r="C1529" t="s">
        <v>4336</v>
      </c>
      <c r="D1529" t="s">
        <v>3902</v>
      </c>
    </row>
    <row r="1530" spans="1:4">
      <c r="A1530" t="s">
        <v>4337</v>
      </c>
      <c r="B1530">
        <v>2.68</v>
      </c>
      <c r="C1530" t="s">
        <v>4338</v>
      </c>
      <c r="D1530" t="s">
        <v>3902</v>
      </c>
    </row>
    <row r="1531" spans="1:4">
      <c r="A1531" t="s">
        <v>4339</v>
      </c>
      <c r="B1531">
        <v>0.59</v>
      </c>
      <c r="C1531" t="s">
        <v>3103</v>
      </c>
      <c r="D1531" t="s">
        <v>4340</v>
      </c>
    </row>
    <row r="1532" spans="1:4">
      <c r="A1532" t="s">
        <v>4341</v>
      </c>
      <c r="B1532">
        <v>0.8</v>
      </c>
      <c r="C1532" t="s">
        <v>3103</v>
      </c>
      <c r="D1532" t="s">
        <v>4342</v>
      </c>
    </row>
    <row r="1533" spans="1:4">
      <c r="A1533" t="s">
        <v>4343</v>
      </c>
      <c r="B1533">
        <v>0.8</v>
      </c>
      <c r="C1533" t="s">
        <v>3103</v>
      </c>
      <c r="D1533" t="s">
        <v>4344</v>
      </c>
    </row>
    <row r="1534" spans="1:4">
      <c r="A1534" t="s">
        <v>4345</v>
      </c>
      <c r="B1534">
        <v>0.5</v>
      </c>
      <c r="C1534" t="s">
        <v>3103</v>
      </c>
      <c r="D1534" t="s">
        <v>4346</v>
      </c>
    </row>
    <row r="1535" spans="1:4">
      <c r="A1535" t="s">
        <v>4347</v>
      </c>
      <c r="B1535">
        <v>0.5</v>
      </c>
      <c r="C1535" t="s">
        <v>3103</v>
      </c>
      <c r="D1535" t="s">
        <v>4348</v>
      </c>
    </row>
    <row r="1536" spans="1:4">
      <c r="A1536" t="s">
        <v>4349</v>
      </c>
      <c r="B1536">
        <v>0.51</v>
      </c>
      <c r="C1536" t="s">
        <v>3103</v>
      </c>
      <c r="D1536" t="s">
        <v>4350</v>
      </c>
    </row>
    <row r="1537" spans="1:4">
      <c r="A1537" t="s">
        <v>4351</v>
      </c>
      <c r="B1537">
        <v>0.48</v>
      </c>
      <c r="C1537" t="s">
        <v>3103</v>
      </c>
      <c r="D1537" t="s">
        <v>4348</v>
      </c>
    </row>
    <row r="1538" spans="1:4">
      <c r="A1538" t="s">
        <v>4352</v>
      </c>
      <c r="B1538">
        <v>0.78</v>
      </c>
      <c r="C1538" t="s">
        <v>3103</v>
      </c>
      <c r="D1538" t="s">
        <v>4344</v>
      </c>
    </row>
    <row r="1539" spans="1:4">
      <c r="A1539" t="s">
        <v>4353</v>
      </c>
      <c r="B1539">
        <v>0.8</v>
      </c>
      <c r="C1539" t="s">
        <v>3103</v>
      </c>
      <c r="D1539" t="s">
        <v>4344</v>
      </c>
    </row>
    <row r="1540" spans="1:4">
      <c r="A1540" t="s">
        <v>4354</v>
      </c>
      <c r="B1540">
        <v>0.78</v>
      </c>
      <c r="C1540" t="s">
        <v>3103</v>
      </c>
      <c r="D1540" t="s">
        <v>4344</v>
      </c>
    </row>
    <row r="1541" spans="1:4">
      <c r="A1541" t="s">
        <v>4355</v>
      </c>
      <c r="B1541">
        <v>0.8</v>
      </c>
      <c r="C1541" t="s">
        <v>3103</v>
      </c>
      <c r="D1541" t="s">
        <v>4344</v>
      </c>
    </row>
    <row r="1542" spans="1:4">
      <c r="A1542" t="s">
        <v>4356</v>
      </c>
      <c r="B1542">
        <v>0.88</v>
      </c>
      <c r="C1542" t="s">
        <v>3103</v>
      </c>
      <c r="D1542" t="s">
        <v>4357</v>
      </c>
    </row>
    <row r="1543" spans="1:4">
      <c r="A1543" t="s">
        <v>4358</v>
      </c>
      <c r="B1543">
        <v>0.9</v>
      </c>
      <c r="C1543" t="s">
        <v>4359</v>
      </c>
      <c r="D1543" t="s">
        <v>4357</v>
      </c>
    </row>
    <row r="1544" spans="1:4">
      <c r="A1544" t="s">
        <v>4360</v>
      </c>
      <c r="B1544">
        <v>0.94</v>
      </c>
      <c r="C1544" t="s">
        <v>3103</v>
      </c>
      <c r="D1544" t="s">
        <v>4361</v>
      </c>
    </row>
    <row r="1545" spans="1:4">
      <c r="A1545" t="s">
        <v>4362</v>
      </c>
      <c r="B1545">
        <v>0.89</v>
      </c>
      <c r="C1545" t="s">
        <v>3103</v>
      </c>
      <c r="D1545" t="s">
        <v>4357</v>
      </c>
    </row>
    <row r="1546" spans="1:4">
      <c r="A1546" t="s">
        <v>4363</v>
      </c>
      <c r="B1546">
        <v>1.02</v>
      </c>
      <c r="C1546" t="s">
        <v>3103</v>
      </c>
      <c r="D1546" t="s">
        <v>4364</v>
      </c>
    </row>
    <row r="1547" spans="1:4">
      <c r="A1547" t="s">
        <v>4365</v>
      </c>
      <c r="B1547">
        <v>1.25</v>
      </c>
      <c r="C1547" t="s">
        <v>3103</v>
      </c>
      <c r="D1547" t="s">
        <v>4366</v>
      </c>
    </row>
    <row r="1548" spans="1:4">
      <c r="A1548" t="s">
        <v>4367</v>
      </c>
      <c r="B1548">
        <v>1.4</v>
      </c>
      <c r="C1548" t="s">
        <v>3103</v>
      </c>
      <c r="D1548" t="s">
        <v>4368</v>
      </c>
    </row>
    <row r="1549" spans="1:4">
      <c r="A1549" t="s">
        <v>4369</v>
      </c>
      <c r="B1549">
        <v>1.4</v>
      </c>
      <c r="C1549" t="s">
        <v>3103</v>
      </c>
      <c r="D1549" t="s">
        <v>4368</v>
      </c>
    </row>
    <row r="1550" spans="1:4">
      <c r="A1550" t="s">
        <v>4370</v>
      </c>
      <c r="B1550">
        <v>1.45</v>
      </c>
      <c r="C1550" t="s">
        <v>3103</v>
      </c>
      <c r="D1550" t="s">
        <v>4371</v>
      </c>
    </row>
    <row r="1551" spans="1:4">
      <c r="A1551" t="s">
        <v>4372</v>
      </c>
      <c r="B1551">
        <v>1.45</v>
      </c>
      <c r="C1551" t="s">
        <v>3103</v>
      </c>
      <c r="D1551" t="s">
        <v>4371</v>
      </c>
    </row>
    <row r="1552" spans="1:4">
      <c r="A1552" t="s">
        <v>4373</v>
      </c>
      <c r="B1552">
        <v>0.65</v>
      </c>
      <c r="C1552" t="s">
        <v>4374</v>
      </c>
      <c r="D1552" t="s">
        <v>4375</v>
      </c>
    </row>
    <row r="1553" spans="1:4">
      <c r="A1553" t="s">
        <v>4376</v>
      </c>
      <c r="B1553">
        <v>1.1000000000000001</v>
      </c>
      <c r="C1553" t="s">
        <v>4377</v>
      </c>
      <c r="D1553" t="s">
        <v>4378</v>
      </c>
    </row>
    <row r="1554" spans="1:4">
      <c r="A1554" t="s">
        <v>4379</v>
      </c>
      <c r="B1554">
        <v>0.5</v>
      </c>
      <c r="C1554" t="s">
        <v>4323</v>
      </c>
      <c r="D1554" t="s">
        <v>4316</v>
      </c>
    </row>
    <row r="1555" spans="1:4">
      <c r="A1555" t="s">
        <v>4380</v>
      </c>
      <c r="B1555">
        <v>0.5</v>
      </c>
      <c r="C1555" t="s">
        <v>108</v>
      </c>
      <c r="D1555" t="s">
        <v>4348</v>
      </c>
    </row>
    <row r="1556" spans="1:4">
      <c r="A1556" t="s">
        <v>4381</v>
      </c>
      <c r="B1556">
        <v>0.85</v>
      </c>
      <c r="C1556" t="s">
        <v>4382</v>
      </c>
      <c r="D1556" t="s">
        <v>4383</v>
      </c>
    </row>
    <row r="1557" spans="1:4">
      <c r="A1557" t="s">
        <v>4384</v>
      </c>
      <c r="B1557">
        <v>0.9</v>
      </c>
      <c r="C1557" t="s">
        <v>4385</v>
      </c>
      <c r="D1557" t="s">
        <v>4383</v>
      </c>
    </row>
    <row r="1558" spans="1:4">
      <c r="A1558" t="s">
        <v>4386</v>
      </c>
      <c r="B1558">
        <v>0.5</v>
      </c>
      <c r="C1558" t="s">
        <v>3103</v>
      </c>
      <c r="D1558" t="s">
        <v>4348</v>
      </c>
    </row>
    <row r="1559" spans="1:4">
      <c r="A1559" t="s">
        <v>4387</v>
      </c>
      <c r="B1559">
        <v>0.6</v>
      </c>
      <c r="C1559" t="s">
        <v>4388</v>
      </c>
      <c r="D1559" t="s">
        <v>4389</v>
      </c>
    </row>
    <row r="1560" spans="1:4">
      <c r="A1560" t="s">
        <v>4390</v>
      </c>
      <c r="B1560">
        <v>0.67</v>
      </c>
      <c r="C1560" t="s">
        <v>4391</v>
      </c>
      <c r="D1560" t="s">
        <v>4392</v>
      </c>
    </row>
    <row r="1561" spans="1:4">
      <c r="A1561" t="s">
        <v>4393</v>
      </c>
      <c r="B1561">
        <v>1.74</v>
      </c>
      <c r="C1561" t="s">
        <v>3416</v>
      </c>
      <c r="D1561" t="s">
        <v>4394</v>
      </c>
    </row>
    <row r="1562" spans="1:4">
      <c r="A1562" t="s">
        <v>4395</v>
      </c>
      <c r="B1562">
        <v>1.64</v>
      </c>
      <c r="C1562" t="s">
        <v>4396</v>
      </c>
      <c r="D1562" t="s">
        <v>4394</v>
      </c>
    </row>
    <row r="1563" spans="1:4">
      <c r="A1563" t="s">
        <v>4397</v>
      </c>
      <c r="B1563">
        <v>1.69</v>
      </c>
      <c r="C1563" t="s">
        <v>4398</v>
      </c>
      <c r="D1563" t="s">
        <v>4399</v>
      </c>
    </row>
    <row r="1564" spans="1:4">
      <c r="A1564" t="s">
        <v>4400</v>
      </c>
      <c r="B1564">
        <v>1.6</v>
      </c>
      <c r="C1564" t="s">
        <v>4401</v>
      </c>
      <c r="D1564" t="s">
        <v>4394</v>
      </c>
    </row>
    <row r="1565" spans="1:4">
      <c r="A1565" t="s">
        <v>4402</v>
      </c>
      <c r="B1565">
        <v>1.6</v>
      </c>
      <c r="C1565" t="s">
        <v>4403</v>
      </c>
      <c r="D1565" t="s">
        <v>4394</v>
      </c>
    </row>
    <row r="1566" spans="1:4">
      <c r="A1566" t="s">
        <v>4404</v>
      </c>
      <c r="B1566">
        <v>1</v>
      </c>
      <c r="C1566" t="s">
        <v>4391</v>
      </c>
      <c r="D1566" t="s">
        <v>4405</v>
      </c>
    </row>
    <row r="1567" spans="1:4">
      <c r="A1567" t="s">
        <v>4406</v>
      </c>
      <c r="B1567">
        <v>1.06</v>
      </c>
      <c r="C1567" t="s">
        <v>4391</v>
      </c>
      <c r="D1567" t="s">
        <v>4405</v>
      </c>
    </row>
    <row r="1568" spans="1:4">
      <c r="A1568" t="s">
        <v>4407</v>
      </c>
      <c r="B1568">
        <v>1.25</v>
      </c>
      <c r="C1568" t="s">
        <v>3127</v>
      </c>
      <c r="D1568" t="s">
        <v>4408</v>
      </c>
    </row>
    <row r="1569" spans="1:4">
      <c r="A1569" t="s">
        <v>4409</v>
      </c>
      <c r="B1569">
        <v>1.35</v>
      </c>
      <c r="C1569" t="s">
        <v>4410</v>
      </c>
      <c r="D1569" t="s">
        <v>4411</v>
      </c>
    </row>
    <row r="1570" spans="1:4">
      <c r="A1570" t="s">
        <v>4412</v>
      </c>
      <c r="B1570">
        <v>1.35</v>
      </c>
      <c r="C1570" t="s">
        <v>3532</v>
      </c>
      <c r="D1570" t="s">
        <v>4411</v>
      </c>
    </row>
    <row r="1571" spans="1:4">
      <c r="A1571" t="s">
        <v>4413</v>
      </c>
      <c r="B1571">
        <v>0.8</v>
      </c>
      <c r="C1571" t="s">
        <v>4391</v>
      </c>
      <c r="D1571" t="s">
        <v>4414</v>
      </c>
    </row>
    <row r="1572" spans="1:4">
      <c r="A1572" t="s">
        <v>4415</v>
      </c>
      <c r="B1572">
        <v>1.1200000000000001</v>
      </c>
      <c r="C1572" t="s">
        <v>4416</v>
      </c>
      <c r="D1572" t="s">
        <v>4417</v>
      </c>
    </row>
    <row r="1573" spans="1:4">
      <c r="A1573" t="s">
        <v>4418</v>
      </c>
      <c r="B1573">
        <v>1.1000000000000001</v>
      </c>
      <c r="C1573" t="s">
        <v>3103</v>
      </c>
      <c r="D1573" t="s">
        <v>4419</v>
      </c>
    </row>
    <row r="1574" spans="1:4">
      <c r="A1574" t="s">
        <v>4420</v>
      </c>
      <c r="B1574">
        <v>1.1499999999999999</v>
      </c>
      <c r="C1574" t="s">
        <v>3103</v>
      </c>
      <c r="D1574" t="s">
        <v>4419</v>
      </c>
    </row>
    <row r="1575" spans="1:4">
      <c r="A1575" t="s">
        <v>4421</v>
      </c>
      <c r="B1575">
        <v>1.35</v>
      </c>
      <c r="C1575" t="s">
        <v>3103</v>
      </c>
      <c r="D1575" t="s">
        <v>4419</v>
      </c>
    </row>
    <row r="1576" spans="1:4">
      <c r="A1576" t="s">
        <v>4422</v>
      </c>
      <c r="B1576">
        <v>0.87</v>
      </c>
      <c r="C1576" t="s">
        <v>3103</v>
      </c>
      <c r="D1576" t="s">
        <v>4423</v>
      </c>
    </row>
    <row r="1577" spans="1:4">
      <c r="A1577" t="s">
        <v>4424</v>
      </c>
      <c r="B1577">
        <v>0.84</v>
      </c>
      <c r="C1577" t="s">
        <v>3687</v>
      </c>
      <c r="D1577" t="s">
        <v>4357</v>
      </c>
    </row>
    <row r="1578" spans="1:4">
      <c r="A1578" t="s">
        <v>4425</v>
      </c>
      <c r="B1578">
        <v>0.41</v>
      </c>
      <c r="C1578" t="s">
        <v>3530</v>
      </c>
      <c r="D1578" t="s">
        <v>4426</v>
      </c>
    </row>
    <row r="1579" spans="1:4">
      <c r="A1579" t="s">
        <v>4427</v>
      </c>
      <c r="B1579">
        <v>0.52</v>
      </c>
      <c r="C1579" t="s">
        <v>4428</v>
      </c>
      <c r="D1579" t="s">
        <v>4429</v>
      </c>
    </row>
    <row r="1580" spans="1:4">
      <c r="A1580" t="s">
        <v>4430</v>
      </c>
      <c r="B1580">
        <v>0.65</v>
      </c>
      <c r="C1580" t="s">
        <v>3687</v>
      </c>
      <c r="D1580" t="s">
        <v>4431</v>
      </c>
    </row>
    <row r="1581" spans="1:4">
      <c r="A1581" t="s">
        <v>4432</v>
      </c>
      <c r="B1581">
        <v>1.1000000000000001</v>
      </c>
      <c r="C1581" t="s">
        <v>4433</v>
      </c>
      <c r="D1581" t="s">
        <v>4434</v>
      </c>
    </row>
    <row r="1582" spans="1:4">
      <c r="A1582" t="s">
        <v>4435</v>
      </c>
      <c r="B1582">
        <v>1.1000000000000001</v>
      </c>
      <c r="C1582" t="s">
        <v>3579</v>
      </c>
      <c r="D1582" t="s">
        <v>4436</v>
      </c>
    </row>
    <row r="1583" spans="1:4">
      <c r="A1583" t="s">
        <v>4437</v>
      </c>
      <c r="B1583">
        <v>1</v>
      </c>
      <c r="C1583" t="s">
        <v>3525</v>
      </c>
      <c r="D1583" t="s">
        <v>4438</v>
      </c>
    </row>
    <row r="1584" spans="1:4">
      <c r="A1584" t="s">
        <v>4439</v>
      </c>
      <c r="B1584">
        <v>0.6</v>
      </c>
      <c r="C1584" t="s">
        <v>4359</v>
      </c>
      <c r="D1584" t="s">
        <v>4440</v>
      </c>
    </row>
    <row r="1585" spans="1:4">
      <c r="A1585" t="s">
        <v>4441</v>
      </c>
      <c r="B1585">
        <v>0.85</v>
      </c>
      <c r="C1585" t="s">
        <v>4428</v>
      </c>
      <c r="D1585" t="s">
        <v>4442</v>
      </c>
    </row>
    <row r="1586" spans="1:4">
      <c r="A1586" t="s">
        <v>4443</v>
      </c>
      <c r="B1586">
        <v>1.2</v>
      </c>
      <c r="C1586" t="s">
        <v>3117</v>
      </c>
      <c r="D1586" t="s">
        <v>4444</v>
      </c>
    </row>
    <row r="1587" spans="1:4">
      <c r="A1587" t="s">
        <v>4445</v>
      </c>
      <c r="B1587">
        <v>1.24</v>
      </c>
      <c r="C1587" t="s">
        <v>4446</v>
      </c>
      <c r="D1587" t="s">
        <v>4447</v>
      </c>
    </row>
    <row r="1588" spans="1:4">
      <c r="A1588" t="s">
        <v>4448</v>
      </c>
      <c r="B1588">
        <v>2.2000000000000002</v>
      </c>
      <c r="C1588" t="s">
        <v>4449</v>
      </c>
      <c r="D1588" t="s">
        <v>4450</v>
      </c>
    </row>
    <row r="1589" spans="1:4">
      <c r="A1589" t="s">
        <v>4451</v>
      </c>
      <c r="B1589">
        <v>1.5</v>
      </c>
      <c r="C1589" t="s">
        <v>3103</v>
      </c>
      <c r="D1589" t="s">
        <v>4452</v>
      </c>
    </row>
    <row r="1590" spans="1:4">
      <c r="A1590" t="s">
        <v>4453</v>
      </c>
      <c r="B1590">
        <v>1.45</v>
      </c>
      <c r="C1590" t="s">
        <v>3103</v>
      </c>
      <c r="D1590" t="s">
        <v>4452</v>
      </c>
    </row>
    <row r="1591" spans="1:4">
      <c r="A1591" t="s">
        <v>4454</v>
      </c>
      <c r="B1591">
        <v>1.1499999999999999</v>
      </c>
      <c r="C1591" t="s">
        <v>3103</v>
      </c>
      <c r="D1591" t="s">
        <v>4452</v>
      </c>
    </row>
    <row r="1592" spans="1:4">
      <c r="A1592" t="s">
        <v>4455</v>
      </c>
      <c r="B1592">
        <v>1.27</v>
      </c>
      <c r="C1592" t="s">
        <v>108</v>
      </c>
      <c r="D1592" t="s">
        <v>4456</v>
      </c>
    </row>
    <row r="1593" spans="1:4">
      <c r="A1593" t="s">
        <v>4457</v>
      </c>
      <c r="B1593">
        <v>0.9</v>
      </c>
      <c r="C1593" t="s">
        <v>4323</v>
      </c>
      <c r="D1593" t="s">
        <v>4316</v>
      </c>
    </row>
    <row r="1594" spans="1:4">
      <c r="A1594" t="s">
        <v>4458</v>
      </c>
      <c r="B1594">
        <v>0.7</v>
      </c>
      <c r="C1594" t="s">
        <v>4315</v>
      </c>
      <c r="D1594" t="s">
        <v>4316</v>
      </c>
    </row>
    <row r="1595" spans="1:4">
      <c r="A1595" t="s">
        <v>4459</v>
      </c>
      <c r="B1595">
        <v>1</v>
      </c>
      <c r="C1595" t="s">
        <v>4315</v>
      </c>
      <c r="D1595" t="s">
        <v>4316</v>
      </c>
    </row>
    <row r="1596" spans="1:4">
      <c r="A1596" t="s">
        <v>4460</v>
      </c>
      <c r="B1596">
        <v>2.2000000000000002</v>
      </c>
      <c r="C1596" t="s">
        <v>4461</v>
      </c>
      <c r="D1596" t="s">
        <v>4211</v>
      </c>
    </row>
    <row r="1597" spans="1:4">
      <c r="A1597" t="s">
        <v>4462</v>
      </c>
      <c r="B1597">
        <v>2.0699999999999998</v>
      </c>
      <c r="C1597" t="s">
        <v>108</v>
      </c>
      <c r="D1597" t="s">
        <v>4463</v>
      </c>
    </row>
    <row r="1598" spans="1:4">
      <c r="A1598" t="s">
        <v>4464</v>
      </c>
      <c r="B1598">
        <v>2.1</v>
      </c>
      <c r="C1598" t="s">
        <v>4465</v>
      </c>
      <c r="D1598" t="s">
        <v>4463</v>
      </c>
    </row>
    <row r="1599" spans="1:4">
      <c r="A1599" t="s">
        <v>4466</v>
      </c>
      <c r="B1599">
        <v>2.2799999999999998</v>
      </c>
      <c r="C1599" t="s">
        <v>4467</v>
      </c>
      <c r="D1599" t="s">
        <v>4211</v>
      </c>
    </row>
    <row r="1600" spans="1:4">
      <c r="A1600" t="s">
        <v>4468</v>
      </c>
      <c r="B1600">
        <v>2.42</v>
      </c>
      <c r="C1600" t="s">
        <v>4469</v>
      </c>
      <c r="D1600" t="s">
        <v>4211</v>
      </c>
    </row>
    <row r="1601" spans="1:4">
      <c r="A1601" t="s">
        <v>4470</v>
      </c>
      <c r="B1601">
        <v>2.15</v>
      </c>
      <c r="C1601" t="s">
        <v>108</v>
      </c>
      <c r="D1601" t="s">
        <v>4471</v>
      </c>
    </row>
    <row r="1602" spans="1:4">
      <c r="A1602" t="s">
        <v>4472</v>
      </c>
      <c r="B1602">
        <v>2.29</v>
      </c>
      <c r="C1602" t="s">
        <v>4473</v>
      </c>
      <c r="D1602" t="s">
        <v>3919</v>
      </c>
    </row>
    <row r="1603" spans="1:4">
      <c r="A1603" t="s">
        <v>4474</v>
      </c>
      <c r="B1603">
        <v>2.15</v>
      </c>
      <c r="C1603" t="s">
        <v>108</v>
      </c>
      <c r="D1603" t="s">
        <v>4471</v>
      </c>
    </row>
    <row r="1604" spans="1:4">
      <c r="A1604" t="s">
        <v>4475</v>
      </c>
      <c r="B1604">
        <v>2.12</v>
      </c>
      <c r="C1604" t="s">
        <v>4476</v>
      </c>
      <c r="D1604" t="s">
        <v>4471</v>
      </c>
    </row>
    <row r="1605" spans="1:4">
      <c r="A1605" t="s">
        <v>4477</v>
      </c>
      <c r="B1605">
        <v>2.17</v>
      </c>
      <c r="C1605" t="s">
        <v>108</v>
      </c>
      <c r="D1605" t="s">
        <v>4463</v>
      </c>
    </row>
    <row r="1606" spans="1:4">
      <c r="A1606" t="s">
        <v>4478</v>
      </c>
      <c r="B1606">
        <v>2.31</v>
      </c>
      <c r="C1606" t="s">
        <v>4479</v>
      </c>
      <c r="D1606" t="s">
        <v>4480</v>
      </c>
    </row>
    <row r="1607" spans="1:4">
      <c r="A1607" t="s">
        <v>4481</v>
      </c>
      <c r="B1607">
        <v>2.2999999999999998</v>
      </c>
      <c r="C1607" t="s">
        <v>4482</v>
      </c>
      <c r="D1607" t="s">
        <v>4480</v>
      </c>
    </row>
    <row r="1608" spans="1:4">
      <c r="A1608" t="s">
        <v>4483</v>
      </c>
      <c r="B1608">
        <v>2.2999999999999998</v>
      </c>
      <c r="C1608" t="s">
        <v>4484</v>
      </c>
      <c r="D1608" t="s">
        <v>4480</v>
      </c>
    </row>
    <row r="1609" spans="1:4">
      <c r="A1609" t="s">
        <v>4485</v>
      </c>
      <c r="B1609">
        <v>2.2999999999999998</v>
      </c>
      <c r="C1609" t="s">
        <v>4486</v>
      </c>
      <c r="D1609" t="s">
        <v>4480</v>
      </c>
    </row>
    <row r="1610" spans="1:4">
      <c r="A1610" t="s">
        <v>4487</v>
      </c>
      <c r="B1610">
        <v>2.35</v>
      </c>
      <c r="C1610" t="s">
        <v>4488</v>
      </c>
      <c r="D1610" t="s">
        <v>4480</v>
      </c>
    </row>
    <row r="1611" spans="1:4">
      <c r="A1611" t="s">
        <v>4489</v>
      </c>
      <c r="B1611">
        <v>2.2599999999999998</v>
      </c>
      <c r="C1611" t="s">
        <v>4473</v>
      </c>
      <c r="D1611" t="s">
        <v>4480</v>
      </c>
    </row>
    <row r="1612" spans="1:4">
      <c r="A1612" t="s">
        <v>4490</v>
      </c>
      <c r="B1612">
        <v>2.31</v>
      </c>
      <c r="C1612" t="s">
        <v>4491</v>
      </c>
      <c r="D1612" t="s">
        <v>4480</v>
      </c>
    </row>
    <row r="1613" spans="1:4">
      <c r="A1613" t="s">
        <v>4492</v>
      </c>
      <c r="B1613">
        <v>2.4500000000000002</v>
      </c>
      <c r="C1613" t="s">
        <v>4493</v>
      </c>
      <c r="D1613" t="s">
        <v>4480</v>
      </c>
    </row>
    <row r="1614" spans="1:4">
      <c r="A1614" t="s">
        <v>4494</v>
      </c>
      <c r="B1614">
        <v>2.35</v>
      </c>
      <c r="C1614" t="s">
        <v>3888</v>
      </c>
      <c r="D1614" t="s">
        <v>4211</v>
      </c>
    </row>
    <row r="1615" spans="1:4">
      <c r="A1615" t="s">
        <v>4495</v>
      </c>
      <c r="B1615">
        <v>2.2999999999999998</v>
      </c>
      <c r="C1615" t="s">
        <v>108</v>
      </c>
      <c r="D1615" t="s">
        <v>4480</v>
      </c>
    </row>
    <row r="1616" spans="1:4">
      <c r="A1616" t="s">
        <v>4496</v>
      </c>
      <c r="B1616">
        <v>2.2799999999999998</v>
      </c>
      <c r="C1616" t="s">
        <v>4497</v>
      </c>
      <c r="D1616" t="s">
        <v>4480</v>
      </c>
    </row>
    <row r="1617" spans="1:4">
      <c r="A1617" t="s">
        <v>4498</v>
      </c>
      <c r="B1617">
        <v>2.3199999999999998</v>
      </c>
      <c r="C1617" t="s">
        <v>4499</v>
      </c>
      <c r="D1617" t="s">
        <v>4480</v>
      </c>
    </row>
    <row r="1618" spans="1:4">
      <c r="A1618" t="s">
        <v>4500</v>
      </c>
      <c r="B1618">
        <v>2.2999999999999998</v>
      </c>
      <c r="C1618" t="s">
        <v>4501</v>
      </c>
      <c r="D1618" t="s">
        <v>4480</v>
      </c>
    </row>
    <row r="1619" spans="1:4">
      <c r="A1619" t="s">
        <v>4502</v>
      </c>
      <c r="B1619">
        <v>2.2799999999999998</v>
      </c>
      <c r="C1619" t="s">
        <v>4503</v>
      </c>
      <c r="D1619" t="s">
        <v>4480</v>
      </c>
    </row>
    <row r="1620" spans="1:4">
      <c r="A1620" t="s">
        <v>4504</v>
      </c>
      <c r="B1620">
        <v>2.4500000000000002</v>
      </c>
      <c r="C1620" t="s">
        <v>4505</v>
      </c>
      <c r="D1620" t="s">
        <v>4480</v>
      </c>
    </row>
    <row r="1621" spans="1:4">
      <c r="A1621" t="s">
        <v>4506</v>
      </c>
      <c r="B1621">
        <v>2.1</v>
      </c>
      <c r="C1621" t="s">
        <v>3151</v>
      </c>
      <c r="D1621" t="s">
        <v>4471</v>
      </c>
    </row>
    <row r="1622" spans="1:4">
      <c r="A1622" t="s">
        <v>4507</v>
      </c>
      <c r="B1622">
        <v>2.1</v>
      </c>
      <c r="C1622" t="s">
        <v>4508</v>
      </c>
      <c r="D1622" t="s">
        <v>4471</v>
      </c>
    </row>
    <row r="1623" spans="1:4">
      <c r="A1623" t="s">
        <v>4509</v>
      </c>
      <c r="B1623">
        <v>2.2000000000000002</v>
      </c>
      <c r="C1623" t="s">
        <v>3099</v>
      </c>
      <c r="D1623" t="s">
        <v>4211</v>
      </c>
    </row>
    <row r="1624" spans="1:4">
      <c r="A1624" t="s">
        <v>4510</v>
      </c>
      <c r="B1624">
        <v>2.38</v>
      </c>
      <c r="C1624" t="s">
        <v>4511</v>
      </c>
      <c r="D1624" t="s">
        <v>4211</v>
      </c>
    </row>
    <row r="1625" spans="1:4">
      <c r="A1625" t="s">
        <v>4512</v>
      </c>
      <c r="B1625">
        <v>2.2000000000000002</v>
      </c>
      <c r="C1625" t="s">
        <v>3099</v>
      </c>
      <c r="D1625" t="s">
        <v>4211</v>
      </c>
    </row>
    <row r="1626" spans="1:4">
      <c r="A1626" t="s">
        <v>4513</v>
      </c>
      <c r="B1626">
        <v>2.23</v>
      </c>
      <c r="C1626" t="s">
        <v>4514</v>
      </c>
      <c r="D1626" t="s">
        <v>4211</v>
      </c>
    </row>
    <row r="1627" spans="1:4">
      <c r="A1627" t="s">
        <v>4515</v>
      </c>
      <c r="B1627">
        <v>2.23</v>
      </c>
      <c r="C1627" t="s">
        <v>4516</v>
      </c>
      <c r="D1627" t="s">
        <v>4211</v>
      </c>
    </row>
    <row r="1628" spans="1:4">
      <c r="A1628" t="s">
        <v>4517</v>
      </c>
      <c r="B1628">
        <v>2.38</v>
      </c>
      <c r="C1628" t="s">
        <v>3099</v>
      </c>
      <c r="D1628" t="s">
        <v>4211</v>
      </c>
    </row>
    <row r="1629" spans="1:4">
      <c r="A1629" t="s">
        <v>4518</v>
      </c>
      <c r="B1629">
        <v>2.2799999999999998</v>
      </c>
      <c r="C1629" t="s">
        <v>4519</v>
      </c>
      <c r="D1629" t="s">
        <v>4211</v>
      </c>
    </row>
    <row r="1630" spans="1:4">
      <c r="A1630" t="s">
        <v>4520</v>
      </c>
      <c r="B1630">
        <v>2.3199999999999998</v>
      </c>
      <c r="C1630" t="s">
        <v>4521</v>
      </c>
      <c r="D1630" t="s">
        <v>4211</v>
      </c>
    </row>
    <row r="1631" spans="1:4">
      <c r="A1631" t="s">
        <v>4522</v>
      </c>
      <c r="B1631">
        <v>2.23</v>
      </c>
      <c r="C1631" t="s">
        <v>4523</v>
      </c>
      <c r="D1631" t="s">
        <v>4211</v>
      </c>
    </row>
    <row r="1632" spans="1:4">
      <c r="A1632" t="s">
        <v>4524</v>
      </c>
      <c r="B1632">
        <v>2.21</v>
      </c>
      <c r="C1632" t="s">
        <v>4525</v>
      </c>
      <c r="D1632" t="s">
        <v>4211</v>
      </c>
    </row>
    <row r="1633" spans="1:4">
      <c r="A1633" t="s">
        <v>4526</v>
      </c>
      <c r="B1633">
        <v>2.33</v>
      </c>
      <c r="C1633" t="s">
        <v>4527</v>
      </c>
      <c r="D1633" t="s">
        <v>4211</v>
      </c>
    </row>
    <row r="1634" spans="1:4">
      <c r="A1634" t="s">
        <v>4528</v>
      </c>
      <c r="B1634">
        <v>2.5499999999999998</v>
      </c>
      <c r="C1634" t="s">
        <v>4529</v>
      </c>
      <c r="D1634" t="s">
        <v>4211</v>
      </c>
    </row>
    <row r="1635" spans="1:4">
      <c r="A1635" t="s">
        <v>4530</v>
      </c>
      <c r="B1635">
        <v>2.25</v>
      </c>
      <c r="C1635" t="s">
        <v>4531</v>
      </c>
      <c r="D1635" t="s">
        <v>3919</v>
      </c>
    </row>
    <row r="1636" spans="1:4">
      <c r="A1636" t="s">
        <v>4532</v>
      </c>
      <c r="B1636">
        <v>2.33</v>
      </c>
      <c r="C1636" t="s">
        <v>4473</v>
      </c>
      <c r="D1636" t="s">
        <v>4211</v>
      </c>
    </row>
    <row r="1637" spans="1:4">
      <c r="A1637" t="s">
        <v>4533</v>
      </c>
      <c r="B1637">
        <v>2.25</v>
      </c>
      <c r="C1637" t="s">
        <v>4534</v>
      </c>
      <c r="D1637" t="s">
        <v>3919</v>
      </c>
    </row>
    <row r="1638" spans="1:4">
      <c r="A1638" t="s">
        <v>4535</v>
      </c>
      <c r="B1638">
        <v>2.25</v>
      </c>
      <c r="C1638" t="s">
        <v>4536</v>
      </c>
      <c r="D1638" t="s">
        <v>3919</v>
      </c>
    </row>
    <row r="1639" spans="1:4">
      <c r="A1639" t="s">
        <v>4537</v>
      </c>
      <c r="B1639">
        <v>2.25</v>
      </c>
      <c r="C1639" t="s">
        <v>4538</v>
      </c>
      <c r="D1639" t="s">
        <v>3919</v>
      </c>
    </row>
    <row r="1640" spans="1:4">
      <c r="A1640" t="s">
        <v>4539</v>
      </c>
      <c r="B1640">
        <v>2.2400000000000002</v>
      </c>
      <c r="C1640" t="s">
        <v>3416</v>
      </c>
      <c r="D1640" t="s">
        <v>3919</v>
      </c>
    </row>
    <row r="1641" spans="1:4">
      <c r="A1641" t="s">
        <v>4540</v>
      </c>
      <c r="B1641">
        <v>2.31</v>
      </c>
      <c r="C1641" t="s">
        <v>4541</v>
      </c>
      <c r="D1641" t="s">
        <v>3919</v>
      </c>
    </row>
    <row r="1642" spans="1:4">
      <c r="A1642" t="s">
        <v>4542</v>
      </c>
      <c r="B1642">
        <v>2.2200000000000002</v>
      </c>
      <c r="C1642" t="s">
        <v>4543</v>
      </c>
      <c r="D1642" t="s">
        <v>3919</v>
      </c>
    </row>
    <row r="1643" spans="1:4">
      <c r="A1643" t="s">
        <v>4544</v>
      </c>
      <c r="B1643">
        <v>2.2000000000000002</v>
      </c>
      <c r="C1643" t="s">
        <v>4545</v>
      </c>
      <c r="D1643" t="s">
        <v>3919</v>
      </c>
    </row>
    <row r="1644" spans="1:4">
      <c r="A1644" t="s">
        <v>4546</v>
      </c>
      <c r="B1644">
        <v>2.17</v>
      </c>
      <c r="C1644" t="s">
        <v>3103</v>
      </c>
      <c r="D1644" t="s">
        <v>4211</v>
      </c>
    </row>
    <row r="1645" spans="1:4">
      <c r="A1645" t="s">
        <v>4547</v>
      </c>
      <c r="B1645">
        <v>2.23</v>
      </c>
      <c r="C1645" t="s">
        <v>4548</v>
      </c>
      <c r="D1645" t="s">
        <v>4463</v>
      </c>
    </row>
    <row r="1646" spans="1:4">
      <c r="A1646" t="s">
        <v>4549</v>
      </c>
      <c r="B1646">
        <v>2.15</v>
      </c>
      <c r="C1646" t="s">
        <v>4227</v>
      </c>
      <c r="D1646" t="s">
        <v>4463</v>
      </c>
    </row>
    <row r="1647" spans="1:4">
      <c r="A1647" t="s">
        <v>4550</v>
      </c>
      <c r="B1647">
        <v>2.17</v>
      </c>
      <c r="C1647" t="s">
        <v>4551</v>
      </c>
      <c r="D1647" t="s">
        <v>4463</v>
      </c>
    </row>
    <row r="1648" spans="1:4">
      <c r="A1648" t="s">
        <v>4552</v>
      </c>
      <c r="B1648">
        <v>2.17</v>
      </c>
      <c r="C1648" t="s">
        <v>4553</v>
      </c>
      <c r="D1648" t="s">
        <v>4463</v>
      </c>
    </row>
    <row r="1649" spans="1:4">
      <c r="A1649" t="s">
        <v>4554</v>
      </c>
      <c r="B1649">
        <v>2.1</v>
      </c>
      <c r="C1649" t="s">
        <v>4108</v>
      </c>
      <c r="D1649" t="s">
        <v>4211</v>
      </c>
    </row>
    <row r="1650" spans="1:4">
      <c r="A1650" t="s">
        <v>4555</v>
      </c>
      <c r="B1650">
        <v>2.35</v>
      </c>
      <c r="C1650" t="s">
        <v>4556</v>
      </c>
      <c r="D1650" t="s">
        <v>4211</v>
      </c>
    </row>
    <row r="1651" spans="1:4">
      <c r="A1651" t="s">
        <v>4557</v>
      </c>
      <c r="B1651">
        <v>2.2000000000000002</v>
      </c>
      <c r="C1651" t="s">
        <v>3416</v>
      </c>
      <c r="D1651" t="s">
        <v>4211</v>
      </c>
    </row>
    <row r="1652" spans="1:4">
      <c r="A1652" t="s">
        <v>4558</v>
      </c>
      <c r="B1652">
        <v>2.2799999999999998</v>
      </c>
      <c r="C1652" t="s">
        <v>4493</v>
      </c>
      <c r="D1652" t="s">
        <v>4480</v>
      </c>
    </row>
    <row r="1653" spans="1:4">
      <c r="A1653" t="s">
        <v>4559</v>
      </c>
      <c r="B1653">
        <v>2.25</v>
      </c>
      <c r="C1653" t="s">
        <v>4560</v>
      </c>
      <c r="D1653" t="s">
        <v>4211</v>
      </c>
    </row>
    <row r="1654" spans="1:4">
      <c r="A1654" t="s">
        <v>4561</v>
      </c>
      <c r="B1654">
        <v>2.2799999999999998</v>
      </c>
      <c r="C1654" t="s">
        <v>4562</v>
      </c>
      <c r="D1654" t="s">
        <v>4211</v>
      </c>
    </row>
    <row r="1655" spans="1:4">
      <c r="A1655" t="s">
        <v>4563</v>
      </c>
      <c r="B1655">
        <v>2.2999999999999998</v>
      </c>
      <c r="C1655" t="s">
        <v>4564</v>
      </c>
      <c r="D1655" t="s">
        <v>4211</v>
      </c>
    </row>
    <row r="1656" spans="1:4">
      <c r="A1656" t="s">
        <v>4565</v>
      </c>
      <c r="B1656">
        <v>2.4</v>
      </c>
      <c r="C1656" t="s">
        <v>3103</v>
      </c>
      <c r="D1656" t="s">
        <v>4211</v>
      </c>
    </row>
    <row r="1657" spans="1:4">
      <c r="A1657" t="s">
        <v>4566</v>
      </c>
      <c r="B1657">
        <v>2.3199999999999998</v>
      </c>
      <c r="C1657" t="s">
        <v>4567</v>
      </c>
      <c r="D1657" t="s">
        <v>4480</v>
      </c>
    </row>
    <row r="1658" spans="1:4">
      <c r="A1658" t="s">
        <v>4568</v>
      </c>
      <c r="B1658">
        <v>2.44</v>
      </c>
      <c r="C1658" t="s">
        <v>4139</v>
      </c>
      <c r="D1658" t="s">
        <v>4480</v>
      </c>
    </row>
    <row r="1659" spans="1:4">
      <c r="A1659" t="s">
        <v>4569</v>
      </c>
      <c r="B1659">
        <v>2.36</v>
      </c>
      <c r="C1659" t="s">
        <v>4139</v>
      </c>
      <c r="D1659" t="s">
        <v>4480</v>
      </c>
    </row>
    <row r="1660" spans="1:4">
      <c r="A1660" t="s">
        <v>4570</v>
      </c>
      <c r="B1660">
        <v>2.36</v>
      </c>
      <c r="C1660" t="s">
        <v>4571</v>
      </c>
      <c r="D1660" t="s">
        <v>4480</v>
      </c>
    </row>
    <row r="1661" spans="1:4">
      <c r="A1661" t="s">
        <v>4572</v>
      </c>
      <c r="B1661">
        <v>2.23</v>
      </c>
      <c r="C1661" t="s">
        <v>108</v>
      </c>
      <c r="D1661" t="s">
        <v>4480</v>
      </c>
    </row>
    <row r="1662" spans="1:4">
      <c r="A1662" t="s">
        <v>4573</v>
      </c>
      <c r="B1662">
        <v>0.1</v>
      </c>
      <c r="C1662" t="s">
        <v>4323</v>
      </c>
      <c r="D1662" t="s">
        <v>4574</v>
      </c>
    </row>
    <row r="1663" spans="1:4">
      <c r="A1663" t="s">
        <v>4575</v>
      </c>
      <c r="B1663">
        <v>0.12</v>
      </c>
      <c r="C1663" t="s">
        <v>4323</v>
      </c>
      <c r="D1663" t="s">
        <v>4574</v>
      </c>
    </row>
    <row r="1664" spans="1:4">
      <c r="A1664" t="s">
        <v>4576</v>
      </c>
      <c r="B1664">
        <v>0.15</v>
      </c>
      <c r="C1664" t="s">
        <v>4315</v>
      </c>
      <c r="D1664" t="s">
        <v>4574</v>
      </c>
    </row>
    <row r="1665" spans="1:4">
      <c r="A1665" t="s">
        <v>4577</v>
      </c>
      <c r="B1665">
        <v>0.1</v>
      </c>
      <c r="C1665" t="s">
        <v>4006</v>
      </c>
      <c r="D1665" t="s">
        <v>4574</v>
      </c>
    </row>
    <row r="1666" spans="1:4">
      <c r="A1666" t="s">
        <v>4578</v>
      </c>
      <c r="B1666">
        <v>0.85</v>
      </c>
      <c r="C1666" t="s">
        <v>4315</v>
      </c>
      <c r="D1666" t="s">
        <v>4316</v>
      </c>
    </row>
    <row r="1667" spans="1:4">
      <c r="A1667" t="s">
        <v>4579</v>
      </c>
      <c r="B1667">
        <v>3.17</v>
      </c>
      <c r="C1667" t="s">
        <v>4580</v>
      </c>
      <c r="D1667" t="s">
        <v>3852</v>
      </c>
    </row>
    <row r="1668" spans="1:4">
      <c r="A1668" t="s">
        <v>4581</v>
      </c>
      <c r="B1668">
        <v>3.4</v>
      </c>
      <c r="C1668" t="s">
        <v>4582</v>
      </c>
      <c r="D1668" t="s">
        <v>3852</v>
      </c>
    </row>
    <row r="1669" spans="1:4">
      <c r="A1669" t="s">
        <v>4583</v>
      </c>
      <c r="B1669">
        <v>3.17</v>
      </c>
      <c r="C1669" t="s">
        <v>4584</v>
      </c>
      <c r="D1669" t="s">
        <v>3852</v>
      </c>
    </row>
    <row r="1670" spans="1:4">
      <c r="A1670" t="s">
        <v>4585</v>
      </c>
      <c r="B1670">
        <v>3.17</v>
      </c>
      <c r="C1670" t="s">
        <v>4582</v>
      </c>
      <c r="D1670" t="s">
        <v>3852</v>
      </c>
    </row>
    <row r="1671" spans="1:4">
      <c r="A1671" t="s">
        <v>4586</v>
      </c>
      <c r="B1671">
        <v>2.5</v>
      </c>
      <c r="C1671" t="s">
        <v>4001</v>
      </c>
      <c r="D1671" t="s">
        <v>4002</v>
      </c>
    </row>
    <row r="1672" spans="1:4">
      <c r="A1672" t="s">
        <v>4587</v>
      </c>
      <c r="B1672">
        <v>3.03</v>
      </c>
      <c r="C1672" t="s">
        <v>108</v>
      </c>
      <c r="D1672" t="s">
        <v>3848</v>
      </c>
    </row>
    <row r="1673" spans="1:4">
      <c r="A1673" t="s">
        <v>4588</v>
      </c>
      <c r="B1673">
        <v>2.95</v>
      </c>
      <c r="C1673" t="s">
        <v>3347</v>
      </c>
      <c r="D1673" t="s">
        <v>3848</v>
      </c>
    </row>
    <row r="1674" spans="1:4">
      <c r="A1674" t="s">
        <v>4589</v>
      </c>
      <c r="B1674">
        <v>3</v>
      </c>
      <c r="C1674" t="s">
        <v>3347</v>
      </c>
      <c r="D1674" t="s">
        <v>3848</v>
      </c>
    </row>
    <row r="1675" spans="1:4">
      <c r="A1675" t="s">
        <v>4590</v>
      </c>
      <c r="B1675">
        <v>3.01</v>
      </c>
      <c r="C1675" t="s">
        <v>3633</v>
      </c>
      <c r="D1675" t="s">
        <v>3848</v>
      </c>
    </row>
    <row r="1676" spans="1:4">
      <c r="A1676" t="s">
        <v>4591</v>
      </c>
      <c r="B1676">
        <v>3.03</v>
      </c>
      <c r="C1676" t="s">
        <v>3633</v>
      </c>
      <c r="D1676" t="s">
        <v>4238</v>
      </c>
    </row>
    <row r="1677" spans="1:4">
      <c r="A1677" t="s">
        <v>4592</v>
      </c>
      <c r="B1677">
        <v>3.01</v>
      </c>
      <c r="C1677" t="s">
        <v>3633</v>
      </c>
      <c r="D1677" t="s">
        <v>3848</v>
      </c>
    </row>
    <row r="1678" spans="1:4">
      <c r="A1678" t="s">
        <v>4593</v>
      </c>
      <c r="B1678">
        <v>3.03</v>
      </c>
      <c r="C1678" t="s">
        <v>3633</v>
      </c>
      <c r="D1678" t="s">
        <v>3848</v>
      </c>
    </row>
    <row r="1679" spans="1:4">
      <c r="A1679" t="s">
        <v>4594</v>
      </c>
      <c r="B1679">
        <v>2.75</v>
      </c>
      <c r="C1679" t="s">
        <v>3347</v>
      </c>
      <c r="D1679" t="s">
        <v>4238</v>
      </c>
    </row>
    <row r="1680" spans="1:4">
      <c r="A1680" t="s">
        <v>4595</v>
      </c>
      <c r="B1680">
        <v>2.9</v>
      </c>
      <c r="C1680" t="s">
        <v>3630</v>
      </c>
      <c r="D1680" t="s">
        <v>3848</v>
      </c>
    </row>
    <row r="1681" spans="1:4">
      <c r="A1681" t="s">
        <v>4596</v>
      </c>
      <c r="B1681">
        <v>3.13</v>
      </c>
      <c r="C1681" t="s">
        <v>3630</v>
      </c>
      <c r="D1681" t="s">
        <v>4008</v>
      </c>
    </row>
    <row r="1682" spans="1:4">
      <c r="A1682" t="s">
        <v>4597</v>
      </c>
      <c r="B1682">
        <v>2.2799999999999998</v>
      </c>
      <c r="C1682" t="s">
        <v>3630</v>
      </c>
      <c r="D1682" t="s">
        <v>4480</v>
      </c>
    </row>
    <row r="1683" spans="1:4">
      <c r="A1683" t="s">
        <v>4598</v>
      </c>
      <c r="B1683">
        <v>3.27</v>
      </c>
      <c r="C1683" t="s">
        <v>3613</v>
      </c>
      <c r="D1683" t="s">
        <v>4008</v>
      </c>
    </row>
    <row r="1684" spans="1:4">
      <c r="A1684" t="s">
        <v>4599</v>
      </c>
      <c r="B1684">
        <v>3.04</v>
      </c>
      <c r="C1684" t="s">
        <v>3630</v>
      </c>
      <c r="D1684" t="s">
        <v>4008</v>
      </c>
    </row>
    <row r="1685" spans="1:4">
      <c r="A1685" t="s">
        <v>4600</v>
      </c>
      <c r="B1685">
        <v>3.01</v>
      </c>
      <c r="C1685" t="s">
        <v>3630</v>
      </c>
      <c r="D1685" t="s">
        <v>3848</v>
      </c>
    </row>
    <row r="1686" spans="1:4">
      <c r="A1686" t="s">
        <v>4601</v>
      </c>
      <c r="B1686">
        <v>3</v>
      </c>
      <c r="C1686" t="s">
        <v>3630</v>
      </c>
      <c r="D1686" t="s">
        <v>4602</v>
      </c>
    </row>
    <row r="1687" spans="1:4">
      <c r="A1687" t="s">
        <v>4603</v>
      </c>
      <c r="B1687">
        <v>3.02</v>
      </c>
      <c r="C1687" t="s">
        <v>3613</v>
      </c>
      <c r="D1687" t="s">
        <v>4602</v>
      </c>
    </row>
    <row r="1688" spans="1:4">
      <c r="A1688" t="s">
        <v>4604</v>
      </c>
      <c r="B1688">
        <v>3.04</v>
      </c>
      <c r="C1688" t="s">
        <v>3630</v>
      </c>
      <c r="D1688" t="s">
        <v>4008</v>
      </c>
    </row>
    <row r="1689" spans="1:4">
      <c r="A1689" t="s">
        <v>4605</v>
      </c>
      <c r="B1689">
        <v>3.08</v>
      </c>
      <c r="C1689" t="s">
        <v>3630</v>
      </c>
      <c r="D1689" t="s">
        <v>3886</v>
      </c>
    </row>
    <row r="1690" spans="1:4">
      <c r="A1690" t="s">
        <v>4606</v>
      </c>
      <c r="B1690">
        <v>4.9000000000000004</v>
      </c>
      <c r="C1690" t="s">
        <v>108</v>
      </c>
      <c r="D1690" t="s">
        <v>4013</v>
      </c>
    </row>
    <row r="1691" spans="1:4">
      <c r="A1691" t="s">
        <v>4607</v>
      </c>
      <c r="B1691">
        <v>2.1800000000000002</v>
      </c>
      <c r="C1691" t="s">
        <v>4210</v>
      </c>
      <c r="D1691" t="s">
        <v>4211</v>
      </c>
    </row>
    <row r="1692" spans="1:4">
      <c r="A1692" t="s">
        <v>4608</v>
      </c>
      <c r="B1692">
        <v>2.4500000000000002</v>
      </c>
      <c r="C1692" t="s">
        <v>4210</v>
      </c>
      <c r="D1692" t="s">
        <v>4095</v>
      </c>
    </row>
    <row r="1693" spans="1:4">
      <c r="A1693" t="s">
        <v>4609</v>
      </c>
      <c r="B1693">
        <v>2.56</v>
      </c>
      <c r="C1693" t="s">
        <v>4210</v>
      </c>
      <c r="D1693" t="s">
        <v>3902</v>
      </c>
    </row>
    <row r="1694" spans="1:4">
      <c r="A1694" t="s">
        <v>4610</v>
      </c>
      <c r="B1694">
        <v>2.5299999999999998</v>
      </c>
      <c r="C1694" t="s">
        <v>4210</v>
      </c>
      <c r="D1694" t="s">
        <v>3902</v>
      </c>
    </row>
    <row r="1695" spans="1:4">
      <c r="A1695" t="s">
        <v>4611</v>
      </c>
      <c r="B1695">
        <v>2.25</v>
      </c>
      <c r="C1695" t="s">
        <v>2658</v>
      </c>
      <c r="D1695" t="s">
        <v>4480</v>
      </c>
    </row>
    <row r="1696" spans="1:4">
      <c r="A1696" t="s">
        <v>4612</v>
      </c>
      <c r="B1696">
        <v>1.2</v>
      </c>
      <c r="C1696" t="s">
        <v>4613</v>
      </c>
      <c r="D1696" t="s">
        <v>4614</v>
      </c>
    </row>
    <row r="1697" spans="1:4">
      <c r="A1697" t="s">
        <v>4615</v>
      </c>
      <c r="B1697">
        <v>3.7</v>
      </c>
      <c r="C1697" t="s">
        <v>3127</v>
      </c>
      <c r="D1697" t="s">
        <v>4081</v>
      </c>
    </row>
    <row r="1698" spans="1:4">
      <c r="A1698" t="s">
        <v>4616</v>
      </c>
      <c r="B1698">
        <v>3.5</v>
      </c>
      <c r="C1698" t="s">
        <v>4617</v>
      </c>
      <c r="D1698" t="s">
        <v>4081</v>
      </c>
    </row>
    <row r="1699" spans="1:4">
      <c r="A1699" t="s">
        <v>4618</v>
      </c>
      <c r="B1699">
        <v>3.6</v>
      </c>
      <c r="C1699" t="s">
        <v>3664</v>
      </c>
      <c r="D1699" t="s">
        <v>4081</v>
      </c>
    </row>
    <row r="1700" spans="1:4">
      <c r="A1700" t="s">
        <v>4619</v>
      </c>
      <c r="B1700">
        <v>3.6</v>
      </c>
      <c r="C1700" t="s">
        <v>4617</v>
      </c>
      <c r="D1700" t="s">
        <v>4081</v>
      </c>
    </row>
    <row r="1701" spans="1:4">
      <c r="A1701" t="s">
        <v>4620</v>
      </c>
      <c r="B1701">
        <v>3.8</v>
      </c>
      <c r="C1701" t="s">
        <v>4621</v>
      </c>
      <c r="D1701" t="s">
        <v>4081</v>
      </c>
    </row>
    <row r="1702" spans="1:4">
      <c r="A1702" t="s">
        <v>4622</v>
      </c>
      <c r="B1702">
        <v>3.6</v>
      </c>
      <c r="C1702" t="s">
        <v>3461</v>
      </c>
      <c r="D1702" t="s">
        <v>4081</v>
      </c>
    </row>
    <row r="1703" spans="1:4">
      <c r="A1703" t="s">
        <v>4623</v>
      </c>
      <c r="B1703">
        <v>3.7</v>
      </c>
      <c r="C1703" t="s">
        <v>4080</v>
      </c>
      <c r="D1703" t="s">
        <v>4081</v>
      </c>
    </row>
    <row r="1704" spans="1:4">
      <c r="A1704" t="s">
        <v>4624</v>
      </c>
      <c r="B1704">
        <v>3.7</v>
      </c>
      <c r="C1704" t="s">
        <v>3687</v>
      </c>
      <c r="D1704" t="s">
        <v>4081</v>
      </c>
    </row>
    <row r="1705" spans="1:4">
      <c r="A1705" t="s">
        <v>4625</v>
      </c>
      <c r="B1705">
        <v>3.85</v>
      </c>
      <c r="C1705" t="s">
        <v>3664</v>
      </c>
      <c r="D1705" t="s">
        <v>4626</v>
      </c>
    </row>
    <row r="1706" spans="1:4">
      <c r="A1706" t="s">
        <v>4627</v>
      </c>
      <c r="B1706">
        <v>3.65</v>
      </c>
      <c r="C1706" t="s">
        <v>4621</v>
      </c>
      <c r="D1706" t="s">
        <v>4626</v>
      </c>
    </row>
    <row r="1707" spans="1:4">
      <c r="A1707" t="s">
        <v>4628</v>
      </c>
      <c r="B1707">
        <v>3.75</v>
      </c>
      <c r="C1707" t="s">
        <v>3127</v>
      </c>
      <c r="D1707" t="s">
        <v>4626</v>
      </c>
    </row>
    <row r="1708" spans="1:4">
      <c r="A1708" t="s">
        <v>4629</v>
      </c>
      <c r="B1708">
        <v>3.75</v>
      </c>
      <c r="C1708" t="s">
        <v>3662</v>
      </c>
      <c r="D1708" t="s">
        <v>4626</v>
      </c>
    </row>
    <row r="1709" spans="1:4">
      <c r="A1709" t="s">
        <v>4630</v>
      </c>
      <c r="B1709">
        <v>2.9</v>
      </c>
      <c r="C1709" t="s">
        <v>4115</v>
      </c>
      <c r="D1709" t="s">
        <v>3852</v>
      </c>
    </row>
    <row r="1710" spans="1:4">
      <c r="A1710" t="s">
        <v>4631</v>
      </c>
      <c r="B1710">
        <v>3.2</v>
      </c>
      <c r="C1710" t="s">
        <v>4080</v>
      </c>
      <c r="D1710" t="s">
        <v>3872</v>
      </c>
    </row>
    <row r="1711" spans="1:4">
      <c r="A1711" t="s">
        <v>4632</v>
      </c>
      <c r="B1711">
        <v>0.14000000000000001</v>
      </c>
      <c r="C1711" t="s">
        <v>4315</v>
      </c>
      <c r="D1711" t="s">
        <v>4324</v>
      </c>
    </row>
    <row r="1712" spans="1:4">
      <c r="A1712" t="s">
        <v>4633</v>
      </c>
      <c r="B1712">
        <v>0.14000000000000001</v>
      </c>
      <c r="C1712" t="s">
        <v>4315</v>
      </c>
      <c r="D1712" t="s">
        <v>4324</v>
      </c>
    </row>
    <row r="1713" spans="1:4">
      <c r="A1713" t="s">
        <v>4634</v>
      </c>
      <c r="B1713">
        <v>0.6</v>
      </c>
      <c r="C1713" t="s">
        <v>4635</v>
      </c>
      <c r="D1713" t="s">
        <v>4002</v>
      </c>
    </row>
    <row r="1714" spans="1:4">
      <c r="A1714" t="s">
        <v>4636</v>
      </c>
      <c r="B1714">
        <v>0.3</v>
      </c>
      <c r="C1714" t="s">
        <v>4637</v>
      </c>
      <c r="D1714" t="s">
        <v>4002</v>
      </c>
    </row>
    <row r="1715" spans="1:4">
      <c r="A1715" t="s">
        <v>4638</v>
      </c>
      <c r="B1715">
        <v>1.65</v>
      </c>
      <c r="C1715" t="s">
        <v>4639</v>
      </c>
      <c r="D1715" t="s">
        <v>4316</v>
      </c>
    </row>
    <row r="1716" spans="1:4">
      <c r="A1716" t="s">
        <v>4640</v>
      </c>
      <c r="B1716">
        <v>2.82</v>
      </c>
      <c r="C1716" t="s">
        <v>4017</v>
      </c>
      <c r="D1716" t="s">
        <v>3948</v>
      </c>
    </row>
    <row r="1717" spans="1:4">
      <c r="A1717" t="s">
        <v>4641</v>
      </c>
      <c r="B1717">
        <v>2.4500000000000002</v>
      </c>
      <c r="C1717" t="s">
        <v>4017</v>
      </c>
      <c r="D1717" t="s">
        <v>3948</v>
      </c>
    </row>
    <row r="1718" spans="1:4">
      <c r="A1718" t="s">
        <v>4642</v>
      </c>
      <c r="B1718">
        <v>0.1</v>
      </c>
      <c r="C1718" t="s">
        <v>4006</v>
      </c>
      <c r="D1718" t="s">
        <v>4643</v>
      </c>
    </row>
    <row r="1719" spans="1:4">
      <c r="A1719" t="s">
        <v>4644</v>
      </c>
      <c r="B1719">
        <v>2.65</v>
      </c>
      <c r="C1719" t="s">
        <v>4006</v>
      </c>
      <c r="D1719" t="s">
        <v>4643</v>
      </c>
    </row>
    <row r="1720" spans="1:4">
      <c r="A1720" t="s">
        <v>4645</v>
      </c>
      <c r="B1720">
        <v>0.27</v>
      </c>
      <c r="C1720" t="s">
        <v>4006</v>
      </c>
      <c r="D1720" t="s">
        <v>4643</v>
      </c>
    </row>
    <row r="1721" spans="1:4">
      <c r="A1721" t="s">
        <v>4646</v>
      </c>
      <c r="B1721">
        <v>2.65</v>
      </c>
      <c r="C1721" t="s">
        <v>4006</v>
      </c>
      <c r="D1721" t="s">
        <v>4643</v>
      </c>
    </row>
    <row r="1722" spans="1:4">
      <c r="A1722" t="s">
        <v>4647</v>
      </c>
      <c r="B1722">
        <v>0.4</v>
      </c>
      <c r="C1722" t="s">
        <v>4006</v>
      </c>
      <c r="D1722" t="s">
        <v>4643</v>
      </c>
    </row>
    <row r="1723" spans="1:4">
      <c r="A1723" t="s">
        <v>4648</v>
      </c>
      <c r="B1723">
        <v>2.5</v>
      </c>
      <c r="C1723" t="s">
        <v>4315</v>
      </c>
      <c r="D1723" t="s">
        <v>4643</v>
      </c>
    </row>
    <row r="1724" spans="1:4">
      <c r="A1724" t="s">
        <v>4649</v>
      </c>
      <c r="B1724">
        <v>0.21</v>
      </c>
      <c r="C1724" t="s">
        <v>4650</v>
      </c>
      <c r="D1724" t="s">
        <v>4002</v>
      </c>
    </row>
    <row r="1725" spans="1:4">
      <c r="A1725" t="s">
        <v>4651</v>
      </c>
      <c r="B1725">
        <v>0.3</v>
      </c>
      <c r="C1725" t="s">
        <v>4323</v>
      </c>
      <c r="D1725" t="s">
        <v>4002</v>
      </c>
    </row>
    <row r="1726" spans="1:4">
      <c r="A1726" t="s">
        <v>4652</v>
      </c>
      <c r="B1726">
        <v>0.3</v>
      </c>
      <c r="C1726" t="s">
        <v>4315</v>
      </c>
      <c r="D1726" t="s">
        <v>4002</v>
      </c>
    </row>
    <row r="1727" spans="1:4">
      <c r="A1727" t="s">
        <v>4653</v>
      </c>
      <c r="B1727">
        <v>0.3</v>
      </c>
      <c r="C1727" t="s">
        <v>4315</v>
      </c>
      <c r="D1727" t="s">
        <v>4002</v>
      </c>
    </row>
    <row r="1728" spans="1:4">
      <c r="A1728" t="s">
        <v>4654</v>
      </c>
      <c r="B1728">
        <v>0.3</v>
      </c>
      <c r="C1728" t="s">
        <v>4315</v>
      </c>
      <c r="D1728" t="s">
        <v>4002</v>
      </c>
    </row>
    <row r="1729" spans="1:4">
      <c r="A1729" t="s">
        <v>4655</v>
      </c>
      <c r="B1729">
        <v>0.3</v>
      </c>
      <c r="C1729" t="s">
        <v>4323</v>
      </c>
      <c r="D1729" t="s">
        <v>4002</v>
      </c>
    </row>
    <row r="1730" spans="1:4">
      <c r="A1730" t="s">
        <v>4656</v>
      </c>
      <c r="B1730">
        <v>0.4</v>
      </c>
      <c r="C1730" t="s">
        <v>4650</v>
      </c>
      <c r="D1730" t="s">
        <v>4657</v>
      </c>
    </row>
    <row r="1731" spans="1:4">
      <c r="A1731" t="s">
        <v>1759</v>
      </c>
      <c r="B1731">
        <v>0.1</v>
      </c>
      <c r="C1731" t="s">
        <v>4323</v>
      </c>
      <c r="D1731" t="s">
        <v>4658</v>
      </c>
    </row>
    <row r="1732" spans="1:4">
      <c r="A1732" t="s">
        <v>4659</v>
      </c>
      <c r="B1732">
        <v>0.13</v>
      </c>
      <c r="C1732" t="s">
        <v>4315</v>
      </c>
      <c r="D1732" t="s">
        <v>4658</v>
      </c>
    </row>
    <row r="1733" spans="1:4">
      <c r="A1733" t="s">
        <v>1749</v>
      </c>
      <c r="B1733">
        <v>0.13</v>
      </c>
      <c r="C1733" t="s">
        <v>4315</v>
      </c>
      <c r="D1733" t="s">
        <v>4658</v>
      </c>
    </row>
    <row r="1734" spans="1:4">
      <c r="A1734" t="s">
        <v>4660</v>
      </c>
      <c r="B1734">
        <v>0.13</v>
      </c>
      <c r="C1734" t="s">
        <v>4315</v>
      </c>
      <c r="D1734" t="s">
        <v>4658</v>
      </c>
    </row>
    <row r="1735" spans="1:4">
      <c r="A1735" t="s">
        <v>1753</v>
      </c>
      <c r="B1735">
        <v>0.13</v>
      </c>
      <c r="C1735" t="s">
        <v>4315</v>
      </c>
      <c r="D1735" t="s">
        <v>4658</v>
      </c>
    </row>
    <row r="1736" spans="1:4">
      <c r="A1736" t="s">
        <v>4661</v>
      </c>
      <c r="B1736">
        <v>0.13</v>
      </c>
      <c r="C1736" t="s">
        <v>4315</v>
      </c>
      <c r="D1736" t="s">
        <v>4658</v>
      </c>
    </row>
    <row r="1737" spans="1:4">
      <c r="A1737" t="s">
        <v>4662</v>
      </c>
      <c r="B1737">
        <v>0.13</v>
      </c>
      <c r="C1737" t="s">
        <v>4323</v>
      </c>
      <c r="D1737" t="s">
        <v>4658</v>
      </c>
    </row>
    <row r="1738" spans="1:4">
      <c r="A1738" t="s">
        <v>4663</v>
      </c>
      <c r="B1738">
        <v>0.16</v>
      </c>
      <c r="C1738" t="s">
        <v>4323</v>
      </c>
      <c r="D1738" t="s">
        <v>4658</v>
      </c>
    </row>
    <row r="1739" spans="1:4">
      <c r="A1739" t="s">
        <v>4664</v>
      </c>
      <c r="B1739">
        <v>0.16</v>
      </c>
      <c r="C1739" t="s">
        <v>108</v>
      </c>
      <c r="D1739" t="s">
        <v>4658</v>
      </c>
    </row>
    <row r="1740" spans="1:4">
      <c r="A1740" t="s">
        <v>1750</v>
      </c>
      <c r="B1740">
        <v>0.16</v>
      </c>
      <c r="C1740" t="s">
        <v>4315</v>
      </c>
      <c r="D1740" t="s">
        <v>4658</v>
      </c>
    </row>
    <row r="1741" spans="1:4">
      <c r="A1741" t="s">
        <v>4665</v>
      </c>
      <c r="B1741">
        <v>0.16</v>
      </c>
      <c r="C1741" t="s">
        <v>4323</v>
      </c>
      <c r="D1741" t="s">
        <v>4658</v>
      </c>
    </row>
    <row r="1742" spans="1:4">
      <c r="A1742" t="s">
        <v>1754</v>
      </c>
      <c r="B1742">
        <v>0.16</v>
      </c>
      <c r="C1742" t="s">
        <v>4315</v>
      </c>
      <c r="D1742" t="s">
        <v>4658</v>
      </c>
    </row>
    <row r="1743" spans="1:4">
      <c r="A1743" t="s">
        <v>4666</v>
      </c>
      <c r="B1743">
        <v>0.19</v>
      </c>
      <c r="C1743" t="s">
        <v>4667</v>
      </c>
      <c r="D1743" t="s">
        <v>4658</v>
      </c>
    </row>
    <row r="1744" spans="1:4">
      <c r="A1744" t="s">
        <v>4668</v>
      </c>
      <c r="B1744">
        <v>0.05</v>
      </c>
      <c r="C1744" t="s">
        <v>4315</v>
      </c>
      <c r="D1744" t="s">
        <v>4658</v>
      </c>
    </row>
    <row r="1745" spans="1:4">
      <c r="A1745" t="s">
        <v>4669</v>
      </c>
      <c r="B1745">
        <v>0.06</v>
      </c>
      <c r="C1745" t="s">
        <v>4323</v>
      </c>
      <c r="D1745" t="s">
        <v>4658</v>
      </c>
    </row>
    <row r="1746" spans="1:4">
      <c r="A1746" t="s">
        <v>1747</v>
      </c>
      <c r="B1746">
        <v>0.06</v>
      </c>
      <c r="C1746" t="s">
        <v>4323</v>
      </c>
      <c r="D1746" t="s">
        <v>4658</v>
      </c>
    </row>
    <row r="1747" spans="1:4">
      <c r="A1747" t="s">
        <v>1751</v>
      </c>
      <c r="B1747">
        <v>0.06</v>
      </c>
      <c r="C1747" t="s">
        <v>4323</v>
      </c>
      <c r="D1747" t="s">
        <v>4658</v>
      </c>
    </row>
    <row r="1748" spans="1:4">
      <c r="A1748" t="s">
        <v>1758</v>
      </c>
      <c r="B1748">
        <v>0.08</v>
      </c>
      <c r="C1748" t="s">
        <v>4323</v>
      </c>
      <c r="D1748" t="s">
        <v>4658</v>
      </c>
    </row>
    <row r="1749" spans="1:4">
      <c r="A1749" t="s">
        <v>4670</v>
      </c>
      <c r="B1749">
        <v>0.1</v>
      </c>
      <c r="C1749" t="s">
        <v>4323</v>
      </c>
      <c r="D1749" t="s">
        <v>4658</v>
      </c>
    </row>
    <row r="1750" spans="1:4">
      <c r="A1750" t="s">
        <v>4671</v>
      </c>
      <c r="B1750">
        <v>0.09</v>
      </c>
      <c r="C1750" t="s">
        <v>4323</v>
      </c>
      <c r="D1750" t="s">
        <v>4658</v>
      </c>
    </row>
    <row r="1751" spans="1:4">
      <c r="A1751" t="s">
        <v>1748</v>
      </c>
      <c r="B1751">
        <v>0.1</v>
      </c>
      <c r="C1751" t="s">
        <v>4323</v>
      </c>
      <c r="D1751" t="s">
        <v>4658</v>
      </c>
    </row>
    <row r="1752" spans="1:4">
      <c r="A1752" t="s">
        <v>4672</v>
      </c>
      <c r="B1752">
        <v>0.09</v>
      </c>
      <c r="C1752" t="s">
        <v>108</v>
      </c>
      <c r="D1752" t="s">
        <v>4658</v>
      </c>
    </row>
    <row r="1753" spans="1:4">
      <c r="A1753" t="s">
        <v>1752</v>
      </c>
      <c r="B1753">
        <v>0.1</v>
      </c>
      <c r="C1753" t="s">
        <v>4315</v>
      </c>
      <c r="D1753" t="s">
        <v>4658</v>
      </c>
    </row>
    <row r="1754" spans="1:4">
      <c r="A1754" t="s">
        <v>4673</v>
      </c>
      <c r="B1754">
        <v>0.24</v>
      </c>
      <c r="C1754" t="s">
        <v>4315</v>
      </c>
      <c r="D1754" t="s">
        <v>4658</v>
      </c>
    </row>
    <row r="1755" spans="1:4">
      <c r="A1755" t="s">
        <v>1760</v>
      </c>
      <c r="B1755">
        <v>0.08</v>
      </c>
      <c r="C1755" t="s">
        <v>4323</v>
      </c>
      <c r="D1755" t="s">
        <v>4658</v>
      </c>
    </row>
    <row r="1756" spans="1:4">
      <c r="A1756" t="s">
        <v>1756</v>
      </c>
      <c r="B1756">
        <v>0.13</v>
      </c>
      <c r="C1756" t="s">
        <v>4674</v>
      </c>
      <c r="D1756" t="s">
        <v>4658</v>
      </c>
    </row>
    <row r="1757" spans="1:4">
      <c r="A1757" t="s">
        <v>4675</v>
      </c>
      <c r="B1757">
        <v>0.13</v>
      </c>
      <c r="C1757" t="s">
        <v>4676</v>
      </c>
      <c r="D1757" t="s">
        <v>4658</v>
      </c>
    </row>
    <row r="1758" spans="1:4">
      <c r="A1758" t="s">
        <v>1757</v>
      </c>
      <c r="B1758">
        <v>0.16</v>
      </c>
      <c r="C1758" t="s">
        <v>4677</v>
      </c>
      <c r="D1758" t="s">
        <v>4658</v>
      </c>
    </row>
    <row r="1759" spans="1:4">
      <c r="A1759" t="s">
        <v>1755</v>
      </c>
      <c r="B1759">
        <v>0.1</v>
      </c>
      <c r="C1759" t="s">
        <v>4315</v>
      </c>
      <c r="D1759" t="s">
        <v>4658</v>
      </c>
    </row>
    <row r="1760" spans="1:4">
      <c r="A1760" t="s">
        <v>4678</v>
      </c>
      <c r="B1760">
        <v>0.19</v>
      </c>
      <c r="C1760" t="s">
        <v>4323</v>
      </c>
      <c r="D1760" t="s">
        <v>4324</v>
      </c>
    </row>
    <row r="1761" spans="1:4">
      <c r="A1761" t="s">
        <v>4679</v>
      </c>
      <c r="B1761">
        <v>0.28000000000000003</v>
      </c>
      <c r="C1761" t="s">
        <v>4323</v>
      </c>
      <c r="D1761" t="s">
        <v>4002</v>
      </c>
    </row>
    <row r="1762" spans="1:4">
      <c r="A1762" t="s">
        <v>4680</v>
      </c>
      <c r="B1762">
        <v>0.33</v>
      </c>
      <c r="C1762" t="s">
        <v>4315</v>
      </c>
      <c r="D1762" t="s">
        <v>4002</v>
      </c>
    </row>
    <row r="1763" spans="1:4">
      <c r="A1763" t="s">
        <v>1763</v>
      </c>
      <c r="B1763">
        <v>0.33</v>
      </c>
      <c r="C1763" t="s">
        <v>4315</v>
      </c>
      <c r="D1763" t="s">
        <v>4002</v>
      </c>
    </row>
    <row r="1764" spans="1:4">
      <c r="A1764" t="s">
        <v>4681</v>
      </c>
      <c r="B1764">
        <v>0.3</v>
      </c>
      <c r="C1764" t="s">
        <v>4315</v>
      </c>
      <c r="D1764" t="s">
        <v>4002</v>
      </c>
    </row>
    <row r="1765" spans="1:4">
      <c r="A1765" t="s">
        <v>1764</v>
      </c>
      <c r="B1765">
        <v>0.31</v>
      </c>
      <c r="C1765" t="s">
        <v>4315</v>
      </c>
      <c r="D1765" t="s">
        <v>4002</v>
      </c>
    </row>
    <row r="1766" spans="1:4">
      <c r="A1766" t="s">
        <v>4682</v>
      </c>
      <c r="B1766">
        <v>0.45</v>
      </c>
      <c r="C1766" t="s">
        <v>4315</v>
      </c>
      <c r="D1766" t="s">
        <v>4002</v>
      </c>
    </row>
    <row r="1767" spans="1:4">
      <c r="A1767" t="s">
        <v>4683</v>
      </c>
      <c r="B1767">
        <v>0.3</v>
      </c>
      <c r="C1767" t="s">
        <v>4323</v>
      </c>
      <c r="D1767" t="s">
        <v>4002</v>
      </c>
    </row>
    <row r="1768" spans="1:4">
      <c r="A1768" t="s">
        <v>1766</v>
      </c>
      <c r="B1768">
        <v>0.35</v>
      </c>
      <c r="C1768" t="s">
        <v>4323</v>
      </c>
      <c r="D1768" t="s">
        <v>4002</v>
      </c>
    </row>
    <row r="1769" spans="1:4">
      <c r="A1769" t="s">
        <v>4684</v>
      </c>
      <c r="B1769">
        <v>0.52</v>
      </c>
      <c r="C1769" t="s">
        <v>4323</v>
      </c>
      <c r="D1769" t="s">
        <v>4002</v>
      </c>
    </row>
    <row r="1770" spans="1:4">
      <c r="A1770" t="s">
        <v>4685</v>
      </c>
      <c r="B1770">
        <v>0.32</v>
      </c>
      <c r="C1770" t="s">
        <v>4323</v>
      </c>
      <c r="D1770" t="s">
        <v>4002</v>
      </c>
    </row>
    <row r="1771" spans="1:4">
      <c r="A1771" t="s">
        <v>1762</v>
      </c>
      <c r="B1771">
        <v>0.32</v>
      </c>
      <c r="C1771" t="s">
        <v>4323</v>
      </c>
      <c r="D1771" t="s">
        <v>4316</v>
      </c>
    </row>
    <row r="1772" spans="1:4">
      <c r="A1772" t="s">
        <v>4686</v>
      </c>
      <c r="B1772">
        <v>0.85</v>
      </c>
      <c r="C1772" t="s">
        <v>4315</v>
      </c>
      <c r="D1772" t="s">
        <v>4316</v>
      </c>
    </row>
    <row r="1773" spans="1:4">
      <c r="A1773" t="s">
        <v>4687</v>
      </c>
      <c r="B1773">
        <v>0.9</v>
      </c>
      <c r="C1773" t="s">
        <v>4315</v>
      </c>
      <c r="D1773" t="s">
        <v>4316</v>
      </c>
    </row>
    <row r="1774" spans="1:4">
      <c r="A1774" t="s">
        <v>4688</v>
      </c>
      <c r="B1774">
        <v>0.95</v>
      </c>
      <c r="C1774" t="s">
        <v>4315</v>
      </c>
      <c r="D1774" t="s">
        <v>4316</v>
      </c>
    </row>
    <row r="1775" spans="1:4">
      <c r="A1775" t="s">
        <v>4689</v>
      </c>
      <c r="B1775">
        <v>0.85</v>
      </c>
      <c r="C1775" t="s">
        <v>4323</v>
      </c>
      <c r="D1775" t="s">
        <v>4316</v>
      </c>
    </row>
    <row r="1776" spans="1:4">
      <c r="A1776" t="s">
        <v>4690</v>
      </c>
      <c r="B1776">
        <v>0.45</v>
      </c>
      <c r="C1776" t="s">
        <v>4315</v>
      </c>
      <c r="D1776" t="s">
        <v>4316</v>
      </c>
    </row>
    <row r="1777" spans="1:4">
      <c r="A1777" t="s">
        <v>4691</v>
      </c>
      <c r="B1777">
        <v>0.85</v>
      </c>
      <c r="C1777" t="s">
        <v>4315</v>
      </c>
      <c r="D1777" t="s">
        <v>4316</v>
      </c>
    </row>
    <row r="1778" spans="1:4">
      <c r="A1778" t="s">
        <v>4692</v>
      </c>
      <c r="B1778">
        <v>0.9</v>
      </c>
      <c r="C1778" t="s">
        <v>4315</v>
      </c>
      <c r="D1778" t="s">
        <v>4316</v>
      </c>
    </row>
    <row r="1779" spans="1:4">
      <c r="A1779" t="s">
        <v>4693</v>
      </c>
      <c r="B1779">
        <v>0.9</v>
      </c>
      <c r="C1779" t="s">
        <v>4315</v>
      </c>
      <c r="D1779" t="s">
        <v>4316</v>
      </c>
    </row>
    <row r="1780" spans="1:4">
      <c r="A1780" t="s">
        <v>4694</v>
      </c>
      <c r="B1780">
        <v>0.34</v>
      </c>
      <c r="C1780" t="s">
        <v>4315</v>
      </c>
      <c r="D1780" t="s">
        <v>4316</v>
      </c>
    </row>
    <row r="1781" spans="1:4">
      <c r="A1781" t="s">
        <v>1761</v>
      </c>
      <c r="B1781">
        <v>0.32</v>
      </c>
      <c r="C1781" t="s">
        <v>4323</v>
      </c>
      <c r="D1781" t="s">
        <v>4316</v>
      </c>
    </row>
    <row r="1782" spans="1:4">
      <c r="A1782" t="s">
        <v>4695</v>
      </c>
      <c r="B1782">
        <v>0.36</v>
      </c>
      <c r="C1782" t="s">
        <v>4315</v>
      </c>
      <c r="D1782" t="s">
        <v>4002</v>
      </c>
    </row>
    <row r="1783" spans="1:4">
      <c r="A1783" t="s">
        <v>1765</v>
      </c>
      <c r="B1783">
        <v>0.35</v>
      </c>
      <c r="C1783" t="s">
        <v>4315</v>
      </c>
      <c r="D1783" t="s">
        <v>4002</v>
      </c>
    </row>
    <row r="1784" spans="1:4">
      <c r="A1784" t="s">
        <v>4696</v>
      </c>
      <c r="B1784">
        <v>0.82</v>
      </c>
      <c r="C1784" t="s">
        <v>4323</v>
      </c>
      <c r="D1784" t="s">
        <v>4002</v>
      </c>
    </row>
    <row r="1785" spans="1:4">
      <c r="A1785" t="s">
        <v>4697</v>
      </c>
      <c r="B1785">
        <v>0.95</v>
      </c>
      <c r="C1785" t="s">
        <v>4218</v>
      </c>
      <c r="D1785" t="s">
        <v>4316</v>
      </c>
    </row>
    <row r="1786" spans="1:4">
      <c r="A1786" t="s">
        <v>1768</v>
      </c>
      <c r="B1786">
        <v>0.9</v>
      </c>
      <c r="C1786" t="s">
        <v>4315</v>
      </c>
      <c r="D1786" t="s">
        <v>4316</v>
      </c>
    </row>
    <row r="1787" spans="1:4">
      <c r="A1787" t="s">
        <v>667</v>
      </c>
      <c r="B1787">
        <v>0.44</v>
      </c>
      <c r="C1787" t="s">
        <v>4315</v>
      </c>
      <c r="D1787" t="s">
        <v>4316</v>
      </c>
    </row>
    <row r="1788" spans="1:4">
      <c r="A1788" t="s">
        <v>4698</v>
      </c>
      <c r="B1788">
        <v>0.96</v>
      </c>
      <c r="C1788" t="s">
        <v>4315</v>
      </c>
      <c r="D1788" t="s">
        <v>4316</v>
      </c>
    </row>
    <row r="1789" spans="1:4">
      <c r="A1789" t="s">
        <v>1767</v>
      </c>
      <c r="B1789">
        <v>1</v>
      </c>
      <c r="C1789" t="s">
        <v>4315</v>
      </c>
      <c r="D1789" t="s">
        <v>4316</v>
      </c>
    </row>
    <row r="1790" spans="1:4">
      <c r="A1790" t="s">
        <v>4699</v>
      </c>
      <c r="B1790">
        <v>0.45</v>
      </c>
      <c r="C1790" t="s">
        <v>108</v>
      </c>
      <c r="D1790" t="s">
        <v>108</v>
      </c>
    </row>
    <row r="1791" spans="1:4">
      <c r="A1791" t="s">
        <v>4700</v>
      </c>
      <c r="B1791">
        <v>0.45</v>
      </c>
      <c r="C1791" t="s">
        <v>108</v>
      </c>
      <c r="D1791" t="s">
        <v>108</v>
      </c>
    </row>
    <row r="1792" spans="1:4">
      <c r="A1792" t="s">
        <v>4701</v>
      </c>
      <c r="B1792">
        <v>0.45</v>
      </c>
      <c r="C1792" t="s">
        <v>108</v>
      </c>
      <c r="D1792" t="s">
        <v>108</v>
      </c>
    </row>
    <row r="1793" spans="1:4">
      <c r="A1793" t="s">
        <v>4702</v>
      </c>
      <c r="B1793">
        <v>0.6</v>
      </c>
      <c r="C1793" t="s">
        <v>108</v>
      </c>
      <c r="D1793" t="s">
        <v>108</v>
      </c>
    </row>
    <row r="1794" spans="1:4">
      <c r="A1794" t="s">
        <v>4703</v>
      </c>
      <c r="B1794">
        <v>0.16</v>
      </c>
      <c r="C1794" t="s">
        <v>4315</v>
      </c>
      <c r="D1794" t="s">
        <v>4704</v>
      </c>
    </row>
    <row r="1795" spans="1:4">
      <c r="A1795" t="s">
        <v>4705</v>
      </c>
      <c r="B1795">
        <v>0.16</v>
      </c>
      <c r="C1795" t="s">
        <v>4315</v>
      </c>
      <c r="D1795" t="s">
        <v>4704</v>
      </c>
    </row>
    <row r="1796" spans="1:4">
      <c r="A1796" t="s">
        <v>1770</v>
      </c>
      <c r="B1796">
        <v>0.13</v>
      </c>
      <c r="C1796" t="s">
        <v>4706</v>
      </c>
      <c r="D1796" t="s">
        <v>4707</v>
      </c>
    </row>
    <row r="1797" spans="1:4">
      <c r="A1797" t="s">
        <v>1771</v>
      </c>
      <c r="B1797">
        <v>0.16</v>
      </c>
      <c r="C1797" t="s">
        <v>4706</v>
      </c>
      <c r="D1797" t="s">
        <v>4707</v>
      </c>
    </row>
    <row r="1798" spans="1:4">
      <c r="A1798" t="s">
        <v>1772</v>
      </c>
      <c r="B1798">
        <v>0.19</v>
      </c>
      <c r="C1798" t="s">
        <v>4708</v>
      </c>
      <c r="D1798" t="s">
        <v>4707</v>
      </c>
    </row>
    <row r="1799" spans="1:4">
      <c r="A1799" t="s">
        <v>1773</v>
      </c>
      <c r="B1799">
        <v>0.28999999999999998</v>
      </c>
      <c r="C1799" t="s">
        <v>4709</v>
      </c>
      <c r="D1799" t="s">
        <v>4707</v>
      </c>
    </row>
    <row r="1800" spans="1:4">
      <c r="A1800" t="s">
        <v>4710</v>
      </c>
      <c r="B1800">
        <v>0.38</v>
      </c>
      <c r="C1800" t="s">
        <v>4711</v>
      </c>
      <c r="D1800" t="s">
        <v>4707</v>
      </c>
    </row>
    <row r="1801" spans="1:4">
      <c r="A1801" t="s">
        <v>4712</v>
      </c>
      <c r="B1801">
        <v>0.06</v>
      </c>
      <c r="C1801" t="s">
        <v>4713</v>
      </c>
      <c r="D1801" t="s">
        <v>4707</v>
      </c>
    </row>
    <row r="1802" spans="1:4">
      <c r="A1802" t="s">
        <v>1769</v>
      </c>
      <c r="B1802">
        <v>0.1</v>
      </c>
      <c r="C1802" t="s">
        <v>4714</v>
      </c>
      <c r="D1802" t="s">
        <v>4707</v>
      </c>
    </row>
    <row r="1803" spans="1:4">
      <c r="A1803" t="s">
        <v>4715</v>
      </c>
      <c r="B1803">
        <v>0.13</v>
      </c>
      <c r="C1803" t="s">
        <v>4716</v>
      </c>
      <c r="D1803" t="s">
        <v>4707</v>
      </c>
    </row>
    <row r="1804" spans="1:4">
      <c r="A1804" t="s">
        <v>4717</v>
      </c>
      <c r="B1804">
        <v>0.38</v>
      </c>
      <c r="C1804" t="s">
        <v>4713</v>
      </c>
      <c r="D1804" t="s">
        <v>4707</v>
      </c>
    </row>
    <row r="1805" spans="1:4">
      <c r="A1805" t="s">
        <v>4718</v>
      </c>
      <c r="B1805">
        <v>0.16</v>
      </c>
      <c r="C1805" t="s">
        <v>4719</v>
      </c>
      <c r="D1805" t="s">
        <v>4707</v>
      </c>
    </row>
    <row r="1806" spans="1:4">
      <c r="A1806" t="s">
        <v>4720</v>
      </c>
      <c r="B1806">
        <v>0.09</v>
      </c>
      <c r="C1806" t="s">
        <v>4721</v>
      </c>
      <c r="D1806" t="s">
        <v>4658</v>
      </c>
    </row>
    <row r="1807" spans="1:4">
      <c r="A1807" t="s">
        <v>4722</v>
      </c>
      <c r="B1807">
        <v>0.13</v>
      </c>
      <c r="C1807" t="s">
        <v>4723</v>
      </c>
      <c r="D1807" t="s">
        <v>4658</v>
      </c>
    </row>
    <row r="1808" spans="1:4">
      <c r="A1808" t="s">
        <v>4724</v>
      </c>
      <c r="B1808">
        <v>0.26</v>
      </c>
      <c r="C1808" t="s">
        <v>4725</v>
      </c>
      <c r="D1808" t="s">
        <v>4002</v>
      </c>
    </row>
    <row r="1809" spans="1:4">
      <c r="A1809" t="s">
        <v>4726</v>
      </c>
      <c r="B1809">
        <v>0.01</v>
      </c>
      <c r="C1809" t="s">
        <v>4637</v>
      </c>
      <c r="D1809" t="s">
        <v>4002</v>
      </c>
    </row>
    <row r="1810" spans="1:4">
      <c r="A1810" t="s">
        <v>4727</v>
      </c>
      <c r="B1810">
        <v>0.3</v>
      </c>
      <c r="C1810" t="s">
        <v>4728</v>
      </c>
      <c r="D1810" t="s">
        <v>4002</v>
      </c>
    </row>
    <row r="1811" spans="1:4">
      <c r="A1811" t="s">
        <v>4729</v>
      </c>
      <c r="B1811">
        <v>0.23</v>
      </c>
      <c r="C1811" t="s">
        <v>4730</v>
      </c>
      <c r="D1811" t="s">
        <v>4002</v>
      </c>
    </row>
    <row r="1812" spans="1:4">
      <c r="A1812" t="s">
        <v>4731</v>
      </c>
      <c r="B1812">
        <v>0.35</v>
      </c>
      <c r="C1812" t="s">
        <v>4732</v>
      </c>
      <c r="D1812" t="s">
        <v>4002</v>
      </c>
    </row>
    <row r="1813" spans="1:4">
      <c r="A1813" t="s">
        <v>4733</v>
      </c>
      <c r="B1813">
        <v>0.3</v>
      </c>
      <c r="C1813" t="s">
        <v>4734</v>
      </c>
      <c r="D1813" t="s">
        <v>4002</v>
      </c>
    </row>
    <row r="1814" spans="1:4">
      <c r="A1814" t="s">
        <v>4735</v>
      </c>
      <c r="B1814">
        <v>0.35</v>
      </c>
      <c r="C1814" t="s">
        <v>4736</v>
      </c>
      <c r="D1814" t="s">
        <v>4002</v>
      </c>
    </row>
    <row r="1815" spans="1:4">
      <c r="A1815" t="s">
        <v>4737</v>
      </c>
      <c r="B1815">
        <v>0.45</v>
      </c>
      <c r="C1815" t="s">
        <v>4730</v>
      </c>
      <c r="D1815" t="s">
        <v>4002</v>
      </c>
    </row>
    <row r="1816" spans="1:4">
      <c r="A1816" t="s">
        <v>4738</v>
      </c>
      <c r="B1816">
        <v>0.32</v>
      </c>
      <c r="C1816" t="s">
        <v>4315</v>
      </c>
      <c r="D1816" t="s">
        <v>4002</v>
      </c>
    </row>
    <row r="1817" spans="1:4">
      <c r="A1817" t="s">
        <v>4739</v>
      </c>
      <c r="B1817">
        <v>0.43</v>
      </c>
      <c r="C1817" t="s">
        <v>4391</v>
      </c>
      <c r="D1817" t="s">
        <v>4740</v>
      </c>
    </row>
    <row r="1818" spans="1:4">
      <c r="A1818" t="s">
        <v>4741</v>
      </c>
      <c r="B1818">
        <v>0.55000000000000004</v>
      </c>
      <c r="C1818" t="s">
        <v>3103</v>
      </c>
      <c r="D1818" t="s">
        <v>4340</v>
      </c>
    </row>
    <row r="1819" spans="1:4">
      <c r="A1819" t="s">
        <v>4742</v>
      </c>
      <c r="B1819">
        <v>0.5</v>
      </c>
      <c r="C1819" t="s">
        <v>4743</v>
      </c>
      <c r="D1819" t="s">
        <v>4744</v>
      </c>
    </row>
    <row r="1820" spans="1:4">
      <c r="A1820" t="s">
        <v>4745</v>
      </c>
      <c r="B1820">
        <v>0.42</v>
      </c>
      <c r="C1820" t="s">
        <v>108</v>
      </c>
      <c r="D1820" t="s">
        <v>4740</v>
      </c>
    </row>
    <row r="1821" spans="1:4">
      <c r="A1821" t="s">
        <v>4746</v>
      </c>
      <c r="B1821">
        <v>0.5</v>
      </c>
      <c r="C1821" t="s">
        <v>108</v>
      </c>
      <c r="D1821" t="s">
        <v>4744</v>
      </c>
    </row>
    <row r="1822" spans="1:4">
      <c r="A1822" t="s">
        <v>4747</v>
      </c>
      <c r="B1822">
        <v>0.55000000000000004</v>
      </c>
      <c r="C1822" t="s">
        <v>4391</v>
      </c>
      <c r="D1822" t="s">
        <v>4748</v>
      </c>
    </row>
    <row r="1823" spans="1:4">
      <c r="A1823" t="s">
        <v>4749</v>
      </c>
      <c r="B1823">
        <v>0.5</v>
      </c>
      <c r="C1823" t="s">
        <v>4218</v>
      </c>
      <c r="D1823" t="s">
        <v>4750</v>
      </c>
    </row>
    <row r="1824" spans="1:4">
      <c r="A1824" t="s">
        <v>4751</v>
      </c>
      <c r="B1824">
        <v>0.04</v>
      </c>
      <c r="C1824" t="s">
        <v>4721</v>
      </c>
      <c r="D1824" t="s">
        <v>4658</v>
      </c>
    </row>
    <row r="1825" spans="1:4">
      <c r="A1825" t="s">
        <v>4752</v>
      </c>
      <c r="B1825">
        <v>0.55000000000000004</v>
      </c>
      <c r="C1825" t="s">
        <v>4315</v>
      </c>
      <c r="D1825" t="s">
        <v>4316</v>
      </c>
    </row>
    <row r="1826" spans="1:4">
      <c r="A1826" t="s">
        <v>4753</v>
      </c>
      <c r="B1826">
        <v>0.21</v>
      </c>
      <c r="C1826" t="s">
        <v>4754</v>
      </c>
      <c r="D1826" t="s">
        <v>4004</v>
      </c>
    </row>
    <row r="1827" spans="1:4">
      <c r="A1827" t="s">
        <v>1782</v>
      </c>
      <c r="B1827">
        <v>0.21</v>
      </c>
      <c r="C1827" t="s">
        <v>4755</v>
      </c>
      <c r="D1827" t="s">
        <v>4004</v>
      </c>
    </row>
    <row r="1828" spans="1:4">
      <c r="A1828" t="s">
        <v>4756</v>
      </c>
      <c r="B1828">
        <v>0.21</v>
      </c>
      <c r="C1828" t="s">
        <v>4757</v>
      </c>
      <c r="D1828" t="s">
        <v>4004</v>
      </c>
    </row>
    <row r="1829" spans="1:4">
      <c r="A1829" t="s">
        <v>1783</v>
      </c>
      <c r="B1829">
        <v>0.21</v>
      </c>
      <c r="C1829" t="s">
        <v>4758</v>
      </c>
      <c r="D1829" t="s">
        <v>4004</v>
      </c>
    </row>
    <row r="1830" spans="1:4">
      <c r="A1830" t="s">
        <v>4759</v>
      </c>
      <c r="B1830">
        <v>0.17</v>
      </c>
      <c r="C1830" t="s">
        <v>4755</v>
      </c>
      <c r="D1830" t="s">
        <v>4004</v>
      </c>
    </row>
    <row r="1831" spans="1:4">
      <c r="A1831" t="s">
        <v>1784</v>
      </c>
      <c r="B1831">
        <v>0.15</v>
      </c>
      <c r="C1831" t="s">
        <v>4760</v>
      </c>
      <c r="D1831" t="s">
        <v>4004</v>
      </c>
    </row>
    <row r="1832" spans="1:4">
      <c r="A1832" t="s">
        <v>4761</v>
      </c>
      <c r="B1832">
        <v>0.21</v>
      </c>
      <c r="C1832" t="s">
        <v>4757</v>
      </c>
      <c r="D1832" t="s">
        <v>4004</v>
      </c>
    </row>
    <row r="1833" spans="1:4">
      <c r="A1833" t="s">
        <v>4762</v>
      </c>
      <c r="B1833">
        <v>0.21</v>
      </c>
      <c r="C1833" t="s">
        <v>4755</v>
      </c>
      <c r="D1833" t="s">
        <v>4004</v>
      </c>
    </row>
    <row r="1834" spans="1:4">
      <c r="A1834" t="s">
        <v>4763</v>
      </c>
      <c r="B1834">
        <v>0.21</v>
      </c>
      <c r="C1834" t="s">
        <v>4757</v>
      </c>
      <c r="D1834" t="s">
        <v>4004</v>
      </c>
    </row>
    <row r="1835" spans="1:4">
      <c r="A1835" t="s">
        <v>4764</v>
      </c>
      <c r="B1835">
        <v>0.9</v>
      </c>
      <c r="C1835" t="s">
        <v>3103</v>
      </c>
      <c r="D1835" t="s">
        <v>4321</v>
      </c>
    </row>
    <row r="1836" spans="1:4">
      <c r="A1836" t="s">
        <v>4765</v>
      </c>
      <c r="B1836">
        <v>0.9</v>
      </c>
      <c r="C1836" t="s">
        <v>3103</v>
      </c>
      <c r="D1836" t="s">
        <v>4321</v>
      </c>
    </row>
    <row r="1837" spans="1:4">
      <c r="A1837" t="s">
        <v>4766</v>
      </c>
      <c r="B1837">
        <v>0.9</v>
      </c>
      <c r="C1837" t="s">
        <v>3103</v>
      </c>
      <c r="D1837" t="s">
        <v>4321</v>
      </c>
    </row>
    <row r="1838" spans="1:4">
      <c r="A1838" t="s">
        <v>4767</v>
      </c>
      <c r="B1838">
        <v>0.5</v>
      </c>
      <c r="C1838" t="s">
        <v>4650</v>
      </c>
      <c r="D1838" t="s">
        <v>4768</v>
      </c>
    </row>
    <row r="1839" spans="1:4">
      <c r="A1839" t="s">
        <v>4769</v>
      </c>
      <c r="B1839">
        <v>0.5</v>
      </c>
      <c r="C1839" t="s">
        <v>4770</v>
      </c>
      <c r="D1839" t="s">
        <v>4768</v>
      </c>
    </row>
    <row r="1840" spans="1:4">
      <c r="A1840" t="s">
        <v>4771</v>
      </c>
      <c r="B1840">
        <v>0.2</v>
      </c>
      <c r="C1840" t="s">
        <v>4650</v>
      </c>
      <c r="D1840" t="s">
        <v>4768</v>
      </c>
    </row>
    <row r="1841" spans="1:4">
      <c r="A1841" t="s">
        <v>4772</v>
      </c>
      <c r="B1841">
        <v>0.3</v>
      </c>
      <c r="C1841" t="s">
        <v>4770</v>
      </c>
      <c r="D1841" t="s">
        <v>4768</v>
      </c>
    </row>
    <row r="1842" spans="1:4">
      <c r="A1842" t="s">
        <v>4773</v>
      </c>
      <c r="B1842">
        <v>0.4</v>
      </c>
      <c r="C1842" t="s">
        <v>4770</v>
      </c>
      <c r="D1842" t="s">
        <v>4768</v>
      </c>
    </row>
    <row r="1843" spans="1:4">
      <c r="A1843" t="s">
        <v>4774</v>
      </c>
      <c r="B1843">
        <v>0.5</v>
      </c>
      <c r="C1843" t="s">
        <v>4770</v>
      </c>
      <c r="D1843" t="s">
        <v>4768</v>
      </c>
    </row>
    <row r="1844" spans="1:4">
      <c r="A1844" t="s">
        <v>4775</v>
      </c>
      <c r="B1844">
        <v>0.55000000000000004</v>
      </c>
      <c r="C1844" t="s">
        <v>4776</v>
      </c>
      <c r="D1844" t="s">
        <v>4768</v>
      </c>
    </row>
    <row r="1845" spans="1:4">
      <c r="A1845" t="s">
        <v>4777</v>
      </c>
      <c r="B1845">
        <v>0.55000000000000004</v>
      </c>
      <c r="C1845" t="s">
        <v>108</v>
      </c>
      <c r="D1845" t="s">
        <v>4768</v>
      </c>
    </row>
    <row r="1846" spans="1:4">
      <c r="A1846" t="s">
        <v>4778</v>
      </c>
      <c r="B1846">
        <v>0.35</v>
      </c>
      <c r="C1846" t="s">
        <v>4650</v>
      </c>
      <c r="D1846" t="s">
        <v>4768</v>
      </c>
    </row>
    <row r="1847" spans="1:4">
      <c r="A1847" t="s">
        <v>4779</v>
      </c>
      <c r="B1847">
        <v>0.25</v>
      </c>
      <c r="C1847" t="s">
        <v>4723</v>
      </c>
      <c r="D1847" t="s">
        <v>4707</v>
      </c>
    </row>
    <row r="1848" spans="1:4">
      <c r="A1848" t="s">
        <v>1779</v>
      </c>
      <c r="B1848">
        <v>0.25</v>
      </c>
      <c r="C1848" t="s">
        <v>4780</v>
      </c>
      <c r="D1848" t="s">
        <v>4707</v>
      </c>
    </row>
    <row r="1849" spans="1:4">
      <c r="A1849" t="s">
        <v>4781</v>
      </c>
      <c r="B1849">
        <v>0.25</v>
      </c>
      <c r="C1849" t="s">
        <v>4782</v>
      </c>
      <c r="D1849" t="s">
        <v>4707</v>
      </c>
    </row>
    <row r="1850" spans="1:4">
      <c r="A1850" t="s">
        <v>1780</v>
      </c>
      <c r="B1850">
        <v>0.25</v>
      </c>
      <c r="C1850" t="s">
        <v>4782</v>
      </c>
      <c r="D1850" t="s">
        <v>4707</v>
      </c>
    </row>
    <row r="1851" spans="1:4">
      <c r="A1851" t="s">
        <v>4783</v>
      </c>
      <c r="B1851">
        <v>0.25</v>
      </c>
      <c r="C1851" t="s">
        <v>4723</v>
      </c>
      <c r="D1851" t="s">
        <v>4707</v>
      </c>
    </row>
    <row r="1852" spans="1:4">
      <c r="A1852" t="s">
        <v>4784</v>
      </c>
      <c r="B1852">
        <v>0.12</v>
      </c>
      <c r="C1852" t="s">
        <v>4785</v>
      </c>
      <c r="D1852" t="s">
        <v>4707</v>
      </c>
    </row>
    <row r="1853" spans="1:4">
      <c r="A1853" t="s">
        <v>4786</v>
      </c>
      <c r="B1853">
        <v>0.14000000000000001</v>
      </c>
      <c r="C1853" t="s">
        <v>4787</v>
      </c>
      <c r="D1853" t="s">
        <v>4707</v>
      </c>
    </row>
    <row r="1854" spans="1:4">
      <c r="A1854" t="s">
        <v>1781</v>
      </c>
      <c r="B1854">
        <v>0.17</v>
      </c>
      <c r="C1854" t="s">
        <v>4785</v>
      </c>
      <c r="D1854" t="s">
        <v>4707</v>
      </c>
    </row>
    <row r="1855" spans="1:4">
      <c r="A1855" t="s">
        <v>4788</v>
      </c>
      <c r="B1855">
        <v>0.22</v>
      </c>
      <c r="C1855" t="s">
        <v>4709</v>
      </c>
      <c r="D1855" t="s">
        <v>4707</v>
      </c>
    </row>
    <row r="1856" spans="1:4">
      <c r="A1856" t="s">
        <v>4789</v>
      </c>
      <c r="B1856">
        <v>0.65</v>
      </c>
      <c r="C1856" t="s">
        <v>3103</v>
      </c>
      <c r="D1856" t="s">
        <v>4790</v>
      </c>
    </row>
    <row r="1857" spans="1:4">
      <c r="A1857" t="s">
        <v>4791</v>
      </c>
      <c r="B1857">
        <v>0.75</v>
      </c>
      <c r="C1857" t="s">
        <v>3103</v>
      </c>
      <c r="D1857" t="s">
        <v>4792</v>
      </c>
    </row>
    <row r="1858" spans="1:4">
      <c r="A1858" t="s">
        <v>4793</v>
      </c>
      <c r="B1858">
        <v>0.95</v>
      </c>
      <c r="C1858" t="s">
        <v>3103</v>
      </c>
      <c r="D1858" t="s">
        <v>4794</v>
      </c>
    </row>
    <row r="1859" spans="1:4">
      <c r="A1859" t="s">
        <v>4795</v>
      </c>
      <c r="B1859">
        <v>0.22</v>
      </c>
      <c r="C1859" t="s">
        <v>4796</v>
      </c>
      <c r="D1859" t="s">
        <v>4658</v>
      </c>
    </row>
    <row r="1860" spans="1:4">
      <c r="A1860" t="s">
        <v>4797</v>
      </c>
      <c r="B1860">
        <v>0.28000000000000003</v>
      </c>
      <c r="C1860" t="s">
        <v>4798</v>
      </c>
      <c r="D1860" t="s">
        <v>4002</v>
      </c>
    </row>
    <row r="1861" spans="1:4">
      <c r="A1861" t="s">
        <v>4799</v>
      </c>
      <c r="B1861">
        <v>0.21</v>
      </c>
      <c r="C1861" t="s">
        <v>4800</v>
      </c>
      <c r="D1861" t="s">
        <v>4002</v>
      </c>
    </row>
    <row r="1862" spans="1:4">
      <c r="A1862" t="s">
        <v>4801</v>
      </c>
      <c r="B1862">
        <v>3.26</v>
      </c>
      <c r="C1862" t="s">
        <v>2395</v>
      </c>
      <c r="D1862" t="s">
        <v>3878</v>
      </c>
    </row>
    <row r="1863" spans="1:4">
      <c r="A1863" t="s">
        <v>4802</v>
      </c>
      <c r="B1863">
        <v>3.26</v>
      </c>
      <c r="C1863" t="s">
        <v>2392</v>
      </c>
      <c r="D1863" t="s">
        <v>3878</v>
      </c>
    </row>
    <row r="1864" spans="1:4">
      <c r="A1864" t="s">
        <v>4803</v>
      </c>
      <c r="B1864">
        <v>3.25</v>
      </c>
      <c r="C1864" t="s">
        <v>2395</v>
      </c>
      <c r="D1864" t="s">
        <v>3878</v>
      </c>
    </row>
    <row r="1865" spans="1:4">
      <c r="A1865" t="s">
        <v>4804</v>
      </c>
      <c r="B1865">
        <v>3.25</v>
      </c>
      <c r="C1865" t="s">
        <v>2392</v>
      </c>
      <c r="D1865" t="s">
        <v>3878</v>
      </c>
    </row>
    <row r="1866" spans="1:4">
      <c r="A1866" t="s">
        <v>4805</v>
      </c>
      <c r="B1866">
        <v>3.19</v>
      </c>
      <c r="C1866" t="s">
        <v>2392</v>
      </c>
      <c r="D1866" t="s">
        <v>3878</v>
      </c>
    </row>
    <row r="1867" spans="1:4">
      <c r="A1867" t="s">
        <v>4806</v>
      </c>
      <c r="B1867">
        <v>3.19</v>
      </c>
      <c r="C1867" t="s">
        <v>2395</v>
      </c>
      <c r="D1867" t="s">
        <v>3878</v>
      </c>
    </row>
    <row r="1868" spans="1:4">
      <c r="A1868" t="s">
        <v>4807</v>
      </c>
      <c r="B1868">
        <v>3.07</v>
      </c>
      <c r="C1868" t="s">
        <v>3904</v>
      </c>
      <c r="D1868" t="s">
        <v>3878</v>
      </c>
    </row>
    <row r="1869" spans="1:4">
      <c r="A1869" t="s">
        <v>4808</v>
      </c>
      <c r="B1869">
        <v>3.12</v>
      </c>
      <c r="C1869" t="s">
        <v>2392</v>
      </c>
      <c r="D1869" t="s">
        <v>3876</v>
      </c>
    </row>
    <row r="1870" spans="1:4">
      <c r="A1870" t="s">
        <v>4809</v>
      </c>
      <c r="B1870">
        <v>3.12</v>
      </c>
      <c r="C1870" t="s">
        <v>2392</v>
      </c>
      <c r="D1870" t="s">
        <v>3876</v>
      </c>
    </row>
    <row r="1871" spans="1:4">
      <c r="A1871" t="s">
        <v>4810</v>
      </c>
      <c r="B1871">
        <v>3.03</v>
      </c>
      <c r="C1871" t="s">
        <v>2395</v>
      </c>
      <c r="D1871" t="s">
        <v>3876</v>
      </c>
    </row>
    <row r="1872" spans="1:4">
      <c r="A1872" t="s">
        <v>4811</v>
      </c>
      <c r="B1872">
        <v>2.6</v>
      </c>
      <c r="C1872" t="s">
        <v>4017</v>
      </c>
      <c r="D1872" t="s">
        <v>3948</v>
      </c>
    </row>
    <row r="1873" spans="1:4">
      <c r="A1873" t="s">
        <v>4812</v>
      </c>
      <c r="B1873">
        <v>2.95</v>
      </c>
      <c r="C1873" t="s">
        <v>4017</v>
      </c>
      <c r="D1873" t="s">
        <v>3859</v>
      </c>
    </row>
    <row r="1874" spans="1:4">
      <c r="A1874" t="s">
        <v>4813</v>
      </c>
      <c r="B1874">
        <v>3.1</v>
      </c>
      <c r="C1874" t="s">
        <v>4017</v>
      </c>
      <c r="D1874" t="s">
        <v>3859</v>
      </c>
    </row>
    <row r="1875" spans="1:4">
      <c r="A1875" t="s">
        <v>4814</v>
      </c>
      <c r="B1875">
        <v>3.85</v>
      </c>
      <c r="C1875" t="s">
        <v>4580</v>
      </c>
      <c r="D1875" t="s">
        <v>4626</v>
      </c>
    </row>
    <row r="1876" spans="1:4">
      <c r="A1876" t="s">
        <v>4815</v>
      </c>
      <c r="B1876">
        <v>3.85</v>
      </c>
      <c r="C1876" t="s">
        <v>4584</v>
      </c>
      <c r="D1876" t="s">
        <v>4626</v>
      </c>
    </row>
    <row r="1877" spans="1:4">
      <c r="A1877" t="s">
        <v>4816</v>
      </c>
      <c r="B1877">
        <v>4</v>
      </c>
      <c r="C1877" t="s">
        <v>4584</v>
      </c>
      <c r="D1877" t="s">
        <v>4626</v>
      </c>
    </row>
    <row r="1878" spans="1:4">
      <c r="A1878" t="s">
        <v>4817</v>
      </c>
      <c r="B1878">
        <v>4.3499999999999996</v>
      </c>
      <c r="C1878" t="s">
        <v>4818</v>
      </c>
      <c r="D1878" t="s">
        <v>4819</v>
      </c>
    </row>
    <row r="1879" spans="1:4">
      <c r="A1879" t="s">
        <v>4820</v>
      </c>
      <c r="B1879">
        <v>4</v>
      </c>
      <c r="C1879" t="s">
        <v>3995</v>
      </c>
      <c r="D1879" t="s">
        <v>4626</v>
      </c>
    </row>
    <row r="1880" spans="1:4">
      <c r="A1880" t="s">
        <v>4821</v>
      </c>
      <c r="B1880">
        <v>4</v>
      </c>
      <c r="C1880" t="s">
        <v>4580</v>
      </c>
      <c r="D1880" t="s">
        <v>4626</v>
      </c>
    </row>
    <row r="1881" spans="1:4">
      <c r="A1881" t="s">
        <v>4822</v>
      </c>
      <c r="B1881">
        <v>3.7</v>
      </c>
      <c r="C1881" t="s">
        <v>4818</v>
      </c>
      <c r="D1881" t="s">
        <v>4626</v>
      </c>
    </row>
    <row r="1882" spans="1:4">
      <c r="A1882" t="s">
        <v>4823</v>
      </c>
      <c r="B1882">
        <v>3.75</v>
      </c>
      <c r="C1882" t="s">
        <v>3995</v>
      </c>
      <c r="D1882" t="s">
        <v>4081</v>
      </c>
    </row>
    <row r="1883" spans="1:4">
      <c r="A1883" t="s">
        <v>4824</v>
      </c>
      <c r="B1883">
        <v>3.75</v>
      </c>
      <c r="C1883" t="s">
        <v>4825</v>
      </c>
      <c r="D1883" t="s">
        <v>4081</v>
      </c>
    </row>
    <row r="1884" spans="1:4">
      <c r="A1884" t="s">
        <v>4826</v>
      </c>
      <c r="B1884">
        <v>3.88</v>
      </c>
      <c r="C1884" t="s">
        <v>4584</v>
      </c>
      <c r="D1884" t="s">
        <v>4081</v>
      </c>
    </row>
    <row r="1885" spans="1:4">
      <c r="A1885" t="s">
        <v>4827</v>
      </c>
      <c r="B1885">
        <v>3.78</v>
      </c>
      <c r="C1885" t="s">
        <v>4584</v>
      </c>
      <c r="D1885" t="s">
        <v>4081</v>
      </c>
    </row>
    <row r="1886" spans="1:4">
      <c r="A1886" t="s">
        <v>4828</v>
      </c>
      <c r="B1886">
        <v>3.85</v>
      </c>
      <c r="C1886" t="s">
        <v>4580</v>
      </c>
      <c r="D1886" t="s">
        <v>4081</v>
      </c>
    </row>
    <row r="1887" spans="1:4">
      <c r="A1887" t="s">
        <v>4829</v>
      </c>
      <c r="B1887">
        <v>3.58</v>
      </c>
      <c r="C1887" t="s">
        <v>4825</v>
      </c>
      <c r="D1887" t="s">
        <v>4081</v>
      </c>
    </row>
    <row r="1888" spans="1:4">
      <c r="A1888" t="s">
        <v>4830</v>
      </c>
      <c r="B1888">
        <v>3.58</v>
      </c>
      <c r="C1888" t="s">
        <v>3995</v>
      </c>
      <c r="D1888" t="s">
        <v>4081</v>
      </c>
    </row>
    <row r="1889" spans="1:4">
      <c r="A1889" t="s">
        <v>4831</v>
      </c>
      <c r="B1889">
        <v>3.93</v>
      </c>
      <c r="C1889" t="s">
        <v>4582</v>
      </c>
      <c r="D1889" t="s">
        <v>4081</v>
      </c>
    </row>
    <row r="1890" spans="1:4">
      <c r="A1890" t="s">
        <v>4832</v>
      </c>
      <c r="B1890">
        <v>3.72</v>
      </c>
      <c r="C1890" t="s">
        <v>4584</v>
      </c>
      <c r="D1890" t="s">
        <v>4081</v>
      </c>
    </row>
    <row r="1891" spans="1:4">
      <c r="A1891" t="s">
        <v>4833</v>
      </c>
      <c r="B1891">
        <v>3.72</v>
      </c>
      <c r="C1891" t="s">
        <v>4580</v>
      </c>
      <c r="D1891" t="s">
        <v>4081</v>
      </c>
    </row>
    <row r="1892" spans="1:4">
      <c r="A1892" t="s">
        <v>4834</v>
      </c>
      <c r="B1892">
        <v>3.72</v>
      </c>
      <c r="C1892" t="s">
        <v>4582</v>
      </c>
      <c r="D1892" t="s">
        <v>4081</v>
      </c>
    </row>
    <row r="1893" spans="1:4">
      <c r="A1893" t="s">
        <v>4835</v>
      </c>
      <c r="B1893">
        <v>3.72</v>
      </c>
      <c r="C1893" t="s">
        <v>4825</v>
      </c>
      <c r="D1893" t="s">
        <v>4081</v>
      </c>
    </row>
    <row r="1894" spans="1:4">
      <c r="A1894" t="s">
        <v>4836</v>
      </c>
      <c r="B1894">
        <v>3.5</v>
      </c>
      <c r="C1894" t="s">
        <v>4580</v>
      </c>
      <c r="D1894" t="s">
        <v>4081</v>
      </c>
    </row>
    <row r="1895" spans="1:4">
      <c r="A1895" t="s">
        <v>4837</v>
      </c>
      <c r="B1895">
        <v>3.5</v>
      </c>
      <c r="C1895" t="s">
        <v>4582</v>
      </c>
      <c r="D1895" t="s">
        <v>4081</v>
      </c>
    </row>
    <row r="1896" spans="1:4">
      <c r="A1896" t="s">
        <v>4838</v>
      </c>
      <c r="B1896">
        <v>3.55</v>
      </c>
      <c r="C1896" t="s">
        <v>4839</v>
      </c>
      <c r="D1896" t="s">
        <v>4087</v>
      </c>
    </row>
    <row r="1897" spans="1:4">
      <c r="A1897" t="s">
        <v>4840</v>
      </c>
      <c r="B1897">
        <v>3.19</v>
      </c>
      <c r="C1897" t="s">
        <v>4841</v>
      </c>
      <c r="D1897" t="s">
        <v>4087</v>
      </c>
    </row>
    <row r="1898" spans="1:4">
      <c r="A1898" t="s">
        <v>4842</v>
      </c>
      <c r="B1898">
        <v>3</v>
      </c>
      <c r="C1898" t="s">
        <v>4843</v>
      </c>
      <c r="D1898" t="s">
        <v>4102</v>
      </c>
    </row>
    <row r="1899" spans="1:4">
      <c r="A1899" t="s">
        <v>4844</v>
      </c>
      <c r="B1899">
        <v>2.75</v>
      </c>
      <c r="C1899" t="s">
        <v>3615</v>
      </c>
      <c r="D1899" t="s">
        <v>3902</v>
      </c>
    </row>
    <row r="1900" spans="1:4">
      <c r="A1900" t="s">
        <v>4845</v>
      </c>
      <c r="B1900">
        <v>2.75</v>
      </c>
      <c r="C1900" t="s">
        <v>3970</v>
      </c>
      <c r="D1900" t="s">
        <v>3902</v>
      </c>
    </row>
    <row r="1901" spans="1:4">
      <c r="A1901" t="s">
        <v>4846</v>
      </c>
      <c r="B1901">
        <v>2.75</v>
      </c>
      <c r="C1901" t="s">
        <v>3615</v>
      </c>
      <c r="D1901" t="s">
        <v>3902</v>
      </c>
    </row>
    <row r="1902" spans="1:4">
      <c r="A1902" t="s">
        <v>4847</v>
      </c>
      <c r="B1902">
        <v>2.66</v>
      </c>
      <c r="C1902" t="s">
        <v>3615</v>
      </c>
      <c r="D1902" t="s">
        <v>3902</v>
      </c>
    </row>
    <row r="1903" spans="1:4">
      <c r="A1903" t="s">
        <v>4848</v>
      </c>
      <c r="B1903">
        <v>2.84</v>
      </c>
      <c r="C1903" t="s">
        <v>3166</v>
      </c>
      <c r="D1903" t="s">
        <v>3902</v>
      </c>
    </row>
    <row r="1904" spans="1:4">
      <c r="A1904" t="s">
        <v>4849</v>
      </c>
      <c r="B1904">
        <v>2.74</v>
      </c>
      <c r="C1904" t="s">
        <v>3354</v>
      </c>
      <c r="D1904" t="s">
        <v>3902</v>
      </c>
    </row>
    <row r="1905" spans="1:4">
      <c r="A1905" t="s">
        <v>4850</v>
      </c>
      <c r="B1905">
        <v>2.72</v>
      </c>
      <c r="C1905" t="s">
        <v>3615</v>
      </c>
      <c r="D1905" t="s">
        <v>3852</v>
      </c>
    </row>
    <row r="1906" spans="1:4">
      <c r="A1906" t="s">
        <v>4851</v>
      </c>
      <c r="B1906">
        <v>2.56</v>
      </c>
      <c r="C1906" t="s">
        <v>4852</v>
      </c>
      <c r="D1906" t="s">
        <v>4095</v>
      </c>
    </row>
    <row r="1907" spans="1:4">
      <c r="A1907" t="s">
        <v>4853</v>
      </c>
      <c r="B1907">
        <v>2.83</v>
      </c>
      <c r="C1907" t="s">
        <v>3354</v>
      </c>
      <c r="D1907" t="s">
        <v>3852</v>
      </c>
    </row>
    <row r="1908" spans="1:4">
      <c r="A1908" t="s">
        <v>4854</v>
      </c>
      <c r="B1908">
        <v>2.96</v>
      </c>
      <c r="C1908" t="s">
        <v>4108</v>
      </c>
      <c r="D1908" t="s">
        <v>3852</v>
      </c>
    </row>
    <row r="1909" spans="1:4">
      <c r="A1909" t="s">
        <v>4855</v>
      </c>
      <c r="B1909">
        <v>2.93</v>
      </c>
      <c r="C1909" t="s">
        <v>4856</v>
      </c>
      <c r="D1909" t="s">
        <v>3852</v>
      </c>
    </row>
    <row r="1910" spans="1:4">
      <c r="A1910" t="s">
        <v>4857</v>
      </c>
      <c r="B1910">
        <v>2.41</v>
      </c>
      <c r="C1910" t="s">
        <v>4858</v>
      </c>
      <c r="D1910" t="s">
        <v>4200</v>
      </c>
    </row>
    <row r="1911" spans="1:4">
      <c r="A1911" t="s">
        <v>4859</v>
      </c>
      <c r="B1911">
        <v>2.44</v>
      </c>
      <c r="C1911" t="s">
        <v>4860</v>
      </c>
      <c r="D1911" t="s">
        <v>4200</v>
      </c>
    </row>
    <row r="1912" spans="1:4">
      <c r="A1912" t="s">
        <v>4861</v>
      </c>
      <c r="B1912">
        <v>2.34</v>
      </c>
      <c r="C1912" t="s">
        <v>4862</v>
      </c>
      <c r="D1912" t="s">
        <v>4480</v>
      </c>
    </row>
    <row r="1913" spans="1:4">
      <c r="A1913" t="s">
        <v>4863</v>
      </c>
      <c r="B1913">
        <v>2.5</v>
      </c>
      <c r="C1913" t="s">
        <v>4473</v>
      </c>
      <c r="D1913" t="s">
        <v>4095</v>
      </c>
    </row>
    <row r="1914" spans="1:4">
      <c r="A1914" t="s">
        <v>4864</v>
      </c>
      <c r="B1914">
        <v>2.5</v>
      </c>
      <c r="C1914" t="s">
        <v>4473</v>
      </c>
      <c r="D1914" t="s">
        <v>4095</v>
      </c>
    </row>
    <row r="1915" spans="1:4">
      <c r="A1915" t="s">
        <v>4865</v>
      </c>
      <c r="B1915">
        <v>2.46</v>
      </c>
      <c r="C1915" t="s">
        <v>4058</v>
      </c>
      <c r="D1915" t="s">
        <v>4095</v>
      </c>
    </row>
    <row r="1916" spans="1:4">
      <c r="A1916" t="s">
        <v>4866</v>
      </c>
      <c r="B1916">
        <v>2.35</v>
      </c>
      <c r="C1916" t="s">
        <v>4867</v>
      </c>
      <c r="D1916" t="s">
        <v>4480</v>
      </c>
    </row>
    <row r="1917" spans="1:4">
      <c r="A1917" t="s">
        <v>4868</v>
      </c>
      <c r="B1917">
        <v>2.4</v>
      </c>
      <c r="C1917" t="s">
        <v>4869</v>
      </c>
      <c r="D1917" t="s">
        <v>4200</v>
      </c>
    </row>
    <row r="1918" spans="1:4">
      <c r="A1918" t="s">
        <v>4870</v>
      </c>
      <c r="B1918">
        <v>2.6</v>
      </c>
      <c r="C1918" t="s">
        <v>4058</v>
      </c>
      <c r="D1918" t="s">
        <v>4095</v>
      </c>
    </row>
    <row r="1919" spans="1:4">
      <c r="A1919" t="s">
        <v>4871</v>
      </c>
      <c r="B1919">
        <v>2.6</v>
      </c>
      <c r="C1919" t="s">
        <v>4473</v>
      </c>
      <c r="D1919" t="s">
        <v>4095</v>
      </c>
    </row>
    <row r="1920" spans="1:4">
      <c r="A1920" t="s">
        <v>4872</v>
      </c>
      <c r="B1920">
        <v>2.54</v>
      </c>
      <c r="C1920" t="s">
        <v>4473</v>
      </c>
      <c r="D1920" t="s">
        <v>4095</v>
      </c>
    </row>
    <row r="1921" spans="1:4">
      <c r="A1921" t="s">
        <v>4873</v>
      </c>
      <c r="B1921">
        <v>2.5</v>
      </c>
      <c r="C1921" t="s">
        <v>3991</v>
      </c>
      <c r="D1921" t="s">
        <v>4200</v>
      </c>
    </row>
    <row r="1922" spans="1:4">
      <c r="A1922" t="s">
        <v>4874</v>
      </c>
      <c r="B1922">
        <v>2.5</v>
      </c>
      <c r="C1922" t="s">
        <v>4058</v>
      </c>
      <c r="D1922" t="s">
        <v>4200</v>
      </c>
    </row>
    <row r="1923" spans="1:4">
      <c r="A1923" t="s">
        <v>4875</v>
      </c>
      <c r="B1923">
        <v>2.5</v>
      </c>
      <c r="C1923" t="s">
        <v>108</v>
      </c>
      <c r="D1923" t="s">
        <v>108</v>
      </c>
    </row>
    <row r="1924" spans="1:4">
      <c r="A1924" t="s">
        <v>4876</v>
      </c>
      <c r="B1924">
        <v>2.57</v>
      </c>
      <c r="C1924" t="s">
        <v>4867</v>
      </c>
      <c r="D1924" t="s">
        <v>4095</v>
      </c>
    </row>
    <row r="1925" spans="1:4">
      <c r="A1925" t="s">
        <v>4877</v>
      </c>
      <c r="B1925">
        <v>2.59</v>
      </c>
      <c r="C1925" t="s">
        <v>2783</v>
      </c>
      <c r="D1925" t="s">
        <v>3852</v>
      </c>
    </row>
    <row r="1926" spans="1:4">
      <c r="A1926" t="s">
        <v>4878</v>
      </c>
      <c r="B1926">
        <v>2.65</v>
      </c>
      <c r="C1926" t="s">
        <v>4058</v>
      </c>
      <c r="D1926" t="s">
        <v>4095</v>
      </c>
    </row>
    <row r="1927" spans="1:4">
      <c r="A1927" t="s">
        <v>4879</v>
      </c>
      <c r="B1927">
        <v>2.65</v>
      </c>
      <c r="C1927" t="s">
        <v>4473</v>
      </c>
      <c r="D1927" t="s">
        <v>4095</v>
      </c>
    </row>
    <row r="1928" spans="1:4">
      <c r="A1928" t="s">
        <v>4880</v>
      </c>
      <c r="B1928">
        <v>2.63</v>
      </c>
      <c r="C1928" t="s">
        <v>4058</v>
      </c>
      <c r="D1928" t="s">
        <v>4095</v>
      </c>
    </row>
    <row r="1929" spans="1:4">
      <c r="A1929" t="s">
        <v>4881</v>
      </c>
      <c r="B1929">
        <v>2.79</v>
      </c>
      <c r="C1929" t="s">
        <v>4882</v>
      </c>
      <c r="D1929" t="s">
        <v>4095</v>
      </c>
    </row>
    <row r="1930" spans="1:4">
      <c r="A1930" t="s">
        <v>4883</v>
      </c>
      <c r="B1930">
        <v>2.54</v>
      </c>
      <c r="C1930" t="s">
        <v>4884</v>
      </c>
      <c r="D1930" t="s">
        <v>4095</v>
      </c>
    </row>
    <row r="1931" spans="1:4">
      <c r="A1931" t="s">
        <v>4885</v>
      </c>
      <c r="B1931">
        <v>2.61</v>
      </c>
      <c r="C1931" t="s">
        <v>2392</v>
      </c>
      <c r="D1931" t="s">
        <v>4200</v>
      </c>
    </row>
    <row r="1932" spans="1:4">
      <c r="A1932" t="s">
        <v>4886</v>
      </c>
      <c r="B1932">
        <v>2.5</v>
      </c>
      <c r="C1932" t="s">
        <v>4887</v>
      </c>
      <c r="D1932" t="s">
        <v>4095</v>
      </c>
    </row>
    <row r="1933" spans="1:4">
      <c r="A1933" t="s">
        <v>4888</v>
      </c>
      <c r="B1933">
        <v>2.63</v>
      </c>
      <c r="C1933" t="s">
        <v>4889</v>
      </c>
      <c r="D1933" t="s">
        <v>3902</v>
      </c>
    </row>
    <row r="1934" spans="1:4">
      <c r="A1934" t="s">
        <v>4890</v>
      </c>
      <c r="B1934">
        <v>2.62</v>
      </c>
      <c r="C1934" t="s">
        <v>4891</v>
      </c>
      <c r="D1934" t="s">
        <v>4095</v>
      </c>
    </row>
    <row r="1935" spans="1:4">
      <c r="A1935" t="s">
        <v>4892</v>
      </c>
      <c r="B1935">
        <v>2.76</v>
      </c>
      <c r="C1935" t="s">
        <v>4893</v>
      </c>
      <c r="D1935" t="s">
        <v>4095</v>
      </c>
    </row>
    <row r="1936" spans="1:4">
      <c r="A1936" t="s">
        <v>4894</v>
      </c>
      <c r="B1936">
        <v>2.79</v>
      </c>
      <c r="C1936" t="s">
        <v>2783</v>
      </c>
      <c r="D1936" t="s">
        <v>4095</v>
      </c>
    </row>
    <row r="1937" spans="1:4">
      <c r="A1937" t="s">
        <v>4895</v>
      </c>
      <c r="B1937">
        <v>2.67</v>
      </c>
      <c r="C1937" t="s">
        <v>4473</v>
      </c>
      <c r="D1937" t="s">
        <v>4095</v>
      </c>
    </row>
    <row r="1938" spans="1:4">
      <c r="A1938" t="s">
        <v>4896</v>
      </c>
      <c r="B1938">
        <v>2.7</v>
      </c>
      <c r="C1938" t="s">
        <v>4058</v>
      </c>
      <c r="D1938" t="s">
        <v>4095</v>
      </c>
    </row>
    <row r="1939" spans="1:4">
      <c r="A1939" t="s">
        <v>4897</v>
      </c>
      <c r="B1939">
        <v>2.7</v>
      </c>
      <c r="C1939" t="s">
        <v>4058</v>
      </c>
      <c r="D1939" t="s">
        <v>4095</v>
      </c>
    </row>
    <row r="1940" spans="1:4">
      <c r="A1940" t="s">
        <v>4898</v>
      </c>
      <c r="B1940">
        <v>2.68</v>
      </c>
      <c r="C1940" t="s">
        <v>4058</v>
      </c>
      <c r="D1940" t="s">
        <v>4095</v>
      </c>
    </row>
    <row r="1941" spans="1:4">
      <c r="A1941" t="s">
        <v>4899</v>
      </c>
      <c r="B1941">
        <v>2.88</v>
      </c>
      <c r="C1941" t="s">
        <v>2395</v>
      </c>
      <c r="D1941" t="s">
        <v>4095</v>
      </c>
    </row>
    <row r="1942" spans="1:4">
      <c r="A1942" t="s">
        <v>4900</v>
      </c>
      <c r="B1942">
        <v>2.85</v>
      </c>
      <c r="C1942" t="s">
        <v>2395</v>
      </c>
      <c r="D1942" t="s">
        <v>3902</v>
      </c>
    </row>
    <row r="1943" spans="1:4">
      <c r="A1943" t="s">
        <v>4901</v>
      </c>
      <c r="B1943">
        <v>2.85</v>
      </c>
      <c r="C1943" t="s">
        <v>2395</v>
      </c>
      <c r="D1943" t="s">
        <v>3902</v>
      </c>
    </row>
    <row r="1944" spans="1:4">
      <c r="A1944" t="s">
        <v>4902</v>
      </c>
      <c r="B1944">
        <v>2.7</v>
      </c>
      <c r="C1944" t="s">
        <v>4058</v>
      </c>
      <c r="D1944" t="s">
        <v>4095</v>
      </c>
    </row>
    <row r="1945" spans="1:4">
      <c r="A1945" t="s">
        <v>4903</v>
      </c>
      <c r="B1945">
        <v>2.67</v>
      </c>
      <c r="C1945" t="s">
        <v>4904</v>
      </c>
      <c r="D1945" t="s">
        <v>3902</v>
      </c>
    </row>
    <row r="1946" spans="1:4">
      <c r="A1946" t="s">
        <v>4905</v>
      </c>
      <c r="B1946">
        <v>2.67</v>
      </c>
      <c r="C1946" t="s">
        <v>4906</v>
      </c>
      <c r="D1946" t="s">
        <v>3902</v>
      </c>
    </row>
    <row r="1947" spans="1:4">
      <c r="A1947" t="s">
        <v>4907</v>
      </c>
      <c r="B1947">
        <v>2.85</v>
      </c>
      <c r="C1947" t="s">
        <v>2392</v>
      </c>
      <c r="D1947" t="s">
        <v>3902</v>
      </c>
    </row>
    <row r="1948" spans="1:4">
      <c r="A1948" t="s">
        <v>4908</v>
      </c>
      <c r="B1948">
        <v>2.7</v>
      </c>
      <c r="C1948" t="s">
        <v>4473</v>
      </c>
      <c r="D1948" t="s">
        <v>4095</v>
      </c>
    </row>
    <row r="1949" spans="1:4">
      <c r="A1949" t="s">
        <v>4909</v>
      </c>
      <c r="B1949">
        <v>2.75</v>
      </c>
      <c r="C1949" t="s">
        <v>4473</v>
      </c>
      <c r="D1949" t="s">
        <v>4095</v>
      </c>
    </row>
    <row r="1950" spans="1:4">
      <c r="A1950" t="s">
        <v>4910</v>
      </c>
      <c r="B1950">
        <v>2.6</v>
      </c>
      <c r="C1950" t="s">
        <v>4058</v>
      </c>
      <c r="D1950" t="s">
        <v>3902</v>
      </c>
    </row>
    <row r="1951" spans="1:4">
      <c r="A1951" t="s">
        <v>4911</v>
      </c>
      <c r="B1951">
        <v>2.77</v>
      </c>
      <c r="C1951" t="s">
        <v>4912</v>
      </c>
      <c r="D1951" t="s">
        <v>3902</v>
      </c>
    </row>
    <row r="1952" spans="1:4">
      <c r="A1952" t="s">
        <v>4913</v>
      </c>
      <c r="B1952">
        <v>2.8</v>
      </c>
      <c r="C1952" t="s">
        <v>4884</v>
      </c>
      <c r="D1952" t="s">
        <v>3902</v>
      </c>
    </row>
    <row r="1953" spans="1:4">
      <c r="A1953" t="s">
        <v>4914</v>
      </c>
      <c r="B1953">
        <v>2.73</v>
      </c>
      <c r="C1953" t="s">
        <v>4227</v>
      </c>
      <c r="D1953" t="s">
        <v>3902</v>
      </c>
    </row>
    <row r="1954" spans="1:4">
      <c r="A1954" t="s">
        <v>4915</v>
      </c>
      <c r="B1954">
        <v>2.72</v>
      </c>
      <c r="C1954" t="s">
        <v>2875</v>
      </c>
      <c r="D1954" t="s">
        <v>3902</v>
      </c>
    </row>
    <row r="1955" spans="1:4">
      <c r="A1955" t="s">
        <v>4916</v>
      </c>
      <c r="B1955">
        <v>2.84</v>
      </c>
      <c r="C1955" t="s">
        <v>108</v>
      </c>
      <c r="D1955" t="s">
        <v>3902</v>
      </c>
    </row>
    <row r="1956" spans="1:4">
      <c r="A1956" t="s">
        <v>4917</v>
      </c>
      <c r="B1956">
        <v>2.78</v>
      </c>
      <c r="C1956" t="s">
        <v>4918</v>
      </c>
      <c r="D1956" t="s">
        <v>3902</v>
      </c>
    </row>
    <row r="1957" spans="1:4">
      <c r="A1957" t="s">
        <v>4919</v>
      </c>
      <c r="B1957">
        <v>2.8</v>
      </c>
      <c r="C1957" t="s">
        <v>4920</v>
      </c>
      <c r="D1957" t="s">
        <v>3902</v>
      </c>
    </row>
    <row r="1958" spans="1:4">
      <c r="A1958" t="s">
        <v>4921</v>
      </c>
      <c r="B1958">
        <v>2.84</v>
      </c>
      <c r="C1958" t="s">
        <v>4922</v>
      </c>
      <c r="D1958" t="s">
        <v>3902</v>
      </c>
    </row>
    <row r="1959" spans="1:4">
      <c r="A1959" t="s">
        <v>4923</v>
      </c>
      <c r="B1959">
        <v>2.71</v>
      </c>
      <c r="C1959" t="s">
        <v>2395</v>
      </c>
      <c r="D1959" t="s">
        <v>3902</v>
      </c>
    </row>
    <row r="1960" spans="1:4">
      <c r="A1960" t="s">
        <v>4924</v>
      </c>
      <c r="B1960">
        <v>2.71</v>
      </c>
      <c r="C1960" t="s">
        <v>2392</v>
      </c>
      <c r="D1960" t="s">
        <v>3902</v>
      </c>
    </row>
    <row r="1961" spans="1:4">
      <c r="A1961" t="s">
        <v>4925</v>
      </c>
      <c r="B1961">
        <v>2.71</v>
      </c>
      <c r="C1961" t="s">
        <v>4012</v>
      </c>
      <c r="D1961" t="s">
        <v>3902</v>
      </c>
    </row>
    <row r="1962" spans="1:4">
      <c r="A1962" t="s">
        <v>4926</v>
      </c>
      <c r="B1962">
        <v>2.85</v>
      </c>
      <c r="C1962" t="s">
        <v>108</v>
      </c>
      <c r="D1962" t="s">
        <v>4095</v>
      </c>
    </row>
    <row r="1963" spans="1:4">
      <c r="A1963" t="s">
        <v>4927</v>
      </c>
      <c r="B1963">
        <v>3.01</v>
      </c>
      <c r="C1963" t="s">
        <v>4776</v>
      </c>
      <c r="D1963" t="s">
        <v>3902</v>
      </c>
    </row>
    <row r="1964" spans="1:4">
      <c r="A1964" t="s">
        <v>4928</v>
      </c>
      <c r="B1964">
        <v>2.8</v>
      </c>
      <c r="C1964" t="s">
        <v>4929</v>
      </c>
      <c r="D1964" t="s">
        <v>3902</v>
      </c>
    </row>
    <row r="1965" spans="1:4">
      <c r="A1965" t="s">
        <v>4930</v>
      </c>
      <c r="B1965">
        <v>2.8</v>
      </c>
      <c r="C1965" t="s">
        <v>4931</v>
      </c>
      <c r="D1965" t="s">
        <v>3902</v>
      </c>
    </row>
    <row r="1966" spans="1:4">
      <c r="A1966" t="s">
        <v>4932</v>
      </c>
      <c r="B1966">
        <v>2.79</v>
      </c>
      <c r="C1966" t="s">
        <v>4933</v>
      </c>
      <c r="D1966" t="s">
        <v>3902</v>
      </c>
    </row>
    <row r="1967" spans="1:4">
      <c r="A1967" t="s">
        <v>4934</v>
      </c>
      <c r="B1967">
        <v>2.76</v>
      </c>
      <c r="C1967" t="s">
        <v>4935</v>
      </c>
      <c r="D1967" t="s">
        <v>3902</v>
      </c>
    </row>
    <row r="1968" spans="1:4">
      <c r="A1968" t="s">
        <v>4936</v>
      </c>
      <c r="B1968">
        <v>2.82</v>
      </c>
      <c r="C1968" t="s">
        <v>3888</v>
      </c>
      <c r="D1968" t="s">
        <v>3852</v>
      </c>
    </row>
    <row r="1969" spans="1:4">
      <c r="A1969" t="s">
        <v>4937</v>
      </c>
      <c r="B1969">
        <v>2.9</v>
      </c>
      <c r="C1969" t="s">
        <v>4218</v>
      </c>
      <c r="D1969" t="s">
        <v>3902</v>
      </c>
    </row>
    <row r="1970" spans="1:4">
      <c r="A1970" t="s">
        <v>4938</v>
      </c>
      <c r="B1970">
        <v>2.91</v>
      </c>
      <c r="C1970" t="s">
        <v>4939</v>
      </c>
      <c r="D1970" t="s">
        <v>3902</v>
      </c>
    </row>
    <row r="1971" spans="1:4">
      <c r="A1971" t="s">
        <v>4940</v>
      </c>
      <c r="B1971">
        <v>2.91</v>
      </c>
      <c r="C1971" t="s">
        <v>4941</v>
      </c>
      <c r="D1971" t="s">
        <v>3902</v>
      </c>
    </row>
    <row r="1972" spans="1:4">
      <c r="A1972" t="s">
        <v>4942</v>
      </c>
      <c r="B1972">
        <v>3</v>
      </c>
      <c r="C1972" t="s">
        <v>4943</v>
      </c>
      <c r="D1972" t="s">
        <v>3852</v>
      </c>
    </row>
    <row r="1973" spans="1:4">
      <c r="A1973" t="s">
        <v>4944</v>
      </c>
      <c r="B1973">
        <v>2.86</v>
      </c>
      <c r="C1973" t="s">
        <v>4945</v>
      </c>
      <c r="D1973" t="s">
        <v>3852</v>
      </c>
    </row>
    <row r="1974" spans="1:4">
      <c r="A1974" t="s">
        <v>4946</v>
      </c>
      <c r="B1974">
        <v>2.9</v>
      </c>
      <c r="C1974" t="s">
        <v>4947</v>
      </c>
      <c r="D1974" t="s">
        <v>3902</v>
      </c>
    </row>
    <row r="1975" spans="1:4">
      <c r="A1975" t="s">
        <v>4948</v>
      </c>
      <c r="B1975">
        <v>3</v>
      </c>
      <c r="C1975" t="s">
        <v>2783</v>
      </c>
      <c r="D1975" t="s">
        <v>3852</v>
      </c>
    </row>
    <row r="1976" spans="1:4">
      <c r="A1976" t="s">
        <v>4949</v>
      </c>
      <c r="B1976">
        <v>2.88</v>
      </c>
      <c r="C1976" t="s">
        <v>3381</v>
      </c>
      <c r="D1976" t="s">
        <v>3902</v>
      </c>
    </row>
    <row r="1977" spans="1:4">
      <c r="A1977" t="s">
        <v>4950</v>
      </c>
      <c r="B1977">
        <v>2.83</v>
      </c>
      <c r="C1977" t="s">
        <v>4951</v>
      </c>
      <c r="D1977" t="s">
        <v>3902</v>
      </c>
    </row>
    <row r="1978" spans="1:4">
      <c r="A1978" t="s">
        <v>4952</v>
      </c>
      <c r="B1978">
        <v>2.75</v>
      </c>
      <c r="C1978" t="s">
        <v>4953</v>
      </c>
      <c r="D1978" t="s">
        <v>4102</v>
      </c>
    </row>
    <row r="1979" spans="1:4">
      <c r="A1979" t="s">
        <v>4954</v>
      </c>
      <c r="B1979">
        <v>2.4</v>
      </c>
      <c r="C1979" t="s">
        <v>4776</v>
      </c>
      <c r="D1979" t="s">
        <v>4095</v>
      </c>
    </row>
    <row r="1980" spans="1:4">
      <c r="A1980" t="s">
        <v>4955</v>
      </c>
      <c r="B1980">
        <v>2.71</v>
      </c>
      <c r="C1980" t="s">
        <v>2395</v>
      </c>
      <c r="D1980" t="s">
        <v>3902</v>
      </c>
    </row>
    <row r="1981" spans="1:4">
      <c r="A1981" t="s">
        <v>4956</v>
      </c>
      <c r="B1981">
        <v>2.9</v>
      </c>
      <c r="C1981" t="s">
        <v>3166</v>
      </c>
      <c r="D1981" t="s">
        <v>3852</v>
      </c>
    </row>
    <row r="1982" spans="1:4">
      <c r="A1982" t="s">
        <v>4957</v>
      </c>
      <c r="B1982">
        <v>2.63</v>
      </c>
      <c r="C1982" t="s">
        <v>3416</v>
      </c>
      <c r="D1982" t="s">
        <v>4095</v>
      </c>
    </row>
    <row r="1983" spans="1:4">
      <c r="A1983" t="s">
        <v>4958</v>
      </c>
      <c r="B1983">
        <v>3.1</v>
      </c>
      <c r="C1983" t="s">
        <v>4959</v>
      </c>
      <c r="D1983" t="s">
        <v>3852</v>
      </c>
    </row>
    <row r="1984" spans="1:4">
      <c r="A1984" t="s">
        <v>4960</v>
      </c>
      <c r="B1984">
        <v>3.09</v>
      </c>
      <c r="C1984" t="s">
        <v>4961</v>
      </c>
      <c r="D1984" t="s">
        <v>3852</v>
      </c>
    </row>
    <row r="1985" spans="1:4">
      <c r="A1985" t="s">
        <v>4962</v>
      </c>
      <c r="B1985">
        <v>3.2</v>
      </c>
      <c r="C1985" t="s">
        <v>3982</v>
      </c>
      <c r="D1985" t="s">
        <v>3852</v>
      </c>
    </row>
    <row r="1986" spans="1:4">
      <c r="A1986" t="s">
        <v>4963</v>
      </c>
      <c r="B1986">
        <v>3</v>
      </c>
      <c r="C1986" t="s">
        <v>4964</v>
      </c>
      <c r="D1986" t="s">
        <v>3852</v>
      </c>
    </row>
    <row r="1987" spans="1:4">
      <c r="A1987" t="s">
        <v>4965</v>
      </c>
      <c r="B1987">
        <v>3.15</v>
      </c>
      <c r="C1987" t="s">
        <v>4966</v>
      </c>
      <c r="D1987" t="s">
        <v>3852</v>
      </c>
    </row>
    <row r="1988" spans="1:4">
      <c r="A1988" t="s">
        <v>4967</v>
      </c>
      <c r="B1988">
        <v>3.2</v>
      </c>
      <c r="C1988" t="s">
        <v>4968</v>
      </c>
      <c r="D1988" t="s">
        <v>3852</v>
      </c>
    </row>
    <row r="1989" spans="1:4">
      <c r="A1989" t="s">
        <v>4969</v>
      </c>
      <c r="B1989">
        <v>3.1</v>
      </c>
      <c r="C1989" t="s">
        <v>4970</v>
      </c>
      <c r="D1989" t="s">
        <v>4971</v>
      </c>
    </row>
    <row r="1990" spans="1:4">
      <c r="A1990" t="s">
        <v>4972</v>
      </c>
      <c r="B1990">
        <v>3.18</v>
      </c>
      <c r="C1990" t="s">
        <v>4973</v>
      </c>
      <c r="D1990" t="s">
        <v>3852</v>
      </c>
    </row>
    <row r="1991" spans="1:4">
      <c r="A1991" t="s">
        <v>4974</v>
      </c>
      <c r="B1991">
        <v>3.41</v>
      </c>
      <c r="C1991" t="s">
        <v>2783</v>
      </c>
      <c r="D1991" t="s">
        <v>3852</v>
      </c>
    </row>
    <row r="1992" spans="1:4">
      <c r="A1992" t="s">
        <v>4975</v>
      </c>
      <c r="B1992">
        <v>3.41</v>
      </c>
      <c r="C1992" t="s">
        <v>2783</v>
      </c>
      <c r="D1992" t="s">
        <v>3852</v>
      </c>
    </row>
    <row r="1993" spans="1:4">
      <c r="A1993" t="s">
        <v>4976</v>
      </c>
      <c r="B1993">
        <v>3.16</v>
      </c>
      <c r="C1993" t="s">
        <v>2392</v>
      </c>
      <c r="D1993" t="s">
        <v>3852</v>
      </c>
    </row>
    <row r="1994" spans="1:4">
      <c r="A1994" t="s">
        <v>4977</v>
      </c>
      <c r="B1994">
        <v>3.23</v>
      </c>
      <c r="C1994" t="s">
        <v>4978</v>
      </c>
      <c r="D1994" t="s">
        <v>3852</v>
      </c>
    </row>
    <row r="1995" spans="1:4">
      <c r="A1995" t="s">
        <v>4979</v>
      </c>
      <c r="B1995">
        <v>3.2</v>
      </c>
      <c r="C1995" t="s">
        <v>4980</v>
      </c>
      <c r="D1995" t="s">
        <v>3852</v>
      </c>
    </row>
    <row r="1996" spans="1:4">
      <c r="A1996" t="s">
        <v>4981</v>
      </c>
      <c r="B1996">
        <v>3.15</v>
      </c>
      <c r="C1996" t="s">
        <v>2620</v>
      </c>
      <c r="D1996" t="s">
        <v>3872</v>
      </c>
    </row>
    <row r="1997" spans="1:4">
      <c r="A1997" t="s">
        <v>4982</v>
      </c>
      <c r="B1997">
        <v>3.12</v>
      </c>
      <c r="C1997" t="s">
        <v>2395</v>
      </c>
      <c r="D1997" t="s">
        <v>3872</v>
      </c>
    </row>
    <row r="1998" spans="1:4">
      <c r="A1998" t="s">
        <v>4983</v>
      </c>
      <c r="B1998">
        <v>3.14</v>
      </c>
      <c r="C1998" t="s">
        <v>2392</v>
      </c>
      <c r="D1998" t="s">
        <v>3872</v>
      </c>
    </row>
    <row r="1999" spans="1:4">
      <c r="A1999" t="s">
        <v>4984</v>
      </c>
      <c r="B1999">
        <v>3.32</v>
      </c>
      <c r="C1999" t="s">
        <v>2783</v>
      </c>
      <c r="D1999" t="s">
        <v>3852</v>
      </c>
    </row>
    <row r="2000" spans="1:4">
      <c r="A2000" t="s">
        <v>4985</v>
      </c>
      <c r="B2000">
        <v>3.3</v>
      </c>
      <c r="C2000" t="s">
        <v>2395</v>
      </c>
      <c r="D2000" t="s">
        <v>3852</v>
      </c>
    </row>
    <row r="2001" spans="1:4">
      <c r="A2001" t="s">
        <v>4986</v>
      </c>
      <c r="B2001">
        <v>2.54</v>
      </c>
      <c r="C2001" t="s">
        <v>4987</v>
      </c>
      <c r="D2001" t="s">
        <v>4480</v>
      </c>
    </row>
    <row r="2002" spans="1:4">
      <c r="A2002" t="s">
        <v>4988</v>
      </c>
      <c r="B2002">
        <v>2.54</v>
      </c>
      <c r="C2002" t="s">
        <v>4989</v>
      </c>
      <c r="D2002" t="s">
        <v>4480</v>
      </c>
    </row>
    <row r="2003" spans="1:4">
      <c r="A2003" t="s">
        <v>4990</v>
      </c>
      <c r="B2003">
        <v>2.39</v>
      </c>
      <c r="C2003" t="s">
        <v>4991</v>
      </c>
      <c r="D2003" t="s">
        <v>4480</v>
      </c>
    </row>
    <row r="2004" spans="1:4">
      <c r="A2004" t="s">
        <v>4992</v>
      </c>
      <c r="B2004">
        <v>2.39</v>
      </c>
      <c r="C2004" t="s">
        <v>4993</v>
      </c>
      <c r="D2004" t="s">
        <v>4480</v>
      </c>
    </row>
    <row r="2005" spans="1:4">
      <c r="A2005" t="s">
        <v>4994</v>
      </c>
      <c r="B2005">
        <v>2.4500000000000002</v>
      </c>
      <c r="C2005" t="s">
        <v>4869</v>
      </c>
      <c r="D2005" t="s">
        <v>4480</v>
      </c>
    </row>
    <row r="2006" spans="1:4">
      <c r="A2006" t="s">
        <v>4995</v>
      </c>
      <c r="B2006">
        <v>2.38</v>
      </c>
      <c r="C2006" t="s">
        <v>4996</v>
      </c>
      <c r="D2006" t="s">
        <v>4480</v>
      </c>
    </row>
    <row r="2007" spans="1:4">
      <c r="A2007" t="s">
        <v>4997</v>
      </c>
      <c r="B2007">
        <v>2.4</v>
      </c>
      <c r="C2007" t="s">
        <v>4998</v>
      </c>
      <c r="D2007" t="s">
        <v>4200</v>
      </c>
    </row>
    <row r="2008" spans="1:4">
      <c r="A2008" t="s">
        <v>4999</v>
      </c>
      <c r="B2008">
        <v>2.5499999999999998</v>
      </c>
      <c r="C2008" t="s">
        <v>5000</v>
      </c>
      <c r="D2008" t="s">
        <v>4200</v>
      </c>
    </row>
    <row r="2009" spans="1:4">
      <c r="A2009" t="s">
        <v>5001</v>
      </c>
      <c r="B2009">
        <v>2.5099999999999998</v>
      </c>
      <c r="C2009" t="s">
        <v>4473</v>
      </c>
      <c r="D2009" t="s">
        <v>4200</v>
      </c>
    </row>
    <row r="2010" spans="1:4">
      <c r="A2010" t="s">
        <v>5002</v>
      </c>
      <c r="B2010">
        <v>2.54</v>
      </c>
      <c r="C2010" t="s">
        <v>5003</v>
      </c>
      <c r="D2010" t="s">
        <v>4200</v>
      </c>
    </row>
    <row r="2011" spans="1:4">
      <c r="A2011" t="s">
        <v>5004</v>
      </c>
      <c r="B2011">
        <v>2.54</v>
      </c>
      <c r="C2011" t="s">
        <v>5005</v>
      </c>
      <c r="D2011" t="s">
        <v>4200</v>
      </c>
    </row>
    <row r="2012" spans="1:4">
      <c r="A2012" t="s">
        <v>5006</v>
      </c>
      <c r="B2012">
        <v>2.59</v>
      </c>
      <c r="C2012" t="s">
        <v>5007</v>
      </c>
      <c r="D2012" t="s">
        <v>4200</v>
      </c>
    </row>
    <row r="2013" spans="1:4">
      <c r="A2013" t="s">
        <v>5008</v>
      </c>
      <c r="B2013">
        <v>2.52</v>
      </c>
      <c r="C2013" t="s">
        <v>5003</v>
      </c>
      <c r="D2013" t="s">
        <v>4200</v>
      </c>
    </row>
    <row r="2014" spans="1:4">
      <c r="A2014" t="s">
        <v>5009</v>
      </c>
      <c r="B2014">
        <v>2.63</v>
      </c>
      <c r="C2014" t="s">
        <v>5010</v>
      </c>
      <c r="D2014" t="s">
        <v>4200</v>
      </c>
    </row>
    <row r="2015" spans="1:4">
      <c r="A2015" t="s">
        <v>5011</v>
      </c>
      <c r="B2015">
        <v>2.46</v>
      </c>
      <c r="C2015" t="s">
        <v>5012</v>
      </c>
      <c r="D2015" t="s">
        <v>4200</v>
      </c>
    </row>
    <row r="2016" spans="1:4">
      <c r="A2016" t="s">
        <v>5013</v>
      </c>
      <c r="B2016">
        <v>2.4500000000000002</v>
      </c>
      <c r="C2016" t="s">
        <v>3615</v>
      </c>
      <c r="D2016" t="s">
        <v>4095</v>
      </c>
    </row>
    <row r="2017" spans="1:4">
      <c r="A2017" t="s">
        <v>5014</v>
      </c>
      <c r="B2017">
        <v>2.63</v>
      </c>
      <c r="C2017" t="s">
        <v>5015</v>
      </c>
      <c r="D2017" t="s">
        <v>4095</v>
      </c>
    </row>
    <row r="2018" spans="1:4">
      <c r="A2018" t="s">
        <v>5016</v>
      </c>
      <c r="B2018">
        <v>2.5</v>
      </c>
      <c r="C2018" t="s">
        <v>5017</v>
      </c>
      <c r="D2018" t="s">
        <v>4095</v>
      </c>
    </row>
    <row r="2019" spans="1:4">
      <c r="A2019" t="s">
        <v>5018</v>
      </c>
      <c r="B2019">
        <v>2.5</v>
      </c>
      <c r="C2019" t="s">
        <v>5019</v>
      </c>
      <c r="D2019" t="s">
        <v>4095</v>
      </c>
    </row>
    <row r="2020" spans="1:4">
      <c r="A2020" t="s">
        <v>5020</v>
      </c>
      <c r="B2020">
        <v>2.67</v>
      </c>
      <c r="C2020" t="s">
        <v>5021</v>
      </c>
      <c r="D2020" t="s">
        <v>4095</v>
      </c>
    </row>
    <row r="2021" spans="1:4">
      <c r="A2021" t="s">
        <v>5022</v>
      </c>
      <c r="B2021">
        <v>2.72</v>
      </c>
      <c r="C2021" t="s">
        <v>5023</v>
      </c>
      <c r="D2021" t="s">
        <v>3902</v>
      </c>
    </row>
    <row r="2022" spans="1:4">
      <c r="A2022" t="s">
        <v>5024</v>
      </c>
      <c r="B2022">
        <v>2.6</v>
      </c>
      <c r="C2022" t="s">
        <v>5025</v>
      </c>
      <c r="D2022" t="s">
        <v>4200</v>
      </c>
    </row>
    <row r="2023" spans="1:4">
      <c r="A2023" t="s">
        <v>5026</v>
      </c>
      <c r="B2023">
        <v>2.7</v>
      </c>
      <c r="C2023" t="s">
        <v>5027</v>
      </c>
      <c r="D2023" t="s">
        <v>4200</v>
      </c>
    </row>
    <row r="2024" spans="1:4">
      <c r="A2024" t="s">
        <v>5028</v>
      </c>
      <c r="B2024">
        <v>2.6</v>
      </c>
      <c r="C2024" t="s">
        <v>5029</v>
      </c>
      <c r="D2024" t="s">
        <v>4200</v>
      </c>
    </row>
    <row r="2025" spans="1:4">
      <c r="A2025" t="s">
        <v>5030</v>
      </c>
      <c r="B2025">
        <v>3.2</v>
      </c>
      <c r="C2025" t="s">
        <v>5031</v>
      </c>
      <c r="D2025" t="s">
        <v>4971</v>
      </c>
    </row>
    <row r="2026" spans="1:4">
      <c r="A2026" t="s">
        <v>5032</v>
      </c>
      <c r="B2026">
        <v>3.26</v>
      </c>
      <c r="C2026" t="s">
        <v>5033</v>
      </c>
      <c r="D2026" t="s">
        <v>5034</v>
      </c>
    </row>
    <row r="2027" spans="1:4">
      <c r="A2027" t="s">
        <v>5035</v>
      </c>
      <c r="B2027">
        <v>3.25</v>
      </c>
      <c r="C2027" t="s">
        <v>5031</v>
      </c>
      <c r="D2027" t="s">
        <v>4971</v>
      </c>
    </row>
    <row r="2028" spans="1:4">
      <c r="A2028" t="s">
        <v>5036</v>
      </c>
      <c r="B2028">
        <v>3.25</v>
      </c>
      <c r="C2028" t="s">
        <v>5037</v>
      </c>
      <c r="D2028" t="s">
        <v>4971</v>
      </c>
    </row>
    <row r="2029" spans="1:4">
      <c r="A2029" t="s">
        <v>5038</v>
      </c>
      <c r="B2029">
        <v>3.37</v>
      </c>
      <c r="C2029" t="s">
        <v>5039</v>
      </c>
      <c r="D2029" t="s">
        <v>4162</v>
      </c>
    </row>
    <row r="2030" spans="1:4">
      <c r="A2030" t="s">
        <v>5040</v>
      </c>
      <c r="B2030">
        <v>3.33</v>
      </c>
      <c r="C2030" t="s">
        <v>5041</v>
      </c>
      <c r="D2030" t="s">
        <v>4971</v>
      </c>
    </row>
    <row r="2031" spans="1:4">
      <c r="A2031" t="s">
        <v>5042</v>
      </c>
      <c r="B2031">
        <v>3.39</v>
      </c>
      <c r="C2031" t="s">
        <v>5043</v>
      </c>
      <c r="D2031" t="s">
        <v>4971</v>
      </c>
    </row>
    <row r="2032" spans="1:4">
      <c r="A2032" t="s">
        <v>5044</v>
      </c>
      <c r="B2032">
        <v>3.38</v>
      </c>
      <c r="C2032" t="s">
        <v>108</v>
      </c>
      <c r="D2032" t="s">
        <v>4971</v>
      </c>
    </row>
    <row r="2033" spans="1:4">
      <c r="A2033" t="s">
        <v>5045</v>
      </c>
      <c r="B2033">
        <v>3.4</v>
      </c>
      <c r="C2033" t="s">
        <v>5046</v>
      </c>
      <c r="D2033" t="s">
        <v>5047</v>
      </c>
    </row>
    <row r="2034" spans="1:4">
      <c r="A2034" t="s">
        <v>5048</v>
      </c>
      <c r="B2034">
        <v>3.4</v>
      </c>
      <c r="C2034" t="s">
        <v>5049</v>
      </c>
      <c r="D2034" t="s">
        <v>5047</v>
      </c>
    </row>
    <row r="2035" spans="1:4">
      <c r="A2035" t="s">
        <v>5050</v>
      </c>
      <c r="B2035">
        <v>3.4</v>
      </c>
      <c r="C2035" t="s">
        <v>5051</v>
      </c>
      <c r="D2035" t="s">
        <v>5047</v>
      </c>
    </row>
    <row r="2036" spans="1:4">
      <c r="A2036" t="s">
        <v>5052</v>
      </c>
      <c r="B2036">
        <v>3.33</v>
      </c>
      <c r="C2036" t="s">
        <v>5053</v>
      </c>
      <c r="D2036" t="s">
        <v>4971</v>
      </c>
    </row>
    <row r="2037" spans="1:4">
      <c r="A2037" t="s">
        <v>5054</v>
      </c>
      <c r="B2037">
        <v>3.5</v>
      </c>
      <c r="C2037" t="s">
        <v>4083</v>
      </c>
      <c r="D2037" t="s">
        <v>4171</v>
      </c>
    </row>
    <row r="2038" spans="1:4">
      <c r="A2038" t="s">
        <v>5055</v>
      </c>
      <c r="B2038">
        <v>3.55</v>
      </c>
      <c r="C2038" t="s">
        <v>5056</v>
      </c>
      <c r="D2038" t="s">
        <v>4171</v>
      </c>
    </row>
    <row r="2039" spans="1:4">
      <c r="A2039" t="s">
        <v>5057</v>
      </c>
      <c r="B2039">
        <v>3.5</v>
      </c>
      <c r="C2039" t="s">
        <v>5058</v>
      </c>
      <c r="D2039" t="s">
        <v>4171</v>
      </c>
    </row>
    <row r="2040" spans="1:4">
      <c r="A2040" t="s">
        <v>5059</v>
      </c>
      <c r="B2040">
        <v>3.5</v>
      </c>
      <c r="C2040" t="s">
        <v>5060</v>
      </c>
      <c r="D2040" t="s">
        <v>4171</v>
      </c>
    </row>
    <row r="2041" spans="1:4">
      <c r="A2041" t="s">
        <v>5061</v>
      </c>
      <c r="B2041">
        <v>3.53</v>
      </c>
      <c r="C2041" t="s">
        <v>108</v>
      </c>
      <c r="D2041" t="s">
        <v>4171</v>
      </c>
    </row>
    <row r="2042" spans="1:4">
      <c r="A2042" t="s">
        <v>5062</v>
      </c>
      <c r="B2042">
        <v>2.5499999999999998</v>
      </c>
      <c r="C2042" t="s">
        <v>5063</v>
      </c>
      <c r="D2042" t="s">
        <v>4480</v>
      </c>
    </row>
    <row r="2043" spans="1:4">
      <c r="A2043" t="s">
        <v>5064</v>
      </c>
      <c r="B2043">
        <v>2.65</v>
      </c>
      <c r="C2043" t="s">
        <v>5065</v>
      </c>
      <c r="D2043" t="s">
        <v>4480</v>
      </c>
    </row>
    <row r="2044" spans="1:4">
      <c r="A2044" t="s">
        <v>5066</v>
      </c>
      <c r="B2044">
        <v>2.71</v>
      </c>
      <c r="C2044" t="s">
        <v>5067</v>
      </c>
      <c r="D2044" t="s">
        <v>4480</v>
      </c>
    </row>
    <row r="2045" spans="1:4">
      <c r="A2045" t="s">
        <v>5068</v>
      </c>
      <c r="B2045">
        <v>2.54</v>
      </c>
      <c r="C2045" t="s">
        <v>5069</v>
      </c>
      <c r="D2045" t="s">
        <v>4200</v>
      </c>
    </row>
    <row r="2046" spans="1:4">
      <c r="A2046" t="s">
        <v>5070</v>
      </c>
      <c r="B2046">
        <v>2.4500000000000002</v>
      </c>
      <c r="C2046" t="s">
        <v>4825</v>
      </c>
      <c r="D2046" t="s">
        <v>4200</v>
      </c>
    </row>
    <row r="2047" spans="1:4">
      <c r="A2047" t="s">
        <v>5071</v>
      </c>
      <c r="B2047">
        <v>2.6</v>
      </c>
      <c r="C2047" t="s">
        <v>108</v>
      </c>
      <c r="D2047" t="s">
        <v>4200</v>
      </c>
    </row>
    <row r="2048" spans="1:4">
      <c r="A2048" t="s">
        <v>5072</v>
      </c>
      <c r="B2048">
        <v>2.52</v>
      </c>
      <c r="C2048" t="s">
        <v>5073</v>
      </c>
      <c r="D2048" t="s">
        <v>4200</v>
      </c>
    </row>
    <row r="2049" spans="1:4">
      <c r="A2049" t="s">
        <v>5074</v>
      </c>
      <c r="B2049">
        <v>2.52</v>
      </c>
      <c r="C2049" t="s">
        <v>5075</v>
      </c>
      <c r="D2049" t="s">
        <v>4200</v>
      </c>
    </row>
    <row r="2050" spans="1:4">
      <c r="A2050" t="s">
        <v>5076</v>
      </c>
      <c r="B2050">
        <v>2.62</v>
      </c>
      <c r="C2050" t="s">
        <v>2392</v>
      </c>
      <c r="D2050" t="s">
        <v>4200</v>
      </c>
    </row>
    <row r="2051" spans="1:4">
      <c r="A2051" t="s">
        <v>5077</v>
      </c>
      <c r="B2051">
        <v>2.58</v>
      </c>
      <c r="C2051" t="s">
        <v>5078</v>
      </c>
      <c r="D2051" t="s">
        <v>4200</v>
      </c>
    </row>
    <row r="2052" spans="1:4">
      <c r="A2052" t="s">
        <v>5079</v>
      </c>
      <c r="B2052">
        <v>2.52</v>
      </c>
      <c r="C2052" t="s">
        <v>4089</v>
      </c>
      <c r="D2052" t="s">
        <v>4200</v>
      </c>
    </row>
    <row r="2053" spans="1:4">
      <c r="A2053" t="s">
        <v>5080</v>
      </c>
      <c r="B2053">
        <v>2.65</v>
      </c>
      <c r="C2053" t="s">
        <v>5081</v>
      </c>
      <c r="D2053" t="s">
        <v>4095</v>
      </c>
    </row>
    <row r="2054" spans="1:4">
      <c r="A2054" t="s">
        <v>5082</v>
      </c>
      <c r="B2054">
        <v>2.68</v>
      </c>
      <c r="C2054" t="s">
        <v>5083</v>
      </c>
      <c r="D2054" t="s">
        <v>4095</v>
      </c>
    </row>
    <row r="2055" spans="1:4">
      <c r="A2055" t="s">
        <v>5084</v>
      </c>
      <c r="B2055">
        <v>2.56</v>
      </c>
      <c r="C2055" t="s">
        <v>5085</v>
      </c>
      <c r="D2055" t="s">
        <v>4095</v>
      </c>
    </row>
    <row r="2056" spans="1:4">
      <c r="A2056" t="s">
        <v>5086</v>
      </c>
      <c r="B2056">
        <v>2.57</v>
      </c>
      <c r="C2056" t="s">
        <v>5087</v>
      </c>
      <c r="D2056" t="s">
        <v>4200</v>
      </c>
    </row>
    <row r="2057" spans="1:4">
      <c r="A2057" t="s">
        <v>5088</v>
      </c>
      <c r="B2057">
        <v>2.57</v>
      </c>
      <c r="C2057" t="s">
        <v>5089</v>
      </c>
      <c r="D2057" t="s">
        <v>4200</v>
      </c>
    </row>
    <row r="2058" spans="1:4">
      <c r="A2058" t="s">
        <v>5090</v>
      </c>
      <c r="B2058">
        <v>2.56</v>
      </c>
      <c r="C2058" t="s">
        <v>4139</v>
      </c>
      <c r="D2058" t="s">
        <v>4200</v>
      </c>
    </row>
    <row r="2059" spans="1:4">
      <c r="A2059" t="s">
        <v>5091</v>
      </c>
      <c r="B2059">
        <v>2.54</v>
      </c>
      <c r="C2059" t="s">
        <v>5092</v>
      </c>
      <c r="D2059" t="s">
        <v>4200</v>
      </c>
    </row>
    <row r="2060" spans="1:4">
      <c r="A2060" t="s">
        <v>5093</v>
      </c>
      <c r="B2060">
        <v>2.66</v>
      </c>
      <c r="C2060" t="s">
        <v>4491</v>
      </c>
      <c r="D2060" t="s">
        <v>4095</v>
      </c>
    </row>
    <row r="2061" spans="1:4">
      <c r="A2061" t="s">
        <v>5094</v>
      </c>
      <c r="B2061">
        <v>2.82</v>
      </c>
      <c r="C2061" t="s">
        <v>4108</v>
      </c>
      <c r="D2061" t="s">
        <v>4095</v>
      </c>
    </row>
    <row r="2062" spans="1:4">
      <c r="A2062" t="s">
        <v>5095</v>
      </c>
      <c r="B2062">
        <v>2.61</v>
      </c>
      <c r="C2062" t="s">
        <v>5096</v>
      </c>
      <c r="D2062" t="s">
        <v>4095</v>
      </c>
    </row>
    <row r="2063" spans="1:4">
      <c r="A2063" t="s">
        <v>5097</v>
      </c>
      <c r="B2063">
        <v>2.48</v>
      </c>
      <c r="C2063" t="s">
        <v>5098</v>
      </c>
      <c r="D2063" t="s">
        <v>4200</v>
      </c>
    </row>
    <row r="2064" spans="1:4">
      <c r="A2064" t="s">
        <v>5099</v>
      </c>
      <c r="B2064">
        <v>2.56</v>
      </c>
      <c r="C2064" t="s">
        <v>5100</v>
      </c>
      <c r="D2064" t="s">
        <v>4200</v>
      </c>
    </row>
    <row r="2065" spans="1:4">
      <c r="A2065" t="s">
        <v>5101</v>
      </c>
      <c r="B2065">
        <v>2.57</v>
      </c>
      <c r="C2065" t="s">
        <v>5102</v>
      </c>
      <c r="D2065" t="s">
        <v>4200</v>
      </c>
    </row>
    <row r="2066" spans="1:4">
      <c r="A2066" t="s">
        <v>5103</v>
      </c>
      <c r="B2066">
        <v>2.65</v>
      </c>
      <c r="C2066" t="s">
        <v>5104</v>
      </c>
      <c r="D2066" t="s">
        <v>4200</v>
      </c>
    </row>
    <row r="2067" spans="1:4">
      <c r="A2067" t="s">
        <v>5105</v>
      </c>
      <c r="B2067">
        <v>2.67</v>
      </c>
      <c r="C2067" t="s">
        <v>5106</v>
      </c>
      <c r="D2067" t="s">
        <v>4095</v>
      </c>
    </row>
    <row r="2068" spans="1:4">
      <c r="A2068" t="s">
        <v>5107</v>
      </c>
      <c r="B2068">
        <v>2.81</v>
      </c>
      <c r="C2068" t="s">
        <v>5108</v>
      </c>
      <c r="D2068" t="s">
        <v>3902</v>
      </c>
    </row>
    <row r="2069" spans="1:4">
      <c r="A2069" t="s">
        <v>5109</v>
      </c>
      <c r="B2069">
        <v>2.98</v>
      </c>
      <c r="C2069" t="s">
        <v>5110</v>
      </c>
      <c r="D2069" t="s">
        <v>3902</v>
      </c>
    </row>
    <row r="2070" spans="1:4">
      <c r="A2070" t="s">
        <v>5111</v>
      </c>
      <c r="B2070">
        <v>2.42</v>
      </c>
      <c r="C2070" t="s">
        <v>5112</v>
      </c>
      <c r="D2070" t="s">
        <v>4200</v>
      </c>
    </row>
    <row r="2071" spans="1:4">
      <c r="A2071" t="s">
        <v>5113</v>
      </c>
      <c r="B2071">
        <v>2.52</v>
      </c>
      <c r="C2071" t="s">
        <v>5114</v>
      </c>
      <c r="D2071" t="s">
        <v>4095</v>
      </c>
    </row>
    <row r="2072" spans="1:4">
      <c r="A2072" t="s">
        <v>5115</v>
      </c>
      <c r="B2072">
        <v>2.6</v>
      </c>
      <c r="C2072" t="s">
        <v>108</v>
      </c>
      <c r="D2072" t="s">
        <v>4095</v>
      </c>
    </row>
    <row r="2073" spans="1:4">
      <c r="A2073" t="s">
        <v>5116</v>
      </c>
      <c r="B2073">
        <v>2.6</v>
      </c>
      <c r="C2073" t="s">
        <v>5117</v>
      </c>
      <c r="D2073" t="s">
        <v>4095</v>
      </c>
    </row>
    <row r="2074" spans="1:4">
      <c r="A2074" t="s">
        <v>5118</v>
      </c>
      <c r="B2074">
        <v>3.02</v>
      </c>
      <c r="C2074" t="s">
        <v>3954</v>
      </c>
      <c r="D2074" t="s">
        <v>3852</v>
      </c>
    </row>
    <row r="2075" spans="1:4">
      <c r="A2075" t="s">
        <v>5119</v>
      </c>
      <c r="B2075">
        <v>3.1</v>
      </c>
      <c r="C2075" t="s">
        <v>4115</v>
      </c>
      <c r="D2075" t="s">
        <v>4081</v>
      </c>
    </row>
    <row r="2076" spans="1:4">
      <c r="A2076" t="s">
        <v>5120</v>
      </c>
      <c r="B2076">
        <v>3.3</v>
      </c>
      <c r="C2076" t="s">
        <v>4115</v>
      </c>
      <c r="D2076" t="s">
        <v>4081</v>
      </c>
    </row>
    <row r="2077" spans="1:4">
      <c r="A2077" t="s">
        <v>5121</v>
      </c>
      <c r="B2077">
        <v>3.3</v>
      </c>
      <c r="C2077" t="s">
        <v>4080</v>
      </c>
      <c r="D2077" t="s">
        <v>4081</v>
      </c>
    </row>
    <row r="2078" spans="1:4">
      <c r="A2078" t="s">
        <v>5122</v>
      </c>
      <c r="B2078">
        <v>3.3</v>
      </c>
      <c r="C2078" t="s">
        <v>4115</v>
      </c>
      <c r="D2078" t="s">
        <v>4081</v>
      </c>
    </row>
    <row r="2079" spans="1:4">
      <c r="A2079" t="s">
        <v>5123</v>
      </c>
      <c r="B2079">
        <v>3.45</v>
      </c>
      <c r="C2079" t="s">
        <v>3461</v>
      </c>
      <c r="D2079" t="s">
        <v>4081</v>
      </c>
    </row>
    <row r="2080" spans="1:4">
      <c r="A2080" t="s">
        <v>5124</v>
      </c>
      <c r="B2080">
        <v>3.45</v>
      </c>
      <c r="C2080" t="s">
        <v>4359</v>
      </c>
      <c r="D2080" t="s">
        <v>4081</v>
      </c>
    </row>
    <row r="2081" spans="1:4">
      <c r="A2081" t="s">
        <v>5125</v>
      </c>
      <c r="B2081">
        <v>3.75</v>
      </c>
      <c r="C2081" t="s">
        <v>5126</v>
      </c>
      <c r="D2081" t="s">
        <v>4081</v>
      </c>
    </row>
    <row r="2082" spans="1:4">
      <c r="A2082" t="s">
        <v>5127</v>
      </c>
      <c r="B2082">
        <v>3.75</v>
      </c>
      <c r="C2082" t="s">
        <v>3532</v>
      </c>
      <c r="D2082" t="s">
        <v>4081</v>
      </c>
    </row>
    <row r="2083" spans="1:4">
      <c r="A2083" t="s">
        <v>5128</v>
      </c>
      <c r="B2083">
        <v>3.75</v>
      </c>
      <c r="C2083" t="s">
        <v>5126</v>
      </c>
      <c r="D2083" t="s">
        <v>4081</v>
      </c>
    </row>
    <row r="2084" spans="1:4">
      <c r="A2084" t="s">
        <v>5129</v>
      </c>
      <c r="B2084">
        <v>3.7</v>
      </c>
      <c r="C2084" t="s">
        <v>4089</v>
      </c>
      <c r="D2084" t="s">
        <v>4081</v>
      </c>
    </row>
    <row r="2085" spans="1:4">
      <c r="A2085" t="s">
        <v>5130</v>
      </c>
      <c r="B2085">
        <v>3.7</v>
      </c>
      <c r="C2085" t="s">
        <v>3532</v>
      </c>
      <c r="D2085" t="s">
        <v>4081</v>
      </c>
    </row>
    <row r="2086" spans="1:4">
      <c r="A2086" t="s">
        <v>5131</v>
      </c>
      <c r="B2086">
        <v>3.85</v>
      </c>
      <c r="C2086" t="s">
        <v>4621</v>
      </c>
      <c r="D2086" t="s">
        <v>4081</v>
      </c>
    </row>
    <row r="2087" spans="1:4">
      <c r="A2087" t="s">
        <v>5132</v>
      </c>
      <c r="B2087">
        <v>3.85</v>
      </c>
      <c r="C2087" t="s">
        <v>4092</v>
      </c>
      <c r="D2087" t="s">
        <v>4081</v>
      </c>
    </row>
    <row r="2088" spans="1:4">
      <c r="A2088" t="s">
        <v>5133</v>
      </c>
      <c r="B2088">
        <v>3.85</v>
      </c>
      <c r="C2088" t="s">
        <v>5126</v>
      </c>
      <c r="D2088" t="s">
        <v>4081</v>
      </c>
    </row>
    <row r="2089" spans="1:4">
      <c r="A2089" t="s">
        <v>5134</v>
      </c>
      <c r="B2089">
        <v>3.82</v>
      </c>
      <c r="C2089" t="s">
        <v>3579</v>
      </c>
      <c r="D2089" t="s">
        <v>4081</v>
      </c>
    </row>
    <row r="2090" spans="1:4">
      <c r="A2090" t="s">
        <v>5135</v>
      </c>
      <c r="B2090">
        <v>3.82</v>
      </c>
      <c r="C2090" t="s">
        <v>4080</v>
      </c>
      <c r="D2090" t="s">
        <v>4081</v>
      </c>
    </row>
    <row r="2091" spans="1:4">
      <c r="A2091" t="s">
        <v>5136</v>
      </c>
      <c r="B2091">
        <v>4</v>
      </c>
      <c r="C2091" t="s">
        <v>3115</v>
      </c>
      <c r="D2091" t="s">
        <v>4626</v>
      </c>
    </row>
    <row r="2092" spans="1:4">
      <c r="A2092" t="s">
        <v>5137</v>
      </c>
      <c r="B2092">
        <v>4</v>
      </c>
      <c r="C2092" t="s">
        <v>4089</v>
      </c>
      <c r="D2092" t="s">
        <v>4626</v>
      </c>
    </row>
    <row r="2093" spans="1:4">
      <c r="A2093" t="s">
        <v>5138</v>
      </c>
      <c r="B2093">
        <v>4</v>
      </c>
      <c r="C2093" t="s">
        <v>3579</v>
      </c>
      <c r="D2093" t="s">
        <v>4626</v>
      </c>
    </row>
    <row r="2094" spans="1:4">
      <c r="A2094" t="s">
        <v>5139</v>
      </c>
      <c r="B2094">
        <v>3.9</v>
      </c>
      <c r="C2094" t="s">
        <v>4428</v>
      </c>
      <c r="D2094" t="s">
        <v>4626</v>
      </c>
    </row>
    <row r="2095" spans="1:4">
      <c r="A2095" t="s">
        <v>5140</v>
      </c>
      <c r="B2095">
        <v>3.9</v>
      </c>
      <c r="C2095" t="s">
        <v>3608</v>
      </c>
      <c r="D2095" t="s">
        <v>4626</v>
      </c>
    </row>
    <row r="2096" spans="1:4">
      <c r="A2096" t="s">
        <v>5141</v>
      </c>
      <c r="B2096">
        <v>2.8</v>
      </c>
      <c r="C2096" t="s">
        <v>4617</v>
      </c>
      <c r="D2096" t="s">
        <v>4081</v>
      </c>
    </row>
    <row r="2097" spans="1:4">
      <c r="A2097" t="s">
        <v>5142</v>
      </c>
      <c r="B2097">
        <v>3</v>
      </c>
      <c r="C2097" t="s">
        <v>3117</v>
      </c>
      <c r="D2097" t="s">
        <v>4081</v>
      </c>
    </row>
    <row r="2098" spans="1:4">
      <c r="A2098" t="s">
        <v>5143</v>
      </c>
      <c r="B2098">
        <v>3</v>
      </c>
      <c r="C2098" t="s">
        <v>3662</v>
      </c>
      <c r="D2098" t="s">
        <v>4081</v>
      </c>
    </row>
    <row r="2099" spans="1:4">
      <c r="A2099" t="s">
        <v>5144</v>
      </c>
      <c r="B2099">
        <v>3</v>
      </c>
      <c r="C2099" t="s">
        <v>4428</v>
      </c>
      <c r="D2099" t="s">
        <v>4081</v>
      </c>
    </row>
    <row r="2100" spans="1:4">
      <c r="A2100" t="s">
        <v>5145</v>
      </c>
      <c r="B2100">
        <v>2.8</v>
      </c>
      <c r="C2100" t="s">
        <v>3633</v>
      </c>
      <c r="D2100" t="s">
        <v>3852</v>
      </c>
    </row>
    <row r="2101" spans="1:4">
      <c r="A2101" t="s">
        <v>5146</v>
      </c>
      <c r="B2101">
        <v>3.05</v>
      </c>
      <c r="C2101" t="s">
        <v>3613</v>
      </c>
      <c r="D2101" t="s">
        <v>3852</v>
      </c>
    </row>
    <row r="2102" spans="1:4">
      <c r="A2102" t="s">
        <v>5147</v>
      </c>
      <c r="B2102">
        <v>3.09</v>
      </c>
      <c r="C2102" t="s">
        <v>3633</v>
      </c>
      <c r="D2102" t="s">
        <v>3852</v>
      </c>
    </row>
    <row r="2103" spans="1:4">
      <c r="A2103" t="s">
        <v>5148</v>
      </c>
      <c r="B2103">
        <v>2.95</v>
      </c>
      <c r="C2103" t="s">
        <v>3630</v>
      </c>
      <c r="D2103" t="s">
        <v>3852</v>
      </c>
    </row>
    <row r="2104" spans="1:4">
      <c r="A2104" t="s">
        <v>5149</v>
      </c>
      <c r="B2104">
        <v>3.27</v>
      </c>
      <c r="C2104" t="s">
        <v>3347</v>
      </c>
      <c r="D2104" t="s">
        <v>3852</v>
      </c>
    </row>
    <row r="2105" spans="1:4">
      <c r="A2105" t="s">
        <v>5150</v>
      </c>
      <c r="B2105">
        <v>2.93</v>
      </c>
      <c r="C2105" t="s">
        <v>3613</v>
      </c>
      <c r="D2105" t="s">
        <v>3848</v>
      </c>
    </row>
    <row r="2106" spans="1:4">
      <c r="A2106" t="s">
        <v>5151</v>
      </c>
      <c r="B2106">
        <v>3</v>
      </c>
      <c r="C2106" t="s">
        <v>3613</v>
      </c>
      <c r="D2106" t="s">
        <v>3852</v>
      </c>
    </row>
    <row r="2107" spans="1:4">
      <c r="A2107" t="s">
        <v>5152</v>
      </c>
      <c r="B2107">
        <v>2.85</v>
      </c>
      <c r="C2107" t="s">
        <v>3613</v>
      </c>
      <c r="D2107" t="s">
        <v>3852</v>
      </c>
    </row>
    <row r="2108" spans="1:4">
      <c r="A2108" t="s">
        <v>5153</v>
      </c>
      <c r="B2108">
        <v>3.17</v>
      </c>
      <c r="C2108" t="s">
        <v>3347</v>
      </c>
      <c r="D2108" t="s">
        <v>3852</v>
      </c>
    </row>
    <row r="2109" spans="1:4">
      <c r="A2109" t="s">
        <v>5154</v>
      </c>
      <c r="B2109">
        <v>3.1</v>
      </c>
      <c r="C2109" t="s">
        <v>3633</v>
      </c>
      <c r="D2109" t="s">
        <v>3852</v>
      </c>
    </row>
    <row r="2110" spans="1:4">
      <c r="A2110" t="s">
        <v>5155</v>
      </c>
      <c r="B2110">
        <v>3.17</v>
      </c>
      <c r="C2110" t="s">
        <v>3347</v>
      </c>
      <c r="D2110" t="s">
        <v>3852</v>
      </c>
    </row>
    <row r="2111" spans="1:4">
      <c r="A2111" t="s">
        <v>5156</v>
      </c>
      <c r="B2111">
        <v>2.83</v>
      </c>
      <c r="C2111" t="s">
        <v>3633</v>
      </c>
      <c r="D2111" t="s">
        <v>3848</v>
      </c>
    </row>
    <row r="2112" spans="1:4">
      <c r="A2112" t="s">
        <v>5157</v>
      </c>
      <c r="B2112">
        <v>3.15</v>
      </c>
      <c r="C2112" t="s">
        <v>3633</v>
      </c>
      <c r="D2112" t="s">
        <v>4008</v>
      </c>
    </row>
    <row r="2113" spans="1:4">
      <c r="A2113" t="s">
        <v>5158</v>
      </c>
      <c r="B2113">
        <v>2.2200000000000002</v>
      </c>
      <c r="C2113" t="s">
        <v>3633</v>
      </c>
      <c r="D2113" t="s">
        <v>4211</v>
      </c>
    </row>
    <row r="2114" spans="1:4">
      <c r="A2114" t="s">
        <v>5159</v>
      </c>
      <c r="B2114">
        <v>3.22</v>
      </c>
      <c r="C2114" t="s">
        <v>3347</v>
      </c>
      <c r="D2114" t="s">
        <v>4008</v>
      </c>
    </row>
    <row r="2115" spans="1:4">
      <c r="A2115" t="s">
        <v>5160</v>
      </c>
      <c r="B2115">
        <v>2.95</v>
      </c>
      <c r="C2115" t="s">
        <v>3347</v>
      </c>
      <c r="D2115" t="s">
        <v>3848</v>
      </c>
    </row>
    <row r="2116" spans="1:4">
      <c r="A2116" t="s">
        <v>5161</v>
      </c>
      <c r="B2116">
        <v>2.91</v>
      </c>
      <c r="C2116" t="s">
        <v>3347</v>
      </c>
      <c r="D2116" t="s">
        <v>3848</v>
      </c>
    </row>
    <row r="2117" spans="1:4">
      <c r="A2117" t="s">
        <v>5162</v>
      </c>
      <c r="B2117">
        <v>3.03</v>
      </c>
      <c r="C2117" t="s">
        <v>3633</v>
      </c>
      <c r="D2117" t="s">
        <v>3886</v>
      </c>
    </row>
    <row r="2118" spans="1:4">
      <c r="A2118" t="s">
        <v>5163</v>
      </c>
      <c r="B2118">
        <v>3.06</v>
      </c>
      <c r="C2118" t="s">
        <v>3633</v>
      </c>
      <c r="D2118" t="s">
        <v>3886</v>
      </c>
    </row>
    <row r="2119" spans="1:4">
      <c r="A2119" t="s">
        <v>5164</v>
      </c>
      <c r="B2119">
        <v>2.9</v>
      </c>
      <c r="C2119" t="s">
        <v>3630</v>
      </c>
      <c r="D2119" t="s">
        <v>3848</v>
      </c>
    </row>
    <row r="2120" spans="1:4">
      <c r="A2120" t="s">
        <v>5165</v>
      </c>
      <c r="B2120">
        <v>2.82</v>
      </c>
      <c r="C2120" t="s">
        <v>3633</v>
      </c>
      <c r="D2120" t="s">
        <v>3848</v>
      </c>
    </row>
    <row r="2121" spans="1:4">
      <c r="A2121" t="s">
        <v>5166</v>
      </c>
      <c r="B2121">
        <v>3.45</v>
      </c>
      <c r="C2121" t="s">
        <v>3354</v>
      </c>
      <c r="D2121" t="s">
        <v>3852</v>
      </c>
    </row>
    <row r="2122" spans="1:4">
      <c r="A2122" t="s">
        <v>5167</v>
      </c>
      <c r="B2122">
        <v>2.91</v>
      </c>
      <c r="C2122" t="s">
        <v>3633</v>
      </c>
      <c r="D2122" t="s">
        <v>3886</v>
      </c>
    </row>
    <row r="2123" spans="1:4">
      <c r="A2123" t="s">
        <v>5168</v>
      </c>
      <c r="B2123">
        <v>3</v>
      </c>
      <c r="C2123" t="s">
        <v>3633</v>
      </c>
      <c r="D2123" t="s">
        <v>3886</v>
      </c>
    </row>
    <row r="2124" spans="1:4">
      <c r="A2124" t="s">
        <v>5169</v>
      </c>
      <c r="B2124">
        <v>3</v>
      </c>
      <c r="C2124" t="s">
        <v>3347</v>
      </c>
      <c r="D2124" t="s">
        <v>4008</v>
      </c>
    </row>
    <row r="2125" spans="1:4">
      <c r="A2125" t="s">
        <v>5170</v>
      </c>
      <c r="B2125">
        <v>3.1</v>
      </c>
      <c r="C2125" t="s">
        <v>3347</v>
      </c>
      <c r="D2125" t="s">
        <v>3886</v>
      </c>
    </row>
    <row r="2126" spans="1:4">
      <c r="A2126" t="s">
        <v>5171</v>
      </c>
      <c r="B2126">
        <v>3.1</v>
      </c>
      <c r="C2126" t="s">
        <v>3633</v>
      </c>
      <c r="D2126" t="s">
        <v>3892</v>
      </c>
    </row>
    <row r="2127" spans="1:4">
      <c r="A2127" t="s">
        <v>5172</v>
      </c>
      <c r="B2127">
        <v>3.12</v>
      </c>
      <c r="C2127" t="s">
        <v>3633</v>
      </c>
      <c r="D2127" t="s">
        <v>4008</v>
      </c>
    </row>
    <row r="2128" spans="1:4">
      <c r="A2128" t="s">
        <v>5173</v>
      </c>
      <c r="B2128">
        <v>3.12</v>
      </c>
      <c r="C2128" t="s">
        <v>3633</v>
      </c>
      <c r="D2128" t="s">
        <v>4008</v>
      </c>
    </row>
    <row r="2129" spans="1:4">
      <c r="A2129" t="s">
        <v>5174</v>
      </c>
      <c r="B2129">
        <v>3.15</v>
      </c>
      <c r="C2129" t="s">
        <v>3347</v>
      </c>
      <c r="D2129" t="s">
        <v>4008</v>
      </c>
    </row>
    <row r="2130" spans="1:4">
      <c r="A2130" t="s">
        <v>5175</v>
      </c>
      <c r="B2130">
        <v>3.15</v>
      </c>
      <c r="C2130" t="s">
        <v>3347</v>
      </c>
      <c r="D2130" t="s">
        <v>4008</v>
      </c>
    </row>
    <row r="2131" spans="1:4">
      <c r="A2131" t="s">
        <v>5176</v>
      </c>
      <c r="B2131">
        <v>3.15</v>
      </c>
      <c r="C2131" t="s">
        <v>3347</v>
      </c>
      <c r="D2131" t="s">
        <v>4008</v>
      </c>
    </row>
    <row r="2132" spans="1:4">
      <c r="A2132" t="s">
        <v>5177</v>
      </c>
      <c r="B2132">
        <v>3.1</v>
      </c>
      <c r="C2132" t="s">
        <v>3954</v>
      </c>
      <c r="D2132" t="s">
        <v>4008</v>
      </c>
    </row>
    <row r="2133" spans="1:4">
      <c r="A2133" t="s">
        <v>5178</v>
      </c>
      <c r="B2133">
        <v>2.8</v>
      </c>
      <c r="C2133" t="s">
        <v>3166</v>
      </c>
      <c r="D2133" t="s">
        <v>3848</v>
      </c>
    </row>
    <row r="2134" spans="1:4">
      <c r="A2134" t="s">
        <v>5179</v>
      </c>
      <c r="B2134">
        <v>3.1</v>
      </c>
      <c r="C2134" t="s">
        <v>3347</v>
      </c>
      <c r="D2134" t="s">
        <v>3848</v>
      </c>
    </row>
    <row r="2135" spans="1:4">
      <c r="A2135" t="s">
        <v>5180</v>
      </c>
      <c r="B2135">
        <v>3.1</v>
      </c>
      <c r="C2135" t="s">
        <v>3347</v>
      </c>
      <c r="D2135" t="s">
        <v>3848</v>
      </c>
    </row>
    <row r="2136" spans="1:4">
      <c r="A2136" t="s">
        <v>5181</v>
      </c>
      <c r="B2136">
        <v>3.1</v>
      </c>
      <c r="C2136" t="s">
        <v>3347</v>
      </c>
      <c r="D2136" t="s">
        <v>3848</v>
      </c>
    </row>
    <row r="2137" spans="1:4">
      <c r="A2137" t="s">
        <v>5182</v>
      </c>
      <c r="B2137">
        <v>2.99</v>
      </c>
      <c r="C2137" t="s">
        <v>3633</v>
      </c>
      <c r="D2137" t="s">
        <v>3892</v>
      </c>
    </row>
    <row r="2138" spans="1:4">
      <c r="A2138" t="s">
        <v>5183</v>
      </c>
      <c r="B2138">
        <v>2.99</v>
      </c>
      <c r="C2138" t="s">
        <v>3630</v>
      </c>
      <c r="D2138" t="s">
        <v>3852</v>
      </c>
    </row>
    <row r="2139" spans="1:4">
      <c r="A2139" t="s">
        <v>5184</v>
      </c>
      <c r="B2139">
        <v>3.45</v>
      </c>
      <c r="C2139" t="s">
        <v>4012</v>
      </c>
      <c r="D2139" t="s">
        <v>3852</v>
      </c>
    </row>
    <row r="2140" spans="1:4">
      <c r="A2140" t="s">
        <v>5185</v>
      </c>
      <c r="B2140">
        <v>2.75</v>
      </c>
      <c r="C2140" t="s">
        <v>3630</v>
      </c>
      <c r="D2140" t="s">
        <v>3848</v>
      </c>
    </row>
    <row r="2141" spans="1:4">
      <c r="A2141" t="s">
        <v>5186</v>
      </c>
      <c r="B2141">
        <v>2.75</v>
      </c>
      <c r="C2141" t="s">
        <v>3347</v>
      </c>
      <c r="D2141" t="s">
        <v>3848</v>
      </c>
    </row>
    <row r="2142" spans="1:4">
      <c r="A2142" t="s">
        <v>5187</v>
      </c>
      <c r="B2142">
        <v>3.1</v>
      </c>
      <c r="C2142" t="s">
        <v>3347</v>
      </c>
      <c r="D2142" t="s">
        <v>4008</v>
      </c>
    </row>
    <row r="2143" spans="1:4">
      <c r="A2143" t="s">
        <v>5188</v>
      </c>
      <c r="B2143">
        <v>3.1</v>
      </c>
      <c r="C2143" t="s">
        <v>3633</v>
      </c>
      <c r="D2143" t="s">
        <v>4008</v>
      </c>
    </row>
    <row r="2144" spans="1:4">
      <c r="A2144" t="s">
        <v>5189</v>
      </c>
      <c r="B2144">
        <v>3.12</v>
      </c>
      <c r="C2144" t="s">
        <v>3613</v>
      </c>
      <c r="D2144" t="s">
        <v>4008</v>
      </c>
    </row>
    <row r="2145" spans="1:4">
      <c r="A2145" t="s">
        <v>5190</v>
      </c>
      <c r="B2145">
        <v>3.15</v>
      </c>
      <c r="C2145" t="s">
        <v>3347</v>
      </c>
      <c r="D2145" t="s">
        <v>4008</v>
      </c>
    </row>
    <row r="2146" spans="1:4">
      <c r="A2146" t="s">
        <v>5191</v>
      </c>
      <c r="B2146">
        <v>3.12</v>
      </c>
      <c r="C2146" t="s">
        <v>3633</v>
      </c>
      <c r="D2146" t="s">
        <v>4008</v>
      </c>
    </row>
    <row r="2147" spans="1:4">
      <c r="A2147" t="s">
        <v>5192</v>
      </c>
      <c r="B2147">
        <v>3.13</v>
      </c>
      <c r="C2147" t="s">
        <v>3347</v>
      </c>
      <c r="D2147" t="s">
        <v>3886</v>
      </c>
    </row>
    <row r="2148" spans="1:4">
      <c r="A2148" t="s">
        <v>5193</v>
      </c>
      <c r="B2148">
        <v>3.14</v>
      </c>
      <c r="C2148" t="s">
        <v>3633</v>
      </c>
      <c r="D2148" t="s">
        <v>3886</v>
      </c>
    </row>
    <row r="2149" spans="1:4">
      <c r="A2149" t="s">
        <v>5194</v>
      </c>
      <c r="B2149">
        <v>3.05</v>
      </c>
      <c r="C2149" t="s">
        <v>3633</v>
      </c>
      <c r="D2149" t="s">
        <v>4008</v>
      </c>
    </row>
    <row r="2150" spans="1:4">
      <c r="A2150" t="s">
        <v>5195</v>
      </c>
      <c r="B2150">
        <v>2.95</v>
      </c>
      <c r="C2150" t="s">
        <v>3347</v>
      </c>
      <c r="D2150" t="s">
        <v>3886</v>
      </c>
    </row>
    <row r="2151" spans="1:4">
      <c r="A2151" t="s">
        <v>5196</v>
      </c>
      <c r="B2151">
        <v>3.05</v>
      </c>
      <c r="C2151" t="s">
        <v>3347</v>
      </c>
      <c r="D2151" t="s">
        <v>3886</v>
      </c>
    </row>
    <row r="2152" spans="1:4">
      <c r="A2152" t="s">
        <v>5197</v>
      </c>
      <c r="B2152">
        <v>3.05</v>
      </c>
      <c r="C2152" t="s">
        <v>3347</v>
      </c>
      <c r="D2152" t="s">
        <v>4008</v>
      </c>
    </row>
    <row r="2153" spans="1:4">
      <c r="A2153" t="s">
        <v>5198</v>
      </c>
      <c r="B2153">
        <v>3.05</v>
      </c>
      <c r="C2153" t="s">
        <v>3633</v>
      </c>
      <c r="D2153" t="s">
        <v>4008</v>
      </c>
    </row>
    <row r="2154" spans="1:4">
      <c r="A2154" t="s">
        <v>5199</v>
      </c>
      <c r="B2154">
        <v>3.1</v>
      </c>
      <c r="C2154" t="s">
        <v>3633</v>
      </c>
      <c r="D2154" t="s">
        <v>4602</v>
      </c>
    </row>
    <row r="2155" spans="1:4">
      <c r="A2155" t="s">
        <v>5200</v>
      </c>
      <c r="B2155">
        <v>3.12</v>
      </c>
      <c r="C2155" t="s">
        <v>3347</v>
      </c>
      <c r="D2155" t="s">
        <v>4008</v>
      </c>
    </row>
    <row r="2156" spans="1:4">
      <c r="A2156" t="s">
        <v>5201</v>
      </c>
      <c r="B2156">
        <v>2.75</v>
      </c>
      <c r="C2156" t="s">
        <v>3633</v>
      </c>
      <c r="D2156" t="s">
        <v>5202</v>
      </c>
    </row>
    <row r="2157" spans="1:4">
      <c r="A2157" t="s">
        <v>5203</v>
      </c>
      <c r="B2157">
        <v>3.1</v>
      </c>
      <c r="C2157" t="s">
        <v>3633</v>
      </c>
      <c r="D2157" t="s">
        <v>3886</v>
      </c>
    </row>
    <row r="2158" spans="1:4">
      <c r="A2158" t="s">
        <v>5204</v>
      </c>
      <c r="B2158">
        <v>3.1</v>
      </c>
      <c r="C2158" t="s">
        <v>3347</v>
      </c>
      <c r="D2158" t="s">
        <v>4008</v>
      </c>
    </row>
    <row r="2159" spans="1:4">
      <c r="A2159" t="s">
        <v>5205</v>
      </c>
      <c r="B2159">
        <v>3.05</v>
      </c>
      <c r="C2159" t="s">
        <v>3633</v>
      </c>
      <c r="D2159" t="s">
        <v>3886</v>
      </c>
    </row>
    <row r="2160" spans="1:4">
      <c r="A2160" t="s">
        <v>5206</v>
      </c>
      <c r="B2160">
        <v>3.05</v>
      </c>
      <c r="C2160" t="s">
        <v>3633</v>
      </c>
      <c r="D2160" t="s">
        <v>3848</v>
      </c>
    </row>
    <row r="2161" spans="1:4">
      <c r="A2161" t="s">
        <v>5207</v>
      </c>
      <c r="B2161">
        <v>3.1</v>
      </c>
      <c r="C2161" t="s">
        <v>3613</v>
      </c>
      <c r="D2161" t="s">
        <v>3848</v>
      </c>
    </row>
    <row r="2162" spans="1:4">
      <c r="A2162" t="s">
        <v>5208</v>
      </c>
      <c r="B2162">
        <v>3.12</v>
      </c>
      <c r="C2162" t="s">
        <v>3630</v>
      </c>
      <c r="D2162" t="s">
        <v>4008</v>
      </c>
    </row>
    <row r="2163" spans="1:4">
      <c r="A2163" t="s">
        <v>5209</v>
      </c>
      <c r="B2163">
        <v>3.05</v>
      </c>
      <c r="C2163" t="s">
        <v>3347</v>
      </c>
      <c r="D2163" t="s">
        <v>3848</v>
      </c>
    </row>
    <row r="2164" spans="1:4">
      <c r="A2164" t="s">
        <v>5210</v>
      </c>
      <c r="B2164">
        <v>3.05</v>
      </c>
      <c r="C2164" t="s">
        <v>3347</v>
      </c>
      <c r="D2164" t="s">
        <v>4008</v>
      </c>
    </row>
    <row r="2165" spans="1:4">
      <c r="A2165" t="s">
        <v>5211</v>
      </c>
      <c r="B2165">
        <v>2.92</v>
      </c>
      <c r="C2165" t="s">
        <v>3633</v>
      </c>
      <c r="D2165" t="s">
        <v>4294</v>
      </c>
    </row>
    <row r="2166" spans="1:4">
      <c r="A2166" t="s">
        <v>5212</v>
      </c>
      <c r="B2166">
        <v>3.04</v>
      </c>
      <c r="C2166" t="s">
        <v>3633</v>
      </c>
      <c r="D2166" t="s">
        <v>4294</v>
      </c>
    </row>
    <row r="2167" spans="1:4">
      <c r="A2167" t="s">
        <v>5213</v>
      </c>
      <c r="B2167">
        <v>2.92</v>
      </c>
      <c r="C2167" t="s">
        <v>3347</v>
      </c>
      <c r="D2167" t="s">
        <v>4294</v>
      </c>
    </row>
    <row r="2168" spans="1:4">
      <c r="A2168" t="s">
        <v>5214</v>
      </c>
      <c r="B2168">
        <v>3</v>
      </c>
      <c r="C2168" t="s">
        <v>3347</v>
      </c>
      <c r="D2168" t="s">
        <v>4294</v>
      </c>
    </row>
    <row r="2169" spans="1:4">
      <c r="A2169" t="s">
        <v>5215</v>
      </c>
      <c r="B2169">
        <v>3</v>
      </c>
      <c r="C2169" t="s">
        <v>3347</v>
      </c>
      <c r="D2169" t="s">
        <v>4294</v>
      </c>
    </row>
    <row r="2170" spans="1:4">
      <c r="A2170" t="s">
        <v>5216</v>
      </c>
      <c r="B2170">
        <v>3.22</v>
      </c>
      <c r="C2170" t="s">
        <v>3613</v>
      </c>
      <c r="D2170" t="s">
        <v>3848</v>
      </c>
    </row>
    <row r="2171" spans="1:4">
      <c r="A2171" t="s">
        <v>5217</v>
      </c>
      <c r="B2171">
        <v>2.77</v>
      </c>
      <c r="C2171" t="s">
        <v>3166</v>
      </c>
      <c r="D2171" t="s">
        <v>3848</v>
      </c>
    </row>
    <row r="2172" spans="1:4">
      <c r="A2172" t="s">
        <v>5218</v>
      </c>
      <c r="B2172">
        <v>3.02</v>
      </c>
      <c r="C2172" t="s">
        <v>3630</v>
      </c>
      <c r="D2172" t="s">
        <v>3848</v>
      </c>
    </row>
    <row r="2173" spans="1:4">
      <c r="A2173" t="s">
        <v>5219</v>
      </c>
      <c r="B2173">
        <v>2.96</v>
      </c>
      <c r="C2173" t="s">
        <v>3613</v>
      </c>
      <c r="D2173" t="s">
        <v>3848</v>
      </c>
    </row>
    <row r="2174" spans="1:4">
      <c r="A2174" t="s">
        <v>5220</v>
      </c>
      <c r="B2174">
        <v>3.02</v>
      </c>
      <c r="C2174" t="s">
        <v>3613</v>
      </c>
      <c r="D2174" t="s">
        <v>3848</v>
      </c>
    </row>
    <row r="2175" spans="1:4">
      <c r="A2175" t="s">
        <v>5221</v>
      </c>
      <c r="B2175">
        <v>3.05</v>
      </c>
      <c r="C2175" t="s">
        <v>3630</v>
      </c>
      <c r="D2175" t="s">
        <v>3848</v>
      </c>
    </row>
    <row r="2176" spans="1:4">
      <c r="A2176" t="s">
        <v>5222</v>
      </c>
      <c r="B2176">
        <v>3.12</v>
      </c>
      <c r="C2176" t="s">
        <v>3613</v>
      </c>
      <c r="D2176" t="s">
        <v>3848</v>
      </c>
    </row>
    <row r="2177" spans="1:4">
      <c r="A2177" t="s">
        <v>5223</v>
      </c>
      <c r="B2177">
        <v>3.18</v>
      </c>
      <c r="C2177" t="s">
        <v>3613</v>
      </c>
      <c r="D2177" t="s">
        <v>3848</v>
      </c>
    </row>
    <row r="2178" spans="1:4">
      <c r="A2178" t="s">
        <v>5224</v>
      </c>
      <c r="B2178">
        <v>2.4500000000000002</v>
      </c>
      <c r="C2178" t="s">
        <v>108</v>
      </c>
      <c r="D2178" t="s">
        <v>5225</v>
      </c>
    </row>
    <row r="2179" spans="1:4">
      <c r="A2179" t="s">
        <v>5226</v>
      </c>
      <c r="B2179">
        <v>3.24</v>
      </c>
      <c r="C2179" t="s">
        <v>3633</v>
      </c>
      <c r="D2179" t="s">
        <v>3872</v>
      </c>
    </row>
    <row r="2180" spans="1:4">
      <c r="A2180" t="s">
        <v>5227</v>
      </c>
      <c r="B2180">
        <v>3.17</v>
      </c>
      <c r="C2180" t="s">
        <v>3347</v>
      </c>
      <c r="D2180" t="s">
        <v>3872</v>
      </c>
    </row>
    <row r="2181" spans="1:4">
      <c r="A2181" t="s">
        <v>5228</v>
      </c>
      <c r="B2181">
        <v>2.67</v>
      </c>
      <c r="C2181" t="s">
        <v>3166</v>
      </c>
      <c r="D2181" t="s">
        <v>4008</v>
      </c>
    </row>
    <row r="2182" spans="1:4">
      <c r="A2182" t="s">
        <v>5229</v>
      </c>
      <c r="B2182">
        <v>2.8</v>
      </c>
      <c r="C2182" t="s">
        <v>3166</v>
      </c>
      <c r="D2182" t="s">
        <v>3848</v>
      </c>
    </row>
    <row r="2183" spans="1:4">
      <c r="A2183" t="s">
        <v>5230</v>
      </c>
      <c r="B2183">
        <v>2.85</v>
      </c>
      <c r="C2183" t="s">
        <v>3103</v>
      </c>
      <c r="D2183" t="s">
        <v>3859</v>
      </c>
    </row>
    <row r="2184" spans="1:4">
      <c r="A2184" t="s">
        <v>5231</v>
      </c>
      <c r="B2184">
        <v>1.8</v>
      </c>
      <c r="C2184" t="s">
        <v>5232</v>
      </c>
      <c r="D2184" t="s">
        <v>4221</v>
      </c>
    </row>
    <row r="2185" spans="1:4">
      <c r="A2185" t="s">
        <v>5233</v>
      </c>
      <c r="B2185">
        <v>1.84</v>
      </c>
      <c r="C2185" t="s">
        <v>4491</v>
      </c>
      <c r="D2185" t="s">
        <v>4221</v>
      </c>
    </row>
    <row r="2186" spans="1:4">
      <c r="A2186" t="s">
        <v>5234</v>
      </c>
      <c r="B2186">
        <v>1.85</v>
      </c>
      <c r="C2186" t="s">
        <v>5235</v>
      </c>
      <c r="D2186" t="s">
        <v>4221</v>
      </c>
    </row>
    <row r="2187" spans="1:4">
      <c r="A2187" t="s">
        <v>5236</v>
      </c>
      <c r="B2187">
        <v>1.8</v>
      </c>
      <c r="C2187" t="s">
        <v>4491</v>
      </c>
      <c r="D2187" t="s">
        <v>4221</v>
      </c>
    </row>
    <row r="2188" spans="1:4">
      <c r="A2188" t="s">
        <v>5237</v>
      </c>
      <c r="B2188">
        <v>1.85</v>
      </c>
      <c r="C2188" t="s">
        <v>5238</v>
      </c>
      <c r="D2188" t="s">
        <v>4221</v>
      </c>
    </row>
    <row r="2189" spans="1:4">
      <c r="A2189" t="s">
        <v>5239</v>
      </c>
      <c r="B2189">
        <v>1.84</v>
      </c>
      <c r="C2189" t="s">
        <v>4491</v>
      </c>
      <c r="D2189" t="s">
        <v>4221</v>
      </c>
    </row>
    <row r="2190" spans="1:4">
      <c r="A2190" t="s">
        <v>5240</v>
      </c>
      <c r="B2190">
        <v>1.84</v>
      </c>
      <c r="C2190" t="s">
        <v>4491</v>
      </c>
      <c r="D2190" t="s">
        <v>4221</v>
      </c>
    </row>
    <row r="2191" spans="1:4">
      <c r="A2191" t="s">
        <v>5241</v>
      </c>
      <c r="B2191">
        <v>1.82</v>
      </c>
      <c r="C2191" t="s">
        <v>5242</v>
      </c>
      <c r="D2191" t="s">
        <v>4221</v>
      </c>
    </row>
    <row r="2192" spans="1:4">
      <c r="A2192" t="s">
        <v>5243</v>
      </c>
      <c r="B2192">
        <v>1.9</v>
      </c>
      <c r="C2192" t="s">
        <v>4491</v>
      </c>
      <c r="D2192" t="s">
        <v>4221</v>
      </c>
    </row>
    <row r="2193" spans="1:4">
      <c r="A2193" t="s">
        <v>5244</v>
      </c>
      <c r="B2193">
        <v>1.86</v>
      </c>
      <c r="C2193" t="s">
        <v>4108</v>
      </c>
      <c r="D2193" t="s">
        <v>5245</v>
      </c>
    </row>
    <row r="2194" spans="1:4">
      <c r="A2194" t="s">
        <v>5246</v>
      </c>
      <c r="B2194">
        <v>1.83</v>
      </c>
      <c r="C2194" t="s">
        <v>4108</v>
      </c>
      <c r="D2194" t="s">
        <v>5245</v>
      </c>
    </row>
    <row r="2195" spans="1:4">
      <c r="A2195" t="s">
        <v>5247</v>
      </c>
      <c r="B2195">
        <v>1.86</v>
      </c>
      <c r="C2195" t="s">
        <v>4075</v>
      </c>
      <c r="D2195" t="s">
        <v>5245</v>
      </c>
    </row>
    <row r="2196" spans="1:4">
      <c r="A2196" t="s">
        <v>5248</v>
      </c>
      <c r="B2196">
        <v>1.8</v>
      </c>
      <c r="C2196" t="s">
        <v>4085</v>
      </c>
      <c r="D2196" t="s">
        <v>4221</v>
      </c>
    </row>
    <row r="2197" spans="1:4">
      <c r="A2197" t="s">
        <v>5249</v>
      </c>
      <c r="B2197">
        <v>0.33</v>
      </c>
      <c r="C2197" t="s">
        <v>5250</v>
      </c>
      <c r="D2197" t="s">
        <v>4707</v>
      </c>
    </row>
    <row r="2198" spans="1:4">
      <c r="A2198" t="s">
        <v>5251</v>
      </c>
      <c r="B2198">
        <v>0.24</v>
      </c>
      <c r="C2198" t="s">
        <v>4323</v>
      </c>
      <c r="D2198" t="s">
        <v>4316</v>
      </c>
    </row>
    <row r="2199" spans="1:4">
      <c r="A2199" t="s">
        <v>5252</v>
      </c>
      <c r="B2199">
        <v>0.24</v>
      </c>
      <c r="C2199" t="s">
        <v>4323</v>
      </c>
      <c r="D2199" t="s">
        <v>4316</v>
      </c>
    </row>
    <row r="2200" spans="1:4">
      <c r="A2200" t="s">
        <v>5253</v>
      </c>
      <c r="B2200">
        <v>0.2</v>
      </c>
      <c r="C2200" t="s">
        <v>4315</v>
      </c>
      <c r="D2200" t="s">
        <v>4316</v>
      </c>
    </row>
    <row r="2201" spans="1:4">
      <c r="A2201" t="s">
        <v>1745</v>
      </c>
      <c r="B2201">
        <v>0.24</v>
      </c>
      <c r="C2201" t="s">
        <v>4323</v>
      </c>
      <c r="D2201" t="s">
        <v>4316</v>
      </c>
    </row>
    <row r="2202" spans="1:4">
      <c r="A2202" t="s">
        <v>1806</v>
      </c>
      <c r="B2202">
        <v>0.24</v>
      </c>
      <c r="C2202" t="s">
        <v>4323</v>
      </c>
      <c r="D2202" t="s">
        <v>4316</v>
      </c>
    </row>
    <row r="2203" spans="1:4">
      <c r="A2203" t="s">
        <v>5254</v>
      </c>
      <c r="B2203">
        <v>0.3</v>
      </c>
      <c r="C2203" t="s">
        <v>4323</v>
      </c>
      <c r="D2203" t="s">
        <v>4316</v>
      </c>
    </row>
    <row r="2204" spans="1:4">
      <c r="A2204" t="s">
        <v>5255</v>
      </c>
      <c r="B2204">
        <v>0.27</v>
      </c>
      <c r="C2204" t="s">
        <v>4315</v>
      </c>
      <c r="D2204" t="s">
        <v>4316</v>
      </c>
    </row>
    <row r="2205" spans="1:4">
      <c r="A2205" t="s">
        <v>1746</v>
      </c>
      <c r="B2205">
        <v>0.27</v>
      </c>
      <c r="C2205" t="s">
        <v>4315</v>
      </c>
      <c r="D2205" t="s">
        <v>4316</v>
      </c>
    </row>
    <row r="2206" spans="1:4">
      <c r="A2206" t="s">
        <v>1807</v>
      </c>
      <c r="B2206">
        <v>0.27</v>
      </c>
      <c r="C2206" t="s">
        <v>4315</v>
      </c>
      <c r="D2206" t="s">
        <v>4316</v>
      </c>
    </row>
    <row r="2207" spans="1:4">
      <c r="A2207" t="s">
        <v>5256</v>
      </c>
      <c r="B2207">
        <v>0.75</v>
      </c>
      <c r="C2207" t="s">
        <v>4323</v>
      </c>
      <c r="D2207" t="s">
        <v>4316</v>
      </c>
    </row>
    <row r="2208" spans="1:4">
      <c r="A2208" t="s">
        <v>5257</v>
      </c>
      <c r="B2208">
        <v>0.86</v>
      </c>
      <c r="C2208" t="s">
        <v>4323</v>
      </c>
      <c r="D2208" t="s">
        <v>4316</v>
      </c>
    </row>
    <row r="2209" spans="1:4">
      <c r="A2209" t="s">
        <v>5258</v>
      </c>
      <c r="B2209">
        <v>0.28000000000000003</v>
      </c>
      <c r="C2209" t="s">
        <v>4323</v>
      </c>
      <c r="D2209" t="s">
        <v>5259</v>
      </c>
    </row>
    <row r="2210" spans="1:4">
      <c r="A2210" t="s">
        <v>5260</v>
      </c>
      <c r="B2210">
        <v>0.24</v>
      </c>
      <c r="C2210" t="s">
        <v>4323</v>
      </c>
      <c r="D2210" t="s">
        <v>4316</v>
      </c>
    </row>
    <row r="2211" spans="1:4">
      <c r="A2211" t="s">
        <v>5261</v>
      </c>
      <c r="B2211">
        <v>0.32</v>
      </c>
      <c r="C2211" t="s">
        <v>4323</v>
      </c>
      <c r="D2211" t="s">
        <v>4316</v>
      </c>
    </row>
    <row r="2212" spans="1:4">
      <c r="A2212" t="s">
        <v>5262</v>
      </c>
      <c r="B2212">
        <v>0.32</v>
      </c>
      <c r="C2212" t="s">
        <v>4323</v>
      </c>
      <c r="D2212" t="s">
        <v>4316</v>
      </c>
    </row>
    <row r="2213" spans="1:4">
      <c r="A2213" t="s">
        <v>5263</v>
      </c>
      <c r="B2213">
        <v>0.32</v>
      </c>
      <c r="C2213" t="s">
        <v>4315</v>
      </c>
      <c r="D2213" t="s">
        <v>4316</v>
      </c>
    </row>
    <row r="2214" spans="1:4">
      <c r="A2214" t="s">
        <v>5264</v>
      </c>
      <c r="B2214">
        <v>0.42</v>
      </c>
      <c r="C2214" t="s">
        <v>4323</v>
      </c>
      <c r="D2214" t="s">
        <v>5259</v>
      </c>
    </row>
    <row r="2215" spans="1:4">
      <c r="A2215" t="s">
        <v>5265</v>
      </c>
      <c r="B2215">
        <v>0.28000000000000003</v>
      </c>
      <c r="C2215" t="s">
        <v>108</v>
      </c>
      <c r="D2215" t="s">
        <v>5266</v>
      </c>
    </row>
    <row r="2216" spans="1:4">
      <c r="A2216" t="s">
        <v>5267</v>
      </c>
      <c r="B2216">
        <v>0.8</v>
      </c>
      <c r="C2216" t="s">
        <v>4323</v>
      </c>
      <c r="D2216" t="s">
        <v>4316</v>
      </c>
    </row>
    <row r="2217" spans="1:4">
      <c r="A2217" t="s">
        <v>5268</v>
      </c>
      <c r="B2217">
        <v>2.2000000000000002</v>
      </c>
      <c r="C2217" t="s">
        <v>3666</v>
      </c>
      <c r="D2217" t="s">
        <v>4211</v>
      </c>
    </row>
    <row r="2218" spans="1:4">
      <c r="A2218" t="s">
        <v>5269</v>
      </c>
      <c r="B2218">
        <v>2.14</v>
      </c>
      <c r="C2218" t="s">
        <v>4092</v>
      </c>
      <c r="D2218" t="s">
        <v>4211</v>
      </c>
    </row>
    <row r="2219" spans="1:4">
      <c r="A2219" t="s">
        <v>5270</v>
      </c>
      <c r="B2219">
        <v>2.2000000000000002</v>
      </c>
      <c r="C2219" t="s">
        <v>4825</v>
      </c>
      <c r="D2219" t="s">
        <v>4211</v>
      </c>
    </row>
    <row r="2220" spans="1:4">
      <c r="A2220" t="s">
        <v>5271</v>
      </c>
      <c r="B2220">
        <v>2.2000000000000002</v>
      </c>
      <c r="C2220" t="s">
        <v>4092</v>
      </c>
      <c r="D2220" t="s">
        <v>4211</v>
      </c>
    </row>
    <row r="2221" spans="1:4">
      <c r="A2221" t="s">
        <v>5272</v>
      </c>
      <c r="B2221">
        <v>2.16</v>
      </c>
      <c r="C2221" t="s">
        <v>5273</v>
      </c>
      <c r="D2221" t="s">
        <v>3919</v>
      </c>
    </row>
    <row r="2222" spans="1:4">
      <c r="A2222" t="s">
        <v>5274</v>
      </c>
      <c r="B2222">
        <v>2.2000000000000002</v>
      </c>
      <c r="C2222" t="s">
        <v>3532</v>
      </c>
      <c r="D2222" t="s">
        <v>4211</v>
      </c>
    </row>
    <row r="2223" spans="1:4">
      <c r="A2223" t="s">
        <v>5275</v>
      </c>
      <c r="B2223">
        <v>2.25</v>
      </c>
      <c r="C2223" t="s">
        <v>4359</v>
      </c>
      <c r="D2223" t="s">
        <v>4211</v>
      </c>
    </row>
    <row r="2224" spans="1:4">
      <c r="A2224" t="s">
        <v>5276</v>
      </c>
      <c r="B2224">
        <v>2.17</v>
      </c>
      <c r="C2224" t="s">
        <v>3127</v>
      </c>
      <c r="D2224" t="s">
        <v>3919</v>
      </c>
    </row>
    <row r="2225" spans="1:4">
      <c r="A2225" t="s">
        <v>5277</v>
      </c>
      <c r="B2225">
        <v>2.2000000000000002</v>
      </c>
      <c r="C2225" t="s">
        <v>3115</v>
      </c>
      <c r="D2225" t="s">
        <v>4211</v>
      </c>
    </row>
    <row r="2226" spans="1:4">
      <c r="A2226" t="s">
        <v>5278</v>
      </c>
      <c r="B2226">
        <v>3.05</v>
      </c>
      <c r="C2226" t="s">
        <v>3115</v>
      </c>
      <c r="D2226" t="s">
        <v>4087</v>
      </c>
    </row>
    <row r="2227" spans="1:4">
      <c r="A2227" t="s">
        <v>5279</v>
      </c>
      <c r="B2227">
        <v>3.13</v>
      </c>
      <c r="C2227" t="s">
        <v>4491</v>
      </c>
      <c r="D2227" t="s">
        <v>4081</v>
      </c>
    </row>
    <row r="2228" spans="1:4">
      <c r="A2228" t="s">
        <v>5280</v>
      </c>
      <c r="B2228">
        <v>3</v>
      </c>
      <c r="C2228" t="s">
        <v>4083</v>
      </c>
      <c r="D2228" t="s">
        <v>4095</v>
      </c>
    </row>
    <row r="2229" spans="1:4">
      <c r="A2229" t="s">
        <v>5281</v>
      </c>
      <c r="B2229">
        <v>3.36</v>
      </c>
      <c r="C2229" t="s">
        <v>4170</v>
      </c>
      <c r="D2229" t="s">
        <v>4095</v>
      </c>
    </row>
    <row r="2230" spans="1:4">
      <c r="A2230" t="s">
        <v>5282</v>
      </c>
      <c r="B2230">
        <v>3.33</v>
      </c>
      <c r="C2230" t="s">
        <v>4083</v>
      </c>
      <c r="D2230" t="s">
        <v>4087</v>
      </c>
    </row>
    <row r="2231" spans="1:4">
      <c r="A2231" t="s">
        <v>5283</v>
      </c>
      <c r="B2231">
        <v>2.36</v>
      </c>
      <c r="C2231" t="s">
        <v>5273</v>
      </c>
      <c r="D2231" t="s">
        <v>4095</v>
      </c>
    </row>
    <row r="2232" spans="1:4">
      <c r="A2232" t="s">
        <v>5284</v>
      </c>
      <c r="B2232">
        <v>2.54</v>
      </c>
      <c r="C2232" t="s">
        <v>3687</v>
      </c>
      <c r="D2232" t="s">
        <v>3902</v>
      </c>
    </row>
    <row r="2233" spans="1:4">
      <c r="A2233" t="s">
        <v>5285</v>
      </c>
      <c r="B2233">
        <v>3.2</v>
      </c>
      <c r="C2233" t="s">
        <v>3579</v>
      </c>
      <c r="D2233" t="s">
        <v>4078</v>
      </c>
    </row>
    <row r="2234" spans="1:4">
      <c r="A2234" t="s">
        <v>5286</v>
      </c>
      <c r="B2234">
        <v>3.3</v>
      </c>
      <c r="C2234" t="s">
        <v>5287</v>
      </c>
      <c r="D2234" t="s">
        <v>4162</v>
      </c>
    </row>
    <row r="2235" spans="1:4">
      <c r="A2235" t="s">
        <v>5288</v>
      </c>
      <c r="B2235">
        <v>3.3</v>
      </c>
      <c r="C2235" t="s">
        <v>5287</v>
      </c>
      <c r="D2235" t="s">
        <v>4162</v>
      </c>
    </row>
    <row r="2236" spans="1:4">
      <c r="A2236" t="s">
        <v>5289</v>
      </c>
      <c r="B2236">
        <v>3.45</v>
      </c>
      <c r="C2236" t="s">
        <v>5290</v>
      </c>
      <c r="D2236" t="s">
        <v>4171</v>
      </c>
    </row>
    <row r="2237" spans="1:4">
      <c r="A2237" t="s">
        <v>5291</v>
      </c>
      <c r="B2237">
        <v>3.5</v>
      </c>
      <c r="C2237" t="s">
        <v>4170</v>
      </c>
      <c r="D2237" t="s">
        <v>4171</v>
      </c>
    </row>
    <row r="2238" spans="1:4">
      <c r="A2238" t="s">
        <v>5292</v>
      </c>
      <c r="B2238">
        <v>3.45</v>
      </c>
      <c r="C2238" t="s">
        <v>5293</v>
      </c>
      <c r="D2238" t="s">
        <v>4171</v>
      </c>
    </row>
    <row r="2239" spans="1:4">
      <c r="A2239" t="s">
        <v>5294</v>
      </c>
      <c r="B2239">
        <v>3.47</v>
      </c>
      <c r="C2239" t="s">
        <v>5293</v>
      </c>
      <c r="D2239" t="s">
        <v>4171</v>
      </c>
    </row>
    <row r="2240" spans="1:4">
      <c r="A2240" t="s">
        <v>5295</v>
      </c>
      <c r="B2240">
        <v>3.77</v>
      </c>
      <c r="C2240" t="s">
        <v>4170</v>
      </c>
      <c r="D2240" t="s">
        <v>4188</v>
      </c>
    </row>
    <row r="2241" spans="1:4">
      <c r="A2241" t="s">
        <v>5296</v>
      </c>
      <c r="B2241">
        <v>3.77</v>
      </c>
      <c r="C2241" t="s">
        <v>4170</v>
      </c>
      <c r="D2241" t="s">
        <v>4188</v>
      </c>
    </row>
    <row r="2242" spans="1:4">
      <c r="A2242" t="s">
        <v>5297</v>
      </c>
      <c r="B2242">
        <v>3.8</v>
      </c>
      <c r="C2242" t="s">
        <v>5126</v>
      </c>
      <c r="D2242" t="s">
        <v>4188</v>
      </c>
    </row>
    <row r="2243" spans="1:4">
      <c r="A2243" t="s">
        <v>5298</v>
      </c>
      <c r="B2243">
        <v>3.85</v>
      </c>
      <c r="C2243" t="s">
        <v>3525</v>
      </c>
      <c r="D2243" t="s">
        <v>4188</v>
      </c>
    </row>
    <row r="2244" spans="1:4">
      <c r="A2244" t="s">
        <v>5299</v>
      </c>
      <c r="B2244">
        <v>3.8</v>
      </c>
      <c r="C2244" t="s">
        <v>5300</v>
      </c>
      <c r="D2244" t="s">
        <v>3993</v>
      </c>
    </row>
    <row r="2245" spans="1:4">
      <c r="A2245" t="s">
        <v>5301</v>
      </c>
      <c r="B2245">
        <v>2.48</v>
      </c>
      <c r="C2245" t="s">
        <v>3117</v>
      </c>
      <c r="D2245" t="s">
        <v>4200</v>
      </c>
    </row>
    <row r="2246" spans="1:4">
      <c r="A2246" t="s">
        <v>5302</v>
      </c>
      <c r="B2246">
        <v>2.5</v>
      </c>
      <c r="C2246" t="s">
        <v>3995</v>
      </c>
      <c r="D2246" t="s">
        <v>4200</v>
      </c>
    </row>
    <row r="2247" spans="1:4">
      <c r="A2247" t="s">
        <v>5303</v>
      </c>
      <c r="B2247">
        <v>2.4500000000000002</v>
      </c>
      <c r="C2247" t="s">
        <v>3608</v>
      </c>
      <c r="D2247" t="s">
        <v>4200</v>
      </c>
    </row>
    <row r="2248" spans="1:4">
      <c r="A2248" t="s">
        <v>5304</v>
      </c>
      <c r="B2248">
        <v>2.5299999999999998</v>
      </c>
      <c r="C2248" t="s">
        <v>3127</v>
      </c>
      <c r="D2248" t="s">
        <v>4200</v>
      </c>
    </row>
    <row r="2249" spans="1:4">
      <c r="A2249" t="s">
        <v>5305</v>
      </c>
      <c r="B2249">
        <v>2.66</v>
      </c>
      <c r="C2249" t="s">
        <v>3117</v>
      </c>
      <c r="D2249" t="s">
        <v>3902</v>
      </c>
    </row>
    <row r="2250" spans="1:4">
      <c r="A2250" t="s">
        <v>5306</v>
      </c>
      <c r="B2250">
        <v>2.73</v>
      </c>
      <c r="C2250" t="s">
        <v>3664</v>
      </c>
      <c r="D2250" t="s">
        <v>3902</v>
      </c>
    </row>
    <row r="2251" spans="1:4">
      <c r="A2251" t="s">
        <v>5307</v>
      </c>
      <c r="B2251">
        <v>2.15</v>
      </c>
      <c r="C2251" t="s">
        <v>108</v>
      </c>
      <c r="D2251" t="s">
        <v>3859</v>
      </c>
    </row>
    <row r="2252" spans="1:4">
      <c r="A2252" t="s">
        <v>5308</v>
      </c>
      <c r="B2252">
        <v>2.15</v>
      </c>
      <c r="C2252" t="s">
        <v>108</v>
      </c>
      <c r="D2252" t="s">
        <v>3859</v>
      </c>
    </row>
    <row r="2253" spans="1:4">
      <c r="A2253" t="s">
        <v>5309</v>
      </c>
      <c r="B2253">
        <v>2.2000000000000002</v>
      </c>
      <c r="C2253" t="s">
        <v>108</v>
      </c>
      <c r="D2253" t="s">
        <v>3859</v>
      </c>
    </row>
    <row r="2254" spans="1:4">
      <c r="A2254" t="s">
        <v>5310</v>
      </c>
      <c r="B2254">
        <v>2.5</v>
      </c>
      <c r="C2254" t="s">
        <v>108</v>
      </c>
      <c r="D2254" t="s">
        <v>3859</v>
      </c>
    </row>
    <row r="2255" spans="1:4">
      <c r="A2255" t="s">
        <v>5311</v>
      </c>
      <c r="B2255">
        <v>2.4</v>
      </c>
      <c r="C2255" t="s">
        <v>108</v>
      </c>
      <c r="D2255" t="s">
        <v>3859</v>
      </c>
    </row>
    <row r="2256" spans="1:4">
      <c r="A2256" t="s">
        <v>5312</v>
      </c>
      <c r="B2256">
        <v>2.5</v>
      </c>
      <c r="C2256" t="s">
        <v>108</v>
      </c>
      <c r="D2256" t="s">
        <v>3859</v>
      </c>
    </row>
    <row r="2257" spans="1:4">
      <c r="A2257" t="s">
        <v>5313</v>
      </c>
      <c r="B2257">
        <v>2.4500000000000002</v>
      </c>
      <c r="C2257" t="s">
        <v>108</v>
      </c>
      <c r="D2257" t="s">
        <v>3859</v>
      </c>
    </row>
    <row r="2258" spans="1:4">
      <c r="A2258" t="s">
        <v>5314</v>
      </c>
      <c r="B2258">
        <v>2.5499999999999998</v>
      </c>
      <c r="C2258" t="s">
        <v>108</v>
      </c>
      <c r="D2258" t="s">
        <v>3859</v>
      </c>
    </row>
    <row r="2259" spans="1:4">
      <c r="A2259" t="s">
        <v>5315</v>
      </c>
      <c r="B2259">
        <v>2.6</v>
      </c>
      <c r="C2259" t="s">
        <v>108</v>
      </c>
      <c r="D2259" t="s">
        <v>3859</v>
      </c>
    </row>
    <row r="2260" spans="1:4">
      <c r="A2260" t="s">
        <v>5316</v>
      </c>
      <c r="B2260">
        <v>2.85</v>
      </c>
      <c r="C2260" t="s">
        <v>108</v>
      </c>
      <c r="D2260" t="s">
        <v>3859</v>
      </c>
    </row>
    <row r="2261" spans="1:4">
      <c r="A2261" t="s">
        <v>5317</v>
      </c>
      <c r="B2261">
        <v>3.2</v>
      </c>
      <c r="C2261" t="s">
        <v>108</v>
      </c>
      <c r="D2261" t="s">
        <v>3859</v>
      </c>
    </row>
    <row r="2262" spans="1:4">
      <c r="A2262" t="s">
        <v>5318</v>
      </c>
      <c r="B2262">
        <v>3.05</v>
      </c>
      <c r="C2262" t="s">
        <v>108</v>
      </c>
      <c r="D2262" t="s">
        <v>3859</v>
      </c>
    </row>
    <row r="2263" spans="1:4">
      <c r="A2263" t="s">
        <v>5319</v>
      </c>
      <c r="B2263">
        <v>1.8</v>
      </c>
      <c r="C2263" t="s">
        <v>108</v>
      </c>
      <c r="D2263" t="s">
        <v>3859</v>
      </c>
    </row>
    <row r="2264" spans="1:4">
      <c r="A2264" t="s">
        <v>5320</v>
      </c>
      <c r="B2264">
        <v>3.2</v>
      </c>
      <c r="C2264" t="s">
        <v>108</v>
      </c>
      <c r="D2264" t="s">
        <v>3859</v>
      </c>
    </row>
    <row r="2265" spans="1:4">
      <c r="A2265" t="s">
        <v>5321</v>
      </c>
      <c r="B2265">
        <v>3.2</v>
      </c>
      <c r="C2265" t="s">
        <v>108</v>
      </c>
      <c r="D2265" t="s">
        <v>3859</v>
      </c>
    </row>
    <row r="2266" spans="1:4">
      <c r="A2266" t="s">
        <v>5322</v>
      </c>
      <c r="B2266">
        <v>3.2</v>
      </c>
      <c r="C2266" t="s">
        <v>108</v>
      </c>
      <c r="D2266" t="s">
        <v>3859</v>
      </c>
    </row>
    <row r="2267" spans="1:4">
      <c r="A2267" t="s">
        <v>5323</v>
      </c>
      <c r="B2267">
        <v>3.2</v>
      </c>
      <c r="C2267" t="s">
        <v>108</v>
      </c>
      <c r="D2267" t="s">
        <v>3859</v>
      </c>
    </row>
    <row r="2268" spans="1:4">
      <c r="A2268" t="s">
        <v>5324</v>
      </c>
      <c r="B2268">
        <v>3.2</v>
      </c>
      <c r="C2268" t="s">
        <v>108</v>
      </c>
      <c r="D2268" t="s">
        <v>3859</v>
      </c>
    </row>
    <row r="2269" spans="1:4">
      <c r="A2269" t="s">
        <v>5325</v>
      </c>
      <c r="B2269">
        <v>3.15</v>
      </c>
      <c r="C2269" t="s">
        <v>108</v>
      </c>
      <c r="D2269" t="s">
        <v>3859</v>
      </c>
    </row>
    <row r="2270" spans="1:4">
      <c r="A2270" t="s">
        <v>5326</v>
      </c>
      <c r="B2270">
        <v>3.2</v>
      </c>
      <c r="C2270" t="s">
        <v>108</v>
      </c>
      <c r="D2270" t="s">
        <v>3859</v>
      </c>
    </row>
    <row r="2271" spans="1:4">
      <c r="A2271" t="s">
        <v>5327</v>
      </c>
      <c r="B2271">
        <v>3.2</v>
      </c>
      <c r="C2271" t="s">
        <v>108</v>
      </c>
      <c r="D2271" t="s">
        <v>3859</v>
      </c>
    </row>
    <row r="2272" spans="1:4">
      <c r="A2272" t="s">
        <v>5328</v>
      </c>
      <c r="B2272">
        <v>3.15</v>
      </c>
      <c r="C2272" t="s">
        <v>108</v>
      </c>
      <c r="D2272" t="s">
        <v>3859</v>
      </c>
    </row>
    <row r="2273" spans="1:4">
      <c r="A2273" t="s">
        <v>5329</v>
      </c>
      <c r="B2273">
        <v>2.95</v>
      </c>
      <c r="C2273" t="s">
        <v>108</v>
      </c>
      <c r="D2273" t="s">
        <v>3859</v>
      </c>
    </row>
    <row r="2274" spans="1:4">
      <c r="A2274" t="s">
        <v>5330</v>
      </c>
      <c r="B2274">
        <v>3.13</v>
      </c>
      <c r="C2274" t="s">
        <v>3530</v>
      </c>
      <c r="D2274" t="s">
        <v>4081</v>
      </c>
    </row>
    <row r="2275" spans="1:4">
      <c r="A2275" t="s">
        <v>5331</v>
      </c>
      <c r="B2275">
        <v>0.35</v>
      </c>
      <c r="C2275" t="s">
        <v>4734</v>
      </c>
      <c r="D2275" t="s">
        <v>4002</v>
      </c>
    </row>
    <row r="2276" spans="1:4">
      <c r="A2276" t="s">
        <v>5332</v>
      </c>
      <c r="B2276">
        <v>3.05</v>
      </c>
      <c r="C2276" t="s">
        <v>108</v>
      </c>
      <c r="D2276" t="s">
        <v>108</v>
      </c>
    </row>
    <row r="2277" spans="1:4">
      <c r="A2277" t="s">
        <v>5333</v>
      </c>
      <c r="B2277">
        <v>2.7</v>
      </c>
      <c r="C2277" t="s">
        <v>4473</v>
      </c>
      <c r="D2277" t="s">
        <v>3859</v>
      </c>
    </row>
    <row r="2278" spans="1:4">
      <c r="A2278" t="s">
        <v>5334</v>
      </c>
      <c r="B2278">
        <v>3</v>
      </c>
      <c r="C2278" t="s">
        <v>108</v>
      </c>
      <c r="D2278" t="s">
        <v>108</v>
      </c>
    </row>
    <row r="2279" spans="1:4">
      <c r="A2279" t="s">
        <v>5335</v>
      </c>
      <c r="B2279">
        <v>2.23</v>
      </c>
      <c r="C2279" t="s">
        <v>5336</v>
      </c>
      <c r="D2279" t="s">
        <v>4211</v>
      </c>
    </row>
    <row r="2280" spans="1:4">
      <c r="A2280" t="s">
        <v>5337</v>
      </c>
      <c r="B2280">
        <v>3.3</v>
      </c>
      <c r="C2280" t="s">
        <v>5338</v>
      </c>
      <c r="D2280" t="s">
        <v>5339</v>
      </c>
    </row>
    <row r="2281" spans="1:4">
      <c r="A2281" t="s">
        <v>5340</v>
      </c>
      <c r="B2281">
        <v>2.94</v>
      </c>
      <c r="C2281" t="s">
        <v>3888</v>
      </c>
      <c r="D2281" t="s">
        <v>5341</v>
      </c>
    </row>
    <row r="2282" spans="1:4">
      <c r="A2282" t="s">
        <v>5342</v>
      </c>
      <c r="B2282">
        <v>3.11</v>
      </c>
      <c r="C2282" t="s">
        <v>2783</v>
      </c>
      <c r="D2282" t="s">
        <v>5343</v>
      </c>
    </row>
    <row r="2283" spans="1:4">
      <c r="A2283" t="s">
        <v>5344</v>
      </c>
      <c r="B2283">
        <v>3.25</v>
      </c>
      <c r="C2283" t="s">
        <v>5345</v>
      </c>
      <c r="D2283" t="s">
        <v>3886</v>
      </c>
    </row>
    <row r="2284" spans="1:4">
      <c r="A2284" t="s">
        <v>5346</v>
      </c>
      <c r="B2284">
        <v>2.75</v>
      </c>
      <c r="C2284" t="s">
        <v>2395</v>
      </c>
      <c r="D2284" t="s">
        <v>3852</v>
      </c>
    </row>
    <row r="2285" spans="1:4">
      <c r="A2285" t="s">
        <v>5347</v>
      </c>
      <c r="B2285">
        <v>2.7</v>
      </c>
      <c r="C2285" t="s">
        <v>2395</v>
      </c>
      <c r="D2285" t="s">
        <v>3852</v>
      </c>
    </row>
    <row r="2286" spans="1:4">
      <c r="A2286" t="s">
        <v>5348</v>
      </c>
      <c r="B2286">
        <v>3</v>
      </c>
      <c r="C2286" t="s">
        <v>5345</v>
      </c>
      <c r="D2286" t="s">
        <v>3902</v>
      </c>
    </row>
    <row r="2287" spans="1:4">
      <c r="A2287" t="s">
        <v>5349</v>
      </c>
      <c r="B2287">
        <v>2.87</v>
      </c>
      <c r="C2287" t="s">
        <v>5345</v>
      </c>
      <c r="D2287" t="s">
        <v>5350</v>
      </c>
    </row>
    <row r="2288" spans="1:4">
      <c r="A2288" t="s">
        <v>5351</v>
      </c>
      <c r="B2288">
        <v>2.85</v>
      </c>
      <c r="C2288" t="s">
        <v>2392</v>
      </c>
      <c r="D2288" t="s">
        <v>3902</v>
      </c>
    </row>
    <row r="2289" spans="1:4">
      <c r="A2289" t="s">
        <v>5352</v>
      </c>
      <c r="B2289">
        <v>2.67</v>
      </c>
      <c r="C2289" t="s">
        <v>4904</v>
      </c>
      <c r="D2289" t="s">
        <v>3902</v>
      </c>
    </row>
    <row r="2290" spans="1:4">
      <c r="A2290" t="s">
        <v>5353</v>
      </c>
      <c r="B2290">
        <v>2.97</v>
      </c>
      <c r="C2290" t="s">
        <v>5345</v>
      </c>
      <c r="D2290" t="s">
        <v>5350</v>
      </c>
    </row>
    <row r="2291" spans="1:4">
      <c r="A2291" t="s">
        <v>5354</v>
      </c>
      <c r="B2291">
        <v>2.6</v>
      </c>
      <c r="C2291" t="s">
        <v>5355</v>
      </c>
      <c r="D2291" t="s">
        <v>3889</v>
      </c>
    </row>
    <row r="2292" spans="1:4">
      <c r="A2292" t="s">
        <v>5356</v>
      </c>
      <c r="B2292">
        <v>3</v>
      </c>
      <c r="C2292" t="s">
        <v>5357</v>
      </c>
      <c r="D2292" t="s">
        <v>3889</v>
      </c>
    </row>
    <row r="2293" spans="1:4">
      <c r="A2293" t="s">
        <v>5358</v>
      </c>
      <c r="B2293">
        <v>2.86</v>
      </c>
      <c r="C2293" t="s">
        <v>5359</v>
      </c>
      <c r="D2293" t="s">
        <v>5350</v>
      </c>
    </row>
    <row r="2294" spans="1:4">
      <c r="A2294" t="s">
        <v>5360</v>
      </c>
      <c r="B2294">
        <v>2.75</v>
      </c>
      <c r="C2294" t="s">
        <v>5357</v>
      </c>
      <c r="D2294" t="s">
        <v>3889</v>
      </c>
    </row>
    <row r="2295" spans="1:4">
      <c r="A2295" t="s">
        <v>5361</v>
      </c>
      <c r="B2295">
        <v>3.03</v>
      </c>
      <c r="C2295" t="s">
        <v>5359</v>
      </c>
      <c r="D2295" t="s">
        <v>5350</v>
      </c>
    </row>
    <row r="2296" spans="1:4">
      <c r="A2296" t="s">
        <v>5362</v>
      </c>
      <c r="B2296">
        <v>2.68</v>
      </c>
      <c r="C2296" t="s">
        <v>5345</v>
      </c>
      <c r="D2296" t="s">
        <v>5363</v>
      </c>
    </row>
    <row r="2297" spans="1:4">
      <c r="A2297" t="s">
        <v>5364</v>
      </c>
      <c r="B2297">
        <v>2.8</v>
      </c>
      <c r="C2297" t="s">
        <v>5365</v>
      </c>
      <c r="D2297" t="s">
        <v>3889</v>
      </c>
    </row>
    <row r="2298" spans="1:4">
      <c r="A2298" t="s">
        <v>5366</v>
      </c>
      <c r="B2298">
        <v>3.09</v>
      </c>
      <c r="C2298" t="s">
        <v>3888</v>
      </c>
      <c r="D2298" t="s">
        <v>5367</v>
      </c>
    </row>
    <row r="2299" spans="1:4">
      <c r="A2299" t="s">
        <v>5368</v>
      </c>
      <c r="B2299">
        <v>3.1</v>
      </c>
      <c r="C2299" t="s">
        <v>3888</v>
      </c>
      <c r="D2299" t="s">
        <v>5367</v>
      </c>
    </row>
    <row r="2300" spans="1:4">
      <c r="A2300" t="s">
        <v>5369</v>
      </c>
      <c r="B2300">
        <v>3.26</v>
      </c>
      <c r="C2300" t="s">
        <v>5345</v>
      </c>
      <c r="D2300" t="s">
        <v>5370</v>
      </c>
    </row>
    <row r="2301" spans="1:4">
      <c r="A2301" t="s">
        <v>5371</v>
      </c>
      <c r="B2301">
        <v>3.28</v>
      </c>
      <c r="C2301" t="s">
        <v>4613</v>
      </c>
      <c r="D2301" t="s">
        <v>5367</v>
      </c>
    </row>
    <row r="2302" spans="1:4">
      <c r="A2302" t="s">
        <v>5372</v>
      </c>
      <c r="B2302">
        <v>3.17</v>
      </c>
      <c r="C2302" t="s">
        <v>3888</v>
      </c>
      <c r="D2302" t="s">
        <v>5367</v>
      </c>
    </row>
    <row r="2303" spans="1:4">
      <c r="A2303" t="s">
        <v>5373</v>
      </c>
      <c r="B2303">
        <v>3.04</v>
      </c>
      <c r="C2303" t="s">
        <v>3888</v>
      </c>
      <c r="D2303" t="s">
        <v>3889</v>
      </c>
    </row>
    <row r="2304" spans="1:4">
      <c r="A2304" t="s">
        <v>5374</v>
      </c>
      <c r="B2304">
        <v>3.15</v>
      </c>
      <c r="C2304" t="s">
        <v>5375</v>
      </c>
      <c r="D2304" t="s">
        <v>3848</v>
      </c>
    </row>
    <row r="2305" spans="1:4">
      <c r="A2305" t="s">
        <v>5376</v>
      </c>
      <c r="B2305">
        <v>3.21</v>
      </c>
      <c r="C2305" t="s">
        <v>3888</v>
      </c>
      <c r="D2305" t="s">
        <v>5367</v>
      </c>
    </row>
    <row r="2306" spans="1:4">
      <c r="A2306" t="s">
        <v>5377</v>
      </c>
      <c r="B2306">
        <v>3.17</v>
      </c>
      <c r="C2306" t="s">
        <v>3888</v>
      </c>
      <c r="D2306" t="s">
        <v>5367</v>
      </c>
    </row>
    <row r="2307" spans="1:4">
      <c r="A2307" t="s">
        <v>5378</v>
      </c>
      <c r="B2307">
        <v>3.06</v>
      </c>
      <c r="C2307" t="s">
        <v>5345</v>
      </c>
      <c r="D2307" t="s">
        <v>5350</v>
      </c>
    </row>
    <row r="2308" spans="1:4">
      <c r="A2308" t="s">
        <v>5379</v>
      </c>
      <c r="B2308">
        <v>2.83</v>
      </c>
      <c r="C2308" t="s">
        <v>5380</v>
      </c>
      <c r="D2308" t="s">
        <v>3902</v>
      </c>
    </row>
    <row r="2309" spans="1:4">
      <c r="A2309" t="s">
        <v>5381</v>
      </c>
      <c r="B2309">
        <v>2.71</v>
      </c>
      <c r="C2309" t="s">
        <v>2392</v>
      </c>
      <c r="D2309" t="s">
        <v>3902</v>
      </c>
    </row>
    <row r="2310" spans="1:4">
      <c r="A2310" t="s">
        <v>5382</v>
      </c>
      <c r="B2310">
        <v>2.8</v>
      </c>
      <c r="C2310" t="s">
        <v>5345</v>
      </c>
      <c r="D2310" t="s">
        <v>5363</v>
      </c>
    </row>
    <row r="2311" spans="1:4">
      <c r="A2311" t="s">
        <v>5383</v>
      </c>
      <c r="B2311">
        <v>2.7</v>
      </c>
      <c r="C2311" t="s">
        <v>2395</v>
      </c>
      <c r="D2311" t="s">
        <v>4200</v>
      </c>
    </row>
    <row r="2312" spans="1:4">
      <c r="A2312" t="s">
        <v>5384</v>
      </c>
      <c r="B2312">
        <v>2.81</v>
      </c>
      <c r="C2312" t="s">
        <v>5345</v>
      </c>
      <c r="D2312" t="s">
        <v>5385</v>
      </c>
    </row>
    <row r="2313" spans="1:4">
      <c r="A2313" t="s">
        <v>5386</v>
      </c>
      <c r="B2313">
        <v>2.85</v>
      </c>
      <c r="C2313" t="s">
        <v>5359</v>
      </c>
      <c r="D2313" t="s">
        <v>5387</v>
      </c>
    </row>
    <row r="2314" spans="1:4">
      <c r="A2314" t="s">
        <v>5388</v>
      </c>
      <c r="B2314">
        <v>2.83</v>
      </c>
      <c r="C2314" t="s">
        <v>5359</v>
      </c>
      <c r="D2314" t="s">
        <v>4238</v>
      </c>
    </row>
    <row r="2315" spans="1:4">
      <c r="A2315" t="s">
        <v>5389</v>
      </c>
      <c r="B2315">
        <v>3.1</v>
      </c>
      <c r="C2315" t="s">
        <v>5359</v>
      </c>
      <c r="D2315" t="s">
        <v>5370</v>
      </c>
    </row>
    <row r="2316" spans="1:4">
      <c r="A2316" t="s">
        <v>5390</v>
      </c>
      <c r="B2316">
        <v>3.24</v>
      </c>
      <c r="C2316" t="s">
        <v>5359</v>
      </c>
      <c r="D2316" t="s">
        <v>3886</v>
      </c>
    </row>
    <row r="2317" spans="1:4">
      <c r="A2317" t="s">
        <v>5391</v>
      </c>
      <c r="B2317">
        <v>2.94</v>
      </c>
      <c r="C2317" t="s">
        <v>5357</v>
      </c>
      <c r="D2317" t="s">
        <v>3889</v>
      </c>
    </row>
    <row r="2318" spans="1:4">
      <c r="A2318" t="s">
        <v>5392</v>
      </c>
      <c r="B2318">
        <v>2.77</v>
      </c>
      <c r="C2318" t="s">
        <v>5345</v>
      </c>
      <c r="D2318" t="s">
        <v>5363</v>
      </c>
    </row>
    <row r="2319" spans="1:4">
      <c r="A2319" t="s">
        <v>5393</v>
      </c>
      <c r="B2319">
        <v>4.9000000000000004</v>
      </c>
      <c r="C2319" t="s">
        <v>4012</v>
      </c>
      <c r="D2319" t="s">
        <v>4013</v>
      </c>
    </row>
    <row r="2320" spans="1:4">
      <c r="A2320" t="s">
        <v>5394</v>
      </c>
      <c r="B2320">
        <v>3.05</v>
      </c>
      <c r="C2320" t="s">
        <v>108</v>
      </c>
      <c r="D2320" t="s">
        <v>108</v>
      </c>
    </row>
    <row r="2321" spans="1:4">
      <c r="A2321" t="s">
        <v>5395</v>
      </c>
      <c r="B2321">
        <v>3.05</v>
      </c>
      <c r="C2321" t="s">
        <v>108</v>
      </c>
      <c r="D2321" t="s">
        <v>108</v>
      </c>
    </row>
    <row r="2322" spans="1:4">
      <c r="A2322" t="s">
        <v>5396</v>
      </c>
      <c r="B2322">
        <v>1.82</v>
      </c>
      <c r="C2322" t="s">
        <v>4582</v>
      </c>
      <c r="D2322" t="s">
        <v>4221</v>
      </c>
    </row>
    <row r="2323" spans="1:4">
      <c r="A2323" t="s">
        <v>5397</v>
      </c>
      <c r="B2323">
        <v>0.38</v>
      </c>
      <c r="C2323" t="s">
        <v>4315</v>
      </c>
      <c r="D2323" t="s">
        <v>4316</v>
      </c>
    </row>
    <row r="2324" spans="1:4">
      <c r="A2324" t="s">
        <v>5398</v>
      </c>
      <c r="B2324">
        <v>2.96</v>
      </c>
      <c r="C2324" t="s">
        <v>3662</v>
      </c>
      <c r="D2324" t="s">
        <v>4200</v>
      </c>
    </row>
    <row r="2325" spans="1:4">
      <c r="A2325" t="s">
        <v>5399</v>
      </c>
      <c r="B2325">
        <v>3.1</v>
      </c>
      <c r="C2325" t="s">
        <v>4017</v>
      </c>
      <c r="D2325" t="s">
        <v>3948</v>
      </c>
    </row>
    <row r="2326" spans="1:4">
      <c r="A2326" t="s">
        <v>5400</v>
      </c>
      <c r="B2326">
        <v>3</v>
      </c>
      <c r="C2326" t="s">
        <v>4017</v>
      </c>
      <c r="D2326" t="s">
        <v>3948</v>
      </c>
    </row>
    <row r="2327" spans="1:4">
      <c r="A2327" t="s">
        <v>5401</v>
      </c>
      <c r="B2327">
        <v>3.5</v>
      </c>
      <c r="C2327" t="s">
        <v>3532</v>
      </c>
      <c r="D2327" t="s">
        <v>4081</v>
      </c>
    </row>
    <row r="2328" spans="1:4">
      <c r="A2328" t="s">
        <v>5402</v>
      </c>
      <c r="B2328">
        <v>3.97</v>
      </c>
      <c r="C2328" t="s">
        <v>3117</v>
      </c>
      <c r="D2328" t="s">
        <v>4081</v>
      </c>
    </row>
    <row r="2329" spans="1:4">
      <c r="A2329" t="s">
        <v>5403</v>
      </c>
      <c r="B2329">
        <v>3.97</v>
      </c>
      <c r="C2329" t="s">
        <v>4115</v>
      </c>
      <c r="D2329" t="s">
        <v>4081</v>
      </c>
    </row>
    <row r="2330" spans="1:4">
      <c r="A2330" t="s">
        <v>5404</v>
      </c>
      <c r="B2330">
        <v>3.53</v>
      </c>
      <c r="C2330" t="s">
        <v>5405</v>
      </c>
      <c r="D2330" t="s">
        <v>5406</v>
      </c>
    </row>
    <row r="2331" spans="1:4">
      <c r="A2331" t="s">
        <v>5407</v>
      </c>
      <c r="B2331">
        <v>3.47</v>
      </c>
      <c r="C2331" t="s">
        <v>5408</v>
      </c>
      <c r="D2331" t="s">
        <v>5406</v>
      </c>
    </row>
    <row r="2332" spans="1:4">
      <c r="A2332" t="s">
        <v>5409</v>
      </c>
      <c r="B2332">
        <v>3.7</v>
      </c>
      <c r="C2332" t="s">
        <v>3664</v>
      </c>
      <c r="D2332" t="s">
        <v>5406</v>
      </c>
    </row>
    <row r="2333" spans="1:4">
      <c r="A2333" t="s">
        <v>5410</v>
      </c>
      <c r="B2333">
        <v>3.67</v>
      </c>
      <c r="C2333" t="s">
        <v>4428</v>
      </c>
      <c r="D2333" t="s">
        <v>5406</v>
      </c>
    </row>
    <row r="2334" spans="1:4">
      <c r="A2334" t="s">
        <v>5411</v>
      </c>
      <c r="B2334">
        <v>3.64</v>
      </c>
      <c r="C2334" t="s">
        <v>4617</v>
      </c>
      <c r="D2334" t="s">
        <v>5406</v>
      </c>
    </row>
    <row r="2335" spans="1:4">
      <c r="A2335" t="s">
        <v>5412</v>
      </c>
      <c r="B2335">
        <v>3.67</v>
      </c>
      <c r="C2335" t="s">
        <v>3461</v>
      </c>
      <c r="D2335" t="s">
        <v>5406</v>
      </c>
    </row>
    <row r="2336" spans="1:4">
      <c r="A2336" t="s">
        <v>5413</v>
      </c>
      <c r="B2336">
        <v>3.66</v>
      </c>
      <c r="C2336" t="s">
        <v>3954</v>
      </c>
      <c r="D2336" t="s">
        <v>5406</v>
      </c>
    </row>
    <row r="2337" spans="1:4">
      <c r="A2337" t="s">
        <v>5414</v>
      </c>
      <c r="B2337">
        <v>4.25</v>
      </c>
      <c r="C2337" t="s">
        <v>3354</v>
      </c>
      <c r="D2337" t="s">
        <v>5415</v>
      </c>
    </row>
    <row r="2338" spans="1:4">
      <c r="A2338" t="s">
        <v>5416</v>
      </c>
      <c r="B2338">
        <v>4.3099999999999996</v>
      </c>
      <c r="C2338" t="s">
        <v>3354</v>
      </c>
      <c r="D2338" t="s">
        <v>5415</v>
      </c>
    </row>
    <row r="2339" spans="1:4">
      <c r="A2339" t="s">
        <v>5417</v>
      </c>
      <c r="B2339">
        <v>4.2</v>
      </c>
      <c r="C2339" t="s">
        <v>3354</v>
      </c>
      <c r="D2339" t="s">
        <v>5418</v>
      </c>
    </row>
    <row r="2340" spans="1:4">
      <c r="A2340" t="s">
        <v>5419</v>
      </c>
      <c r="B2340">
        <v>4.5</v>
      </c>
      <c r="C2340" t="s">
        <v>4170</v>
      </c>
      <c r="D2340" t="s">
        <v>5420</v>
      </c>
    </row>
    <row r="2341" spans="1:4">
      <c r="A2341" t="s">
        <v>5421</v>
      </c>
      <c r="B2341">
        <v>4.5</v>
      </c>
      <c r="C2341" t="s">
        <v>4170</v>
      </c>
      <c r="D2341" t="s">
        <v>5420</v>
      </c>
    </row>
    <row r="2342" spans="1:4">
      <c r="A2342" t="s">
        <v>5422</v>
      </c>
      <c r="B2342">
        <v>5.1100000000000003</v>
      </c>
      <c r="C2342" t="s">
        <v>3354</v>
      </c>
      <c r="D2342" t="s">
        <v>4013</v>
      </c>
    </row>
    <row r="2343" spans="1:4">
      <c r="A2343" t="s">
        <v>5423</v>
      </c>
      <c r="B2343">
        <v>4.9400000000000004</v>
      </c>
      <c r="C2343" t="s">
        <v>3354</v>
      </c>
      <c r="D2343" t="s">
        <v>5424</v>
      </c>
    </row>
    <row r="2344" spans="1:4">
      <c r="A2344" t="s">
        <v>5425</v>
      </c>
      <c r="B2344">
        <v>5</v>
      </c>
      <c r="C2344" t="s">
        <v>3354</v>
      </c>
      <c r="D2344" t="s">
        <v>5424</v>
      </c>
    </row>
    <row r="2345" spans="1:4">
      <c r="A2345" t="s">
        <v>5426</v>
      </c>
      <c r="B2345">
        <v>4.8</v>
      </c>
      <c r="C2345" t="s">
        <v>4012</v>
      </c>
      <c r="D2345" t="s">
        <v>4013</v>
      </c>
    </row>
    <row r="2346" spans="1:4">
      <c r="A2346" t="s">
        <v>5427</v>
      </c>
      <c r="B2346">
        <v>4.8499999999999996</v>
      </c>
      <c r="C2346" t="s">
        <v>3354</v>
      </c>
      <c r="D2346" t="s">
        <v>5424</v>
      </c>
    </row>
    <row r="2347" spans="1:4">
      <c r="A2347" t="s">
        <v>5428</v>
      </c>
      <c r="B2347">
        <v>4.8499999999999996</v>
      </c>
      <c r="C2347" t="s">
        <v>4012</v>
      </c>
      <c r="D2347" t="s">
        <v>5424</v>
      </c>
    </row>
    <row r="2348" spans="1:4">
      <c r="A2348" t="s">
        <v>5429</v>
      </c>
      <c r="B2348">
        <v>4.74</v>
      </c>
      <c r="C2348" t="s">
        <v>3354</v>
      </c>
      <c r="D2348" t="s">
        <v>4013</v>
      </c>
    </row>
    <row r="2349" spans="1:4">
      <c r="A2349" t="s">
        <v>5430</v>
      </c>
      <c r="B2349">
        <v>5</v>
      </c>
      <c r="C2349" t="s">
        <v>4012</v>
      </c>
      <c r="D2349" t="s">
        <v>5424</v>
      </c>
    </row>
    <row r="2350" spans="1:4">
      <c r="A2350" t="s">
        <v>5431</v>
      </c>
      <c r="B2350">
        <v>4.9000000000000004</v>
      </c>
      <c r="C2350" t="s">
        <v>3354</v>
      </c>
      <c r="D2350" t="s">
        <v>4013</v>
      </c>
    </row>
    <row r="2351" spans="1:4">
      <c r="A2351" t="s">
        <v>5432</v>
      </c>
      <c r="B2351">
        <v>4.74</v>
      </c>
      <c r="C2351" t="s">
        <v>4012</v>
      </c>
      <c r="D2351" t="s">
        <v>4013</v>
      </c>
    </row>
    <row r="2352" spans="1:4">
      <c r="A2352" t="s">
        <v>5433</v>
      </c>
      <c r="B2352">
        <v>4.8499999999999996</v>
      </c>
      <c r="C2352" t="s">
        <v>4012</v>
      </c>
      <c r="D2352" t="s">
        <v>5424</v>
      </c>
    </row>
    <row r="2353" spans="1:4">
      <c r="A2353" t="s">
        <v>5434</v>
      </c>
      <c r="B2353">
        <v>4.72</v>
      </c>
      <c r="C2353" t="s">
        <v>5435</v>
      </c>
      <c r="D2353" t="s">
        <v>4013</v>
      </c>
    </row>
    <row r="2354" spans="1:4">
      <c r="A2354" t="s">
        <v>5436</v>
      </c>
      <c r="B2354">
        <v>4.53</v>
      </c>
      <c r="C2354" t="s">
        <v>3354</v>
      </c>
      <c r="D2354" t="s">
        <v>4013</v>
      </c>
    </row>
    <row r="2355" spans="1:4">
      <c r="A2355" t="s">
        <v>5437</v>
      </c>
      <c r="B2355">
        <v>4.95</v>
      </c>
      <c r="C2355" t="s">
        <v>108</v>
      </c>
      <c r="D2355" t="s">
        <v>5424</v>
      </c>
    </row>
    <row r="2356" spans="1:4">
      <c r="A2356" t="s">
        <v>5438</v>
      </c>
      <c r="B2356">
        <v>5.0999999999999996</v>
      </c>
      <c r="C2356" t="s">
        <v>108</v>
      </c>
      <c r="D2356" t="s">
        <v>5424</v>
      </c>
    </row>
    <row r="2357" spans="1:4">
      <c r="A2357" t="s">
        <v>5439</v>
      </c>
      <c r="B2357">
        <v>4.9000000000000004</v>
      </c>
      <c r="C2357" t="s">
        <v>4012</v>
      </c>
      <c r="D2357" t="s">
        <v>5420</v>
      </c>
    </row>
    <row r="2358" spans="1:4">
      <c r="A2358" t="s">
        <v>5440</v>
      </c>
      <c r="B2358">
        <v>5</v>
      </c>
      <c r="C2358" t="s">
        <v>3354</v>
      </c>
      <c r="D2358" t="s">
        <v>4013</v>
      </c>
    </row>
    <row r="2359" spans="1:4">
      <c r="A2359" t="s">
        <v>5441</v>
      </c>
      <c r="B2359">
        <v>4.8499999999999996</v>
      </c>
      <c r="C2359" t="s">
        <v>3354</v>
      </c>
      <c r="D2359" t="s">
        <v>5420</v>
      </c>
    </row>
    <row r="2360" spans="1:4">
      <c r="A2360" t="s">
        <v>5442</v>
      </c>
      <c r="B2360">
        <v>5.07</v>
      </c>
      <c r="C2360" t="s">
        <v>3166</v>
      </c>
      <c r="D2360" t="s">
        <v>4013</v>
      </c>
    </row>
    <row r="2361" spans="1:4">
      <c r="A2361" t="s">
        <v>5443</v>
      </c>
      <c r="B2361">
        <v>4.8499999999999996</v>
      </c>
      <c r="C2361" t="s">
        <v>3863</v>
      </c>
      <c r="D2361" t="s">
        <v>4013</v>
      </c>
    </row>
    <row r="2362" spans="1:4">
      <c r="A2362" t="s">
        <v>5444</v>
      </c>
      <c r="B2362">
        <v>4.8099999999999996</v>
      </c>
      <c r="C2362" t="s">
        <v>4012</v>
      </c>
      <c r="D2362" t="s">
        <v>4013</v>
      </c>
    </row>
    <row r="2363" spans="1:4">
      <c r="A2363" t="s">
        <v>5445</v>
      </c>
      <c r="B2363">
        <v>4.88</v>
      </c>
      <c r="C2363" t="s">
        <v>4012</v>
      </c>
      <c r="D2363" t="s">
        <v>5424</v>
      </c>
    </row>
    <row r="2364" spans="1:4">
      <c r="A2364" t="s">
        <v>5446</v>
      </c>
      <c r="B2364">
        <v>5.0999999999999996</v>
      </c>
      <c r="C2364" t="s">
        <v>4012</v>
      </c>
      <c r="D2364" t="s">
        <v>5424</v>
      </c>
    </row>
    <row r="2365" spans="1:4">
      <c r="A2365" t="s">
        <v>5447</v>
      </c>
      <c r="B2365">
        <v>5.1100000000000003</v>
      </c>
      <c r="C2365" t="s">
        <v>3354</v>
      </c>
      <c r="D2365" t="s">
        <v>5424</v>
      </c>
    </row>
    <row r="2366" spans="1:4">
      <c r="A2366" t="s">
        <v>5448</v>
      </c>
      <c r="B2366">
        <v>5.08</v>
      </c>
      <c r="C2366" t="s">
        <v>4012</v>
      </c>
      <c r="D2366" t="s">
        <v>4013</v>
      </c>
    </row>
    <row r="2367" spans="1:4">
      <c r="A2367" t="s">
        <v>5449</v>
      </c>
      <c r="B2367">
        <v>5.22</v>
      </c>
      <c r="C2367" t="s">
        <v>4012</v>
      </c>
      <c r="D2367" t="s">
        <v>5424</v>
      </c>
    </row>
    <row r="2368" spans="1:4">
      <c r="A2368" t="s">
        <v>5450</v>
      </c>
      <c r="B2368">
        <v>4.5999999999999996</v>
      </c>
      <c r="C2368" t="s">
        <v>4012</v>
      </c>
      <c r="D2368" t="s">
        <v>5418</v>
      </c>
    </row>
    <row r="2369" spans="1:4">
      <c r="A2369" t="s">
        <v>5451</v>
      </c>
      <c r="B2369">
        <v>4.3099999999999996</v>
      </c>
      <c r="C2369" t="s">
        <v>3354</v>
      </c>
      <c r="D2369" t="s">
        <v>4013</v>
      </c>
    </row>
    <row r="2370" spans="1:4">
      <c r="A2370" t="s">
        <v>5452</v>
      </c>
      <c r="B2370">
        <v>4.47</v>
      </c>
      <c r="C2370" t="s">
        <v>3354</v>
      </c>
      <c r="D2370" t="s">
        <v>4013</v>
      </c>
    </row>
    <row r="2371" spans="1:4">
      <c r="A2371" t="s">
        <v>5453</v>
      </c>
      <c r="B2371">
        <v>4.91</v>
      </c>
      <c r="C2371" t="s">
        <v>3354</v>
      </c>
      <c r="D2371" t="s">
        <v>4013</v>
      </c>
    </row>
    <row r="2372" spans="1:4">
      <c r="A2372" t="s">
        <v>5454</v>
      </c>
      <c r="B2372">
        <v>5.0999999999999996</v>
      </c>
      <c r="C2372" t="s">
        <v>3354</v>
      </c>
      <c r="D2372" t="s">
        <v>5424</v>
      </c>
    </row>
    <row r="2373" spans="1:4">
      <c r="A2373" t="s">
        <v>5455</v>
      </c>
      <c r="B2373">
        <v>5.25</v>
      </c>
      <c r="C2373" t="s">
        <v>108</v>
      </c>
      <c r="D2373" t="s">
        <v>4013</v>
      </c>
    </row>
    <row r="2374" spans="1:4">
      <c r="A2374" t="s">
        <v>5456</v>
      </c>
      <c r="B2374">
        <v>5.3</v>
      </c>
      <c r="C2374" t="s">
        <v>108</v>
      </c>
      <c r="D2374" t="s">
        <v>4013</v>
      </c>
    </row>
    <row r="2375" spans="1:4">
      <c r="A2375" t="s">
        <v>5457</v>
      </c>
      <c r="B2375">
        <v>5.0999999999999996</v>
      </c>
      <c r="C2375" t="s">
        <v>108</v>
      </c>
      <c r="D2375" t="s">
        <v>4013</v>
      </c>
    </row>
    <row r="2376" spans="1:4">
      <c r="A2376" t="s">
        <v>5458</v>
      </c>
      <c r="B2376">
        <v>5</v>
      </c>
      <c r="C2376" t="s">
        <v>108</v>
      </c>
      <c r="D2376" t="s">
        <v>4013</v>
      </c>
    </row>
    <row r="2377" spans="1:4">
      <c r="A2377" t="s">
        <v>5459</v>
      </c>
      <c r="B2377">
        <v>4.5</v>
      </c>
      <c r="C2377" t="s">
        <v>3954</v>
      </c>
      <c r="D2377" t="s">
        <v>4013</v>
      </c>
    </row>
    <row r="2378" spans="1:4">
      <c r="A2378" t="s">
        <v>5460</v>
      </c>
      <c r="B2378">
        <v>5</v>
      </c>
      <c r="C2378" t="s">
        <v>4012</v>
      </c>
      <c r="D2378" t="s">
        <v>5424</v>
      </c>
    </row>
    <row r="2379" spans="1:4">
      <c r="A2379" t="s">
        <v>5461</v>
      </c>
      <c r="B2379">
        <v>3.67</v>
      </c>
      <c r="C2379" t="s">
        <v>3530</v>
      </c>
      <c r="D2379" t="s">
        <v>5406</v>
      </c>
    </row>
    <row r="2380" spans="1:4">
      <c r="A2380" t="s">
        <v>5462</v>
      </c>
      <c r="B2380">
        <v>4.67</v>
      </c>
      <c r="C2380" t="s">
        <v>3166</v>
      </c>
      <c r="D2380" t="s">
        <v>5420</v>
      </c>
    </row>
    <row r="2381" spans="1:4">
      <c r="A2381" t="s">
        <v>5463</v>
      </c>
      <c r="B2381">
        <v>3</v>
      </c>
      <c r="C2381" t="s">
        <v>4017</v>
      </c>
      <c r="D2381" t="s">
        <v>3948</v>
      </c>
    </row>
    <row r="2382" spans="1:4">
      <c r="A2382" t="s">
        <v>5464</v>
      </c>
      <c r="B2382">
        <v>2.95</v>
      </c>
      <c r="C2382" t="s">
        <v>4017</v>
      </c>
      <c r="D2382" t="s">
        <v>3948</v>
      </c>
    </row>
    <row r="2383" spans="1:4">
      <c r="A2383" t="s">
        <v>5465</v>
      </c>
      <c r="B2383">
        <v>3.2</v>
      </c>
      <c r="C2383" t="s">
        <v>4017</v>
      </c>
      <c r="D2383" t="s">
        <v>3948</v>
      </c>
    </row>
    <row r="2384" spans="1:4">
      <c r="A2384" t="s">
        <v>7601</v>
      </c>
      <c r="B2384">
        <v>2.85</v>
      </c>
      <c r="C2384" t="s">
        <v>4501</v>
      </c>
      <c r="D2384" t="s">
        <v>3859</v>
      </c>
    </row>
    <row r="2385" spans="1:4">
      <c r="A2385" t="s">
        <v>7602</v>
      </c>
      <c r="B2385">
        <v>2.77</v>
      </c>
      <c r="C2385" t="s">
        <v>2421</v>
      </c>
      <c r="D2385" t="s">
        <v>3859</v>
      </c>
    </row>
    <row r="2386" spans="1:4">
      <c r="A2386" t="s">
        <v>7603</v>
      </c>
      <c r="B2386">
        <v>176.7</v>
      </c>
      <c r="C2386" t="s">
        <v>2827</v>
      </c>
      <c r="D2386" t="s">
        <v>4456</v>
      </c>
    </row>
    <row r="2387" spans="1:4">
      <c r="A2387" t="s">
        <v>7604</v>
      </c>
      <c r="B2387">
        <v>2.82</v>
      </c>
      <c r="C2387" t="s">
        <v>2421</v>
      </c>
      <c r="D2387" t="s">
        <v>3859</v>
      </c>
    </row>
    <row r="2388" spans="1:4">
      <c r="A2388" t="s">
        <v>7605</v>
      </c>
      <c r="B2388">
        <v>1.8</v>
      </c>
      <c r="C2388" t="s">
        <v>108</v>
      </c>
      <c r="D2388" t="s">
        <v>7606</v>
      </c>
    </row>
    <row r="2389" spans="1:4">
      <c r="A2389" t="s">
        <v>7607</v>
      </c>
      <c r="B2389">
        <v>2.7</v>
      </c>
      <c r="C2389" t="s">
        <v>3954</v>
      </c>
      <c r="D2389" t="s">
        <v>3859</v>
      </c>
    </row>
    <row r="2390" spans="1:4">
      <c r="A2390" t="s">
        <v>7608</v>
      </c>
      <c r="B2390">
        <v>2.75</v>
      </c>
      <c r="C2390" t="s">
        <v>108</v>
      </c>
      <c r="D2390" t="s">
        <v>3859</v>
      </c>
    </row>
    <row r="2391" spans="1:4">
      <c r="A2391" t="s">
        <v>7609</v>
      </c>
      <c r="B2391">
        <v>2.88</v>
      </c>
      <c r="C2391" t="s">
        <v>3954</v>
      </c>
      <c r="D2391" t="s">
        <v>3859</v>
      </c>
    </row>
    <row r="2392" spans="1:4">
      <c r="A2392" t="s">
        <v>7610</v>
      </c>
      <c r="B2392">
        <v>2.85</v>
      </c>
      <c r="C2392" t="s">
        <v>3166</v>
      </c>
      <c r="D2392" t="s">
        <v>3859</v>
      </c>
    </row>
    <row r="2393" spans="1:4">
      <c r="A2393" t="s">
        <v>7611</v>
      </c>
      <c r="B2393">
        <v>2.75</v>
      </c>
      <c r="C2393" t="s">
        <v>3954</v>
      </c>
      <c r="D2393" t="s">
        <v>3859</v>
      </c>
    </row>
    <row r="2394" spans="1:4">
      <c r="A2394" t="s">
        <v>7612</v>
      </c>
      <c r="B2394">
        <v>2.88</v>
      </c>
      <c r="C2394" t="s">
        <v>3166</v>
      </c>
      <c r="D2394" t="s">
        <v>3859</v>
      </c>
    </row>
    <row r="2395" spans="1:4">
      <c r="A2395" t="s">
        <v>7613</v>
      </c>
      <c r="B2395">
        <v>2.7</v>
      </c>
      <c r="C2395" t="s">
        <v>3954</v>
      </c>
      <c r="D2395" t="s">
        <v>3859</v>
      </c>
    </row>
    <row r="2396" spans="1:4">
      <c r="A2396" t="s">
        <v>7614</v>
      </c>
      <c r="B2396">
        <v>2.85</v>
      </c>
      <c r="C2396" t="s">
        <v>3166</v>
      </c>
      <c r="D2396" t="s">
        <v>3859</v>
      </c>
    </row>
    <row r="2397" spans="1:4">
      <c r="A2397" t="s">
        <v>7615</v>
      </c>
      <c r="B2397">
        <v>2.85</v>
      </c>
      <c r="C2397" t="s">
        <v>3103</v>
      </c>
      <c r="D2397" t="s">
        <v>3859</v>
      </c>
    </row>
    <row r="2398" spans="1:4">
      <c r="A2398" t="s">
        <v>7616</v>
      </c>
      <c r="B2398">
        <v>2.85</v>
      </c>
      <c r="C2398" t="s">
        <v>3103</v>
      </c>
      <c r="D2398" t="s">
        <v>3859</v>
      </c>
    </row>
    <row r="2399" spans="1:4">
      <c r="A2399" t="s">
        <v>7617</v>
      </c>
      <c r="B2399">
        <v>2.78</v>
      </c>
      <c r="C2399" t="s">
        <v>3103</v>
      </c>
      <c r="D2399" t="s">
        <v>3859</v>
      </c>
    </row>
    <row r="2400" spans="1:4">
      <c r="A2400" t="s">
        <v>7618</v>
      </c>
      <c r="B2400">
        <v>3.06</v>
      </c>
      <c r="C2400" t="s">
        <v>3103</v>
      </c>
      <c r="D2400" t="s">
        <v>3859</v>
      </c>
    </row>
    <row r="2401" spans="1:4">
      <c r="A2401" t="s">
        <v>7619</v>
      </c>
      <c r="B2401">
        <v>3.05</v>
      </c>
      <c r="C2401" t="s">
        <v>3103</v>
      </c>
      <c r="D2401" t="s">
        <v>3859</v>
      </c>
    </row>
    <row r="2402" spans="1:4">
      <c r="A2402" t="s">
        <v>7620</v>
      </c>
      <c r="B2402">
        <v>2.95</v>
      </c>
      <c r="C2402" t="s">
        <v>3954</v>
      </c>
      <c r="D2402" t="s">
        <v>3859</v>
      </c>
    </row>
    <row r="2403" spans="1:4">
      <c r="A2403" t="s">
        <v>7621</v>
      </c>
      <c r="B2403">
        <v>1.75</v>
      </c>
      <c r="C2403" t="s">
        <v>108</v>
      </c>
      <c r="D2403" t="s">
        <v>7622</v>
      </c>
    </row>
    <row r="2404" spans="1:4">
      <c r="A2404" t="s">
        <v>7623</v>
      </c>
      <c r="B2404">
        <v>2.7</v>
      </c>
      <c r="C2404" t="s">
        <v>3166</v>
      </c>
      <c r="D2404" t="s">
        <v>3859</v>
      </c>
    </row>
    <row r="2405" spans="1:4">
      <c r="A2405" t="s">
        <v>7624</v>
      </c>
      <c r="B2405">
        <v>2.7</v>
      </c>
      <c r="C2405" t="s">
        <v>3954</v>
      </c>
      <c r="D2405" t="s">
        <v>3859</v>
      </c>
    </row>
    <row r="2406" spans="1:4">
      <c r="A2406" t="s">
        <v>7625</v>
      </c>
      <c r="B2406">
        <v>2.9</v>
      </c>
      <c r="C2406" t="s">
        <v>3166</v>
      </c>
      <c r="D2406" t="s">
        <v>3859</v>
      </c>
    </row>
    <row r="2407" spans="1:4">
      <c r="A2407" t="s">
        <v>7626</v>
      </c>
      <c r="B2407">
        <v>2.85</v>
      </c>
      <c r="C2407" t="s">
        <v>108</v>
      </c>
      <c r="D2407" t="s">
        <v>3859</v>
      </c>
    </row>
    <row r="2408" spans="1:4">
      <c r="A2408" t="s">
        <v>7627</v>
      </c>
      <c r="B2408">
        <v>2.9</v>
      </c>
      <c r="C2408" t="s">
        <v>3166</v>
      </c>
      <c r="D2408" t="s">
        <v>3859</v>
      </c>
    </row>
    <row r="2409" spans="1:4">
      <c r="A2409" t="s">
        <v>7628</v>
      </c>
      <c r="B2409">
        <v>2.9</v>
      </c>
      <c r="C2409" t="s">
        <v>3166</v>
      </c>
      <c r="D2409" t="s">
        <v>3859</v>
      </c>
    </row>
    <row r="2410" spans="1:4">
      <c r="A2410" t="s">
        <v>7629</v>
      </c>
      <c r="B2410">
        <v>2.75</v>
      </c>
      <c r="C2410" t="s">
        <v>108</v>
      </c>
      <c r="D2410" t="s">
        <v>3872</v>
      </c>
    </row>
    <row r="2411" spans="1:4">
      <c r="A2411" t="s">
        <v>7630</v>
      </c>
      <c r="B2411">
        <v>3.27</v>
      </c>
      <c r="C2411" t="s">
        <v>108</v>
      </c>
      <c r="D2411" t="s">
        <v>3859</v>
      </c>
    </row>
    <row r="2412" spans="1:4">
      <c r="A2412" t="s">
        <v>7631</v>
      </c>
      <c r="B2412">
        <v>3.3</v>
      </c>
      <c r="C2412" t="s">
        <v>108</v>
      </c>
      <c r="D2412" t="s">
        <v>3859</v>
      </c>
    </row>
    <row r="2413" spans="1:4">
      <c r="A2413" t="s">
        <v>7632</v>
      </c>
      <c r="B2413">
        <v>2.9</v>
      </c>
      <c r="C2413" t="s">
        <v>2421</v>
      </c>
      <c r="D2413" t="s">
        <v>3963</v>
      </c>
    </row>
    <row r="2414" spans="1:4">
      <c r="A2414" t="s">
        <v>7633</v>
      </c>
      <c r="B2414">
        <v>3.08</v>
      </c>
      <c r="C2414" t="s">
        <v>2875</v>
      </c>
      <c r="D2414" t="s">
        <v>3948</v>
      </c>
    </row>
    <row r="2415" spans="1:4">
      <c r="A2415" t="s">
        <v>7634</v>
      </c>
      <c r="B2415">
        <v>3.1</v>
      </c>
      <c r="C2415" t="s">
        <v>2827</v>
      </c>
      <c r="D2415" t="s">
        <v>3948</v>
      </c>
    </row>
    <row r="2416" spans="1:4">
      <c r="A2416" t="s">
        <v>7635</v>
      </c>
      <c r="B2416">
        <v>3.09</v>
      </c>
      <c r="C2416" t="s">
        <v>2878</v>
      </c>
      <c r="D2416" t="s">
        <v>3948</v>
      </c>
    </row>
    <row r="2417" spans="1:4">
      <c r="A2417" t="s">
        <v>7636</v>
      </c>
      <c r="B2417">
        <v>3.1</v>
      </c>
      <c r="C2417" t="s">
        <v>108</v>
      </c>
      <c r="D2417" t="s">
        <v>3948</v>
      </c>
    </row>
    <row r="2418" spans="1:4">
      <c r="A2418" t="s">
        <v>7637</v>
      </c>
      <c r="B2418">
        <v>3.13</v>
      </c>
      <c r="C2418" t="s">
        <v>3103</v>
      </c>
      <c r="D2418" t="s">
        <v>3948</v>
      </c>
    </row>
    <row r="2419" spans="1:4">
      <c r="A2419" t="s">
        <v>7638</v>
      </c>
      <c r="B2419">
        <v>3.16</v>
      </c>
      <c r="C2419" t="s">
        <v>2914</v>
      </c>
      <c r="D2419" t="s">
        <v>3948</v>
      </c>
    </row>
    <row r="2420" spans="1:4">
      <c r="A2420" t="s">
        <v>7639</v>
      </c>
      <c r="B2420">
        <v>3.16</v>
      </c>
      <c r="C2420" t="s">
        <v>2917</v>
      </c>
      <c r="D2420" t="s">
        <v>3948</v>
      </c>
    </row>
    <row r="2421" spans="1:4">
      <c r="A2421" t="s">
        <v>7640</v>
      </c>
      <c r="B2421">
        <v>3.15</v>
      </c>
      <c r="C2421" t="s">
        <v>2875</v>
      </c>
      <c r="D2421" t="s">
        <v>3948</v>
      </c>
    </row>
    <row r="2422" spans="1:4">
      <c r="A2422" t="s">
        <v>7641</v>
      </c>
      <c r="B2422">
        <v>3.21</v>
      </c>
      <c r="C2422" t="s">
        <v>2917</v>
      </c>
      <c r="D2422" t="s">
        <v>3948</v>
      </c>
    </row>
    <row r="2423" spans="1:4">
      <c r="A2423" t="s">
        <v>7642</v>
      </c>
      <c r="B2423">
        <v>3.06</v>
      </c>
      <c r="C2423" t="s">
        <v>2395</v>
      </c>
      <c r="D2423" t="s">
        <v>3948</v>
      </c>
    </row>
    <row r="2424" spans="1:4">
      <c r="A2424" t="s">
        <v>7643</v>
      </c>
      <c r="B2424">
        <v>3.06</v>
      </c>
      <c r="C2424" t="s">
        <v>2395</v>
      </c>
      <c r="D2424" t="s">
        <v>3948</v>
      </c>
    </row>
    <row r="2425" spans="1:4">
      <c r="A2425" t="s">
        <v>7644</v>
      </c>
      <c r="B2425">
        <v>3.1</v>
      </c>
      <c r="C2425" t="s">
        <v>108</v>
      </c>
      <c r="D2425" t="s">
        <v>3948</v>
      </c>
    </row>
    <row r="2426" spans="1:4">
      <c r="A2426" t="s">
        <v>7645</v>
      </c>
      <c r="B2426">
        <v>3.15</v>
      </c>
      <c r="C2426" t="s">
        <v>2827</v>
      </c>
      <c r="D2426" t="s">
        <v>3948</v>
      </c>
    </row>
    <row r="2427" spans="1:4">
      <c r="A2427" t="s">
        <v>7646</v>
      </c>
      <c r="B2427">
        <v>3.15</v>
      </c>
      <c r="C2427" t="s">
        <v>2888</v>
      </c>
      <c r="D2427" t="s">
        <v>3948</v>
      </c>
    </row>
    <row r="2428" spans="1:4">
      <c r="A2428" t="s">
        <v>7647</v>
      </c>
      <c r="B2428">
        <v>3.15</v>
      </c>
      <c r="C2428" t="s">
        <v>108</v>
      </c>
      <c r="D2428" t="s">
        <v>3948</v>
      </c>
    </row>
    <row r="2429" spans="1:4">
      <c r="A2429" t="s">
        <v>7648</v>
      </c>
      <c r="B2429">
        <v>3.03</v>
      </c>
      <c r="C2429" t="s">
        <v>3166</v>
      </c>
      <c r="D2429" t="s">
        <v>3948</v>
      </c>
    </row>
    <row r="2430" spans="1:4">
      <c r="A2430" t="s">
        <v>7649</v>
      </c>
      <c r="B2430">
        <v>3.03</v>
      </c>
      <c r="C2430" t="s">
        <v>3166</v>
      </c>
      <c r="D2430" t="s">
        <v>3948</v>
      </c>
    </row>
    <row r="2431" spans="1:4">
      <c r="A2431" t="s">
        <v>7650</v>
      </c>
      <c r="B2431">
        <v>3.06</v>
      </c>
      <c r="C2431" t="s">
        <v>4529</v>
      </c>
      <c r="D2431" t="s">
        <v>3945</v>
      </c>
    </row>
    <row r="2432" spans="1:4">
      <c r="A2432" t="s">
        <v>7651</v>
      </c>
      <c r="B2432">
        <v>3.04</v>
      </c>
      <c r="C2432" t="s">
        <v>6582</v>
      </c>
      <c r="D2432" t="s">
        <v>4018</v>
      </c>
    </row>
    <row r="2433" spans="1:4">
      <c r="A2433" t="s">
        <v>7652</v>
      </c>
      <c r="B2433">
        <v>3.19</v>
      </c>
      <c r="C2433" t="s">
        <v>7653</v>
      </c>
      <c r="D2433" t="s">
        <v>3963</v>
      </c>
    </row>
    <row r="2434" spans="1:4">
      <c r="A2434" t="s">
        <v>7654</v>
      </c>
      <c r="B2434">
        <v>2.95</v>
      </c>
      <c r="C2434" t="s">
        <v>108</v>
      </c>
      <c r="D2434" t="s">
        <v>3948</v>
      </c>
    </row>
    <row r="2435" spans="1:4">
      <c r="A2435" t="s">
        <v>7655</v>
      </c>
      <c r="B2435">
        <v>3.18</v>
      </c>
      <c r="C2435" t="s">
        <v>7656</v>
      </c>
      <c r="D2435" t="s">
        <v>3948</v>
      </c>
    </row>
    <row r="2436" spans="1:4">
      <c r="A2436" t="s">
        <v>7657</v>
      </c>
      <c r="B2436">
        <v>3.17</v>
      </c>
      <c r="C2436" t="s">
        <v>2690</v>
      </c>
      <c r="D2436" t="s">
        <v>3948</v>
      </c>
    </row>
    <row r="2437" spans="1:4">
      <c r="A2437" t="s">
        <v>7658</v>
      </c>
      <c r="B2437">
        <v>3</v>
      </c>
      <c r="C2437" t="s">
        <v>108</v>
      </c>
      <c r="D2437" t="s">
        <v>3963</v>
      </c>
    </row>
    <row r="2438" spans="1:4">
      <c r="A2438" t="s">
        <v>7659</v>
      </c>
      <c r="B2438">
        <v>3</v>
      </c>
      <c r="C2438" t="s">
        <v>108</v>
      </c>
      <c r="D2438" t="s">
        <v>3963</v>
      </c>
    </row>
    <row r="2439" spans="1:4">
      <c r="A2439" t="s">
        <v>7660</v>
      </c>
      <c r="B2439">
        <v>3</v>
      </c>
      <c r="C2439" t="s">
        <v>108</v>
      </c>
      <c r="D2439" t="s">
        <v>3963</v>
      </c>
    </row>
    <row r="2440" spans="1:4">
      <c r="A2440" t="s">
        <v>7661</v>
      </c>
      <c r="B2440">
        <v>3</v>
      </c>
      <c r="C2440" t="s">
        <v>108</v>
      </c>
      <c r="D2440" t="s">
        <v>3963</v>
      </c>
    </row>
    <row r="2441" spans="1:4">
      <c r="A2441" t="s">
        <v>7662</v>
      </c>
      <c r="B2441">
        <v>3.11</v>
      </c>
      <c r="C2441" t="s">
        <v>7663</v>
      </c>
      <c r="D2441" t="s">
        <v>3859</v>
      </c>
    </row>
    <row r="2442" spans="1:4">
      <c r="A2442" t="s">
        <v>7664</v>
      </c>
      <c r="B2442">
        <v>3</v>
      </c>
      <c r="C2442" t="s">
        <v>108</v>
      </c>
      <c r="D2442" t="s">
        <v>3948</v>
      </c>
    </row>
    <row r="2443" spans="1:4">
      <c r="A2443" t="s">
        <v>7665</v>
      </c>
      <c r="B2443">
        <v>3.02</v>
      </c>
      <c r="C2443" t="s">
        <v>108</v>
      </c>
      <c r="D2443" t="s">
        <v>3948</v>
      </c>
    </row>
    <row r="2444" spans="1:4">
      <c r="A2444" t="s">
        <v>7666</v>
      </c>
      <c r="B2444">
        <v>3</v>
      </c>
      <c r="C2444" t="s">
        <v>108</v>
      </c>
      <c r="D2444" t="s">
        <v>3948</v>
      </c>
    </row>
    <row r="2445" spans="1:4">
      <c r="A2445" t="s">
        <v>7667</v>
      </c>
      <c r="B2445">
        <v>2.98</v>
      </c>
      <c r="C2445" t="s">
        <v>108</v>
      </c>
      <c r="D2445" t="s">
        <v>3859</v>
      </c>
    </row>
    <row r="2446" spans="1:4">
      <c r="A2446" t="s">
        <v>7668</v>
      </c>
      <c r="B2446">
        <v>3.1</v>
      </c>
      <c r="C2446" t="s">
        <v>108</v>
      </c>
      <c r="D2446" t="s">
        <v>3948</v>
      </c>
    </row>
    <row r="2447" spans="1:4">
      <c r="A2447" t="s">
        <v>7669</v>
      </c>
      <c r="B2447">
        <v>3.1</v>
      </c>
      <c r="C2447" t="s">
        <v>108</v>
      </c>
      <c r="D2447" t="s">
        <v>3948</v>
      </c>
    </row>
    <row r="2448" spans="1:4">
      <c r="A2448" t="s">
        <v>7670</v>
      </c>
      <c r="B2448">
        <v>3.1</v>
      </c>
      <c r="C2448" t="s">
        <v>108</v>
      </c>
      <c r="D2448" t="s">
        <v>3948</v>
      </c>
    </row>
    <row r="2449" spans="1:4">
      <c r="A2449" t="s">
        <v>7671</v>
      </c>
      <c r="B2449">
        <v>3.1</v>
      </c>
      <c r="C2449" t="s">
        <v>108</v>
      </c>
      <c r="D2449" t="s">
        <v>3948</v>
      </c>
    </row>
    <row r="2450" spans="1:4">
      <c r="A2450" t="s">
        <v>7672</v>
      </c>
      <c r="B2450">
        <v>3.08</v>
      </c>
      <c r="C2450" t="s">
        <v>7673</v>
      </c>
      <c r="D2450" t="s">
        <v>3948</v>
      </c>
    </row>
    <row r="2451" spans="1:4">
      <c r="A2451" t="s">
        <v>7674</v>
      </c>
      <c r="B2451">
        <v>3.11</v>
      </c>
      <c r="C2451" t="s">
        <v>3965</v>
      </c>
      <c r="D2451" t="s">
        <v>3948</v>
      </c>
    </row>
    <row r="2452" spans="1:4">
      <c r="A2452" t="s">
        <v>7675</v>
      </c>
      <c r="B2452">
        <v>3.11</v>
      </c>
      <c r="C2452" t="s">
        <v>7676</v>
      </c>
      <c r="D2452" t="s">
        <v>3948</v>
      </c>
    </row>
    <row r="2453" spans="1:4">
      <c r="A2453" t="s">
        <v>7677</v>
      </c>
      <c r="B2453">
        <v>3.08</v>
      </c>
      <c r="C2453" t="s">
        <v>108</v>
      </c>
      <c r="D2453" t="s">
        <v>3963</v>
      </c>
    </row>
    <row r="2454" spans="1:4">
      <c r="A2454" t="s">
        <v>7678</v>
      </c>
      <c r="B2454">
        <v>3.11</v>
      </c>
      <c r="C2454" t="s">
        <v>5643</v>
      </c>
      <c r="D2454" t="s">
        <v>7679</v>
      </c>
    </row>
    <row r="2455" spans="1:4">
      <c r="A2455" t="s">
        <v>7680</v>
      </c>
      <c r="B2455">
        <v>3.15</v>
      </c>
      <c r="C2455" t="s">
        <v>2395</v>
      </c>
      <c r="D2455" t="s">
        <v>3948</v>
      </c>
    </row>
    <row r="2456" spans="1:4">
      <c r="A2456" t="s">
        <v>7681</v>
      </c>
      <c r="B2456">
        <v>3.26</v>
      </c>
      <c r="C2456" t="s">
        <v>4613</v>
      </c>
      <c r="D2456" t="s">
        <v>3948</v>
      </c>
    </row>
    <row r="2457" spans="1:4">
      <c r="A2457" t="s">
        <v>7682</v>
      </c>
      <c r="B2457">
        <v>3.14</v>
      </c>
      <c r="C2457" t="s">
        <v>108</v>
      </c>
      <c r="D2457" t="s">
        <v>3945</v>
      </c>
    </row>
    <row r="2458" spans="1:4">
      <c r="A2458" t="s">
        <v>7683</v>
      </c>
      <c r="B2458">
        <v>3.12</v>
      </c>
      <c r="C2458" t="s">
        <v>2392</v>
      </c>
      <c r="D2458" t="s">
        <v>3948</v>
      </c>
    </row>
    <row r="2459" spans="1:4">
      <c r="A2459" t="s">
        <v>7684</v>
      </c>
      <c r="B2459">
        <v>3.1</v>
      </c>
      <c r="C2459" t="s">
        <v>2395</v>
      </c>
      <c r="D2459" t="s">
        <v>3948</v>
      </c>
    </row>
    <row r="2460" spans="1:4">
      <c r="A2460" t="s">
        <v>7685</v>
      </c>
      <c r="B2460">
        <v>3</v>
      </c>
      <c r="C2460" t="s">
        <v>2395</v>
      </c>
      <c r="D2460" t="s">
        <v>3948</v>
      </c>
    </row>
    <row r="2461" spans="1:4">
      <c r="A2461" t="s">
        <v>7686</v>
      </c>
      <c r="B2461">
        <v>3</v>
      </c>
      <c r="C2461" t="s">
        <v>2395</v>
      </c>
      <c r="D2461" t="s">
        <v>3948</v>
      </c>
    </row>
    <row r="2462" spans="1:4">
      <c r="A2462" t="s">
        <v>7687</v>
      </c>
      <c r="B2462">
        <v>3.03</v>
      </c>
      <c r="C2462" t="s">
        <v>3103</v>
      </c>
      <c r="D2462" t="s">
        <v>3948</v>
      </c>
    </row>
    <row r="2463" spans="1:4">
      <c r="A2463" t="s">
        <v>7688</v>
      </c>
      <c r="B2463">
        <v>3</v>
      </c>
      <c r="C2463" t="s">
        <v>3103</v>
      </c>
      <c r="D2463" t="s">
        <v>3948</v>
      </c>
    </row>
    <row r="2464" spans="1:4">
      <c r="A2464" t="s">
        <v>7689</v>
      </c>
      <c r="B2464">
        <v>3</v>
      </c>
      <c r="C2464" t="s">
        <v>108</v>
      </c>
      <c r="D2464" t="s">
        <v>3948</v>
      </c>
    </row>
    <row r="2465" spans="1:4">
      <c r="A2465" t="s">
        <v>7690</v>
      </c>
      <c r="B2465">
        <v>3</v>
      </c>
      <c r="C2465" t="s">
        <v>2395</v>
      </c>
      <c r="D2465" t="s">
        <v>3948</v>
      </c>
    </row>
    <row r="2466" spans="1:4">
      <c r="A2466" t="s">
        <v>7691</v>
      </c>
      <c r="B2466">
        <v>3.02</v>
      </c>
      <c r="C2466" t="s">
        <v>108</v>
      </c>
      <c r="D2466" t="s">
        <v>3948</v>
      </c>
    </row>
    <row r="2467" spans="1:4">
      <c r="A2467" t="s">
        <v>7692</v>
      </c>
      <c r="B2467">
        <v>3.02</v>
      </c>
      <c r="C2467" t="s">
        <v>2392</v>
      </c>
      <c r="D2467" t="s">
        <v>3948</v>
      </c>
    </row>
    <row r="2468" spans="1:4">
      <c r="A2468" t="s">
        <v>7693</v>
      </c>
      <c r="B2468">
        <v>3</v>
      </c>
      <c r="C2468" t="s">
        <v>2392</v>
      </c>
      <c r="D2468" t="s">
        <v>3948</v>
      </c>
    </row>
    <row r="2469" spans="1:4">
      <c r="A2469" t="s">
        <v>7694</v>
      </c>
      <c r="B2469">
        <v>3.02</v>
      </c>
      <c r="C2469" t="s">
        <v>2392</v>
      </c>
      <c r="D2469" t="s">
        <v>3948</v>
      </c>
    </row>
    <row r="2470" spans="1:4">
      <c r="A2470" t="s">
        <v>7695</v>
      </c>
      <c r="B2470">
        <v>3</v>
      </c>
      <c r="C2470" t="s">
        <v>108</v>
      </c>
      <c r="D2470" t="s">
        <v>3948</v>
      </c>
    </row>
    <row r="2471" spans="1:4">
      <c r="A2471" t="s">
        <v>7696</v>
      </c>
      <c r="B2471">
        <v>3.02</v>
      </c>
      <c r="C2471" t="s">
        <v>2395</v>
      </c>
      <c r="D2471" t="s">
        <v>3948</v>
      </c>
    </row>
    <row r="2472" spans="1:4">
      <c r="A2472" t="s">
        <v>7697</v>
      </c>
      <c r="B2472">
        <v>2.9</v>
      </c>
      <c r="C2472" t="s">
        <v>2392</v>
      </c>
      <c r="D2472" t="s">
        <v>3948</v>
      </c>
    </row>
    <row r="2473" spans="1:4">
      <c r="A2473" t="s">
        <v>7698</v>
      </c>
      <c r="B2473">
        <v>3.11</v>
      </c>
      <c r="C2473" t="s">
        <v>7699</v>
      </c>
      <c r="D2473" t="s">
        <v>3948</v>
      </c>
    </row>
    <row r="2474" spans="1:4">
      <c r="A2474" t="s">
        <v>7700</v>
      </c>
      <c r="B2474">
        <v>3</v>
      </c>
      <c r="C2474" t="s">
        <v>2395</v>
      </c>
      <c r="D2474" t="s">
        <v>3948</v>
      </c>
    </row>
    <row r="2475" spans="1:4">
      <c r="A2475" t="s">
        <v>7701</v>
      </c>
      <c r="B2475">
        <v>3.15</v>
      </c>
      <c r="C2475" t="s">
        <v>2395</v>
      </c>
      <c r="D2475" t="s">
        <v>3948</v>
      </c>
    </row>
    <row r="2476" spans="1:4">
      <c r="A2476" t="s">
        <v>7702</v>
      </c>
      <c r="B2476">
        <v>3</v>
      </c>
      <c r="C2476" t="s">
        <v>2392</v>
      </c>
      <c r="D2476" t="s">
        <v>3948</v>
      </c>
    </row>
    <row r="2477" spans="1:4">
      <c r="A2477" t="s">
        <v>7703</v>
      </c>
      <c r="B2477">
        <v>2.98</v>
      </c>
      <c r="C2477" t="s">
        <v>2392</v>
      </c>
      <c r="D2477" t="s">
        <v>3948</v>
      </c>
    </row>
    <row r="2478" spans="1:4">
      <c r="A2478" t="s">
        <v>7704</v>
      </c>
      <c r="B2478">
        <v>3.05</v>
      </c>
      <c r="C2478" t="s">
        <v>2392</v>
      </c>
      <c r="D2478" t="s">
        <v>3948</v>
      </c>
    </row>
    <row r="2479" spans="1:4">
      <c r="A2479" t="s">
        <v>7705</v>
      </c>
      <c r="B2479">
        <v>3.02</v>
      </c>
      <c r="C2479" t="s">
        <v>108</v>
      </c>
      <c r="D2479" t="s">
        <v>3948</v>
      </c>
    </row>
    <row r="2480" spans="1:4">
      <c r="A2480" t="s">
        <v>7706</v>
      </c>
      <c r="B2480">
        <v>3.05</v>
      </c>
      <c r="C2480" t="s">
        <v>108</v>
      </c>
      <c r="D2480" t="s">
        <v>3948</v>
      </c>
    </row>
    <row r="2481" spans="1:4">
      <c r="A2481" t="s">
        <v>7707</v>
      </c>
      <c r="B2481">
        <v>3</v>
      </c>
      <c r="C2481" t="s">
        <v>4776</v>
      </c>
      <c r="D2481" t="s">
        <v>3948</v>
      </c>
    </row>
    <row r="2482" spans="1:4">
      <c r="A2482" t="s">
        <v>7708</v>
      </c>
      <c r="B2482">
        <v>3.15</v>
      </c>
      <c r="C2482" t="s">
        <v>2783</v>
      </c>
      <c r="D2482" t="s">
        <v>3963</v>
      </c>
    </row>
    <row r="2483" spans="1:4">
      <c r="A2483" t="s">
        <v>7709</v>
      </c>
      <c r="B2483">
        <v>3</v>
      </c>
      <c r="C2483" t="s">
        <v>2392</v>
      </c>
      <c r="D2483" t="s">
        <v>3948</v>
      </c>
    </row>
    <row r="2484" spans="1:4">
      <c r="A2484" t="s">
        <v>7710</v>
      </c>
      <c r="B2484">
        <v>3.08</v>
      </c>
      <c r="C2484" t="s">
        <v>7711</v>
      </c>
      <c r="D2484" t="s">
        <v>3859</v>
      </c>
    </row>
    <row r="2485" spans="1:4">
      <c r="A2485" t="s">
        <v>7712</v>
      </c>
      <c r="B2485">
        <v>3</v>
      </c>
      <c r="C2485" t="s">
        <v>3103</v>
      </c>
      <c r="D2485" t="s">
        <v>3948</v>
      </c>
    </row>
    <row r="2486" spans="1:4">
      <c r="A2486" t="s">
        <v>7713</v>
      </c>
      <c r="B2486">
        <v>3.02</v>
      </c>
      <c r="C2486" t="s">
        <v>108</v>
      </c>
      <c r="D2486" t="s">
        <v>3948</v>
      </c>
    </row>
    <row r="2487" spans="1:4">
      <c r="A2487" t="s">
        <v>7714</v>
      </c>
      <c r="B2487">
        <v>3.05</v>
      </c>
      <c r="C2487" t="s">
        <v>2395</v>
      </c>
      <c r="D2487" t="s">
        <v>3948</v>
      </c>
    </row>
    <row r="2488" spans="1:4">
      <c r="A2488" t="s">
        <v>7715</v>
      </c>
      <c r="B2488">
        <v>2.75</v>
      </c>
      <c r="C2488" t="s">
        <v>2878</v>
      </c>
      <c r="D2488" t="s">
        <v>7679</v>
      </c>
    </row>
    <row r="2489" spans="1:4">
      <c r="A2489" t="s">
        <v>7716</v>
      </c>
      <c r="B2489">
        <v>2.95</v>
      </c>
      <c r="C2489" t="s">
        <v>2421</v>
      </c>
      <c r="D2489" t="s">
        <v>3948</v>
      </c>
    </row>
    <row r="2490" spans="1:4">
      <c r="A2490" t="s">
        <v>7717</v>
      </c>
      <c r="B2490">
        <v>3.05</v>
      </c>
      <c r="C2490" t="s">
        <v>108</v>
      </c>
      <c r="D2490" t="s">
        <v>3948</v>
      </c>
    </row>
    <row r="2491" spans="1:4">
      <c r="A2491" t="s">
        <v>7718</v>
      </c>
      <c r="B2491">
        <v>3.08</v>
      </c>
      <c r="C2491" t="s">
        <v>6582</v>
      </c>
      <c r="D2491" t="s">
        <v>3859</v>
      </c>
    </row>
    <row r="2492" spans="1:4">
      <c r="A2492" t="s">
        <v>7719</v>
      </c>
      <c r="B2492">
        <v>2.95</v>
      </c>
      <c r="C2492" t="s">
        <v>108</v>
      </c>
      <c r="D2492" t="s">
        <v>3948</v>
      </c>
    </row>
    <row r="2493" spans="1:4">
      <c r="A2493" t="s">
        <v>7720</v>
      </c>
      <c r="B2493">
        <v>3.03</v>
      </c>
      <c r="C2493" t="s">
        <v>108</v>
      </c>
      <c r="D2493" t="s">
        <v>3948</v>
      </c>
    </row>
    <row r="2494" spans="1:4">
      <c r="A2494" t="s">
        <v>7721</v>
      </c>
      <c r="B2494">
        <v>3.07</v>
      </c>
      <c r="C2494" t="s">
        <v>2783</v>
      </c>
      <c r="D2494" t="s">
        <v>7679</v>
      </c>
    </row>
    <row r="2495" spans="1:4">
      <c r="A2495" t="s">
        <v>7722</v>
      </c>
      <c r="B2495">
        <v>3.03</v>
      </c>
      <c r="C2495" t="s">
        <v>2392</v>
      </c>
      <c r="D2495" t="s">
        <v>3948</v>
      </c>
    </row>
    <row r="2496" spans="1:4">
      <c r="A2496" t="s">
        <v>7723</v>
      </c>
      <c r="B2496">
        <v>3.12</v>
      </c>
      <c r="C2496" t="s">
        <v>108</v>
      </c>
      <c r="D2496" t="s">
        <v>3948</v>
      </c>
    </row>
    <row r="2497" spans="1:4">
      <c r="A2497" t="s">
        <v>7724</v>
      </c>
      <c r="B2497">
        <v>3.07</v>
      </c>
      <c r="C2497" t="s">
        <v>2783</v>
      </c>
      <c r="D2497" t="s">
        <v>7679</v>
      </c>
    </row>
    <row r="2498" spans="1:4">
      <c r="A2498" t="s">
        <v>7725</v>
      </c>
      <c r="B2498">
        <v>3.03</v>
      </c>
      <c r="C2498" t="s">
        <v>2392</v>
      </c>
      <c r="D2498" t="s">
        <v>3948</v>
      </c>
    </row>
    <row r="2499" spans="1:4">
      <c r="A2499" t="s">
        <v>7726</v>
      </c>
      <c r="B2499">
        <v>2.75</v>
      </c>
      <c r="C2499" t="s">
        <v>2827</v>
      </c>
      <c r="D2499" t="s">
        <v>7679</v>
      </c>
    </row>
    <row r="2500" spans="1:4">
      <c r="A2500" t="s">
        <v>7727</v>
      </c>
      <c r="B2500">
        <v>2.8</v>
      </c>
      <c r="C2500" t="s">
        <v>2888</v>
      </c>
      <c r="D2500" t="s">
        <v>7679</v>
      </c>
    </row>
    <row r="2501" spans="1:4">
      <c r="A2501" t="s">
        <v>7728</v>
      </c>
      <c r="B2501">
        <v>2.83</v>
      </c>
      <c r="C2501" t="s">
        <v>108</v>
      </c>
      <c r="D2501" t="s">
        <v>7679</v>
      </c>
    </row>
    <row r="2502" spans="1:4">
      <c r="A2502" t="s">
        <v>7729</v>
      </c>
      <c r="B2502">
        <v>3.1</v>
      </c>
      <c r="C2502" t="s">
        <v>7730</v>
      </c>
      <c r="D2502" t="s">
        <v>3963</v>
      </c>
    </row>
    <row r="2503" spans="1:4">
      <c r="A2503" t="s">
        <v>7731</v>
      </c>
      <c r="B2503">
        <v>3.03</v>
      </c>
      <c r="C2503" t="s">
        <v>108</v>
      </c>
      <c r="D2503" t="s">
        <v>4018</v>
      </c>
    </row>
    <row r="2504" spans="1:4">
      <c r="A2504" t="s">
        <v>7732</v>
      </c>
      <c r="B2504">
        <v>3.1</v>
      </c>
      <c r="C2504" t="s">
        <v>7733</v>
      </c>
      <c r="D2504" t="s">
        <v>3948</v>
      </c>
    </row>
    <row r="2505" spans="1:4">
      <c r="A2505" t="s">
        <v>7734</v>
      </c>
      <c r="B2505">
        <v>2.98</v>
      </c>
      <c r="C2505" t="s">
        <v>7735</v>
      </c>
      <c r="D2505" t="s">
        <v>3963</v>
      </c>
    </row>
    <row r="2506" spans="1:4">
      <c r="A2506" t="s">
        <v>7736</v>
      </c>
      <c r="B2506">
        <v>2.88</v>
      </c>
      <c r="C2506" t="s">
        <v>3103</v>
      </c>
      <c r="D2506" t="s">
        <v>7679</v>
      </c>
    </row>
    <row r="2507" spans="1:4">
      <c r="A2507" t="s">
        <v>7737</v>
      </c>
      <c r="B2507">
        <v>2.92</v>
      </c>
      <c r="C2507" t="s">
        <v>108</v>
      </c>
      <c r="D2507" t="s">
        <v>3948</v>
      </c>
    </row>
    <row r="2508" spans="1:4">
      <c r="A2508" t="s">
        <v>7738</v>
      </c>
      <c r="B2508">
        <v>3.04</v>
      </c>
      <c r="C2508" t="s">
        <v>3103</v>
      </c>
      <c r="D2508" t="s">
        <v>3945</v>
      </c>
    </row>
    <row r="2509" spans="1:4">
      <c r="A2509" t="s">
        <v>7739</v>
      </c>
      <c r="B2509">
        <v>3.02</v>
      </c>
      <c r="C2509" t="s">
        <v>3103</v>
      </c>
      <c r="D2509" t="s">
        <v>3945</v>
      </c>
    </row>
    <row r="2510" spans="1:4">
      <c r="A2510" t="s">
        <v>7740</v>
      </c>
      <c r="B2510">
        <v>3.1</v>
      </c>
      <c r="C2510" t="s">
        <v>3034</v>
      </c>
      <c r="D2510" t="s">
        <v>7679</v>
      </c>
    </row>
    <row r="2511" spans="1:4">
      <c r="A2511" t="s">
        <v>7741</v>
      </c>
      <c r="B2511">
        <v>3.03</v>
      </c>
      <c r="C2511" t="s">
        <v>2783</v>
      </c>
      <c r="D2511" t="s">
        <v>3948</v>
      </c>
    </row>
    <row r="2512" spans="1:4">
      <c r="A2512" t="s">
        <v>7742</v>
      </c>
      <c r="B2512">
        <v>3</v>
      </c>
      <c r="C2512" t="s">
        <v>2392</v>
      </c>
      <c r="D2512" t="s">
        <v>3948</v>
      </c>
    </row>
    <row r="2513" spans="1:4">
      <c r="A2513" t="s">
        <v>7743</v>
      </c>
      <c r="B2513">
        <v>2.95</v>
      </c>
      <c r="C2513" t="s">
        <v>2392</v>
      </c>
      <c r="D2513" t="s">
        <v>3948</v>
      </c>
    </row>
    <row r="2514" spans="1:4">
      <c r="A2514" t="s">
        <v>7744</v>
      </c>
      <c r="B2514">
        <v>3.02</v>
      </c>
      <c r="C2514" t="s">
        <v>108</v>
      </c>
      <c r="D2514" t="s">
        <v>3945</v>
      </c>
    </row>
    <row r="2515" spans="1:4">
      <c r="A2515" t="s">
        <v>7745</v>
      </c>
      <c r="B2515">
        <v>3.04</v>
      </c>
      <c r="C2515" t="s">
        <v>2392</v>
      </c>
      <c r="D2515" t="s">
        <v>3948</v>
      </c>
    </row>
    <row r="2516" spans="1:4">
      <c r="A2516" t="s">
        <v>7746</v>
      </c>
      <c r="B2516">
        <v>3.04</v>
      </c>
      <c r="C2516" t="s">
        <v>2392</v>
      </c>
      <c r="D2516" t="s">
        <v>3948</v>
      </c>
    </row>
    <row r="2517" spans="1:4">
      <c r="A2517" t="s">
        <v>7747</v>
      </c>
      <c r="B2517">
        <v>3.04</v>
      </c>
      <c r="C2517" t="s">
        <v>2392</v>
      </c>
      <c r="D2517" t="s">
        <v>3948</v>
      </c>
    </row>
    <row r="2518" spans="1:4">
      <c r="A2518" t="s">
        <v>7748</v>
      </c>
      <c r="B2518">
        <v>3.05</v>
      </c>
      <c r="C2518" t="s">
        <v>2395</v>
      </c>
      <c r="D2518" t="s">
        <v>3948</v>
      </c>
    </row>
    <row r="2519" spans="1:4">
      <c r="A2519" t="s">
        <v>7749</v>
      </c>
      <c r="B2519">
        <v>3.04</v>
      </c>
      <c r="C2519" t="s">
        <v>2395</v>
      </c>
      <c r="D2519" t="s">
        <v>3948</v>
      </c>
    </row>
    <row r="2520" spans="1:4">
      <c r="A2520" t="s">
        <v>7750</v>
      </c>
      <c r="B2520">
        <v>2.9</v>
      </c>
      <c r="C2520" t="s">
        <v>3103</v>
      </c>
      <c r="D2520" t="s">
        <v>3948</v>
      </c>
    </row>
    <row r="2521" spans="1:4">
      <c r="A2521" t="s">
        <v>7751</v>
      </c>
      <c r="B2521">
        <v>3</v>
      </c>
      <c r="C2521" t="s">
        <v>3103</v>
      </c>
      <c r="D2521" t="s">
        <v>3948</v>
      </c>
    </row>
    <row r="2522" spans="1:4">
      <c r="A2522" t="s">
        <v>7752</v>
      </c>
      <c r="B2522">
        <v>3.05</v>
      </c>
      <c r="C2522" t="s">
        <v>2395</v>
      </c>
      <c r="D2522" t="s">
        <v>3948</v>
      </c>
    </row>
    <row r="2523" spans="1:4">
      <c r="A2523" t="s">
        <v>7753</v>
      </c>
      <c r="B2523">
        <v>3.05</v>
      </c>
      <c r="C2523" t="s">
        <v>3103</v>
      </c>
      <c r="D2523" t="s">
        <v>3948</v>
      </c>
    </row>
    <row r="2524" spans="1:4">
      <c r="A2524" t="s">
        <v>7754</v>
      </c>
      <c r="B2524">
        <v>3</v>
      </c>
      <c r="C2524" t="s">
        <v>108</v>
      </c>
      <c r="D2524" t="s">
        <v>3948</v>
      </c>
    </row>
    <row r="2525" spans="1:4">
      <c r="A2525" t="s">
        <v>7755</v>
      </c>
      <c r="B2525">
        <v>3.05</v>
      </c>
      <c r="C2525" t="s">
        <v>2392</v>
      </c>
      <c r="D2525" t="s">
        <v>3948</v>
      </c>
    </row>
    <row r="2526" spans="1:4">
      <c r="A2526" t="s">
        <v>7756</v>
      </c>
      <c r="B2526">
        <v>3.04</v>
      </c>
      <c r="C2526" t="s">
        <v>2392</v>
      </c>
      <c r="D2526" t="s">
        <v>3948</v>
      </c>
    </row>
    <row r="2527" spans="1:4">
      <c r="A2527" t="s">
        <v>7757</v>
      </c>
      <c r="B2527">
        <v>3.01</v>
      </c>
      <c r="C2527" t="s">
        <v>2395</v>
      </c>
      <c r="D2527" t="s">
        <v>3948</v>
      </c>
    </row>
    <row r="2528" spans="1:4">
      <c r="A2528" t="s">
        <v>7758</v>
      </c>
      <c r="B2528">
        <v>3.05</v>
      </c>
      <c r="C2528" t="s">
        <v>2395</v>
      </c>
      <c r="D2528" t="s">
        <v>3948</v>
      </c>
    </row>
    <row r="2529" spans="1:4">
      <c r="A2529" t="s">
        <v>7759</v>
      </c>
      <c r="B2529">
        <v>3.04</v>
      </c>
      <c r="C2529" t="s">
        <v>108</v>
      </c>
      <c r="D2529" t="s">
        <v>3948</v>
      </c>
    </row>
    <row r="2530" spans="1:4">
      <c r="A2530" t="s">
        <v>7760</v>
      </c>
      <c r="B2530">
        <v>3</v>
      </c>
      <c r="C2530" t="s">
        <v>2392</v>
      </c>
      <c r="D2530" t="s">
        <v>3948</v>
      </c>
    </row>
    <row r="2531" spans="1:4">
      <c r="A2531" t="s">
        <v>7761</v>
      </c>
      <c r="B2531">
        <v>3.05</v>
      </c>
      <c r="C2531" t="s">
        <v>2392</v>
      </c>
      <c r="D2531" t="s">
        <v>3948</v>
      </c>
    </row>
    <row r="2532" spans="1:4">
      <c r="A2532" t="s">
        <v>7762</v>
      </c>
      <c r="B2532">
        <v>3.03</v>
      </c>
      <c r="C2532" t="s">
        <v>2392</v>
      </c>
      <c r="D2532" t="s">
        <v>3948</v>
      </c>
    </row>
    <row r="2533" spans="1:4">
      <c r="A2533" t="s">
        <v>7763</v>
      </c>
      <c r="B2533">
        <v>2.95</v>
      </c>
      <c r="C2533" t="s">
        <v>108</v>
      </c>
      <c r="D2533" t="s">
        <v>3948</v>
      </c>
    </row>
    <row r="2534" spans="1:4">
      <c r="A2534" t="s">
        <v>7764</v>
      </c>
      <c r="B2534">
        <v>3</v>
      </c>
      <c r="C2534" t="s">
        <v>3166</v>
      </c>
      <c r="D2534" t="s">
        <v>4018</v>
      </c>
    </row>
    <row r="2535" spans="1:4">
      <c r="A2535" t="s">
        <v>7765</v>
      </c>
      <c r="B2535">
        <v>3.05</v>
      </c>
      <c r="C2535" t="s">
        <v>3954</v>
      </c>
      <c r="D2535" t="s">
        <v>4018</v>
      </c>
    </row>
    <row r="2536" spans="1:4">
      <c r="A2536" t="s">
        <v>7766</v>
      </c>
      <c r="B2536">
        <v>3.05</v>
      </c>
      <c r="C2536" t="s">
        <v>2875</v>
      </c>
      <c r="D2536" t="s">
        <v>3948</v>
      </c>
    </row>
    <row r="2537" spans="1:4">
      <c r="A2537" t="s">
        <v>7767</v>
      </c>
      <c r="B2537">
        <v>3.04</v>
      </c>
      <c r="C2537" t="s">
        <v>2914</v>
      </c>
      <c r="D2537" t="s">
        <v>3948</v>
      </c>
    </row>
    <row r="2538" spans="1:4">
      <c r="A2538" t="s">
        <v>7768</v>
      </c>
      <c r="B2538">
        <v>3.05</v>
      </c>
      <c r="C2538" t="s">
        <v>2878</v>
      </c>
      <c r="D2538" t="s">
        <v>3948</v>
      </c>
    </row>
    <row r="2539" spans="1:4">
      <c r="A2539" t="s">
        <v>7769</v>
      </c>
      <c r="B2539">
        <v>2.97</v>
      </c>
      <c r="C2539" t="s">
        <v>2392</v>
      </c>
      <c r="D2539" t="s">
        <v>3948</v>
      </c>
    </row>
    <row r="2540" spans="1:4">
      <c r="A2540" t="s">
        <v>7770</v>
      </c>
      <c r="B2540">
        <v>2.96</v>
      </c>
      <c r="C2540" t="s">
        <v>108</v>
      </c>
      <c r="D2540" t="s">
        <v>4018</v>
      </c>
    </row>
    <row r="2541" spans="1:4">
      <c r="A2541" t="s">
        <v>7771</v>
      </c>
      <c r="B2541">
        <v>3.05</v>
      </c>
      <c r="C2541" t="s">
        <v>3103</v>
      </c>
      <c r="D2541" t="s">
        <v>3948</v>
      </c>
    </row>
    <row r="2542" spans="1:4">
      <c r="A2542" t="s">
        <v>7772</v>
      </c>
      <c r="B2542">
        <v>3.07</v>
      </c>
      <c r="C2542" t="s">
        <v>2395</v>
      </c>
      <c r="D2542" t="s">
        <v>3948</v>
      </c>
    </row>
    <row r="2543" spans="1:4">
      <c r="A2543" t="s">
        <v>7773</v>
      </c>
      <c r="B2543">
        <v>3.05</v>
      </c>
      <c r="C2543" t="s">
        <v>2875</v>
      </c>
      <c r="D2543" t="s">
        <v>3948</v>
      </c>
    </row>
    <row r="2544" spans="1:4">
      <c r="A2544" t="s">
        <v>7774</v>
      </c>
      <c r="B2544">
        <v>2.96</v>
      </c>
      <c r="C2544" t="s">
        <v>108</v>
      </c>
      <c r="D2544" t="s">
        <v>4018</v>
      </c>
    </row>
    <row r="2545" spans="1:4">
      <c r="A2545" t="s">
        <v>7775</v>
      </c>
      <c r="B2545">
        <v>3.06</v>
      </c>
      <c r="C2545" t="s">
        <v>3166</v>
      </c>
      <c r="D2545" t="s">
        <v>4018</v>
      </c>
    </row>
    <row r="2546" spans="1:4">
      <c r="A2546" t="s">
        <v>7776</v>
      </c>
      <c r="B2546">
        <v>3</v>
      </c>
      <c r="C2546" t="s">
        <v>2392</v>
      </c>
      <c r="D2546" t="s">
        <v>3948</v>
      </c>
    </row>
    <row r="2547" spans="1:4">
      <c r="A2547" t="s">
        <v>7777</v>
      </c>
      <c r="B2547">
        <v>3</v>
      </c>
      <c r="C2547" t="s">
        <v>2395</v>
      </c>
      <c r="D2547" t="s">
        <v>3948</v>
      </c>
    </row>
    <row r="2548" spans="1:4">
      <c r="A2548" t="s">
        <v>7778</v>
      </c>
      <c r="B2548">
        <v>3.05</v>
      </c>
      <c r="C2548" t="s">
        <v>2875</v>
      </c>
      <c r="D2548" t="s">
        <v>3948</v>
      </c>
    </row>
    <row r="2549" spans="1:4">
      <c r="A2549" t="s">
        <v>7779</v>
      </c>
      <c r="B2549">
        <v>3.08</v>
      </c>
      <c r="C2549" t="s">
        <v>2827</v>
      </c>
      <c r="D2549" t="s">
        <v>3948</v>
      </c>
    </row>
    <row r="2550" spans="1:4">
      <c r="A2550" t="s">
        <v>7780</v>
      </c>
      <c r="B2550">
        <v>3.05</v>
      </c>
      <c r="C2550" t="s">
        <v>108</v>
      </c>
      <c r="D2550" t="s">
        <v>3948</v>
      </c>
    </row>
    <row r="2551" spans="1:4">
      <c r="A2551" t="s">
        <v>7781</v>
      </c>
      <c r="B2551">
        <v>2.98</v>
      </c>
      <c r="C2551" t="s">
        <v>108</v>
      </c>
      <c r="D2551" t="s">
        <v>3948</v>
      </c>
    </row>
    <row r="2552" spans="1:4">
      <c r="A2552" t="s">
        <v>7782</v>
      </c>
      <c r="B2552">
        <v>3.02</v>
      </c>
      <c r="C2552" t="s">
        <v>108</v>
      </c>
      <c r="D2552" t="s">
        <v>3948</v>
      </c>
    </row>
    <row r="2553" spans="1:4">
      <c r="A2553" t="s">
        <v>7783</v>
      </c>
      <c r="B2553">
        <v>3.02</v>
      </c>
      <c r="C2553" t="s">
        <v>4108</v>
      </c>
      <c r="D2553" t="s">
        <v>3948</v>
      </c>
    </row>
    <row r="2554" spans="1:4">
      <c r="A2554" t="s">
        <v>7784</v>
      </c>
      <c r="B2554">
        <v>3.11</v>
      </c>
      <c r="C2554" t="s">
        <v>108</v>
      </c>
      <c r="D2554" t="s">
        <v>3963</v>
      </c>
    </row>
    <row r="2555" spans="1:4">
      <c r="A2555" t="s">
        <v>7785</v>
      </c>
      <c r="B2555">
        <v>0</v>
      </c>
      <c r="C2555" t="s">
        <v>108</v>
      </c>
      <c r="D2555" t="s">
        <v>4018</v>
      </c>
    </row>
    <row r="2556" spans="1:4">
      <c r="A2556" t="s">
        <v>7786</v>
      </c>
      <c r="B2556">
        <v>3</v>
      </c>
      <c r="C2556" t="s">
        <v>4017</v>
      </c>
      <c r="D2556" t="s">
        <v>4018</v>
      </c>
    </row>
    <row r="2557" spans="1:4">
      <c r="A2557" t="s">
        <v>7787</v>
      </c>
      <c r="B2557">
        <v>3.02</v>
      </c>
      <c r="C2557" t="s">
        <v>4075</v>
      </c>
      <c r="D2557" t="s">
        <v>3963</v>
      </c>
    </row>
    <row r="2558" spans="1:4">
      <c r="A2558" t="s">
        <v>7788</v>
      </c>
      <c r="B2558">
        <v>3.05</v>
      </c>
      <c r="C2558" t="s">
        <v>2917</v>
      </c>
      <c r="D2558" t="s">
        <v>3948</v>
      </c>
    </row>
    <row r="2559" spans="1:4">
      <c r="A2559" t="s">
        <v>7789</v>
      </c>
      <c r="B2559">
        <v>3.07</v>
      </c>
      <c r="C2559" t="s">
        <v>2888</v>
      </c>
      <c r="D2559" t="s">
        <v>3948</v>
      </c>
    </row>
    <row r="2560" spans="1:4">
      <c r="A2560" t="s">
        <v>7790</v>
      </c>
      <c r="B2560">
        <v>3.18</v>
      </c>
      <c r="C2560" t="s">
        <v>2620</v>
      </c>
      <c r="D2560" t="s">
        <v>3963</v>
      </c>
    </row>
    <row r="2561" spans="1:4">
      <c r="A2561" t="s">
        <v>7791</v>
      </c>
      <c r="B2561">
        <v>2.4</v>
      </c>
      <c r="C2561" t="s">
        <v>108</v>
      </c>
      <c r="D2561" t="s">
        <v>3948</v>
      </c>
    </row>
    <row r="2562" spans="1:4">
      <c r="A2562" t="s">
        <v>7792</v>
      </c>
      <c r="B2562">
        <v>2.42</v>
      </c>
      <c r="C2562" t="s">
        <v>3954</v>
      </c>
      <c r="D2562" t="s">
        <v>3948</v>
      </c>
    </row>
    <row r="2563" spans="1:4">
      <c r="A2563" t="s">
        <v>7793</v>
      </c>
      <c r="B2563">
        <v>2.31</v>
      </c>
      <c r="C2563" t="s">
        <v>6667</v>
      </c>
      <c r="D2563" t="s">
        <v>3859</v>
      </c>
    </row>
    <row r="2564" spans="1:4">
      <c r="A2564" t="s">
        <v>7794</v>
      </c>
      <c r="B2564">
        <v>2.59</v>
      </c>
      <c r="C2564" t="s">
        <v>7795</v>
      </c>
      <c r="D2564" t="s">
        <v>3859</v>
      </c>
    </row>
    <row r="2565" spans="1:4">
      <c r="A2565" t="s">
        <v>7796</v>
      </c>
      <c r="B2565">
        <v>2.72</v>
      </c>
      <c r="C2565" t="s">
        <v>3433</v>
      </c>
      <c r="D2565" t="s">
        <v>3859</v>
      </c>
    </row>
    <row r="2566" spans="1:4">
      <c r="A2566" t="s">
        <v>7797</v>
      </c>
      <c r="B2566">
        <v>2.4700000000000002</v>
      </c>
      <c r="C2566" t="s">
        <v>4388</v>
      </c>
      <c r="D2566" t="s">
        <v>3859</v>
      </c>
    </row>
    <row r="2567" spans="1:4">
      <c r="A2567" t="s">
        <v>7798</v>
      </c>
      <c r="B2567">
        <v>2.61</v>
      </c>
      <c r="C2567" t="s">
        <v>7799</v>
      </c>
      <c r="D2567" t="s">
        <v>3859</v>
      </c>
    </row>
    <row r="2568" spans="1:4">
      <c r="A2568" t="s">
        <v>7800</v>
      </c>
      <c r="B2568">
        <v>2.77</v>
      </c>
      <c r="C2568" t="s">
        <v>108</v>
      </c>
      <c r="D2568" t="s">
        <v>3948</v>
      </c>
    </row>
    <row r="2569" spans="1:4">
      <c r="A2569" t="s">
        <v>7801</v>
      </c>
      <c r="B2569">
        <v>2.4300000000000002</v>
      </c>
      <c r="C2569" t="s">
        <v>3103</v>
      </c>
      <c r="D2569" t="s">
        <v>7679</v>
      </c>
    </row>
    <row r="2570" spans="1:4">
      <c r="A2570" t="s">
        <v>7802</v>
      </c>
      <c r="B2570">
        <v>2.48</v>
      </c>
      <c r="C2570" t="s">
        <v>3103</v>
      </c>
      <c r="D2570" t="s">
        <v>7679</v>
      </c>
    </row>
    <row r="2571" spans="1:4">
      <c r="A2571" t="s">
        <v>7803</v>
      </c>
      <c r="B2571">
        <v>2.73</v>
      </c>
      <c r="C2571" t="s">
        <v>7804</v>
      </c>
      <c r="D2571" t="s">
        <v>4456</v>
      </c>
    </row>
    <row r="2572" spans="1:4">
      <c r="A2572" t="s">
        <v>7805</v>
      </c>
      <c r="B2572">
        <v>2.76</v>
      </c>
      <c r="C2572" t="s">
        <v>3103</v>
      </c>
      <c r="D2572" t="s">
        <v>7679</v>
      </c>
    </row>
    <row r="2573" spans="1:4">
      <c r="A2573" t="s">
        <v>7806</v>
      </c>
      <c r="B2573">
        <v>2.67</v>
      </c>
      <c r="C2573" t="s">
        <v>108</v>
      </c>
      <c r="D2573" t="s">
        <v>3948</v>
      </c>
    </row>
    <row r="2574" spans="1:4">
      <c r="A2574" t="s">
        <v>7807</v>
      </c>
      <c r="B2574">
        <v>2.62</v>
      </c>
      <c r="C2574" t="s">
        <v>5102</v>
      </c>
      <c r="D2574" t="s">
        <v>3945</v>
      </c>
    </row>
    <row r="2575" spans="1:4">
      <c r="A2575" t="s">
        <v>7808</v>
      </c>
      <c r="B2575">
        <v>2.73</v>
      </c>
      <c r="C2575" t="s">
        <v>4388</v>
      </c>
      <c r="D2575" t="s">
        <v>3963</v>
      </c>
    </row>
    <row r="2576" spans="1:4">
      <c r="A2576" t="s">
        <v>7809</v>
      </c>
      <c r="B2576">
        <v>2.85</v>
      </c>
      <c r="C2576" t="s">
        <v>4776</v>
      </c>
      <c r="D2576" t="s">
        <v>3948</v>
      </c>
    </row>
    <row r="2577" spans="1:4">
      <c r="A2577" t="s">
        <v>7810</v>
      </c>
      <c r="B2577">
        <v>2.85</v>
      </c>
      <c r="C2577" t="s">
        <v>108</v>
      </c>
      <c r="D2577" t="s">
        <v>3948</v>
      </c>
    </row>
    <row r="2578" spans="1:4">
      <c r="A2578" t="s">
        <v>7811</v>
      </c>
      <c r="B2578">
        <v>2.8</v>
      </c>
      <c r="C2578" t="s">
        <v>108</v>
      </c>
      <c r="D2578" t="s">
        <v>3859</v>
      </c>
    </row>
    <row r="2579" spans="1:4">
      <c r="A2579" t="s">
        <v>7812</v>
      </c>
      <c r="B2579">
        <v>2.85</v>
      </c>
      <c r="C2579" t="s">
        <v>7813</v>
      </c>
      <c r="D2579" t="s">
        <v>3859</v>
      </c>
    </row>
    <row r="2580" spans="1:4">
      <c r="A2580" t="s">
        <v>7814</v>
      </c>
      <c r="B2580">
        <v>2.85</v>
      </c>
      <c r="C2580" t="s">
        <v>7815</v>
      </c>
      <c r="D2580" t="s">
        <v>3948</v>
      </c>
    </row>
    <row r="2581" spans="1:4">
      <c r="A2581" t="s">
        <v>7816</v>
      </c>
      <c r="B2581">
        <v>2.79</v>
      </c>
      <c r="C2581" t="s">
        <v>5338</v>
      </c>
      <c r="D2581" t="s">
        <v>3948</v>
      </c>
    </row>
    <row r="2582" spans="1:4">
      <c r="A2582" t="s">
        <v>7817</v>
      </c>
      <c r="B2582">
        <v>2.89</v>
      </c>
      <c r="C2582" t="s">
        <v>3863</v>
      </c>
      <c r="D2582" t="s">
        <v>3963</v>
      </c>
    </row>
    <row r="2583" spans="1:4">
      <c r="A2583" t="s">
        <v>7818</v>
      </c>
      <c r="B2583">
        <v>2.83</v>
      </c>
      <c r="C2583" t="s">
        <v>2690</v>
      </c>
      <c r="D2583" t="s">
        <v>3948</v>
      </c>
    </row>
    <row r="2584" spans="1:4">
      <c r="A2584" t="s">
        <v>7819</v>
      </c>
      <c r="B2584">
        <v>2.78</v>
      </c>
      <c r="C2584" t="s">
        <v>2783</v>
      </c>
      <c r="D2584" t="s">
        <v>3859</v>
      </c>
    </row>
    <row r="2585" spans="1:4">
      <c r="A2585" t="s">
        <v>7820</v>
      </c>
      <c r="B2585">
        <v>2.8</v>
      </c>
      <c r="C2585" t="s">
        <v>3103</v>
      </c>
      <c r="D2585" t="s">
        <v>3948</v>
      </c>
    </row>
    <row r="2586" spans="1:4">
      <c r="A2586" t="s">
        <v>7821</v>
      </c>
      <c r="B2586">
        <v>2.85</v>
      </c>
      <c r="C2586" t="s">
        <v>2392</v>
      </c>
      <c r="D2586" t="s">
        <v>3948</v>
      </c>
    </row>
    <row r="2587" spans="1:4">
      <c r="A2587" t="s">
        <v>7822</v>
      </c>
      <c r="B2587">
        <v>2.85</v>
      </c>
      <c r="C2587" t="s">
        <v>2392</v>
      </c>
      <c r="D2587" t="s">
        <v>3948</v>
      </c>
    </row>
    <row r="2588" spans="1:4">
      <c r="A2588" t="s">
        <v>7823</v>
      </c>
      <c r="B2588">
        <v>2.85</v>
      </c>
      <c r="C2588" t="s">
        <v>108</v>
      </c>
      <c r="D2588" t="s">
        <v>3963</v>
      </c>
    </row>
    <row r="2589" spans="1:4">
      <c r="A2589" t="s">
        <v>7824</v>
      </c>
      <c r="B2589">
        <v>2.84</v>
      </c>
      <c r="C2589" t="s">
        <v>2395</v>
      </c>
      <c r="D2589" t="s">
        <v>3948</v>
      </c>
    </row>
    <row r="2590" spans="1:4">
      <c r="A2590" t="s">
        <v>7825</v>
      </c>
      <c r="B2590">
        <v>2.76</v>
      </c>
      <c r="C2590" t="s">
        <v>2395</v>
      </c>
      <c r="D2590" t="s">
        <v>3948</v>
      </c>
    </row>
    <row r="2591" spans="1:4">
      <c r="A2591" t="s">
        <v>7826</v>
      </c>
      <c r="B2591">
        <v>2.85</v>
      </c>
      <c r="C2591" t="s">
        <v>7827</v>
      </c>
      <c r="D2591" t="s">
        <v>3948</v>
      </c>
    </row>
    <row r="2592" spans="1:4">
      <c r="A2592" t="s">
        <v>7828</v>
      </c>
      <c r="B2592">
        <v>2.76</v>
      </c>
      <c r="C2592" t="s">
        <v>108</v>
      </c>
      <c r="D2592" t="s">
        <v>3963</v>
      </c>
    </row>
    <row r="2593" spans="1:4">
      <c r="A2593" t="s">
        <v>7829</v>
      </c>
      <c r="B2593">
        <v>2.85</v>
      </c>
      <c r="C2593" t="s">
        <v>2395</v>
      </c>
      <c r="D2593" t="s">
        <v>3948</v>
      </c>
    </row>
    <row r="2594" spans="1:4">
      <c r="A2594" t="s">
        <v>7830</v>
      </c>
      <c r="B2594">
        <v>2.85</v>
      </c>
      <c r="C2594" t="s">
        <v>2395</v>
      </c>
      <c r="D2594" t="s">
        <v>3948</v>
      </c>
    </row>
    <row r="2595" spans="1:4">
      <c r="A2595" t="s">
        <v>7831</v>
      </c>
      <c r="B2595">
        <v>2.84</v>
      </c>
      <c r="C2595" t="s">
        <v>2392</v>
      </c>
      <c r="D2595" t="s">
        <v>3948</v>
      </c>
    </row>
    <row r="2596" spans="1:4">
      <c r="A2596" t="s">
        <v>7832</v>
      </c>
      <c r="B2596">
        <v>2.79</v>
      </c>
      <c r="C2596" t="s">
        <v>3103</v>
      </c>
      <c r="D2596" t="s">
        <v>3948</v>
      </c>
    </row>
    <row r="2597" spans="1:4">
      <c r="A2597" t="s">
        <v>7833</v>
      </c>
      <c r="B2597">
        <v>2.85</v>
      </c>
      <c r="C2597" t="s">
        <v>7815</v>
      </c>
      <c r="D2597" t="s">
        <v>3948</v>
      </c>
    </row>
    <row r="2598" spans="1:4">
      <c r="A2598" t="s">
        <v>7834</v>
      </c>
      <c r="B2598">
        <v>2.76</v>
      </c>
      <c r="C2598" t="s">
        <v>108</v>
      </c>
      <c r="D2598" t="s">
        <v>3963</v>
      </c>
    </row>
    <row r="2599" spans="1:4">
      <c r="A2599" t="s">
        <v>7835</v>
      </c>
      <c r="B2599">
        <v>2.87</v>
      </c>
      <c r="C2599" t="s">
        <v>7836</v>
      </c>
      <c r="D2599" t="s">
        <v>3948</v>
      </c>
    </row>
    <row r="2600" spans="1:4">
      <c r="A2600" t="s">
        <v>7837</v>
      </c>
      <c r="B2600">
        <v>2.81</v>
      </c>
      <c r="C2600" t="s">
        <v>7663</v>
      </c>
      <c r="D2600" t="s">
        <v>3859</v>
      </c>
    </row>
    <row r="2601" spans="1:4">
      <c r="A2601" t="s">
        <v>7838</v>
      </c>
      <c r="B2601">
        <v>3</v>
      </c>
      <c r="C2601" t="s">
        <v>108</v>
      </c>
      <c r="D2601" t="s">
        <v>3963</v>
      </c>
    </row>
    <row r="2602" spans="1:4">
      <c r="A2602" t="s">
        <v>7839</v>
      </c>
      <c r="B2602">
        <v>3</v>
      </c>
      <c r="C2602" t="s">
        <v>108</v>
      </c>
      <c r="D2602" t="s">
        <v>3963</v>
      </c>
    </row>
    <row r="2603" spans="1:4">
      <c r="A2603" t="s">
        <v>7840</v>
      </c>
      <c r="B2603">
        <v>2.96</v>
      </c>
      <c r="C2603" t="s">
        <v>2875</v>
      </c>
      <c r="D2603" t="s">
        <v>3948</v>
      </c>
    </row>
    <row r="2604" spans="1:4">
      <c r="A2604" t="s">
        <v>7841</v>
      </c>
      <c r="B2604">
        <v>3.11</v>
      </c>
      <c r="C2604" t="s">
        <v>2690</v>
      </c>
      <c r="D2604" t="s">
        <v>3948</v>
      </c>
    </row>
    <row r="2605" spans="1:4">
      <c r="A2605" t="s">
        <v>7842</v>
      </c>
      <c r="B2605">
        <v>3.1</v>
      </c>
      <c r="C2605" t="s">
        <v>2690</v>
      </c>
      <c r="D2605" t="s">
        <v>3948</v>
      </c>
    </row>
    <row r="2606" spans="1:4">
      <c r="A2606" t="s">
        <v>7843</v>
      </c>
      <c r="B2606">
        <v>2.62</v>
      </c>
      <c r="C2606" t="s">
        <v>3166</v>
      </c>
      <c r="D2606" t="s">
        <v>3945</v>
      </c>
    </row>
    <row r="2607" spans="1:4">
      <c r="A2607" t="s">
        <v>7844</v>
      </c>
      <c r="B2607">
        <v>3</v>
      </c>
      <c r="C2607" t="s">
        <v>108</v>
      </c>
      <c r="D2607" t="s">
        <v>3963</v>
      </c>
    </row>
    <row r="2608" spans="1:4">
      <c r="A2608" t="s">
        <v>7845</v>
      </c>
      <c r="B2608">
        <v>2.9</v>
      </c>
      <c r="C2608" t="s">
        <v>108</v>
      </c>
      <c r="D2608" t="s">
        <v>3948</v>
      </c>
    </row>
    <row r="2609" spans="1:4">
      <c r="A2609" t="s">
        <v>7846</v>
      </c>
      <c r="B2609">
        <v>2.72</v>
      </c>
      <c r="C2609" t="s">
        <v>108</v>
      </c>
      <c r="D2609" t="s">
        <v>3963</v>
      </c>
    </row>
    <row r="2610" spans="1:4">
      <c r="A2610" t="s">
        <v>7847</v>
      </c>
      <c r="B2610">
        <v>2.82</v>
      </c>
      <c r="C2610" t="s">
        <v>2395</v>
      </c>
      <c r="D2610" t="s">
        <v>3948</v>
      </c>
    </row>
    <row r="2611" spans="1:4">
      <c r="A2611" t="s">
        <v>7848</v>
      </c>
      <c r="B2611">
        <v>3.05</v>
      </c>
      <c r="C2611" t="s">
        <v>2783</v>
      </c>
      <c r="D2611" t="s">
        <v>3948</v>
      </c>
    </row>
    <row r="2612" spans="1:4">
      <c r="A2612" t="s">
        <v>7849</v>
      </c>
      <c r="B2612">
        <v>3.05</v>
      </c>
      <c r="C2612" t="s">
        <v>2418</v>
      </c>
      <c r="D2612" t="s">
        <v>3948</v>
      </c>
    </row>
    <row r="2613" spans="1:4">
      <c r="A2613" t="s">
        <v>7850</v>
      </c>
      <c r="B2613">
        <v>3.05</v>
      </c>
      <c r="C2613" t="s">
        <v>2783</v>
      </c>
      <c r="D2613" t="s">
        <v>3948</v>
      </c>
    </row>
    <row r="2614" spans="1:4">
      <c r="A2614" t="s">
        <v>7851</v>
      </c>
      <c r="B2614">
        <v>2.92</v>
      </c>
      <c r="C2614" t="s">
        <v>108</v>
      </c>
      <c r="D2614" t="s">
        <v>3963</v>
      </c>
    </row>
    <row r="2615" spans="1:4">
      <c r="A2615" t="s">
        <v>7852</v>
      </c>
      <c r="B2615">
        <v>2.8</v>
      </c>
      <c r="C2615" t="s">
        <v>2421</v>
      </c>
      <c r="D2615" t="s">
        <v>3963</v>
      </c>
    </row>
    <row r="2616" spans="1:4">
      <c r="A2616" t="s">
        <v>7853</v>
      </c>
      <c r="B2616">
        <v>2.72</v>
      </c>
      <c r="C2616" t="s">
        <v>2421</v>
      </c>
      <c r="D2616" t="s">
        <v>3963</v>
      </c>
    </row>
    <row r="2617" spans="1:4">
      <c r="A2617" t="s">
        <v>7854</v>
      </c>
      <c r="B2617">
        <v>2.92</v>
      </c>
      <c r="C2617" t="s">
        <v>108</v>
      </c>
      <c r="D2617" t="s">
        <v>3963</v>
      </c>
    </row>
    <row r="2618" spans="1:4">
      <c r="A2618" t="s">
        <v>7855</v>
      </c>
      <c r="B2618">
        <v>2.72</v>
      </c>
      <c r="C2618" t="s">
        <v>108</v>
      </c>
      <c r="D2618" t="s">
        <v>3963</v>
      </c>
    </row>
    <row r="2619" spans="1:4">
      <c r="A2619" t="s">
        <v>7856</v>
      </c>
      <c r="B2619">
        <v>2.95</v>
      </c>
      <c r="C2619" t="s">
        <v>4218</v>
      </c>
      <c r="D2619" t="s">
        <v>3948</v>
      </c>
    </row>
    <row r="2620" spans="1:4">
      <c r="A2620" t="s">
        <v>7857</v>
      </c>
      <c r="B2620">
        <v>3.05</v>
      </c>
      <c r="C2620" t="s">
        <v>2421</v>
      </c>
      <c r="D2620" t="s">
        <v>3948</v>
      </c>
    </row>
    <row r="2621" spans="1:4">
      <c r="A2621" t="s">
        <v>7858</v>
      </c>
      <c r="B2621">
        <v>2.88</v>
      </c>
      <c r="C2621" t="s">
        <v>3954</v>
      </c>
      <c r="D2621" t="s">
        <v>4018</v>
      </c>
    </row>
    <row r="2622" spans="1:4">
      <c r="A2622" t="s">
        <v>7859</v>
      </c>
      <c r="B2622">
        <v>2.93</v>
      </c>
      <c r="C2622" t="s">
        <v>3166</v>
      </c>
      <c r="D2622" t="s">
        <v>4018</v>
      </c>
    </row>
    <row r="2623" spans="1:4">
      <c r="A2623" t="s">
        <v>7860</v>
      </c>
      <c r="B2623">
        <v>1.45</v>
      </c>
      <c r="C2623" t="s">
        <v>108</v>
      </c>
      <c r="D2623" t="s">
        <v>7606</v>
      </c>
    </row>
    <row r="2624" spans="1:4">
      <c r="A2624" t="s">
        <v>7861</v>
      </c>
      <c r="B2624">
        <v>3.07</v>
      </c>
      <c r="C2624" t="s">
        <v>2392</v>
      </c>
      <c r="D2624" t="s">
        <v>7862</v>
      </c>
    </row>
    <row r="2625" spans="1:4">
      <c r="A2625" t="s">
        <v>7863</v>
      </c>
      <c r="B2625">
        <v>3.7</v>
      </c>
      <c r="C2625" t="s">
        <v>108</v>
      </c>
      <c r="D2625" t="s">
        <v>3945</v>
      </c>
    </row>
    <row r="2626" spans="1:4">
      <c r="A2626" t="s">
        <v>7864</v>
      </c>
      <c r="B2626">
        <v>2.1</v>
      </c>
      <c r="C2626" t="s">
        <v>3103</v>
      </c>
      <c r="D2626" t="s">
        <v>7679</v>
      </c>
    </row>
    <row r="2627" spans="1:4">
      <c r="A2627" t="s">
        <v>7865</v>
      </c>
      <c r="B2627">
        <v>2.2000000000000002</v>
      </c>
      <c r="C2627" t="s">
        <v>108</v>
      </c>
      <c r="D2627" t="s">
        <v>7679</v>
      </c>
    </row>
    <row r="2628" spans="1:4">
      <c r="A2628" t="s">
        <v>7866</v>
      </c>
      <c r="B2628">
        <v>2.2000000000000002</v>
      </c>
      <c r="C2628" t="s">
        <v>3103</v>
      </c>
      <c r="D2628" t="s">
        <v>7679</v>
      </c>
    </row>
    <row r="2629" spans="1:4">
      <c r="A2629" t="s">
        <v>7867</v>
      </c>
      <c r="B2629">
        <v>2.2799999999999998</v>
      </c>
      <c r="C2629" t="s">
        <v>108</v>
      </c>
      <c r="D2629" t="s">
        <v>3945</v>
      </c>
    </row>
    <row r="2630" spans="1:4">
      <c r="A2630" t="s">
        <v>7868</v>
      </c>
      <c r="B2630">
        <v>2.23</v>
      </c>
      <c r="C2630" t="s">
        <v>3103</v>
      </c>
      <c r="D2630" t="s">
        <v>3945</v>
      </c>
    </row>
    <row r="2631" spans="1:4">
      <c r="A2631" t="s">
        <v>7869</v>
      </c>
      <c r="B2631">
        <v>2.2999999999999998</v>
      </c>
      <c r="C2631" t="s">
        <v>108</v>
      </c>
      <c r="D2631" t="s">
        <v>3945</v>
      </c>
    </row>
    <row r="2632" spans="1:4">
      <c r="A2632" t="s">
        <v>7870</v>
      </c>
      <c r="B2632">
        <v>2.1800000000000002</v>
      </c>
      <c r="C2632" t="s">
        <v>3103</v>
      </c>
      <c r="D2632" t="s">
        <v>7679</v>
      </c>
    </row>
    <row r="2633" spans="1:4">
      <c r="A2633" t="s">
        <v>7871</v>
      </c>
      <c r="B2633">
        <v>2.25</v>
      </c>
      <c r="C2633" t="s">
        <v>4218</v>
      </c>
      <c r="D2633" t="s">
        <v>3859</v>
      </c>
    </row>
    <row r="2634" spans="1:4">
      <c r="A2634" t="s">
        <v>7872</v>
      </c>
      <c r="B2634">
        <v>2.2000000000000002</v>
      </c>
      <c r="C2634" t="s">
        <v>4996</v>
      </c>
      <c r="D2634" t="s">
        <v>3948</v>
      </c>
    </row>
    <row r="2635" spans="1:4">
      <c r="A2635" t="s">
        <v>7873</v>
      </c>
      <c r="B2635">
        <v>2.19</v>
      </c>
      <c r="C2635" t="s">
        <v>108</v>
      </c>
      <c r="D2635" t="s">
        <v>7679</v>
      </c>
    </row>
    <row r="2636" spans="1:4">
      <c r="A2636" t="s">
        <v>7874</v>
      </c>
      <c r="B2636">
        <v>2.2999999999999998</v>
      </c>
      <c r="C2636" t="s">
        <v>3103</v>
      </c>
      <c r="D2636" t="s">
        <v>3948</v>
      </c>
    </row>
    <row r="2637" spans="1:4">
      <c r="A2637" t="s">
        <v>7875</v>
      </c>
      <c r="B2637">
        <v>2.2999999999999998</v>
      </c>
      <c r="C2637" t="s">
        <v>3103</v>
      </c>
      <c r="D2637" t="s">
        <v>3945</v>
      </c>
    </row>
    <row r="2638" spans="1:4">
      <c r="A2638" t="s">
        <v>7876</v>
      </c>
      <c r="B2638">
        <v>2.37</v>
      </c>
      <c r="C2638" t="s">
        <v>108</v>
      </c>
      <c r="D2638" t="s">
        <v>3945</v>
      </c>
    </row>
    <row r="2639" spans="1:4">
      <c r="A2639" t="s">
        <v>7877</v>
      </c>
      <c r="B2639">
        <v>2.37</v>
      </c>
      <c r="C2639" t="s">
        <v>108</v>
      </c>
      <c r="D2639" t="s">
        <v>3945</v>
      </c>
    </row>
    <row r="2640" spans="1:4">
      <c r="A2640" t="s">
        <v>7878</v>
      </c>
      <c r="B2640">
        <v>2.42</v>
      </c>
      <c r="C2640" t="s">
        <v>3863</v>
      </c>
      <c r="D2640" t="s">
        <v>3945</v>
      </c>
    </row>
    <row r="2641" spans="1:4">
      <c r="A2641" t="s">
        <v>7879</v>
      </c>
      <c r="B2641">
        <v>2.2799999999999998</v>
      </c>
      <c r="C2641" t="s">
        <v>4613</v>
      </c>
      <c r="D2641" t="s">
        <v>3859</v>
      </c>
    </row>
    <row r="2642" spans="1:4">
      <c r="A2642" t="s">
        <v>7880</v>
      </c>
      <c r="B2642">
        <v>2.2999999999999998</v>
      </c>
      <c r="C2642" t="s">
        <v>5273</v>
      </c>
      <c r="D2642" t="s">
        <v>3945</v>
      </c>
    </row>
    <row r="2643" spans="1:4">
      <c r="A2643" t="s">
        <v>7881</v>
      </c>
      <c r="B2643">
        <v>2.61</v>
      </c>
      <c r="C2643" t="s">
        <v>5235</v>
      </c>
      <c r="D2643" t="s">
        <v>3859</v>
      </c>
    </row>
    <row r="2644" spans="1:4">
      <c r="A2644" t="s">
        <v>7882</v>
      </c>
      <c r="B2644">
        <v>3.08</v>
      </c>
      <c r="C2644" t="s">
        <v>7813</v>
      </c>
      <c r="D2644" t="s">
        <v>3948</v>
      </c>
    </row>
    <row r="2645" spans="1:4">
      <c r="A2645" t="s">
        <v>7883</v>
      </c>
      <c r="B2645">
        <v>3.12</v>
      </c>
      <c r="C2645" t="s">
        <v>6365</v>
      </c>
      <c r="D2645" t="s">
        <v>3859</v>
      </c>
    </row>
    <row r="2646" spans="1:4">
      <c r="A2646" t="s">
        <v>7884</v>
      </c>
      <c r="B2646">
        <v>3.05</v>
      </c>
      <c r="C2646" t="s">
        <v>6582</v>
      </c>
      <c r="D2646" t="s">
        <v>3945</v>
      </c>
    </row>
    <row r="2647" spans="1:4">
      <c r="A2647" t="s">
        <v>7885</v>
      </c>
      <c r="B2647">
        <v>3.15</v>
      </c>
      <c r="C2647" t="s">
        <v>3166</v>
      </c>
      <c r="D2647" t="s">
        <v>3948</v>
      </c>
    </row>
    <row r="2648" spans="1:4">
      <c r="A2648" t="s">
        <v>7886</v>
      </c>
      <c r="B2648">
        <v>3.2</v>
      </c>
      <c r="C2648" t="s">
        <v>3103</v>
      </c>
      <c r="D2648" t="s">
        <v>3948</v>
      </c>
    </row>
    <row r="2649" spans="1:4">
      <c r="A2649" t="s">
        <v>7887</v>
      </c>
      <c r="B2649">
        <v>3.1</v>
      </c>
      <c r="C2649" t="s">
        <v>108</v>
      </c>
      <c r="D2649" t="s">
        <v>3948</v>
      </c>
    </row>
    <row r="2650" spans="1:4">
      <c r="A2650" t="s">
        <v>7888</v>
      </c>
      <c r="B2650">
        <v>3.02</v>
      </c>
      <c r="C2650" t="s">
        <v>2395</v>
      </c>
      <c r="D2650" t="s">
        <v>3948</v>
      </c>
    </row>
    <row r="2651" spans="1:4">
      <c r="A2651" t="s">
        <v>7889</v>
      </c>
      <c r="B2651">
        <v>3.15</v>
      </c>
      <c r="C2651" t="s">
        <v>7890</v>
      </c>
      <c r="D2651" t="s">
        <v>3859</v>
      </c>
    </row>
    <row r="2652" spans="1:4">
      <c r="A2652" t="s">
        <v>7891</v>
      </c>
      <c r="B2652">
        <v>3.2</v>
      </c>
      <c r="C2652" t="s">
        <v>2392</v>
      </c>
      <c r="D2652" t="s">
        <v>3948</v>
      </c>
    </row>
    <row r="2653" spans="1:4">
      <c r="A2653" t="s">
        <v>7892</v>
      </c>
      <c r="B2653">
        <v>2.86</v>
      </c>
      <c r="C2653" t="s">
        <v>108</v>
      </c>
      <c r="D2653" t="s">
        <v>3963</v>
      </c>
    </row>
    <row r="2654" spans="1:4">
      <c r="A2654" t="s">
        <v>7893</v>
      </c>
      <c r="B2654">
        <v>3</v>
      </c>
      <c r="C2654" t="s">
        <v>3103</v>
      </c>
      <c r="D2654" t="s">
        <v>3948</v>
      </c>
    </row>
    <row r="2655" spans="1:4">
      <c r="A2655" t="s">
        <v>7894</v>
      </c>
      <c r="B2655">
        <v>3.2</v>
      </c>
      <c r="C2655" t="s">
        <v>7813</v>
      </c>
      <c r="D2655" t="s">
        <v>3859</v>
      </c>
    </row>
    <row r="2656" spans="1:4">
      <c r="A2656" t="s">
        <v>7895</v>
      </c>
      <c r="B2656">
        <v>3.33</v>
      </c>
      <c r="C2656" t="s">
        <v>4388</v>
      </c>
      <c r="D2656" t="s">
        <v>3948</v>
      </c>
    </row>
    <row r="2657" spans="1:4">
      <c r="A2657" t="s">
        <v>7896</v>
      </c>
      <c r="B2657">
        <v>3.18</v>
      </c>
      <c r="C2657" t="s">
        <v>7890</v>
      </c>
      <c r="D2657" t="s">
        <v>3859</v>
      </c>
    </row>
    <row r="2658" spans="1:4">
      <c r="A2658" t="s">
        <v>7897</v>
      </c>
      <c r="B2658">
        <v>3.27</v>
      </c>
      <c r="C2658" t="s">
        <v>7813</v>
      </c>
      <c r="D2658" t="s">
        <v>3963</v>
      </c>
    </row>
    <row r="2659" spans="1:4">
      <c r="A2659" t="s">
        <v>7898</v>
      </c>
      <c r="B2659">
        <v>3.15</v>
      </c>
      <c r="C2659" t="s">
        <v>2783</v>
      </c>
      <c r="D2659" t="s">
        <v>3963</v>
      </c>
    </row>
    <row r="2660" spans="1:4">
      <c r="A2660" t="s">
        <v>7899</v>
      </c>
      <c r="B2660">
        <v>3.1</v>
      </c>
      <c r="C2660" t="s">
        <v>3954</v>
      </c>
      <c r="D2660" t="s">
        <v>4018</v>
      </c>
    </row>
    <row r="2661" spans="1:4">
      <c r="A2661" t="s">
        <v>7900</v>
      </c>
      <c r="B2661">
        <v>3.15</v>
      </c>
      <c r="C2661" t="s">
        <v>3613</v>
      </c>
      <c r="D2661" t="s">
        <v>4018</v>
      </c>
    </row>
    <row r="2662" spans="1:4">
      <c r="A2662" t="s">
        <v>7901</v>
      </c>
      <c r="B2662">
        <v>3.13</v>
      </c>
      <c r="C2662" t="s">
        <v>3103</v>
      </c>
      <c r="D2662" t="s">
        <v>3948</v>
      </c>
    </row>
    <row r="2663" spans="1:4">
      <c r="A2663" t="s">
        <v>7902</v>
      </c>
      <c r="B2663">
        <v>3.05</v>
      </c>
      <c r="C2663" t="s">
        <v>108</v>
      </c>
      <c r="D2663" t="s">
        <v>4018</v>
      </c>
    </row>
    <row r="2664" spans="1:4">
      <c r="A2664" t="s">
        <v>7903</v>
      </c>
      <c r="B2664">
        <v>2.81</v>
      </c>
      <c r="C2664" t="s">
        <v>108</v>
      </c>
      <c r="D2664" t="s">
        <v>3948</v>
      </c>
    </row>
    <row r="2665" spans="1:4">
      <c r="A2665" t="s">
        <v>7904</v>
      </c>
      <c r="B2665">
        <v>2.81</v>
      </c>
      <c r="C2665" t="s">
        <v>108</v>
      </c>
      <c r="D2665" t="s">
        <v>3948</v>
      </c>
    </row>
    <row r="2666" spans="1:4">
      <c r="A2666" t="s">
        <v>7905</v>
      </c>
      <c r="B2666">
        <v>3.1</v>
      </c>
      <c r="C2666" t="s">
        <v>108</v>
      </c>
      <c r="D2666" t="s">
        <v>3948</v>
      </c>
    </row>
    <row r="2667" spans="1:4">
      <c r="A2667" t="s">
        <v>7906</v>
      </c>
      <c r="B2667">
        <v>2.9</v>
      </c>
      <c r="C2667" t="s">
        <v>108</v>
      </c>
      <c r="D2667" t="s">
        <v>3948</v>
      </c>
    </row>
    <row r="2668" spans="1:4">
      <c r="A2668" t="s">
        <v>7907</v>
      </c>
      <c r="B2668">
        <v>2.8</v>
      </c>
      <c r="C2668" t="s">
        <v>108</v>
      </c>
      <c r="D2668" t="s">
        <v>3859</v>
      </c>
    </row>
    <row r="2669" spans="1:4">
      <c r="A2669" t="s">
        <v>7908</v>
      </c>
      <c r="B2669">
        <v>2.81</v>
      </c>
      <c r="C2669" t="s">
        <v>108</v>
      </c>
      <c r="D2669" t="s">
        <v>3948</v>
      </c>
    </row>
    <row r="2670" spans="1:4">
      <c r="A2670" t="s">
        <v>7909</v>
      </c>
      <c r="B2670">
        <v>2.81</v>
      </c>
      <c r="C2670" t="s">
        <v>108</v>
      </c>
      <c r="D2670" t="s">
        <v>3948</v>
      </c>
    </row>
    <row r="2671" spans="1:4">
      <c r="A2671" t="s">
        <v>7910</v>
      </c>
      <c r="B2671">
        <v>2.75</v>
      </c>
      <c r="C2671" t="s">
        <v>108</v>
      </c>
      <c r="D2671" t="s">
        <v>3948</v>
      </c>
    </row>
    <row r="2672" spans="1:4">
      <c r="A2672" t="s">
        <v>7911</v>
      </c>
      <c r="B2672">
        <v>3.2</v>
      </c>
      <c r="C2672" t="s">
        <v>108</v>
      </c>
      <c r="D2672" t="s">
        <v>3948</v>
      </c>
    </row>
    <row r="2673" spans="1:4">
      <c r="A2673" t="s">
        <v>7912</v>
      </c>
      <c r="B2673">
        <v>2.8</v>
      </c>
      <c r="C2673" t="s">
        <v>108</v>
      </c>
      <c r="D2673" t="s">
        <v>3859</v>
      </c>
    </row>
    <row r="2674" spans="1:4">
      <c r="A2674" t="s">
        <v>7913</v>
      </c>
      <c r="B2674">
        <v>2.93</v>
      </c>
      <c r="C2674" t="s">
        <v>108</v>
      </c>
      <c r="D2674" t="s">
        <v>3859</v>
      </c>
    </row>
    <row r="2675" spans="1:4">
      <c r="A2675" t="s">
        <v>7914</v>
      </c>
      <c r="B2675">
        <v>2.4</v>
      </c>
      <c r="C2675" t="s">
        <v>6667</v>
      </c>
      <c r="D2675" t="s">
        <v>3859</v>
      </c>
    </row>
    <row r="2676" spans="1:4">
      <c r="A2676" t="s">
        <v>7915</v>
      </c>
      <c r="B2676">
        <v>2.5</v>
      </c>
      <c r="C2676" t="s">
        <v>108</v>
      </c>
      <c r="D2676" t="s">
        <v>3859</v>
      </c>
    </row>
    <row r="2677" spans="1:4">
      <c r="A2677" t="s">
        <v>7916</v>
      </c>
      <c r="B2677">
        <v>2.48</v>
      </c>
      <c r="C2677" t="s">
        <v>108</v>
      </c>
      <c r="D2677" t="s">
        <v>3948</v>
      </c>
    </row>
    <row r="2678" spans="1:4">
      <c r="A2678" t="s">
        <v>7917</v>
      </c>
      <c r="B2678">
        <v>2.4</v>
      </c>
      <c r="C2678" t="s">
        <v>7918</v>
      </c>
      <c r="D2678" t="s">
        <v>3948</v>
      </c>
    </row>
    <row r="2679" spans="1:4">
      <c r="A2679" t="s">
        <v>7919</v>
      </c>
      <c r="B2679">
        <v>2.5</v>
      </c>
      <c r="C2679" t="s">
        <v>7920</v>
      </c>
      <c r="D2679" t="s">
        <v>3948</v>
      </c>
    </row>
    <row r="2680" spans="1:4">
      <c r="A2680" t="s">
        <v>7921</v>
      </c>
      <c r="B2680">
        <v>2.5499999999999998</v>
      </c>
      <c r="C2680" t="s">
        <v>3166</v>
      </c>
      <c r="D2680" t="s">
        <v>3948</v>
      </c>
    </row>
    <row r="2681" spans="1:4">
      <c r="A2681" t="s">
        <v>7922</v>
      </c>
      <c r="B2681">
        <v>2.5499999999999998</v>
      </c>
      <c r="C2681" t="s">
        <v>7923</v>
      </c>
      <c r="D2681" t="s">
        <v>3948</v>
      </c>
    </row>
    <row r="2682" spans="1:4">
      <c r="A2682" t="s">
        <v>7924</v>
      </c>
      <c r="B2682">
        <v>2.5</v>
      </c>
      <c r="C2682" t="s">
        <v>108</v>
      </c>
      <c r="D2682" t="s">
        <v>3948</v>
      </c>
    </row>
    <row r="2683" spans="1:4">
      <c r="A2683" t="s">
        <v>7925</v>
      </c>
      <c r="B2683">
        <v>2.5</v>
      </c>
      <c r="C2683" t="s">
        <v>108</v>
      </c>
      <c r="D2683" t="s">
        <v>3948</v>
      </c>
    </row>
    <row r="2684" spans="1:4">
      <c r="A2684" t="s">
        <v>7926</v>
      </c>
      <c r="B2684">
        <v>2.35</v>
      </c>
      <c r="C2684" t="s">
        <v>108</v>
      </c>
      <c r="D2684" t="s">
        <v>4456</v>
      </c>
    </row>
    <row r="2685" spans="1:4">
      <c r="A2685" t="s">
        <v>7927</v>
      </c>
      <c r="B2685">
        <v>2.7</v>
      </c>
      <c r="C2685" t="s">
        <v>3965</v>
      </c>
      <c r="D2685" t="s">
        <v>3948</v>
      </c>
    </row>
    <row r="2686" spans="1:4">
      <c r="A2686" t="s">
        <v>7928</v>
      </c>
      <c r="B2686">
        <v>2.88</v>
      </c>
      <c r="C2686" t="s">
        <v>6364</v>
      </c>
      <c r="D2686" t="s">
        <v>3948</v>
      </c>
    </row>
    <row r="2687" spans="1:4">
      <c r="A2687" t="s">
        <v>7929</v>
      </c>
      <c r="B2687">
        <v>2.63</v>
      </c>
      <c r="C2687" t="s">
        <v>4017</v>
      </c>
      <c r="D2687" t="s">
        <v>3963</v>
      </c>
    </row>
    <row r="2688" spans="1:4">
      <c r="A2688" t="s">
        <v>7930</v>
      </c>
      <c r="B2688">
        <v>2.63</v>
      </c>
      <c r="C2688" t="s">
        <v>4017</v>
      </c>
      <c r="D2688" t="s">
        <v>3963</v>
      </c>
    </row>
    <row r="2689" spans="1:4">
      <c r="A2689" t="s">
        <v>7931</v>
      </c>
      <c r="B2689">
        <v>2.93</v>
      </c>
      <c r="C2689" t="s">
        <v>2395</v>
      </c>
      <c r="D2689" t="s">
        <v>3948</v>
      </c>
    </row>
    <row r="2690" spans="1:4">
      <c r="A2690" t="s">
        <v>7932</v>
      </c>
      <c r="B2690">
        <v>3</v>
      </c>
      <c r="C2690" t="s">
        <v>2395</v>
      </c>
      <c r="D2690" t="s">
        <v>3948</v>
      </c>
    </row>
    <row r="2691" spans="1:4">
      <c r="A2691" t="s">
        <v>7933</v>
      </c>
      <c r="B2691">
        <v>2.93</v>
      </c>
      <c r="C2691" t="s">
        <v>2392</v>
      </c>
      <c r="D2691" t="s">
        <v>3948</v>
      </c>
    </row>
    <row r="2692" spans="1:4">
      <c r="A2692" t="s">
        <v>7934</v>
      </c>
      <c r="B2692">
        <v>2.88</v>
      </c>
      <c r="C2692" t="s">
        <v>108</v>
      </c>
      <c r="D2692" t="s">
        <v>3948</v>
      </c>
    </row>
    <row r="2693" spans="1:4">
      <c r="A2693" t="s">
        <v>7935</v>
      </c>
      <c r="B2693">
        <v>2.95</v>
      </c>
      <c r="C2693" t="s">
        <v>2395</v>
      </c>
      <c r="D2693" t="s">
        <v>3948</v>
      </c>
    </row>
    <row r="2694" spans="1:4">
      <c r="A2694" t="s">
        <v>7936</v>
      </c>
      <c r="B2694">
        <v>3.05</v>
      </c>
      <c r="C2694" t="s">
        <v>108</v>
      </c>
      <c r="D2694" t="s">
        <v>3859</v>
      </c>
    </row>
    <row r="2695" spans="1:4">
      <c r="A2695" t="s">
        <v>7937</v>
      </c>
      <c r="B2695">
        <v>3.05</v>
      </c>
      <c r="C2695" t="s">
        <v>2783</v>
      </c>
      <c r="D2695" t="s">
        <v>3859</v>
      </c>
    </row>
    <row r="2696" spans="1:4">
      <c r="A2696" t="s">
        <v>7938</v>
      </c>
      <c r="B2696">
        <v>3.05</v>
      </c>
      <c r="C2696" t="s">
        <v>108</v>
      </c>
      <c r="D2696" t="s">
        <v>3859</v>
      </c>
    </row>
    <row r="2697" spans="1:4">
      <c r="A2697" t="s">
        <v>7939</v>
      </c>
      <c r="B2697">
        <v>3.15</v>
      </c>
      <c r="C2697" t="s">
        <v>2783</v>
      </c>
      <c r="D2697" t="s">
        <v>3859</v>
      </c>
    </row>
    <row r="2698" spans="1:4">
      <c r="A2698" t="s">
        <v>7940</v>
      </c>
      <c r="B2698">
        <v>3.05</v>
      </c>
      <c r="C2698" t="s">
        <v>108</v>
      </c>
      <c r="D2698" t="s">
        <v>3859</v>
      </c>
    </row>
    <row r="2699" spans="1:4">
      <c r="A2699" t="s">
        <v>7941</v>
      </c>
      <c r="B2699">
        <v>3.05</v>
      </c>
      <c r="C2699" t="s">
        <v>108</v>
      </c>
      <c r="D2699" t="s">
        <v>3859</v>
      </c>
    </row>
    <row r="2700" spans="1:4">
      <c r="A2700" t="s">
        <v>7942</v>
      </c>
      <c r="B2700">
        <v>3.05</v>
      </c>
      <c r="C2700" t="s">
        <v>108</v>
      </c>
      <c r="D2700" t="s">
        <v>3859</v>
      </c>
    </row>
    <row r="2701" spans="1:4">
      <c r="A2701" t="s">
        <v>7943</v>
      </c>
      <c r="B2701">
        <v>3.05</v>
      </c>
      <c r="C2701" t="s">
        <v>108</v>
      </c>
      <c r="D2701" t="s">
        <v>3859</v>
      </c>
    </row>
    <row r="2702" spans="1:4">
      <c r="A2702" t="s">
        <v>7944</v>
      </c>
      <c r="B2702">
        <v>2.42</v>
      </c>
      <c r="C2702" t="s">
        <v>108</v>
      </c>
      <c r="D2702" t="s">
        <v>3945</v>
      </c>
    </row>
    <row r="2703" spans="1:4">
      <c r="A2703" t="s">
        <v>7945</v>
      </c>
      <c r="B2703">
        <v>3.11</v>
      </c>
      <c r="C2703" t="s">
        <v>7663</v>
      </c>
      <c r="D2703" t="s">
        <v>3859</v>
      </c>
    </row>
    <row r="2704" spans="1:4">
      <c r="A2704" t="s">
        <v>7946</v>
      </c>
      <c r="B2704">
        <v>2.61</v>
      </c>
      <c r="C2704" t="s">
        <v>7795</v>
      </c>
      <c r="D2704" t="s">
        <v>3859</v>
      </c>
    </row>
    <row r="2705" spans="1:4">
      <c r="A2705" t="s">
        <v>7947</v>
      </c>
      <c r="B2705">
        <v>2.81</v>
      </c>
      <c r="C2705" t="s">
        <v>7890</v>
      </c>
      <c r="D2705" t="s">
        <v>3859</v>
      </c>
    </row>
    <row r="2706" spans="1:4">
      <c r="A2706" t="s">
        <v>7948</v>
      </c>
      <c r="B2706">
        <v>3.01</v>
      </c>
      <c r="C2706" t="s">
        <v>7890</v>
      </c>
      <c r="D2706" t="s">
        <v>3859</v>
      </c>
    </row>
    <row r="2707" spans="1:4">
      <c r="A2707" t="s">
        <v>7949</v>
      </c>
      <c r="B2707">
        <v>3.2</v>
      </c>
      <c r="C2707" t="s">
        <v>4089</v>
      </c>
      <c r="D2707" t="s">
        <v>3963</v>
      </c>
    </row>
    <row r="2708" spans="1:4">
      <c r="A2708" t="s">
        <v>7950</v>
      </c>
      <c r="B2708">
        <v>3.32</v>
      </c>
      <c r="C2708" t="s">
        <v>4080</v>
      </c>
      <c r="D2708" t="s">
        <v>3963</v>
      </c>
    </row>
    <row r="2709" spans="1:4">
      <c r="A2709" t="s">
        <v>7951</v>
      </c>
      <c r="B2709">
        <v>3.44</v>
      </c>
      <c r="C2709" t="s">
        <v>3664</v>
      </c>
      <c r="D2709" t="s">
        <v>3963</v>
      </c>
    </row>
    <row r="2710" spans="1:4">
      <c r="A2710" t="s">
        <v>7952</v>
      </c>
      <c r="B2710">
        <v>2.86</v>
      </c>
      <c r="C2710" t="s">
        <v>108</v>
      </c>
      <c r="D2710" t="s">
        <v>3963</v>
      </c>
    </row>
    <row r="2711" spans="1:4">
      <c r="A2711" t="s">
        <v>7953</v>
      </c>
      <c r="B2711">
        <v>2.75</v>
      </c>
      <c r="C2711" t="s">
        <v>2392</v>
      </c>
      <c r="D2711" t="s">
        <v>3859</v>
      </c>
    </row>
    <row r="2712" spans="1:4">
      <c r="A2712" t="s">
        <v>7954</v>
      </c>
      <c r="B2712">
        <v>2.95</v>
      </c>
      <c r="C2712" t="s">
        <v>108</v>
      </c>
      <c r="D2712" t="s">
        <v>3859</v>
      </c>
    </row>
    <row r="2713" spans="1:4">
      <c r="A2713" t="s">
        <v>7955</v>
      </c>
      <c r="B2713">
        <v>2.95</v>
      </c>
      <c r="C2713" t="s">
        <v>108</v>
      </c>
      <c r="D2713" t="s">
        <v>3859</v>
      </c>
    </row>
    <row r="2714" spans="1:4">
      <c r="A2714" t="s">
        <v>7956</v>
      </c>
      <c r="B2714">
        <v>2.95</v>
      </c>
      <c r="C2714" t="s">
        <v>108</v>
      </c>
      <c r="D2714" t="s">
        <v>3859</v>
      </c>
    </row>
    <row r="2715" spans="1:4">
      <c r="A2715" t="s">
        <v>7957</v>
      </c>
      <c r="B2715">
        <v>2.95</v>
      </c>
      <c r="C2715" t="s">
        <v>108</v>
      </c>
      <c r="D2715" t="s">
        <v>3859</v>
      </c>
    </row>
    <row r="2716" spans="1:4">
      <c r="A2716" t="s">
        <v>7958</v>
      </c>
      <c r="B2716">
        <v>2.95</v>
      </c>
      <c r="C2716" t="s">
        <v>108</v>
      </c>
      <c r="D2716" t="s">
        <v>3859</v>
      </c>
    </row>
    <row r="2717" spans="1:4">
      <c r="A2717" t="s">
        <v>7959</v>
      </c>
      <c r="B2717">
        <v>2.95</v>
      </c>
      <c r="C2717" t="s">
        <v>2392</v>
      </c>
      <c r="D2717" t="s">
        <v>3859</v>
      </c>
    </row>
    <row r="2718" spans="1:4">
      <c r="A2718" t="s">
        <v>7960</v>
      </c>
      <c r="B2718">
        <v>2.95</v>
      </c>
      <c r="C2718" t="s">
        <v>108</v>
      </c>
      <c r="D2718" t="s">
        <v>3859</v>
      </c>
    </row>
    <row r="2719" spans="1:4">
      <c r="A2719" t="s">
        <v>7961</v>
      </c>
      <c r="B2719">
        <v>2.5</v>
      </c>
      <c r="C2719" t="s">
        <v>108</v>
      </c>
      <c r="D2719" t="s">
        <v>3948</v>
      </c>
    </row>
    <row r="2720" spans="1:4">
      <c r="A2720" t="s">
        <v>7962</v>
      </c>
      <c r="B2720">
        <v>2.5</v>
      </c>
      <c r="C2720" t="s">
        <v>4580</v>
      </c>
      <c r="D2720" t="s">
        <v>3948</v>
      </c>
    </row>
    <row r="2721" spans="1:4">
      <c r="A2721" t="s">
        <v>7963</v>
      </c>
      <c r="B2721">
        <v>2.66</v>
      </c>
      <c r="C2721" t="s">
        <v>6582</v>
      </c>
      <c r="D2721" t="s">
        <v>3948</v>
      </c>
    </row>
    <row r="2722" spans="1:4">
      <c r="A2722" t="s">
        <v>7964</v>
      </c>
      <c r="B2722">
        <v>2.57</v>
      </c>
      <c r="C2722" t="s">
        <v>108</v>
      </c>
      <c r="D2722" t="s">
        <v>3948</v>
      </c>
    </row>
    <row r="2723" spans="1:4">
      <c r="A2723" t="s">
        <v>7965</v>
      </c>
      <c r="B2723">
        <v>0</v>
      </c>
      <c r="C2723" t="s">
        <v>7966</v>
      </c>
      <c r="D2723" t="s">
        <v>7967</v>
      </c>
    </row>
    <row r="2724" spans="1:4">
      <c r="A2724" t="s">
        <v>7968</v>
      </c>
      <c r="B2724">
        <v>2.66</v>
      </c>
      <c r="C2724" t="s">
        <v>6582</v>
      </c>
      <c r="D2724" t="s">
        <v>3948</v>
      </c>
    </row>
    <row r="2725" spans="1:4">
      <c r="A2725" t="s">
        <v>7969</v>
      </c>
      <c r="B2725">
        <v>2.65</v>
      </c>
      <c r="C2725" t="s">
        <v>108</v>
      </c>
      <c r="D2725" t="s">
        <v>3963</v>
      </c>
    </row>
    <row r="2726" spans="1:4">
      <c r="A2726" t="s">
        <v>7970</v>
      </c>
      <c r="B2726">
        <v>2.65</v>
      </c>
      <c r="C2726" t="s">
        <v>4017</v>
      </c>
      <c r="D2726" t="s">
        <v>3948</v>
      </c>
    </row>
    <row r="2727" spans="1:4">
      <c r="A2727" t="s">
        <v>7971</v>
      </c>
      <c r="B2727">
        <v>2.6</v>
      </c>
      <c r="C2727" t="s">
        <v>4017</v>
      </c>
      <c r="D2727" t="s">
        <v>3948</v>
      </c>
    </row>
    <row r="2728" spans="1:4">
      <c r="A2728" t="s">
        <v>7972</v>
      </c>
      <c r="B2728">
        <v>2.6</v>
      </c>
      <c r="C2728" t="s">
        <v>3117</v>
      </c>
      <c r="D2728" t="s">
        <v>3948</v>
      </c>
    </row>
    <row r="2729" spans="1:4">
      <c r="A2729" t="s">
        <v>7973</v>
      </c>
      <c r="B2729">
        <v>3.1</v>
      </c>
      <c r="C2729" t="s">
        <v>108</v>
      </c>
      <c r="D2729" t="s">
        <v>3859</v>
      </c>
    </row>
    <row r="2730" spans="1:4">
      <c r="A2730" t="s">
        <v>7974</v>
      </c>
      <c r="B2730">
        <v>3</v>
      </c>
      <c r="C2730" t="s">
        <v>108</v>
      </c>
      <c r="D2730" t="s">
        <v>3859</v>
      </c>
    </row>
    <row r="2731" spans="1:4">
      <c r="A2731" t="s">
        <v>7975</v>
      </c>
      <c r="B2731">
        <v>3.04</v>
      </c>
      <c r="C2731" t="s">
        <v>108</v>
      </c>
      <c r="D2731" t="s">
        <v>3859</v>
      </c>
    </row>
    <row r="2732" spans="1:4">
      <c r="A2732" t="s">
        <v>7976</v>
      </c>
      <c r="B2732">
        <v>3.04</v>
      </c>
      <c r="C2732" t="s">
        <v>108</v>
      </c>
      <c r="D2732" t="s">
        <v>3859</v>
      </c>
    </row>
    <row r="2733" spans="1:4">
      <c r="A2733" t="s">
        <v>7977</v>
      </c>
      <c r="B2733">
        <v>3</v>
      </c>
      <c r="C2733" t="s">
        <v>108</v>
      </c>
      <c r="D2733" t="s">
        <v>3859</v>
      </c>
    </row>
    <row r="2734" spans="1:4">
      <c r="A2734" t="s">
        <v>7978</v>
      </c>
      <c r="B2734">
        <v>3</v>
      </c>
      <c r="C2734" t="s">
        <v>2421</v>
      </c>
      <c r="D2734" t="s">
        <v>3859</v>
      </c>
    </row>
    <row r="2735" spans="1:4">
      <c r="A2735" t="s">
        <v>7979</v>
      </c>
      <c r="B2735">
        <v>3</v>
      </c>
      <c r="C2735" t="s">
        <v>2421</v>
      </c>
      <c r="D2735" t="s">
        <v>3859</v>
      </c>
    </row>
    <row r="2736" spans="1:4">
      <c r="A2736" t="s">
        <v>7980</v>
      </c>
      <c r="B2736">
        <v>3</v>
      </c>
      <c r="C2736" t="s">
        <v>2421</v>
      </c>
      <c r="D2736" t="s">
        <v>3859</v>
      </c>
    </row>
    <row r="2737" spans="1:4">
      <c r="A2737" t="s">
        <v>7981</v>
      </c>
      <c r="B2737">
        <v>3.08</v>
      </c>
      <c r="C2737" t="s">
        <v>2418</v>
      </c>
      <c r="D2737" t="s">
        <v>3948</v>
      </c>
    </row>
    <row r="2738" spans="1:4">
      <c r="A2738" t="s">
        <v>7982</v>
      </c>
      <c r="B2738">
        <v>3</v>
      </c>
      <c r="C2738" t="s">
        <v>108</v>
      </c>
      <c r="D2738" t="s">
        <v>3859</v>
      </c>
    </row>
    <row r="2739" spans="1:4">
      <c r="A2739" t="s">
        <v>7983</v>
      </c>
      <c r="B2739">
        <v>3.03</v>
      </c>
      <c r="C2739" t="s">
        <v>2418</v>
      </c>
      <c r="D2739" t="s">
        <v>3859</v>
      </c>
    </row>
    <row r="2740" spans="1:4">
      <c r="A2740" t="s">
        <v>7984</v>
      </c>
      <c r="B2740">
        <v>3.1</v>
      </c>
      <c r="C2740" t="s">
        <v>2421</v>
      </c>
      <c r="D2740" t="s">
        <v>3859</v>
      </c>
    </row>
    <row r="2741" spans="1:4">
      <c r="A2741" t="s">
        <v>7985</v>
      </c>
      <c r="B2741">
        <v>3</v>
      </c>
      <c r="C2741" t="s">
        <v>108</v>
      </c>
      <c r="D2741" t="s">
        <v>3859</v>
      </c>
    </row>
    <row r="2742" spans="1:4">
      <c r="A2742" t="s">
        <v>7986</v>
      </c>
      <c r="B2742">
        <v>3.1</v>
      </c>
      <c r="C2742" t="s">
        <v>108</v>
      </c>
      <c r="D2742" t="s">
        <v>3859</v>
      </c>
    </row>
    <row r="2743" spans="1:4">
      <c r="A2743" t="s">
        <v>7987</v>
      </c>
      <c r="B2743">
        <v>3.03</v>
      </c>
      <c r="C2743" t="s">
        <v>108</v>
      </c>
      <c r="D2743" t="s">
        <v>3859</v>
      </c>
    </row>
    <row r="2744" spans="1:4">
      <c r="A2744" t="s">
        <v>7988</v>
      </c>
      <c r="B2744">
        <v>3.08</v>
      </c>
      <c r="C2744" t="s">
        <v>2418</v>
      </c>
      <c r="D2744" t="s">
        <v>3859</v>
      </c>
    </row>
    <row r="2745" spans="1:4">
      <c r="A2745" t="s">
        <v>7989</v>
      </c>
      <c r="B2745">
        <v>3.01</v>
      </c>
      <c r="C2745" t="s">
        <v>108</v>
      </c>
      <c r="D2745" t="s">
        <v>3859</v>
      </c>
    </row>
    <row r="2746" spans="1:4">
      <c r="A2746" t="s">
        <v>7990</v>
      </c>
      <c r="B2746">
        <v>3.12</v>
      </c>
      <c r="C2746" t="s">
        <v>2418</v>
      </c>
      <c r="D2746" t="s">
        <v>3859</v>
      </c>
    </row>
    <row r="2747" spans="1:4">
      <c r="A2747" t="s">
        <v>7991</v>
      </c>
      <c r="B2747">
        <v>3.08</v>
      </c>
      <c r="C2747" t="s">
        <v>108</v>
      </c>
      <c r="D2747" t="s">
        <v>3859</v>
      </c>
    </row>
    <row r="2748" spans="1:4">
      <c r="A2748" t="s">
        <v>7992</v>
      </c>
      <c r="B2748">
        <v>3.05</v>
      </c>
      <c r="C2748" t="s">
        <v>2418</v>
      </c>
      <c r="D2748" t="s">
        <v>3859</v>
      </c>
    </row>
    <row r="2749" spans="1:4">
      <c r="A2749" t="s">
        <v>7993</v>
      </c>
      <c r="B2749">
        <v>3</v>
      </c>
      <c r="C2749" t="s">
        <v>2421</v>
      </c>
      <c r="D2749" t="s">
        <v>3859</v>
      </c>
    </row>
    <row r="2750" spans="1:4">
      <c r="A2750" t="s">
        <v>7994</v>
      </c>
      <c r="B2750">
        <v>2.85</v>
      </c>
      <c r="C2750" t="s">
        <v>2690</v>
      </c>
      <c r="D2750" t="s">
        <v>3859</v>
      </c>
    </row>
    <row r="2751" spans="1:4">
      <c r="A2751" t="s">
        <v>7995</v>
      </c>
      <c r="B2751">
        <v>2.82</v>
      </c>
      <c r="C2751" t="s">
        <v>2690</v>
      </c>
      <c r="D2751" t="s">
        <v>3859</v>
      </c>
    </row>
    <row r="2752" spans="1:4">
      <c r="A2752" t="s">
        <v>7996</v>
      </c>
      <c r="B2752">
        <v>2.79</v>
      </c>
      <c r="C2752" t="s">
        <v>2690</v>
      </c>
      <c r="D2752" t="s">
        <v>3859</v>
      </c>
    </row>
    <row r="2753" spans="1:4">
      <c r="A2753" t="s">
        <v>7997</v>
      </c>
      <c r="B2753">
        <v>2.79</v>
      </c>
      <c r="C2753" t="s">
        <v>2690</v>
      </c>
      <c r="D2753" t="s">
        <v>3859</v>
      </c>
    </row>
    <row r="2754" spans="1:4">
      <c r="A2754" t="s">
        <v>7998</v>
      </c>
      <c r="B2754">
        <v>2.8</v>
      </c>
      <c r="C2754" t="s">
        <v>108</v>
      </c>
      <c r="D2754" t="s">
        <v>3859</v>
      </c>
    </row>
    <row r="2755" spans="1:4">
      <c r="A2755" t="s">
        <v>7999</v>
      </c>
      <c r="B2755">
        <v>2.87</v>
      </c>
      <c r="C2755" t="s">
        <v>108</v>
      </c>
      <c r="D2755" t="s">
        <v>3859</v>
      </c>
    </row>
    <row r="2756" spans="1:4">
      <c r="A2756" t="s">
        <v>8000</v>
      </c>
      <c r="B2756">
        <v>2.87</v>
      </c>
      <c r="C2756" t="s">
        <v>108</v>
      </c>
      <c r="D2756" t="s">
        <v>3859</v>
      </c>
    </row>
    <row r="2757" spans="1:4">
      <c r="A2757" t="s">
        <v>8001</v>
      </c>
      <c r="B2757">
        <v>2.78</v>
      </c>
      <c r="C2757" t="s">
        <v>108</v>
      </c>
      <c r="D2757" t="s">
        <v>3859</v>
      </c>
    </row>
    <row r="2758" spans="1:4">
      <c r="A2758" t="s">
        <v>8002</v>
      </c>
      <c r="B2758">
        <v>2.72</v>
      </c>
      <c r="C2758" t="s">
        <v>108</v>
      </c>
      <c r="D2758" t="s">
        <v>3859</v>
      </c>
    </row>
    <row r="2759" spans="1:4">
      <c r="A2759" t="s">
        <v>8003</v>
      </c>
      <c r="B2759">
        <v>2.25</v>
      </c>
      <c r="C2759" t="s">
        <v>108</v>
      </c>
      <c r="D2759" t="s">
        <v>3859</v>
      </c>
    </row>
    <row r="2760" spans="1:4">
      <c r="A2760" t="s">
        <v>8004</v>
      </c>
      <c r="B2760">
        <v>2.2999999999999998</v>
      </c>
      <c r="C2760" t="s">
        <v>108</v>
      </c>
      <c r="D2760" t="s">
        <v>3859</v>
      </c>
    </row>
    <row r="2761" spans="1:4">
      <c r="A2761" t="s">
        <v>8005</v>
      </c>
      <c r="B2761">
        <v>2.2999999999999998</v>
      </c>
      <c r="C2761" t="s">
        <v>108</v>
      </c>
      <c r="D2761" t="s">
        <v>3859</v>
      </c>
    </row>
    <row r="2762" spans="1:4">
      <c r="A2762" t="s">
        <v>8006</v>
      </c>
      <c r="B2762">
        <v>2.2999999999999998</v>
      </c>
      <c r="C2762" t="s">
        <v>108</v>
      </c>
      <c r="D2762" t="s">
        <v>3859</v>
      </c>
    </row>
    <row r="2763" spans="1:4">
      <c r="A2763" t="s">
        <v>8007</v>
      </c>
      <c r="B2763">
        <v>2.41</v>
      </c>
      <c r="C2763" t="s">
        <v>108</v>
      </c>
      <c r="D2763" t="s">
        <v>3859</v>
      </c>
    </row>
    <row r="2764" spans="1:4">
      <c r="A2764" t="s">
        <v>8008</v>
      </c>
      <c r="B2764">
        <v>1.86</v>
      </c>
      <c r="C2764" t="s">
        <v>108</v>
      </c>
      <c r="D2764" t="s">
        <v>8009</v>
      </c>
    </row>
    <row r="2765" spans="1:4">
      <c r="A2765" t="s">
        <v>8010</v>
      </c>
      <c r="B2765">
        <v>1.85</v>
      </c>
      <c r="C2765" t="s">
        <v>108</v>
      </c>
      <c r="D2765" t="s">
        <v>3859</v>
      </c>
    </row>
    <row r="2766" spans="1:4">
      <c r="A2766" t="s">
        <v>8011</v>
      </c>
      <c r="B2766">
        <v>1.86</v>
      </c>
      <c r="C2766" t="s">
        <v>108</v>
      </c>
      <c r="D2766" t="s">
        <v>8009</v>
      </c>
    </row>
    <row r="2767" spans="1:4">
      <c r="A2767" t="s">
        <v>8012</v>
      </c>
      <c r="B2767">
        <v>1.82</v>
      </c>
      <c r="C2767" t="s">
        <v>4092</v>
      </c>
      <c r="D2767" t="s">
        <v>3859</v>
      </c>
    </row>
    <row r="2768" spans="1:4">
      <c r="A2768" t="s">
        <v>8013</v>
      </c>
      <c r="B2768">
        <v>1.85</v>
      </c>
      <c r="C2768" t="s">
        <v>3117</v>
      </c>
      <c r="D2768" t="s">
        <v>3859</v>
      </c>
    </row>
    <row r="2769" spans="1:4">
      <c r="A2769" t="s">
        <v>8014</v>
      </c>
      <c r="B2769">
        <v>2.4300000000000002</v>
      </c>
      <c r="C2769" t="s">
        <v>108</v>
      </c>
      <c r="D2769" t="s">
        <v>3859</v>
      </c>
    </row>
    <row r="2770" spans="1:4">
      <c r="A2770" t="s">
        <v>8015</v>
      </c>
      <c r="B2770">
        <v>2.4300000000000002</v>
      </c>
      <c r="C2770" t="s">
        <v>108</v>
      </c>
      <c r="D2770" t="s">
        <v>3859</v>
      </c>
    </row>
    <row r="2771" spans="1:4">
      <c r="A2771" t="s">
        <v>8016</v>
      </c>
      <c r="B2771">
        <v>2.4700000000000002</v>
      </c>
      <c r="C2771" t="s">
        <v>108</v>
      </c>
      <c r="D2771" t="s">
        <v>108</v>
      </c>
    </row>
    <row r="2772" spans="1:4">
      <c r="A2772" t="s">
        <v>8017</v>
      </c>
      <c r="B2772">
        <v>2.4700000000000002</v>
      </c>
      <c r="C2772" t="s">
        <v>108</v>
      </c>
      <c r="D2772" t="s">
        <v>108</v>
      </c>
    </row>
    <row r="2773" spans="1:4">
      <c r="A2773" t="s">
        <v>8018</v>
      </c>
      <c r="B2773">
        <v>2.4500000000000002</v>
      </c>
      <c r="C2773" t="s">
        <v>108</v>
      </c>
      <c r="D2773" t="s">
        <v>3859</v>
      </c>
    </row>
    <row r="2774" spans="1:4">
      <c r="A2774" t="s">
        <v>8019</v>
      </c>
      <c r="B2774">
        <v>2.48</v>
      </c>
      <c r="C2774" t="s">
        <v>108</v>
      </c>
      <c r="D2774" t="s">
        <v>3859</v>
      </c>
    </row>
    <row r="2775" spans="1:4">
      <c r="A2775" t="s">
        <v>8020</v>
      </c>
      <c r="B2775">
        <v>2.98</v>
      </c>
      <c r="C2775" t="s">
        <v>108</v>
      </c>
      <c r="D2775" t="s">
        <v>3948</v>
      </c>
    </row>
    <row r="2776" spans="1:4">
      <c r="A2776" t="s">
        <v>8021</v>
      </c>
      <c r="B2776">
        <v>2.98</v>
      </c>
      <c r="C2776" t="s">
        <v>108</v>
      </c>
      <c r="D2776" t="s">
        <v>3948</v>
      </c>
    </row>
    <row r="2777" spans="1:4">
      <c r="A2777" t="s">
        <v>8022</v>
      </c>
      <c r="B2777">
        <v>2.98</v>
      </c>
      <c r="C2777" t="s">
        <v>108</v>
      </c>
      <c r="D2777" t="s">
        <v>3948</v>
      </c>
    </row>
    <row r="2778" spans="1:4">
      <c r="A2778" t="s">
        <v>8023</v>
      </c>
      <c r="B2778">
        <v>2.98</v>
      </c>
      <c r="C2778" t="s">
        <v>108</v>
      </c>
      <c r="D2778" t="s">
        <v>3948</v>
      </c>
    </row>
    <row r="2779" spans="1:4">
      <c r="A2779" t="s">
        <v>8024</v>
      </c>
      <c r="B2779">
        <v>3.15</v>
      </c>
      <c r="C2779" t="s">
        <v>108</v>
      </c>
      <c r="D2779" t="s">
        <v>3948</v>
      </c>
    </row>
    <row r="2780" spans="1:4">
      <c r="A2780" t="s">
        <v>8025</v>
      </c>
      <c r="B2780">
        <v>2.79</v>
      </c>
      <c r="C2780" t="s">
        <v>3103</v>
      </c>
      <c r="D2780" t="s">
        <v>3948</v>
      </c>
    </row>
    <row r="2781" spans="1:4">
      <c r="A2781" t="s">
        <v>8026</v>
      </c>
      <c r="B2781">
        <v>2.84</v>
      </c>
      <c r="C2781" t="s">
        <v>3103</v>
      </c>
      <c r="D2781" t="s">
        <v>7679</v>
      </c>
    </row>
    <row r="2782" spans="1:4">
      <c r="A2782" t="s">
        <v>8027</v>
      </c>
      <c r="B2782">
        <v>3.05</v>
      </c>
      <c r="C2782" t="s">
        <v>4017</v>
      </c>
      <c r="D2782" t="s">
        <v>3859</v>
      </c>
    </row>
    <row r="2783" spans="1:4">
      <c r="A2783" t="s">
        <v>8028</v>
      </c>
      <c r="B2783">
        <v>3.1</v>
      </c>
      <c r="C2783" t="s">
        <v>4017</v>
      </c>
      <c r="D2783" t="s">
        <v>3948</v>
      </c>
    </row>
    <row r="2784" spans="1:4">
      <c r="A2784" t="s">
        <v>8029</v>
      </c>
      <c r="B2784">
        <v>3.45</v>
      </c>
      <c r="C2784" t="s">
        <v>4017</v>
      </c>
      <c r="D2784" t="s">
        <v>3948</v>
      </c>
    </row>
    <row r="2785" spans="1:4">
      <c r="A2785" t="s">
        <v>8030</v>
      </c>
      <c r="B2785">
        <v>2.5</v>
      </c>
      <c r="C2785" t="s">
        <v>108</v>
      </c>
      <c r="D2785" t="s">
        <v>3948</v>
      </c>
    </row>
    <row r="2786" spans="1:4">
      <c r="A2786" t="s">
        <v>8031</v>
      </c>
      <c r="B2786">
        <v>2.7</v>
      </c>
      <c r="C2786" t="s">
        <v>108</v>
      </c>
      <c r="D2786" t="s">
        <v>3948</v>
      </c>
    </row>
    <row r="2787" spans="1:4">
      <c r="A2787" t="s">
        <v>8032</v>
      </c>
      <c r="B2787">
        <v>2.87</v>
      </c>
      <c r="C2787" t="s">
        <v>108</v>
      </c>
      <c r="D2787" t="s">
        <v>3948</v>
      </c>
    </row>
    <row r="2788" spans="1:4">
      <c r="A2788" t="s">
        <v>8033</v>
      </c>
      <c r="B2788">
        <v>2.87</v>
      </c>
      <c r="C2788" t="s">
        <v>108</v>
      </c>
      <c r="D2788" t="s">
        <v>3948</v>
      </c>
    </row>
    <row r="2789" spans="1:4">
      <c r="A2789" t="s">
        <v>8034</v>
      </c>
      <c r="B2789">
        <v>2.87</v>
      </c>
      <c r="C2789" t="s">
        <v>108</v>
      </c>
      <c r="D2789" t="s">
        <v>3948</v>
      </c>
    </row>
    <row r="2790" spans="1:4">
      <c r="A2790" t="s">
        <v>8035</v>
      </c>
      <c r="B2790">
        <v>2.5</v>
      </c>
      <c r="C2790" t="s">
        <v>5526</v>
      </c>
      <c r="D2790" t="s">
        <v>3948</v>
      </c>
    </row>
    <row r="2791" spans="1:4">
      <c r="A2791" t="s">
        <v>8036</v>
      </c>
      <c r="B2791">
        <v>3.14</v>
      </c>
      <c r="C2791" t="s">
        <v>108</v>
      </c>
      <c r="D2791" t="s">
        <v>3859</v>
      </c>
    </row>
    <row r="2792" spans="1:4">
      <c r="A2792" t="s">
        <v>8037</v>
      </c>
      <c r="B2792">
        <v>2.99</v>
      </c>
      <c r="C2792" t="s">
        <v>4613</v>
      </c>
      <c r="D2792" t="s">
        <v>3963</v>
      </c>
    </row>
    <row r="2793" spans="1:4">
      <c r="A2793" t="s">
        <v>8038</v>
      </c>
      <c r="B2793">
        <v>2.93</v>
      </c>
      <c r="C2793" t="s">
        <v>5102</v>
      </c>
      <c r="D2793" t="s">
        <v>3963</v>
      </c>
    </row>
    <row r="2794" spans="1:4">
      <c r="A2794" t="s">
        <v>8039</v>
      </c>
      <c r="B2794">
        <v>2.9</v>
      </c>
      <c r="C2794" t="s">
        <v>4613</v>
      </c>
      <c r="D2794" t="s">
        <v>3963</v>
      </c>
    </row>
    <row r="2795" spans="1:4">
      <c r="A2795" t="s">
        <v>8040</v>
      </c>
      <c r="B2795">
        <v>2.81</v>
      </c>
      <c r="C2795" t="s">
        <v>4613</v>
      </c>
      <c r="D2795" t="s">
        <v>3963</v>
      </c>
    </row>
    <row r="2796" spans="1:4">
      <c r="A2796" t="s">
        <v>8041</v>
      </c>
      <c r="B2796">
        <v>2.4700000000000002</v>
      </c>
      <c r="C2796" t="s">
        <v>3099</v>
      </c>
      <c r="D2796" t="s">
        <v>3948</v>
      </c>
    </row>
    <row r="2797" spans="1:4">
      <c r="A2797" t="s">
        <v>8042</v>
      </c>
      <c r="B2797">
        <v>2.9</v>
      </c>
      <c r="C2797" t="s">
        <v>108</v>
      </c>
      <c r="D2797" t="s">
        <v>3859</v>
      </c>
    </row>
    <row r="2798" spans="1:4">
      <c r="A2798" t="s">
        <v>8043</v>
      </c>
      <c r="B2798">
        <v>2.9</v>
      </c>
      <c r="C2798" t="s">
        <v>108</v>
      </c>
      <c r="D2798" t="s">
        <v>3859</v>
      </c>
    </row>
    <row r="2799" spans="1:4">
      <c r="A2799" t="s">
        <v>8044</v>
      </c>
      <c r="B2799">
        <v>2.5299999999999998</v>
      </c>
      <c r="C2799" t="s">
        <v>4473</v>
      </c>
      <c r="D2799" t="s">
        <v>3948</v>
      </c>
    </row>
    <row r="2800" spans="1:4">
      <c r="A2800" t="s">
        <v>8045</v>
      </c>
      <c r="B2800">
        <v>2.54</v>
      </c>
      <c r="C2800" t="s">
        <v>4227</v>
      </c>
      <c r="D2800" t="s">
        <v>3945</v>
      </c>
    </row>
    <row r="2801" spans="1:4">
      <c r="A2801" t="s">
        <v>8046</v>
      </c>
      <c r="B2801">
        <v>2.9</v>
      </c>
      <c r="C2801" t="s">
        <v>108</v>
      </c>
      <c r="D2801" t="s">
        <v>3859</v>
      </c>
    </row>
    <row r="2802" spans="1:4">
      <c r="A2802" t="s">
        <v>8047</v>
      </c>
      <c r="B2802">
        <v>2.87</v>
      </c>
      <c r="C2802" t="s">
        <v>108</v>
      </c>
      <c r="D2802" t="s">
        <v>3948</v>
      </c>
    </row>
    <row r="2803" spans="1:4">
      <c r="A2803" t="s">
        <v>8048</v>
      </c>
      <c r="B2803">
        <v>2.71</v>
      </c>
      <c r="C2803" t="s">
        <v>108</v>
      </c>
      <c r="D2803" t="s">
        <v>3859</v>
      </c>
    </row>
    <row r="2804" spans="1:4">
      <c r="A2804" t="s">
        <v>8049</v>
      </c>
      <c r="B2804">
        <v>2.96</v>
      </c>
      <c r="C2804" t="s">
        <v>108</v>
      </c>
      <c r="D2804" t="s">
        <v>3859</v>
      </c>
    </row>
    <row r="2805" spans="1:4">
      <c r="A2805" t="s">
        <v>8050</v>
      </c>
      <c r="B2805">
        <v>3.07</v>
      </c>
      <c r="C2805" t="s">
        <v>108</v>
      </c>
      <c r="D2805" t="s">
        <v>3859</v>
      </c>
    </row>
    <row r="2806" spans="1:4">
      <c r="A2806" t="s">
        <v>8051</v>
      </c>
      <c r="B2806">
        <v>2.5499999999999998</v>
      </c>
      <c r="C2806" t="s">
        <v>6303</v>
      </c>
      <c r="D2806" t="s">
        <v>3859</v>
      </c>
    </row>
    <row r="2807" spans="1:4">
      <c r="A2807" t="s">
        <v>8052</v>
      </c>
      <c r="B2807">
        <v>2.42</v>
      </c>
      <c r="C2807" t="s">
        <v>108</v>
      </c>
      <c r="D2807" t="s">
        <v>3948</v>
      </c>
    </row>
    <row r="2808" spans="1:4">
      <c r="A2808" t="s">
        <v>8053</v>
      </c>
      <c r="B2808">
        <v>2.64</v>
      </c>
      <c r="C2808" t="s">
        <v>4058</v>
      </c>
      <c r="D2808" t="s">
        <v>3859</v>
      </c>
    </row>
    <row r="2809" spans="1:4">
      <c r="A2809" t="s">
        <v>8054</v>
      </c>
      <c r="B2809">
        <v>2.5299999999999998</v>
      </c>
      <c r="C2809" t="s">
        <v>3103</v>
      </c>
      <c r="D2809" t="s">
        <v>3948</v>
      </c>
    </row>
    <row r="2810" spans="1:4">
      <c r="A2810" t="s">
        <v>8055</v>
      </c>
      <c r="B2810">
        <v>2.5299999999999998</v>
      </c>
      <c r="C2810" t="s">
        <v>3103</v>
      </c>
      <c r="D2810" t="s">
        <v>3948</v>
      </c>
    </row>
    <row r="2811" spans="1:4">
      <c r="A2811" t="s">
        <v>8056</v>
      </c>
      <c r="B2811">
        <v>1.85</v>
      </c>
      <c r="C2811" t="s">
        <v>6595</v>
      </c>
      <c r="D2811" t="s">
        <v>8009</v>
      </c>
    </row>
    <row r="2812" spans="1:4">
      <c r="A2812" t="s">
        <v>8057</v>
      </c>
      <c r="B2812">
        <v>1.86</v>
      </c>
      <c r="C2812" t="s">
        <v>108</v>
      </c>
      <c r="D2812" t="s">
        <v>8009</v>
      </c>
    </row>
    <row r="2813" spans="1:4">
      <c r="A2813" t="s">
        <v>8058</v>
      </c>
      <c r="B2813">
        <v>1.86</v>
      </c>
      <c r="C2813" t="s">
        <v>7591</v>
      </c>
      <c r="D2813" t="s">
        <v>3859</v>
      </c>
    </row>
    <row r="2814" spans="1:4">
      <c r="A2814" t="s">
        <v>8059</v>
      </c>
      <c r="B2814">
        <v>1.85</v>
      </c>
      <c r="C2814" t="s">
        <v>6595</v>
      </c>
      <c r="D2814" t="s">
        <v>8009</v>
      </c>
    </row>
    <row r="2815" spans="1:4">
      <c r="A2815" t="s">
        <v>8060</v>
      </c>
      <c r="B2815">
        <v>1.85</v>
      </c>
      <c r="C2815" t="s">
        <v>108</v>
      </c>
      <c r="D2815" t="s">
        <v>3859</v>
      </c>
    </row>
    <row r="2816" spans="1:4">
      <c r="A2816" t="s">
        <v>8061</v>
      </c>
      <c r="B2816">
        <v>2.7</v>
      </c>
      <c r="C2816" t="s">
        <v>8062</v>
      </c>
      <c r="D2816" t="s">
        <v>108</v>
      </c>
    </row>
    <row r="2817" spans="1:4">
      <c r="A2817" t="s">
        <v>8063</v>
      </c>
      <c r="B2817">
        <v>2.4500000000000002</v>
      </c>
      <c r="C2817" t="s">
        <v>108</v>
      </c>
      <c r="D2817" t="s">
        <v>3948</v>
      </c>
    </row>
    <row r="2818" spans="1:4">
      <c r="A2818" t="s">
        <v>8064</v>
      </c>
      <c r="B2818">
        <v>2.85</v>
      </c>
      <c r="C2818" t="s">
        <v>4218</v>
      </c>
      <c r="D2818" t="s">
        <v>3948</v>
      </c>
    </row>
    <row r="2819" spans="1:4">
      <c r="A2819" t="s">
        <v>8065</v>
      </c>
      <c r="B2819">
        <v>3</v>
      </c>
      <c r="C2819" t="s">
        <v>4218</v>
      </c>
      <c r="D2819" t="s">
        <v>3948</v>
      </c>
    </row>
    <row r="2820" spans="1:4">
      <c r="A2820" t="s">
        <v>8066</v>
      </c>
      <c r="B2820">
        <v>2.95</v>
      </c>
      <c r="C2820" t="s">
        <v>4776</v>
      </c>
      <c r="D2820" t="s">
        <v>3948</v>
      </c>
    </row>
    <row r="2821" spans="1:4">
      <c r="A2821" t="s">
        <v>8067</v>
      </c>
      <c r="B2821">
        <v>2.95</v>
      </c>
      <c r="C2821" t="s">
        <v>4218</v>
      </c>
      <c r="D2821" t="s">
        <v>3948</v>
      </c>
    </row>
    <row r="2822" spans="1:4">
      <c r="A2822" t="s">
        <v>8068</v>
      </c>
      <c r="B2822">
        <v>3.2</v>
      </c>
      <c r="C2822" t="s">
        <v>3532</v>
      </c>
      <c r="D2822" t="s">
        <v>3963</v>
      </c>
    </row>
    <row r="2823" spans="1:4">
      <c r="A2823" t="s">
        <v>8069</v>
      </c>
      <c r="B2823">
        <v>3.03</v>
      </c>
      <c r="C2823" t="s">
        <v>108</v>
      </c>
      <c r="D2823" t="s">
        <v>3859</v>
      </c>
    </row>
    <row r="2824" spans="1:4">
      <c r="A2824" t="s">
        <v>8070</v>
      </c>
      <c r="B2824">
        <v>2.4300000000000002</v>
      </c>
      <c r="C2824" t="s">
        <v>108</v>
      </c>
      <c r="D2824" t="s">
        <v>3859</v>
      </c>
    </row>
    <row r="2825" spans="1:4">
      <c r="A2825" t="s">
        <v>8071</v>
      </c>
      <c r="B2825">
        <v>3</v>
      </c>
      <c r="C2825" t="s">
        <v>3954</v>
      </c>
      <c r="D2825" t="s">
        <v>4018</v>
      </c>
    </row>
    <row r="2826" spans="1:4">
      <c r="A2826" t="s">
        <v>8072</v>
      </c>
      <c r="B2826">
        <v>2.85</v>
      </c>
      <c r="C2826" t="s">
        <v>4218</v>
      </c>
      <c r="D2826" t="s">
        <v>3948</v>
      </c>
    </row>
    <row r="2827" spans="1:4">
      <c r="A2827" t="s">
        <v>8073</v>
      </c>
      <c r="B2827">
        <v>2.75</v>
      </c>
      <c r="C2827" t="s">
        <v>108</v>
      </c>
      <c r="D2827" t="s">
        <v>3872</v>
      </c>
    </row>
    <row r="2828" spans="1:4">
      <c r="A2828" t="s">
        <v>8074</v>
      </c>
      <c r="B2828">
        <v>1.82</v>
      </c>
      <c r="C2828" t="s">
        <v>3601</v>
      </c>
      <c r="D2828" t="s">
        <v>3859</v>
      </c>
    </row>
    <row r="2829" spans="1:4">
      <c r="A2829" t="s">
        <v>8075</v>
      </c>
      <c r="B2829">
        <v>2.4700000000000002</v>
      </c>
      <c r="C2829" t="s">
        <v>3103</v>
      </c>
      <c r="D2829" t="s">
        <v>3859</v>
      </c>
    </row>
    <row r="2830" spans="1:4">
      <c r="A2830" t="s">
        <v>8076</v>
      </c>
      <c r="B2830">
        <v>2.89</v>
      </c>
      <c r="C2830" t="s">
        <v>3863</v>
      </c>
      <c r="D2830" t="s">
        <v>3963</v>
      </c>
    </row>
    <row r="2831" spans="1:4">
      <c r="A2831" t="s">
        <v>8077</v>
      </c>
      <c r="B2831">
        <v>3.07</v>
      </c>
      <c r="C2831" t="s">
        <v>7813</v>
      </c>
      <c r="D2831" t="s">
        <v>3859</v>
      </c>
    </row>
    <row r="2832" spans="1:4">
      <c r="A2832" t="s">
        <v>8078</v>
      </c>
      <c r="B2832">
        <v>2.85</v>
      </c>
      <c r="C2832" t="s">
        <v>7813</v>
      </c>
      <c r="D2832" t="s">
        <v>3859</v>
      </c>
    </row>
    <row r="2833" spans="1:4">
      <c r="A2833" t="s">
        <v>8079</v>
      </c>
      <c r="B2833">
        <v>3.29</v>
      </c>
      <c r="C2833" t="s">
        <v>2421</v>
      </c>
      <c r="D2833" t="s">
        <v>3948</v>
      </c>
    </row>
    <row r="2834" spans="1:4">
      <c r="A2834" t="s">
        <v>8080</v>
      </c>
      <c r="B2834">
        <v>3.26</v>
      </c>
      <c r="C2834" t="s">
        <v>4613</v>
      </c>
      <c r="D2834" t="s">
        <v>3948</v>
      </c>
    </row>
    <row r="2835" spans="1:4">
      <c r="A2835" t="s">
        <v>8081</v>
      </c>
      <c r="B2835">
        <v>3.11</v>
      </c>
      <c r="C2835" t="s">
        <v>8082</v>
      </c>
      <c r="D2835" t="s">
        <v>3948</v>
      </c>
    </row>
    <row r="2836" spans="1:4">
      <c r="A2836" t="s">
        <v>8083</v>
      </c>
      <c r="B2836">
        <v>2.83</v>
      </c>
      <c r="C2836" t="s">
        <v>2690</v>
      </c>
      <c r="D2836" t="s">
        <v>3948</v>
      </c>
    </row>
    <row r="2837" spans="1:4">
      <c r="A2837" t="s">
        <v>8084</v>
      </c>
      <c r="B2837">
        <v>0.9</v>
      </c>
      <c r="C2837" t="s">
        <v>108</v>
      </c>
      <c r="D2837" t="s">
        <v>4456</v>
      </c>
    </row>
    <row r="2838" spans="1:4">
      <c r="A2838" t="s">
        <v>8085</v>
      </c>
      <c r="B2838">
        <v>0</v>
      </c>
      <c r="C2838" t="s">
        <v>8086</v>
      </c>
      <c r="D2838" t="s">
        <v>3859</v>
      </c>
    </row>
    <row r="2839" spans="1:4">
      <c r="A2839" t="s">
        <v>8087</v>
      </c>
      <c r="B2839">
        <v>1.45</v>
      </c>
      <c r="C2839" t="s">
        <v>3103</v>
      </c>
      <c r="D2839" t="s">
        <v>4456</v>
      </c>
    </row>
    <row r="2840" spans="1:4">
      <c r="A2840" t="s">
        <v>8088</v>
      </c>
      <c r="B2840">
        <v>1.32</v>
      </c>
      <c r="C2840" t="s">
        <v>3103</v>
      </c>
      <c r="D2840" t="s">
        <v>4456</v>
      </c>
    </row>
    <row r="2841" spans="1:4">
      <c r="A2841" t="s">
        <v>8089</v>
      </c>
      <c r="B2841">
        <v>1.75</v>
      </c>
      <c r="C2841" t="s">
        <v>108</v>
      </c>
      <c r="D2841" t="s">
        <v>4456</v>
      </c>
    </row>
    <row r="2842" spans="1:4">
      <c r="A2842" t="s">
        <v>8090</v>
      </c>
      <c r="B2842">
        <v>1.8</v>
      </c>
      <c r="C2842" t="s">
        <v>3103</v>
      </c>
      <c r="D2842" t="s">
        <v>4456</v>
      </c>
    </row>
    <row r="2843" spans="1:4">
      <c r="A2843" t="s">
        <v>8091</v>
      </c>
      <c r="B2843">
        <v>1.4</v>
      </c>
      <c r="C2843" t="s">
        <v>3103</v>
      </c>
      <c r="D2843" t="s">
        <v>4456</v>
      </c>
    </row>
    <row r="2844" spans="1:4">
      <c r="A2844" t="s">
        <v>8092</v>
      </c>
      <c r="B2844">
        <v>1.4</v>
      </c>
      <c r="C2844" t="s">
        <v>108</v>
      </c>
      <c r="D2844" t="s">
        <v>4456</v>
      </c>
    </row>
    <row r="2845" spans="1:4">
      <c r="A2845" t="s">
        <v>8093</v>
      </c>
      <c r="B2845">
        <v>1.4</v>
      </c>
      <c r="C2845" t="s">
        <v>3103</v>
      </c>
      <c r="D2845" t="s">
        <v>4456</v>
      </c>
    </row>
    <row r="2846" spans="1:4">
      <c r="A2846" t="s">
        <v>8094</v>
      </c>
      <c r="B2846">
        <v>1.61</v>
      </c>
      <c r="C2846" t="s">
        <v>8095</v>
      </c>
      <c r="D2846" t="s">
        <v>7679</v>
      </c>
    </row>
    <row r="2847" spans="1:4">
      <c r="A2847" t="s">
        <v>8096</v>
      </c>
      <c r="B2847">
        <v>1.2</v>
      </c>
      <c r="C2847" t="s">
        <v>108</v>
      </c>
      <c r="D2847" t="s">
        <v>4456</v>
      </c>
    </row>
    <row r="2848" spans="1:4">
      <c r="A2848" t="s">
        <v>8097</v>
      </c>
      <c r="B2848">
        <v>1.2</v>
      </c>
      <c r="C2848" t="s">
        <v>108</v>
      </c>
      <c r="D2848" t="s">
        <v>4456</v>
      </c>
    </row>
    <row r="2849" spans="1:4">
      <c r="A2849" t="s">
        <v>8098</v>
      </c>
      <c r="B2849">
        <v>2.98</v>
      </c>
      <c r="C2849" t="s">
        <v>2395</v>
      </c>
      <c r="D2849" t="s">
        <v>3859</v>
      </c>
    </row>
    <row r="2850" spans="1:4">
      <c r="A2850" t="s">
        <v>8099</v>
      </c>
      <c r="B2850">
        <v>2.9</v>
      </c>
      <c r="C2850" t="s">
        <v>108</v>
      </c>
      <c r="D2850" t="s">
        <v>3859</v>
      </c>
    </row>
    <row r="2851" spans="1:4">
      <c r="A2851" t="s">
        <v>8100</v>
      </c>
      <c r="B2851">
        <v>2.78</v>
      </c>
      <c r="C2851" t="s">
        <v>3103</v>
      </c>
      <c r="D2851" t="s">
        <v>3859</v>
      </c>
    </row>
    <row r="2852" spans="1:4">
      <c r="A2852" t="s">
        <v>8101</v>
      </c>
      <c r="B2852">
        <v>2.82</v>
      </c>
      <c r="C2852" t="s">
        <v>2395</v>
      </c>
      <c r="D2852" t="s">
        <v>3948</v>
      </c>
    </row>
    <row r="2853" spans="1:4">
      <c r="A2853" t="s">
        <v>8102</v>
      </c>
      <c r="B2853">
        <v>3.04</v>
      </c>
      <c r="C2853" t="s">
        <v>2827</v>
      </c>
      <c r="D2853" t="s">
        <v>3948</v>
      </c>
    </row>
    <row r="2854" spans="1:4">
      <c r="A2854" t="s">
        <v>8103</v>
      </c>
      <c r="B2854">
        <v>3.04</v>
      </c>
      <c r="C2854" t="s">
        <v>2392</v>
      </c>
      <c r="D2854" t="s">
        <v>3948</v>
      </c>
    </row>
    <row r="2855" spans="1:4">
      <c r="A2855" t="s">
        <v>8104</v>
      </c>
      <c r="B2855">
        <v>3</v>
      </c>
      <c r="C2855" t="s">
        <v>3103</v>
      </c>
      <c r="D2855" t="s">
        <v>3948</v>
      </c>
    </row>
    <row r="2856" spans="1:4">
      <c r="A2856" t="s">
        <v>8105</v>
      </c>
      <c r="B2856">
        <v>3.05</v>
      </c>
      <c r="C2856" t="s">
        <v>3103</v>
      </c>
      <c r="D2856" t="s">
        <v>3948</v>
      </c>
    </row>
    <row r="2857" spans="1:4">
      <c r="A2857" t="s">
        <v>8106</v>
      </c>
      <c r="B2857">
        <v>3.1</v>
      </c>
      <c r="C2857" t="s">
        <v>8107</v>
      </c>
      <c r="D2857" t="s">
        <v>3948</v>
      </c>
    </row>
    <row r="2858" spans="1:4">
      <c r="A2858" t="s">
        <v>8108</v>
      </c>
      <c r="B2858">
        <v>3</v>
      </c>
      <c r="C2858" t="s">
        <v>2392</v>
      </c>
      <c r="D2858" t="s">
        <v>3948</v>
      </c>
    </row>
    <row r="2859" spans="1:4">
      <c r="A2859" t="s">
        <v>8109</v>
      </c>
      <c r="B2859">
        <v>2.9</v>
      </c>
      <c r="C2859" t="s">
        <v>3103</v>
      </c>
      <c r="D2859" t="s">
        <v>3948</v>
      </c>
    </row>
    <row r="2860" spans="1:4">
      <c r="A2860" t="s">
        <v>8110</v>
      </c>
      <c r="B2860">
        <v>3</v>
      </c>
      <c r="C2860" t="s">
        <v>2392</v>
      </c>
      <c r="D2860" t="s">
        <v>3948</v>
      </c>
    </row>
    <row r="2861" spans="1:4">
      <c r="A2861" t="s">
        <v>8111</v>
      </c>
      <c r="B2861">
        <v>2.95</v>
      </c>
      <c r="C2861" t="s">
        <v>2395</v>
      </c>
      <c r="D2861" t="s">
        <v>3948</v>
      </c>
    </row>
    <row r="2862" spans="1:4">
      <c r="A2862" t="s">
        <v>8112</v>
      </c>
      <c r="B2862">
        <v>3</v>
      </c>
      <c r="C2862" t="s">
        <v>3103</v>
      </c>
      <c r="D2862" t="s">
        <v>3948</v>
      </c>
    </row>
    <row r="2863" spans="1:4">
      <c r="A2863" t="s">
        <v>8113</v>
      </c>
      <c r="B2863">
        <v>3.02</v>
      </c>
      <c r="C2863" t="s">
        <v>2395</v>
      </c>
      <c r="D2863" t="s">
        <v>3948</v>
      </c>
    </row>
    <row r="2864" spans="1:4">
      <c r="A2864" t="s">
        <v>8114</v>
      </c>
      <c r="B2864">
        <v>3.02</v>
      </c>
      <c r="C2864" t="s">
        <v>2392</v>
      </c>
      <c r="D2864" t="s">
        <v>3948</v>
      </c>
    </row>
    <row r="2865" spans="1:4">
      <c r="A2865" t="s">
        <v>8115</v>
      </c>
      <c r="B2865">
        <v>3.02</v>
      </c>
      <c r="C2865" t="s">
        <v>2395</v>
      </c>
      <c r="D2865" t="s">
        <v>3948</v>
      </c>
    </row>
    <row r="2866" spans="1:4">
      <c r="A2866" t="s">
        <v>8116</v>
      </c>
      <c r="B2866">
        <v>3.05</v>
      </c>
      <c r="C2866" t="s">
        <v>2827</v>
      </c>
      <c r="D2866" t="s">
        <v>3948</v>
      </c>
    </row>
    <row r="2867" spans="1:4">
      <c r="A2867" t="s">
        <v>8117</v>
      </c>
      <c r="B2867">
        <v>3</v>
      </c>
      <c r="C2867" t="s">
        <v>2395</v>
      </c>
      <c r="D2867" t="s">
        <v>3948</v>
      </c>
    </row>
    <row r="2868" spans="1:4">
      <c r="A2868" t="s">
        <v>8118</v>
      </c>
      <c r="B2868">
        <v>3.08</v>
      </c>
      <c r="C2868" t="s">
        <v>3103</v>
      </c>
      <c r="D2868" t="s">
        <v>3948</v>
      </c>
    </row>
    <row r="2869" spans="1:4">
      <c r="A2869" t="s">
        <v>8119</v>
      </c>
      <c r="B2869">
        <v>3.03</v>
      </c>
      <c r="C2869" t="s">
        <v>3103</v>
      </c>
      <c r="D2869" t="s">
        <v>3948</v>
      </c>
    </row>
    <row r="2870" spans="1:4">
      <c r="A2870" t="s">
        <v>8120</v>
      </c>
      <c r="B2870">
        <v>3.09</v>
      </c>
      <c r="C2870" t="s">
        <v>2827</v>
      </c>
      <c r="D2870" t="s">
        <v>3948</v>
      </c>
    </row>
    <row r="2871" spans="1:4">
      <c r="A2871" t="s">
        <v>8121</v>
      </c>
      <c r="B2871">
        <v>3.03</v>
      </c>
      <c r="C2871" t="s">
        <v>3103</v>
      </c>
      <c r="D2871" t="s">
        <v>3948</v>
      </c>
    </row>
    <row r="2872" spans="1:4">
      <c r="A2872" t="s">
        <v>8122</v>
      </c>
      <c r="B2872">
        <v>2.75</v>
      </c>
      <c r="C2872" t="s">
        <v>2395</v>
      </c>
      <c r="D2872" t="s">
        <v>3859</v>
      </c>
    </row>
    <row r="2873" spans="1:4">
      <c r="A2873" t="s">
        <v>8123</v>
      </c>
      <c r="B2873">
        <v>2.95</v>
      </c>
      <c r="C2873" t="s">
        <v>2395</v>
      </c>
      <c r="D2873" t="s">
        <v>3859</v>
      </c>
    </row>
    <row r="2874" spans="1:4">
      <c r="A2874" t="s">
        <v>8124</v>
      </c>
      <c r="B2874">
        <v>2.95</v>
      </c>
      <c r="C2874" t="s">
        <v>2395</v>
      </c>
      <c r="D2874" t="s">
        <v>3859</v>
      </c>
    </row>
    <row r="2875" spans="1:4">
      <c r="A2875" t="s">
        <v>8125</v>
      </c>
      <c r="B2875">
        <v>3.02</v>
      </c>
      <c r="C2875" t="s">
        <v>8126</v>
      </c>
      <c r="D2875" t="s">
        <v>3963</v>
      </c>
    </row>
    <row r="2876" spans="1:4">
      <c r="A2876" t="s">
        <v>8127</v>
      </c>
      <c r="B2876">
        <v>2.98</v>
      </c>
      <c r="C2876" t="s">
        <v>8128</v>
      </c>
      <c r="D2876" t="s">
        <v>3963</v>
      </c>
    </row>
    <row r="2877" spans="1:4">
      <c r="A2877" t="s">
        <v>8129</v>
      </c>
      <c r="B2877">
        <v>3.43</v>
      </c>
      <c r="C2877" t="s">
        <v>3103</v>
      </c>
      <c r="D2877" t="s">
        <v>3948</v>
      </c>
    </row>
    <row r="2878" spans="1:4">
      <c r="A2878" t="s">
        <v>8130</v>
      </c>
      <c r="B2878">
        <v>3.15</v>
      </c>
      <c r="C2878" t="s">
        <v>2783</v>
      </c>
      <c r="D2878" t="s">
        <v>3963</v>
      </c>
    </row>
    <row r="2879" spans="1:4">
      <c r="A2879" t="s">
        <v>8131</v>
      </c>
      <c r="B2879">
        <v>2.75</v>
      </c>
      <c r="C2879" t="s">
        <v>2827</v>
      </c>
      <c r="D2879" t="s">
        <v>3948</v>
      </c>
    </row>
    <row r="2880" spans="1:4">
      <c r="A2880" t="s">
        <v>8132</v>
      </c>
      <c r="B2880">
        <v>3</v>
      </c>
      <c r="C2880" t="s">
        <v>3103</v>
      </c>
      <c r="D2880" t="s">
        <v>3948</v>
      </c>
    </row>
    <row r="2881" spans="1:4">
      <c r="A2881" t="s">
        <v>8133</v>
      </c>
      <c r="B2881">
        <v>2.75</v>
      </c>
      <c r="C2881" t="s">
        <v>3630</v>
      </c>
      <c r="D2881" t="s">
        <v>3948</v>
      </c>
    </row>
    <row r="2882" spans="1:4">
      <c r="A2882" t="s">
        <v>8134</v>
      </c>
      <c r="B2882">
        <v>3.03</v>
      </c>
      <c r="C2882" t="s">
        <v>3954</v>
      </c>
      <c r="D2882" t="s">
        <v>4018</v>
      </c>
    </row>
    <row r="2883" spans="1:4">
      <c r="A2883" t="s">
        <v>8135</v>
      </c>
      <c r="B2883">
        <v>3.15</v>
      </c>
      <c r="C2883" t="s">
        <v>2783</v>
      </c>
      <c r="D2883" t="s">
        <v>3963</v>
      </c>
    </row>
    <row r="2884" spans="1:4">
      <c r="A2884" t="s">
        <v>8136</v>
      </c>
      <c r="B2884">
        <v>3.11</v>
      </c>
      <c r="C2884" t="s">
        <v>8137</v>
      </c>
      <c r="D2884" t="s">
        <v>3948</v>
      </c>
    </row>
    <row r="2885" spans="1:4">
      <c r="A2885" t="s">
        <v>8138</v>
      </c>
      <c r="B2885">
        <v>3.15</v>
      </c>
      <c r="C2885" t="s">
        <v>2783</v>
      </c>
      <c r="D2885" t="s">
        <v>3963</v>
      </c>
    </row>
    <row r="2886" spans="1:4">
      <c r="A2886" t="s">
        <v>8139</v>
      </c>
      <c r="B2886">
        <v>3.08</v>
      </c>
      <c r="C2886" t="s">
        <v>2878</v>
      </c>
      <c r="D2886" t="s">
        <v>3948</v>
      </c>
    </row>
    <row r="2887" spans="1:4">
      <c r="A2887" t="s">
        <v>8140</v>
      </c>
      <c r="B2887">
        <v>3.08</v>
      </c>
      <c r="C2887" t="s">
        <v>2395</v>
      </c>
      <c r="D2887" t="s">
        <v>8141</v>
      </c>
    </row>
    <row r="2888" spans="1:4">
      <c r="A2888" t="s">
        <v>8142</v>
      </c>
      <c r="B2888">
        <v>3.23</v>
      </c>
      <c r="C2888" t="s">
        <v>108</v>
      </c>
      <c r="D2888" t="s">
        <v>108</v>
      </c>
    </row>
    <row r="2889" spans="1:4">
      <c r="A2889" t="s">
        <v>8143</v>
      </c>
      <c r="B2889">
        <v>3.02</v>
      </c>
      <c r="C2889" t="s">
        <v>2395</v>
      </c>
      <c r="D2889" t="s">
        <v>3948</v>
      </c>
    </row>
    <row r="2890" spans="1:4">
      <c r="A2890" t="s">
        <v>8144</v>
      </c>
      <c r="B2890">
        <v>3.02</v>
      </c>
      <c r="C2890" t="s">
        <v>2392</v>
      </c>
      <c r="D2890" t="s">
        <v>3948</v>
      </c>
    </row>
    <row r="2891" spans="1:4">
      <c r="A2891" t="s">
        <v>8145</v>
      </c>
      <c r="B2891">
        <v>3.1</v>
      </c>
      <c r="C2891" t="s">
        <v>2395</v>
      </c>
      <c r="D2891" t="s">
        <v>3948</v>
      </c>
    </row>
    <row r="2892" spans="1:4">
      <c r="A2892" t="s">
        <v>8146</v>
      </c>
      <c r="B2892">
        <v>3</v>
      </c>
      <c r="C2892" t="s">
        <v>2395</v>
      </c>
      <c r="D2892" t="s">
        <v>3948</v>
      </c>
    </row>
    <row r="2893" spans="1:4">
      <c r="A2893" t="s">
        <v>8147</v>
      </c>
      <c r="B2893">
        <v>3</v>
      </c>
      <c r="C2893" t="s">
        <v>108</v>
      </c>
      <c r="D2893" t="s">
        <v>3948</v>
      </c>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dimension ref="A1:XEZ1886"/>
  <sheetViews>
    <sheetView zoomScale="70" zoomScaleNormal="70" workbookViewId="0">
      <pane xSplit="6" ySplit="2" topLeftCell="G1620" activePane="bottomRight" state="frozen"/>
      <selection pane="topRight" activeCell="G1" sqref="G1"/>
      <selection pane="bottomLeft" activeCell="A3" sqref="A3"/>
      <selection pane="bottomRight" activeCell="C1639" sqref="C1639"/>
    </sheetView>
  </sheetViews>
  <sheetFormatPr defaultColWidth="9.33203125" defaultRowHeight="13.2"/>
  <cols>
    <col min="1" max="1" width="28.6640625" style="3" customWidth="1"/>
    <col min="2" max="2" width="30" style="2" bestFit="1" customWidth="1"/>
    <col min="3" max="3" width="13" style="2" customWidth="1"/>
    <col min="4" max="4" width="11" style="2" customWidth="1"/>
    <col min="5" max="5" width="10.33203125" style="2" customWidth="1"/>
    <col min="6" max="6" width="9.33203125" style="2" customWidth="1"/>
    <col min="7" max="7" width="21.33203125" style="17" bestFit="1" customWidth="1"/>
    <col min="8" max="8" width="10.6640625" style="3" bestFit="1" customWidth="1"/>
    <col min="9" max="9" width="13.33203125" style="3" bestFit="1" customWidth="1"/>
    <col min="10" max="10" width="8.5546875" style="3" bestFit="1" customWidth="1"/>
    <col min="11" max="11" width="10.6640625" style="3" customWidth="1"/>
    <col min="12" max="12" width="9.33203125" style="3" bestFit="1"/>
    <col min="13" max="13" width="11.44140625" style="3" customWidth="1"/>
    <col min="14" max="14" width="11.5546875" style="3" customWidth="1"/>
    <col min="15" max="15" width="10.5546875" style="3" customWidth="1"/>
    <col min="16" max="16" width="4" style="3" bestFit="1" customWidth="1"/>
    <col min="17" max="17" width="9.33203125" style="16" bestFit="1"/>
    <col min="18" max="18" width="12.6640625" style="2" customWidth="1"/>
    <col min="19" max="19" width="12.33203125" style="3" customWidth="1"/>
    <col min="20" max="21" width="17.33203125" style="3" customWidth="1"/>
    <col min="22" max="22" width="23.6640625" style="3" customWidth="1"/>
    <col min="23" max="16384" width="9.33203125" style="3"/>
  </cols>
  <sheetData>
    <row r="1" spans="1:22">
      <c r="Q1" s="17"/>
    </row>
    <row r="2" spans="1:22" ht="13.8" thickBot="1">
      <c r="A2" s="14" t="s">
        <v>3</v>
      </c>
      <c r="B2" s="14" t="s">
        <v>5</v>
      </c>
      <c r="C2" s="14" t="s">
        <v>4</v>
      </c>
      <c r="D2" s="14" t="s">
        <v>6</v>
      </c>
      <c r="E2" s="14" t="s">
        <v>8</v>
      </c>
      <c r="F2" s="14" t="s">
        <v>9</v>
      </c>
      <c r="G2" s="97" t="s">
        <v>10</v>
      </c>
      <c r="H2" s="13" t="s">
        <v>11</v>
      </c>
      <c r="I2" s="13" t="s">
        <v>12</v>
      </c>
      <c r="J2" s="13" t="s">
        <v>13</v>
      </c>
      <c r="K2" s="13" t="s">
        <v>103</v>
      </c>
      <c r="L2" s="19"/>
      <c r="M2" s="19"/>
      <c r="N2" s="19"/>
      <c r="O2" s="19"/>
      <c r="P2" s="19"/>
      <c r="Q2" s="13" t="s">
        <v>111</v>
      </c>
      <c r="R2" s="14" t="s">
        <v>59</v>
      </c>
      <c r="S2" s="14" t="s">
        <v>60</v>
      </c>
      <c r="T2" s="14" t="s">
        <v>61</v>
      </c>
      <c r="U2" s="14" t="s">
        <v>64</v>
      </c>
      <c r="V2" s="14" t="s">
        <v>63</v>
      </c>
    </row>
    <row r="3" spans="1:22" s="60" customFormat="1" ht="27" customHeight="1" thickBot="1">
      <c r="A3" s="61" t="s">
        <v>595</v>
      </c>
      <c r="B3" s="62"/>
      <c r="C3" s="62"/>
      <c r="D3" s="62"/>
      <c r="E3" s="62"/>
      <c r="F3" s="62"/>
      <c r="G3" s="98"/>
      <c r="H3" s="62"/>
      <c r="I3" s="62"/>
      <c r="J3" s="63"/>
      <c r="K3" s="823" t="s">
        <v>118</v>
      </c>
      <c r="L3" s="57"/>
      <c r="M3" s="57"/>
      <c r="N3" s="57"/>
      <c r="O3" s="57"/>
      <c r="P3" s="57"/>
      <c r="Q3" s="58"/>
      <c r="R3" s="59"/>
      <c r="S3" s="57"/>
      <c r="T3" s="57"/>
      <c r="U3" s="59"/>
      <c r="V3" s="57"/>
    </row>
    <row r="4" spans="1:22" s="290" customFormat="1">
      <c r="A4" s="536" t="s">
        <v>2018</v>
      </c>
      <c r="B4" s="2" t="s">
        <v>2145</v>
      </c>
      <c r="C4" s="2">
        <v>172</v>
      </c>
      <c r="D4" s="2">
        <v>114</v>
      </c>
      <c r="E4" s="2">
        <v>64</v>
      </c>
      <c r="F4" s="2">
        <f>E4</f>
        <v>64</v>
      </c>
      <c r="G4" s="21">
        <f>IF(B4="","",AVERAGE(E4:F4)*D4*C4/10^6)</f>
        <v>1.254912</v>
      </c>
      <c r="H4" s="20">
        <f t="shared" ref="H4:H10" si="0">ROUND(C4 *D4*E4/10^6,3)</f>
        <v>1.2549999999999999</v>
      </c>
      <c r="I4" s="20">
        <f t="shared" ref="I4:I10" si="1">IF(F4="","-",ROUND((E4+F4)*C4 /2*D4/10^6,3))</f>
        <v>1.2549999999999999</v>
      </c>
      <c r="J4" s="72">
        <f t="shared" ref="J4:J10" si="2">IF(F4="","-",ROUND((D4+E4)*C4 /2*F4/10^6,3))</f>
        <v>0.98</v>
      </c>
      <c r="K4" s="824"/>
      <c r="L4" s="20"/>
      <c r="M4" s="20"/>
      <c r="N4" s="20"/>
      <c r="O4" s="20"/>
      <c r="P4" s="20"/>
      <c r="Q4" s="21"/>
      <c r="R4" s="22">
        <f t="shared" ref="R4:R63" si="3">D4</f>
        <v>114</v>
      </c>
      <c r="S4" s="20">
        <v>1</v>
      </c>
      <c r="T4" s="20"/>
      <c r="U4" s="22"/>
      <c r="V4" s="20" t="str">
        <f t="shared" ref="V4:V10" si="4">B4&amp;"-"&amp;C4 &amp;"x"&amp;D4&amp;"x"&amp;E4</f>
        <v>S-172x114x64</v>
      </c>
    </row>
    <row r="5" spans="1:22" s="290" customFormat="1">
      <c r="A5" s="536" t="s">
        <v>2019</v>
      </c>
      <c r="B5" s="2" t="s">
        <v>2145</v>
      </c>
      <c r="C5" s="2">
        <v>172</v>
      </c>
      <c r="D5" s="2">
        <v>114</v>
      </c>
      <c r="E5" s="2">
        <v>76</v>
      </c>
      <c r="F5" s="2">
        <f t="shared" ref="F5:F63" si="5">E5</f>
        <v>76</v>
      </c>
      <c r="G5" s="21">
        <f t="shared" ref="G5:G68" si="6">IF(B5="","",AVERAGE(E5:F5)*D5*C5/10^6)</f>
        <v>1.490208</v>
      </c>
      <c r="H5" s="20">
        <f t="shared" si="0"/>
        <v>1.49</v>
      </c>
      <c r="I5" s="20">
        <f t="shared" si="1"/>
        <v>1.49</v>
      </c>
      <c r="J5" s="72">
        <f t="shared" si="2"/>
        <v>1.242</v>
      </c>
      <c r="K5" s="824"/>
      <c r="L5" s="20"/>
      <c r="M5" s="20"/>
      <c r="N5" s="20"/>
      <c r="O5" s="20"/>
      <c r="P5" s="20"/>
      <c r="Q5" s="21"/>
      <c r="R5" s="22">
        <f t="shared" si="3"/>
        <v>114</v>
      </c>
      <c r="S5" s="20">
        <v>1</v>
      </c>
      <c r="T5" s="20"/>
      <c r="U5" s="22"/>
      <c r="V5" s="20" t="str">
        <f t="shared" si="4"/>
        <v>S-172x114x76</v>
      </c>
    </row>
    <row r="6" spans="1:22" s="290" customFormat="1">
      <c r="A6" s="536" t="s">
        <v>2020</v>
      </c>
      <c r="B6" s="2" t="s">
        <v>2145</v>
      </c>
      <c r="C6" s="2">
        <v>187</v>
      </c>
      <c r="D6" s="2">
        <v>124</v>
      </c>
      <c r="E6" s="2">
        <v>64</v>
      </c>
      <c r="F6" s="2">
        <f t="shared" si="5"/>
        <v>64</v>
      </c>
      <c r="G6" s="21">
        <f t="shared" si="6"/>
        <v>1.484032</v>
      </c>
      <c r="H6" s="20">
        <f t="shared" si="0"/>
        <v>1.484</v>
      </c>
      <c r="I6" s="20">
        <f t="shared" si="1"/>
        <v>1.484</v>
      </c>
      <c r="J6" s="72">
        <f t="shared" si="2"/>
        <v>1.125</v>
      </c>
      <c r="K6" s="824"/>
      <c r="L6" s="20"/>
      <c r="M6" s="20"/>
      <c r="N6" s="20"/>
      <c r="O6" s="20"/>
      <c r="P6" s="20"/>
      <c r="Q6" s="21"/>
      <c r="R6" s="22">
        <f t="shared" si="3"/>
        <v>124</v>
      </c>
      <c r="S6" s="20">
        <v>1</v>
      </c>
      <c r="T6" s="20"/>
      <c r="U6" s="22"/>
      <c r="V6" s="20" t="str">
        <f t="shared" si="4"/>
        <v>S-187x124x64</v>
      </c>
    </row>
    <row r="7" spans="1:22" s="290" customFormat="1">
      <c r="A7" s="536" t="s">
        <v>2021</v>
      </c>
      <c r="B7" s="2" t="s">
        <v>2145</v>
      </c>
      <c r="C7" s="2">
        <v>187</v>
      </c>
      <c r="D7" s="2">
        <v>124</v>
      </c>
      <c r="E7" s="2">
        <v>76</v>
      </c>
      <c r="F7" s="2">
        <f t="shared" si="5"/>
        <v>76</v>
      </c>
      <c r="G7" s="21">
        <f t="shared" si="6"/>
        <v>1.7622880000000001</v>
      </c>
      <c r="H7" s="20">
        <f t="shared" si="0"/>
        <v>1.762</v>
      </c>
      <c r="I7" s="20">
        <f t="shared" si="1"/>
        <v>1.762</v>
      </c>
      <c r="J7" s="72">
        <f t="shared" si="2"/>
        <v>1.421</v>
      </c>
      <c r="K7" s="824"/>
      <c r="L7" s="20"/>
      <c r="M7" s="20"/>
      <c r="N7" s="20"/>
      <c r="O7" s="20"/>
      <c r="P7" s="20"/>
      <c r="Q7" s="21"/>
      <c r="R7" s="22">
        <f t="shared" si="3"/>
        <v>124</v>
      </c>
      <c r="S7" s="20">
        <v>1</v>
      </c>
      <c r="T7" s="20"/>
      <c r="U7" s="22"/>
      <c r="V7" s="20" t="str">
        <f t="shared" si="4"/>
        <v>S-187x124x76</v>
      </c>
    </row>
    <row r="8" spans="1:22" s="290" customFormat="1">
      <c r="A8" s="536" t="s">
        <v>2022</v>
      </c>
      <c r="B8" s="2" t="s">
        <v>2145</v>
      </c>
      <c r="C8" s="2">
        <v>225</v>
      </c>
      <c r="D8" s="2">
        <v>150</v>
      </c>
      <c r="E8" s="2">
        <v>64</v>
      </c>
      <c r="F8" s="2">
        <f t="shared" si="5"/>
        <v>64</v>
      </c>
      <c r="G8" s="21">
        <f t="shared" si="6"/>
        <v>2.16</v>
      </c>
      <c r="H8" s="20">
        <f t="shared" si="0"/>
        <v>2.16</v>
      </c>
      <c r="I8" s="20">
        <f t="shared" si="1"/>
        <v>2.16</v>
      </c>
      <c r="J8" s="72">
        <f t="shared" si="2"/>
        <v>1.5409999999999999</v>
      </c>
      <c r="K8" s="824"/>
      <c r="L8" s="20"/>
      <c r="M8" s="20"/>
      <c r="N8" s="20"/>
      <c r="O8" s="20"/>
      <c r="P8" s="20"/>
      <c r="Q8" s="21"/>
      <c r="R8" s="22">
        <f t="shared" si="3"/>
        <v>150</v>
      </c>
      <c r="S8" s="20">
        <v>1</v>
      </c>
      <c r="T8" s="20"/>
      <c r="U8" s="22"/>
      <c r="V8" s="20" t="str">
        <f t="shared" si="4"/>
        <v>S-225x150x64</v>
      </c>
    </row>
    <row r="9" spans="1:22" s="290" customFormat="1">
      <c r="A9" s="536" t="s">
        <v>2023</v>
      </c>
      <c r="B9" s="2" t="s">
        <v>2145</v>
      </c>
      <c r="C9" s="2">
        <v>225</v>
      </c>
      <c r="D9" s="2">
        <v>150</v>
      </c>
      <c r="E9" s="2">
        <v>76</v>
      </c>
      <c r="F9" s="2">
        <f t="shared" si="5"/>
        <v>76</v>
      </c>
      <c r="G9" s="21">
        <f t="shared" si="6"/>
        <v>2.5649999999999999</v>
      </c>
      <c r="H9" s="20">
        <f t="shared" si="0"/>
        <v>2.5649999999999999</v>
      </c>
      <c r="I9" s="20">
        <f t="shared" si="1"/>
        <v>2.5649999999999999</v>
      </c>
      <c r="J9" s="72">
        <f t="shared" si="2"/>
        <v>1.9319999999999999</v>
      </c>
      <c r="K9" s="824"/>
      <c r="L9" s="20"/>
      <c r="M9" s="20"/>
      <c r="N9" s="20"/>
      <c r="O9" s="20"/>
      <c r="P9" s="20"/>
      <c r="Q9" s="21"/>
      <c r="R9" s="22">
        <f t="shared" si="3"/>
        <v>150</v>
      </c>
      <c r="S9" s="20">
        <v>1</v>
      </c>
      <c r="T9" s="20"/>
      <c r="U9" s="22"/>
      <c r="V9" s="20" t="str">
        <f t="shared" si="4"/>
        <v>S-225x150x76</v>
      </c>
    </row>
    <row r="10" spans="1:22" s="290" customFormat="1">
      <c r="A10" s="536">
        <v>1</v>
      </c>
      <c r="B10" s="2" t="s">
        <v>2145</v>
      </c>
      <c r="C10" s="2">
        <v>230</v>
      </c>
      <c r="D10" s="2">
        <v>114</v>
      </c>
      <c r="E10" s="2">
        <v>64</v>
      </c>
      <c r="F10" s="2">
        <f t="shared" si="5"/>
        <v>64</v>
      </c>
      <c r="G10" s="21">
        <f t="shared" si="6"/>
        <v>1.67808</v>
      </c>
      <c r="H10" s="20">
        <f t="shared" si="0"/>
        <v>1.6779999999999999</v>
      </c>
      <c r="I10" s="20">
        <f t="shared" si="1"/>
        <v>1.6779999999999999</v>
      </c>
      <c r="J10" s="72">
        <f t="shared" si="2"/>
        <v>1.31</v>
      </c>
      <c r="K10" s="824"/>
      <c r="L10" s="20"/>
      <c r="M10" s="20"/>
      <c r="N10" s="20"/>
      <c r="O10" s="20"/>
      <c r="P10" s="20"/>
      <c r="Q10" s="21"/>
      <c r="R10" s="22">
        <f t="shared" si="3"/>
        <v>114</v>
      </c>
      <c r="S10" s="20">
        <v>1</v>
      </c>
      <c r="T10" s="20"/>
      <c r="U10" s="22"/>
      <c r="V10" s="20" t="str">
        <f t="shared" si="4"/>
        <v>S-230x114x64</v>
      </c>
    </row>
    <row r="11" spans="1:22" s="290" customFormat="1">
      <c r="A11" s="536" t="s">
        <v>523</v>
      </c>
      <c r="B11" s="2" t="s">
        <v>2145</v>
      </c>
      <c r="C11" s="2">
        <v>230</v>
      </c>
      <c r="D11" s="2">
        <v>114</v>
      </c>
      <c r="E11" s="2">
        <v>25</v>
      </c>
      <c r="F11" s="2">
        <f t="shared" si="5"/>
        <v>25</v>
      </c>
      <c r="G11" s="21">
        <f t="shared" si="6"/>
        <v>0.65549999999999997</v>
      </c>
      <c r="H11" s="20">
        <f t="shared" ref="H11:H63" si="7">ROUND(C11*D11*E11/10^6,3)</f>
        <v>0.65600000000000003</v>
      </c>
      <c r="I11" s="20">
        <f t="shared" ref="I11:I63" si="8">IF(F11="","-",ROUND((E11+F11)*C11/2*D11/10^6,3))</f>
        <v>0.65600000000000003</v>
      </c>
      <c r="J11" s="72">
        <f t="shared" ref="J11:J63" si="9">IF(F11="","-",ROUND((D11+E11)*C11/2*F11/10^6,3))</f>
        <v>0.4</v>
      </c>
      <c r="K11" s="824"/>
      <c r="L11" s="20"/>
      <c r="M11" s="20"/>
      <c r="N11" s="20"/>
      <c r="O11" s="20"/>
      <c r="P11" s="20"/>
      <c r="Q11" s="21"/>
      <c r="R11" s="22">
        <f t="shared" si="3"/>
        <v>114</v>
      </c>
      <c r="S11" s="20">
        <v>1</v>
      </c>
      <c r="T11" s="20"/>
      <c r="U11" s="22"/>
      <c r="V11" s="20" t="str">
        <f t="shared" ref="V11:V63" si="10">B11&amp;"-"&amp;C11&amp;"x"&amp;D11&amp;"x"&amp;E11</f>
        <v>S-230x114x25</v>
      </c>
    </row>
    <row r="12" spans="1:22" s="290" customFormat="1">
      <c r="A12" s="536" t="s">
        <v>481</v>
      </c>
      <c r="B12" s="2" t="s">
        <v>2145</v>
      </c>
      <c r="C12" s="2">
        <v>230</v>
      </c>
      <c r="D12" s="2">
        <v>114</v>
      </c>
      <c r="E12" s="2">
        <v>32</v>
      </c>
      <c r="F12" s="2">
        <f t="shared" si="5"/>
        <v>32</v>
      </c>
      <c r="G12" s="21">
        <f t="shared" si="6"/>
        <v>0.83904000000000001</v>
      </c>
      <c r="H12" s="20">
        <f t="shared" si="7"/>
        <v>0.83899999999999997</v>
      </c>
      <c r="I12" s="20">
        <f t="shared" si="8"/>
        <v>0.83899999999999997</v>
      </c>
      <c r="J12" s="72">
        <f t="shared" si="9"/>
        <v>0.53700000000000003</v>
      </c>
      <c r="K12" s="824"/>
      <c r="L12" s="20"/>
      <c r="M12" s="20"/>
      <c r="N12" s="20"/>
      <c r="O12" s="20"/>
      <c r="P12" s="20"/>
      <c r="Q12" s="21"/>
      <c r="R12" s="22">
        <f t="shared" si="3"/>
        <v>114</v>
      </c>
      <c r="S12" s="20">
        <v>1</v>
      </c>
      <c r="T12" s="20"/>
      <c r="U12" s="22"/>
      <c r="V12" s="20" t="str">
        <f t="shared" si="10"/>
        <v>S-230x114x32</v>
      </c>
    </row>
    <row r="13" spans="1:22" s="290" customFormat="1">
      <c r="A13" s="536" t="s">
        <v>482</v>
      </c>
      <c r="B13" s="2" t="s">
        <v>2145</v>
      </c>
      <c r="C13" s="2">
        <v>230</v>
      </c>
      <c r="D13" s="2">
        <v>114</v>
      </c>
      <c r="E13" s="2">
        <v>40</v>
      </c>
      <c r="F13" s="2">
        <f t="shared" si="5"/>
        <v>40</v>
      </c>
      <c r="G13" s="21">
        <f t="shared" si="6"/>
        <v>1.0488</v>
      </c>
      <c r="H13" s="20">
        <f t="shared" si="7"/>
        <v>1.0489999999999999</v>
      </c>
      <c r="I13" s="20">
        <f t="shared" si="8"/>
        <v>1.0489999999999999</v>
      </c>
      <c r="J13" s="72">
        <f t="shared" si="9"/>
        <v>0.70799999999999996</v>
      </c>
      <c r="K13" s="824"/>
      <c r="L13" s="20"/>
      <c r="M13" s="20"/>
      <c r="N13" s="20"/>
      <c r="O13" s="20"/>
      <c r="P13" s="20"/>
      <c r="Q13" s="21"/>
      <c r="R13" s="22">
        <f t="shared" si="3"/>
        <v>114</v>
      </c>
      <c r="S13" s="20">
        <v>1</v>
      </c>
      <c r="T13" s="20"/>
      <c r="U13" s="22"/>
      <c r="V13" s="20" t="str">
        <f t="shared" si="10"/>
        <v>S-230x114x40</v>
      </c>
    </row>
    <row r="14" spans="1:22" s="290" customFormat="1">
      <c r="A14" s="536" t="s">
        <v>483</v>
      </c>
      <c r="B14" s="2" t="s">
        <v>2145</v>
      </c>
      <c r="C14" s="2">
        <v>230</v>
      </c>
      <c r="D14" s="2">
        <v>114</v>
      </c>
      <c r="E14" s="2">
        <v>50</v>
      </c>
      <c r="F14" s="2">
        <f t="shared" si="5"/>
        <v>50</v>
      </c>
      <c r="G14" s="21">
        <f t="shared" si="6"/>
        <v>1.3109999999999999</v>
      </c>
      <c r="H14" s="20">
        <f t="shared" si="7"/>
        <v>1.3109999999999999</v>
      </c>
      <c r="I14" s="20">
        <f t="shared" si="8"/>
        <v>1.3109999999999999</v>
      </c>
      <c r="J14" s="72">
        <f t="shared" si="9"/>
        <v>0.94299999999999995</v>
      </c>
      <c r="K14" s="824"/>
      <c r="L14" s="20"/>
      <c r="M14" s="20"/>
      <c r="N14" s="20"/>
      <c r="O14" s="20"/>
      <c r="P14" s="20"/>
      <c r="Q14" s="21"/>
      <c r="R14" s="22">
        <f t="shared" si="3"/>
        <v>114</v>
      </c>
      <c r="S14" s="20">
        <v>1</v>
      </c>
      <c r="T14" s="20"/>
      <c r="U14" s="22"/>
      <c r="V14" s="20" t="str">
        <f t="shared" si="10"/>
        <v>S-230x114x50</v>
      </c>
    </row>
    <row r="15" spans="1:22" s="290" customFormat="1">
      <c r="A15" s="536" t="s">
        <v>484</v>
      </c>
      <c r="B15" s="2" t="s">
        <v>2145</v>
      </c>
      <c r="C15" s="2">
        <v>230</v>
      </c>
      <c r="D15" s="2">
        <v>114</v>
      </c>
      <c r="E15" s="2">
        <v>76</v>
      </c>
      <c r="F15" s="2">
        <f t="shared" si="5"/>
        <v>76</v>
      </c>
      <c r="G15" s="21">
        <f t="shared" si="6"/>
        <v>1.99272</v>
      </c>
      <c r="H15" s="20">
        <f t="shared" si="7"/>
        <v>1.9930000000000001</v>
      </c>
      <c r="I15" s="20">
        <f t="shared" si="8"/>
        <v>1.9930000000000001</v>
      </c>
      <c r="J15" s="72">
        <f t="shared" si="9"/>
        <v>1.661</v>
      </c>
      <c r="K15" s="824"/>
      <c r="L15" s="20"/>
      <c r="M15" s="20"/>
      <c r="N15" s="20"/>
      <c r="O15" s="20"/>
      <c r="P15" s="20"/>
      <c r="Q15" s="21"/>
      <c r="R15" s="22">
        <f t="shared" si="3"/>
        <v>114</v>
      </c>
      <c r="S15" s="20">
        <v>1</v>
      </c>
      <c r="T15" s="20"/>
      <c r="U15" s="22"/>
      <c r="V15" s="20" t="str">
        <f t="shared" si="10"/>
        <v>S-230x114x76</v>
      </c>
    </row>
    <row r="16" spans="1:22" s="290" customFormat="1">
      <c r="A16" s="289" t="s">
        <v>524</v>
      </c>
      <c r="B16" s="2" t="s">
        <v>2145</v>
      </c>
      <c r="C16" s="2">
        <v>230</v>
      </c>
      <c r="D16" s="2">
        <v>172</v>
      </c>
      <c r="E16" s="2">
        <v>64</v>
      </c>
      <c r="F16" s="2">
        <f t="shared" si="5"/>
        <v>64</v>
      </c>
      <c r="G16" s="21">
        <f t="shared" si="6"/>
        <v>2.5318399999999999</v>
      </c>
      <c r="H16" s="20">
        <f t="shared" si="7"/>
        <v>2.532</v>
      </c>
      <c r="I16" s="20">
        <f t="shared" si="8"/>
        <v>2.532</v>
      </c>
      <c r="J16" s="72">
        <f t="shared" si="9"/>
        <v>1.7370000000000001</v>
      </c>
      <c r="K16" s="824"/>
      <c r="L16" s="20"/>
      <c r="M16" s="20"/>
      <c r="N16" s="20"/>
      <c r="O16" s="20"/>
      <c r="P16" s="20"/>
      <c r="Q16" s="21"/>
      <c r="R16" s="22">
        <f t="shared" si="3"/>
        <v>172</v>
      </c>
      <c r="S16" s="20">
        <v>1</v>
      </c>
      <c r="T16" s="20"/>
      <c r="U16" s="22"/>
      <c r="V16" s="20" t="str">
        <f t="shared" si="10"/>
        <v>S-230x172x64</v>
      </c>
    </row>
    <row r="17" spans="1:22" s="290" customFormat="1">
      <c r="A17" s="289" t="s">
        <v>485</v>
      </c>
      <c r="B17" s="2" t="s">
        <v>2145</v>
      </c>
      <c r="C17" s="2">
        <v>230</v>
      </c>
      <c r="D17" s="2">
        <v>172</v>
      </c>
      <c r="E17" s="2">
        <v>76</v>
      </c>
      <c r="F17" s="2">
        <f t="shared" si="5"/>
        <v>76</v>
      </c>
      <c r="G17" s="21">
        <f t="shared" si="6"/>
        <v>3.0065599999999999</v>
      </c>
      <c r="H17" s="20">
        <f t="shared" si="7"/>
        <v>3.0070000000000001</v>
      </c>
      <c r="I17" s="20">
        <f t="shared" si="8"/>
        <v>3.0070000000000001</v>
      </c>
      <c r="J17" s="72">
        <f t="shared" si="9"/>
        <v>2.1680000000000001</v>
      </c>
      <c r="K17" s="824"/>
      <c r="L17" s="20"/>
      <c r="M17" s="20"/>
      <c r="N17" s="20"/>
      <c r="O17" s="20"/>
      <c r="P17" s="20"/>
      <c r="Q17" s="21"/>
      <c r="R17" s="22">
        <f t="shared" si="3"/>
        <v>172</v>
      </c>
      <c r="S17" s="20">
        <v>1</v>
      </c>
      <c r="T17" s="20"/>
      <c r="U17" s="22"/>
      <c r="V17" s="20" t="str">
        <f t="shared" si="10"/>
        <v>S-230x172x76</v>
      </c>
    </row>
    <row r="18" spans="1:22" s="290" customFormat="1">
      <c r="A18" s="537" t="s">
        <v>525</v>
      </c>
      <c r="B18" s="2" t="s">
        <v>2145</v>
      </c>
      <c r="C18" s="2">
        <v>345</v>
      </c>
      <c r="D18" s="2">
        <v>114</v>
      </c>
      <c r="E18" s="2">
        <v>64</v>
      </c>
      <c r="F18" s="2">
        <f t="shared" si="5"/>
        <v>64</v>
      </c>
      <c r="G18" s="21">
        <f t="shared" si="6"/>
        <v>2.5171199999999998</v>
      </c>
      <c r="H18" s="20">
        <f t="shared" si="7"/>
        <v>2.5169999999999999</v>
      </c>
      <c r="I18" s="20">
        <f t="shared" si="8"/>
        <v>2.5169999999999999</v>
      </c>
      <c r="J18" s="72">
        <f t="shared" si="9"/>
        <v>1.9650000000000001</v>
      </c>
      <c r="K18" s="824"/>
      <c r="L18" s="20"/>
      <c r="M18" s="20"/>
      <c r="N18" s="20"/>
      <c r="O18" s="20"/>
      <c r="P18" s="20"/>
      <c r="Q18" s="21"/>
      <c r="R18" s="22">
        <f t="shared" si="3"/>
        <v>114</v>
      </c>
      <c r="S18" s="20">
        <v>1</v>
      </c>
      <c r="T18" s="20"/>
      <c r="U18" s="22"/>
      <c r="V18" s="20" t="str">
        <f t="shared" si="10"/>
        <v>S-345x114x64</v>
      </c>
    </row>
    <row r="19" spans="1:22" s="290" customFormat="1">
      <c r="A19" s="537" t="s">
        <v>492</v>
      </c>
      <c r="B19" s="2" t="s">
        <v>2145</v>
      </c>
      <c r="C19" s="2">
        <v>345</v>
      </c>
      <c r="D19" s="2">
        <v>114</v>
      </c>
      <c r="E19" s="2">
        <v>76</v>
      </c>
      <c r="F19" s="2">
        <f t="shared" si="5"/>
        <v>76</v>
      </c>
      <c r="G19" s="21">
        <f t="shared" si="6"/>
        <v>2.98908</v>
      </c>
      <c r="H19" s="20">
        <f t="shared" si="7"/>
        <v>2.9889999999999999</v>
      </c>
      <c r="I19" s="20">
        <f t="shared" si="8"/>
        <v>2.9889999999999999</v>
      </c>
      <c r="J19" s="72">
        <f t="shared" si="9"/>
        <v>2.4910000000000001</v>
      </c>
      <c r="K19" s="824"/>
      <c r="L19" s="20"/>
      <c r="M19" s="20"/>
      <c r="N19" s="20"/>
      <c r="O19" s="20"/>
      <c r="P19" s="20"/>
      <c r="Q19" s="21"/>
      <c r="R19" s="22">
        <f t="shared" si="3"/>
        <v>114</v>
      </c>
      <c r="S19" s="20">
        <v>1</v>
      </c>
      <c r="T19" s="20"/>
      <c r="U19" s="22"/>
      <c r="V19" s="20" t="str">
        <f t="shared" si="10"/>
        <v>S-345x114x76</v>
      </c>
    </row>
    <row r="20" spans="1:22" s="290" customFormat="1">
      <c r="A20" s="289" t="s">
        <v>2024</v>
      </c>
      <c r="B20" s="2" t="s">
        <v>2145</v>
      </c>
      <c r="C20" s="2">
        <v>230</v>
      </c>
      <c r="D20" s="2">
        <v>230</v>
      </c>
      <c r="E20" s="2">
        <v>64</v>
      </c>
      <c r="F20" s="2">
        <f t="shared" si="5"/>
        <v>64</v>
      </c>
      <c r="G20" s="21">
        <f t="shared" si="6"/>
        <v>3.3856000000000002</v>
      </c>
      <c r="H20" s="20">
        <f t="shared" si="7"/>
        <v>3.3860000000000001</v>
      </c>
      <c r="I20" s="20">
        <f t="shared" si="8"/>
        <v>3.3860000000000001</v>
      </c>
      <c r="J20" s="72">
        <f t="shared" si="9"/>
        <v>2.1640000000000001</v>
      </c>
      <c r="K20" s="824"/>
      <c r="L20" s="20"/>
      <c r="M20" s="20"/>
      <c r="N20" s="20"/>
      <c r="O20" s="20"/>
      <c r="P20" s="20"/>
      <c r="Q20" s="21"/>
      <c r="R20" s="22">
        <f t="shared" si="3"/>
        <v>230</v>
      </c>
      <c r="S20" s="20">
        <v>1</v>
      </c>
      <c r="T20" s="20"/>
      <c r="U20" s="22"/>
      <c r="V20" s="20" t="str">
        <f t="shared" si="10"/>
        <v>S-230x230x64</v>
      </c>
    </row>
    <row r="21" spans="1:22" s="290" customFormat="1">
      <c r="A21" s="289" t="s">
        <v>486</v>
      </c>
      <c r="B21" s="2" t="s">
        <v>2145</v>
      </c>
      <c r="C21" s="2">
        <v>230</v>
      </c>
      <c r="D21" s="2">
        <v>230</v>
      </c>
      <c r="E21" s="2">
        <v>76</v>
      </c>
      <c r="F21" s="2">
        <f t="shared" si="5"/>
        <v>76</v>
      </c>
      <c r="G21" s="21">
        <f t="shared" si="6"/>
        <v>4.0204000000000004</v>
      </c>
      <c r="H21" s="20">
        <f t="shared" si="7"/>
        <v>4.0199999999999996</v>
      </c>
      <c r="I21" s="20">
        <f t="shared" si="8"/>
        <v>4.0199999999999996</v>
      </c>
      <c r="J21" s="72">
        <f t="shared" si="9"/>
        <v>2.6739999999999999</v>
      </c>
      <c r="K21" s="824"/>
      <c r="L21" s="20"/>
      <c r="M21" s="20"/>
      <c r="N21" s="20"/>
      <c r="O21" s="20"/>
      <c r="P21" s="20"/>
      <c r="Q21" s="21"/>
      <c r="R21" s="22">
        <f t="shared" si="3"/>
        <v>230</v>
      </c>
      <c r="S21" s="20">
        <v>1</v>
      </c>
      <c r="T21" s="20"/>
      <c r="U21" s="22"/>
      <c r="V21" s="20" t="str">
        <f t="shared" si="10"/>
        <v>S-230x230x76</v>
      </c>
    </row>
    <row r="22" spans="1:22" s="290" customFormat="1">
      <c r="A22" s="536">
        <v>2</v>
      </c>
      <c r="B22" s="2" t="s">
        <v>2145</v>
      </c>
      <c r="C22" s="2">
        <v>250</v>
      </c>
      <c r="D22" s="2">
        <v>124</v>
      </c>
      <c r="E22" s="2">
        <v>64</v>
      </c>
      <c r="F22" s="2">
        <f t="shared" si="5"/>
        <v>64</v>
      </c>
      <c r="G22" s="21">
        <f t="shared" si="6"/>
        <v>1.984</v>
      </c>
      <c r="H22" s="20">
        <f t="shared" si="7"/>
        <v>1.984</v>
      </c>
      <c r="I22" s="20">
        <f t="shared" si="8"/>
        <v>1.984</v>
      </c>
      <c r="J22" s="72">
        <f t="shared" si="9"/>
        <v>1.504</v>
      </c>
      <c r="K22" s="824"/>
      <c r="L22" s="20"/>
      <c r="M22" s="20"/>
      <c r="N22" s="20"/>
      <c r="O22" s="20"/>
      <c r="P22" s="20"/>
      <c r="Q22" s="21"/>
      <c r="R22" s="22">
        <f t="shared" si="3"/>
        <v>124</v>
      </c>
      <c r="S22" s="20">
        <v>1</v>
      </c>
      <c r="T22" s="20"/>
      <c r="U22" s="22"/>
      <c r="V22" s="20" t="str">
        <f t="shared" si="10"/>
        <v>S-250x124x64</v>
      </c>
    </row>
    <row r="23" spans="1:22" s="290" customFormat="1">
      <c r="A23" s="536" t="s">
        <v>526</v>
      </c>
      <c r="B23" s="2" t="s">
        <v>2145</v>
      </c>
      <c r="C23" s="2">
        <v>250</v>
      </c>
      <c r="D23" s="2">
        <v>124</v>
      </c>
      <c r="E23" s="2">
        <v>20</v>
      </c>
      <c r="F23" s="2">
        <f t="shared" si="5"/>
        <v>20</v>
      </c>
      <c r="G23" s="21">
        <f t="shared" si="6"/>
        <v>0.62</v>
      </c>
      <c r="H23" s="20">
        <f t="shared" si="7"/>
        <v>0.62</v>
      </c>
      <c r="I23" s="20">
        <f t="shared" si="8"/>
        <v>0.62</v>
      </c>
      <c r="J23" s="72">
        <f t="shared" si="9"/>
        <v>0.36</v>
      </c>
      <c r="K23" s="824"/>
      <c r="L23" s="20"/>
      <c r="M23" s="20"/>
      <c r="N23" s="20"/>
      <c r="O23" s="20"/>
      <c r="P23" s="20"/>
      <c r="Q23" s="21"/>
      <c r="R23" s="22">
        <f t="shared" si="3"/>
        <v>124</v>
      </c>
      <c r="S23" s="20">
        <v>1</v>
      </c>
      <c r="T23" s="20"/>
      <c r="U23" s="22"/>
      <c r="V23" s="20" t="str">
        <f t="shared" si="10"/>
        <v>S-250x124x20</v>
      </c>
    </row>
    <row r="24" spans="1:22" s="290" customFormat="1">
      <c r="A24" s="536" t="s">
        <v>527</v>
      </c>
      <c r="B24" s="2" t="s">
        <v>2145</v>
      </c>
      <c r="C24" s="2">
        <v>250</v>
      </c>
      <c r="D24" s="2">
        <v>124</v>
      </c>
      <c r="E24" s="2">
        <v>32</v>
      </c>
      <c r="F24" s="2">
        <f t="shared" si="5"/>
        <v>32</v>
      </c>
      <c r="G24" s="21">
        <f t="shared" si="6"/>
        <v>0.99199999999999999</v>
      </c>
      <c r="H24" s="20">
        <f t="shared" si="7"/>
        <v>0.99199999999999999</v>
      </c>
      <c r="I24" s="20">
        <f t="shared" si="8"/>
        <v>0.99199999999999999</v>
      </c>
      <c r="J24" s="72">
        <f t="shared" si="9"/>
        <v>0.624</v>
      </c>
      <c r="K24" s="824"/>
      <c r="L24" s="20"/>
      <c r="M24" s="20"/>
      <c r="N24" s="20"/>
      <c r="O24" s="20"/>
      <c r="P24" s="20"/>
      <c r="Q24" s="21"/>
      <c r="R24" s="22">
        <f t="shared" si="3"/>
        <v>124</v>
      </c>
      <c r="S24" s="20">
        <v>1</v>
      </c>
      <c r="T24" s="20"/>
      <c r="U24" s="22"/>
      <c r="V24" s="20" t="str">
        <f t="shared" si="10"/>
        <v>S-250x124x32</v>
      </c>
    </row>
    <row r="25" spans="1:22" s="290" customFormat="1">
      <c r="A25" s="536" t="s">
        <v>528</v>
      </c>
      <c r="B25" s="2" t="s">
        <v>2145</v>
      </c>
      <c r="C25" s="2">
        <v>250</v>
      </c>
      <c r="D25" s="2">
        <v>124</v>
      </c>
      <c r="E25" s="2">
        <v>40</v>
      </c>
      <c r="F25" s="2">
        <f t="shared" si="5"/>
        <v>40</v>
      </c>
      <c r="G25" s="21">
        <f t="shared" si="6"/>
        <v>1.24</v>
      </c>
      <c r="H25" s="20">
        <f t="shared" si="7"/>
        <v>1.24</v>
      </c>
      <c r="I25" s="20">
        <f t="shared" si="8"/>
        <v>1.24</v>
      </c>
      <c r="J25" s="72">
        <f t="shared" si="9"/>
        <v>0.82</v>
      </c>
      <c r="K25" s="824"/>
      <c r="L25" s="20"/>
      <c r="M25" s="20"/>
      <c r="N25" s="20"/>
      <c r="O25" s="20"/>
      <c r="P25" s="20"/>
      <c r="Q25" s="21"/>
      <c r="R25" s="22">
        <f t="shared" si="3"/>
        <v>124</v>
      </c>
      <c r="S25" s="20">
        <v>1</v>
      </c>
      <c r="T25" s="20"/>
      <c r="U25" s="22"/>
      <c r="V25" s="20" t="str">
        <f t="shared" si="10"/>
        <v>S-250x124x40</v>
      </c>
    </row>
    <row r="26" spans="1:22" s="290" customFormat="1">
      <c r="A26" s="536" t="s">
        <v>529</v>
      </c>
      <c r="B26" s="2" t="s">
        <v>2145</v>
      </c>
      <c r="C26" s="2">
        <v>250</v>
      </c>
      <c r="D26" s="2">
        <v>124</v>
      </c>
      <c r="E26" s="2">
        <v>50</v>
      </c>
      <c r="F26" s="2">
        <f t="shared" si="5"/>
        <v>50</v>
      </c>
      <c r="G26" s="21">
        <f t="shared" si="6"/>
        <v>1.55</v>
      </c>
      <c r="H26" s="20">
        <f t="shared" si="7"/>
        <v>1.55</v>
      </c>
      <c r="I26" s="20">
        <f t="shared" si="8"/>
        <v>1.55</v>
      </c>
      <c r="J26" s="72">
        <f t="shared" si="9"/>
        <v>1.0880000000000001</v>
      </c>
      <c r="K26" s="824"/>
      <c r="L26" s="20"/>
      <c r="M26" s="20"/>
      <c r="N26" s="20"/>
      <c r="O26" s="20"/>
      <c r="P26" s="20"/>
      <c r="Q26" s="21"/>
      <c r="R26" s="22">
        <f t="shared" si="3"/>
        <v>124</v>
      </c>
      <c r="S26" s="20">
        <v>1</v>
      </c>
      <c r="T26" s="20"/>
      <c r="U26" s="22"/>
      <c r="V26" s="20" t="str">
        <f t="shared" si="10"/>
        <v>S-250x124x50</v>
      </c>
    </row>
    <row r="27" spans="1:22" s="290" customFormat="1">
      <c r="A27" s="536" t="s">
        <v>530</v>
      </c>
      <c r="B27" s="2" t="s">
        <v>2145</v>
      </c>
      <c r="C27" s="2">
        <v>250</v>
      </c>
      <c r="D27" s="2">
        <v>124</v>
      </c>
      <c r="E27" s="2">
        <v>65</v>
      </c>
      <c r="F27" s="2">
        <f t="shared" si="5"/>
        <v>65</v>
      </c>
      <c r="G27" s="21">
        <f t="shared" si="6"/>
        <v>2.0150000000000001</v>
      </c>
      <c r="H27" s="20">
        <f t="shared" si="7"/>
        <v>2.0150000000000001</v>
      </c>
      <c r="I27" s="20">
        <f t="shared" si="8"/>
        <v>2.0150000000000001</v>
      </c>
      <c r="J27" s="72">
        <f t="shared" si="9"/>
        <v>1.536</v>
      </c>
      <c r="K27" s="824"/>
      <c r="L27" s="20"/>
      <c r="M27" s="20"/>
      <c r="N27" s="20"/>
      <c r="O27" s="20"/>
      <c r="P27" s="20"/>
      <c r="Q27" s="21"/>
      <c r="R27" s="22">
        <f t="shared" si="3"/>
        <v>124</v>
      </c>
      <c r="S27" s="20">
        <v>1</v>
      </c>
      <c r="T27" s="20"/>
      <c r="U27" s="22"/>
      <c r="V27" s="20" t="str">
        <f t="shared" si="10"/>
        <v>S-250x124x65</v>
      </c>
    </row>
    <row r="28" spans="1:22" s="290" customFormat="1">
      <c r="A28" s="536" t="s">
        <v>487</v>
      </c>
      <c r="B28" s="2" t="s">
        <v>2145</v>
      </c>
      <c r="C28" s="2">
        <v>250</v>
      </c>
      <c r="D28" s="2">
        <v>124</v>
      </c>
      <c r="E28" s="2">
        <v>76</v>
      </c>
      <c r="F28" s="2">
        <f t="shared" si="5"/>
        <v>76</v>
      </c>
      <c r="G28" s="21">
        <f t="shared" si="6"/>
        <v>2.3559999999999999</v>
      </c>
      <c r="H28" s="20">
        <f t="shared" si="7"/>
        <v>2.3559999999999999</v>
      </c>
      <c r="I28" s="20">
        <f t="shared" si="8"/>
        <v>2.3559999999999999</v>
      </c>
      <c r="J28" s="72">
        <f t="shared" si="9"/>
        <v>1.9</v>
      </c>
      <c r="K28" s="824"/>
      <c r="L28" s="20"/>
      <c r="M28" s="20"/>
      <c r="N28" s="20"/>
      <c r="O28" s="20"/>
      <c r="P28" s="20"/>
      <c r="Q28" s="21"/>
      <c r="R28" s="22">
        <f t="shared" si="3"/>
        <v>124</v>
      </c>
      <c r="S28" s="20">
        <v>1</v>
      </c>
      <c r="T28" s="20"/>
      <c r="U28" s="22"/>
      <c r="V28" s="20" t="str">
        <f t="shared" si="10"/>
        <v>S-250x124x76</v>
      </c>
    </row>
    <row r="29" spans="1:22" s="290" customFormat="1">
      <c r="A29" s="536" t="s">
        <v>531</v>
      </c>
      <c r="B29" s="2" t="s">
        <v>2145</v>
      </c>
      <c r="C29" s="2">
        <v>250</v>
      </c>
      <c r="D29" s="2">
        <v>124</v>
      </c>
      <c r="E29" s="2">
        <v>80</v>
      </c>
      <c r="F29" s="2">
        <f t="shared" si="5"/>
        <v>80</v>
      </c>
      <c r="G29" s="21">
        <f t="shared" si="6"/>
        <v>2.48</v>
      </c>
      <c r="H29" s="20">
        <f t="shared" si="7"/>
        <v>2.48</v>
      </c>
      <c r="I29" s="20">
        <f t="shared" si="8"/>
        <v>2.48</v>
      </c>
      <c r="J29" s="72">
        <f t="shared" si="9"/>
        <v>2.04</v>
      </c>
      <c r="K29" s="824"/>
      <c r="L29" s="20"/>
      <c r="M29" s="20"/>
      <c r="N29" s="20"/>
      <c r="O29" s="20"/>
      <c r="P29" s="20"/>
      <c r="Q29" s="21"/>
      <c r="R29" s="22">
        <f t="shared" si="3"/>
        <v>124</v>
      </c>
      <c r="S29" s="20">
        <v>1</v>
      </c>
      <c r="T29" s="20"/>
      <c r="U29" s="22"/>
      <c r="V29" s="20" t="str">
        <f t="shared" si="10"/>
        <v>S-250x124x80</v>
      </c>
    </row>
    <row r="30" spans="1:22" s="290" customFormat="1">
      <c r="A30" s="289" t="s">
        <v>532</v>
      </c>
      <c r="B30" s="2" t="s">
        <v>2145</v>
      </c>
      <c r="C30" s="2">
        <v>250</v>
      </c>
      <c r="D30" s="2">
        <v>187</v>
      </c>
      <c r="E30" s="2">
        <v>64</v>
      </c>
      <c r="F30" s="2">
        <f t="shared" si="5"/>
        <v>64</v>
      </c>
      <c r="G30" s="21">
        <f t="shared" si="6"/>
        <v>2.992</v>
      </c>
      <c r="H30" s="20">
        <f t="shared" si="7"/>
        <v>2.992</v>
      </c>
      <c r="I30" s="20">
        <f t="shared" si="8"/>
        <v>2.992</v>
      </c>
      <c r="J30" s="72">
        <f t="shared" si="9"/>
        <v>2.008</v>
      </c>
      <c r="K30" s="824"/>
      <c r="L30" s="20"/>
      <c r="M30" s="20"/>
      <c r="N30" s="20"/>
      <c r="O30" s="20"/>
      <c r="P30" s="20"/>
      <c r="Q30" s="21"/>
      <c r="R30" s="22">
        <f t="shared" si="3"/>
        <v>187</v>
      </c>
      <c r="S30" s="20">
        <v>1</v>
      </c>
      <c r="T30" s="20"/>
      <c r="U30" s="22"/>
      <c r="V30" s="20" t="str">
        <f t="shared" si="10"/>
        <v>S-250x187x64</v>
      </c>
    </row>
    <row r="31" spans="1:22" s="290" customFormat="1">
      <c r="A31" s="289" t="s">
        <v>488</v>
      </c>
      <c r="B31" s="2" t="s">
        <v>2145</v>
      </c>
      <c r="C31" s="2">
        <v>250</v>
      </c>
      <c r="D31" s="2">
        <v>187</v>
      </c>
      <c r="E31" s="2">
        <v>76</v>
      </c>
      <c r="F31" s="2">
        <f t="shared" si="5"/>
        <v>76</v>
      </c>
      <c r="G31" s="21">
        <f t="shared" si="6"/>
        <v>3.5529999999999999</v>
      </c>
      <c r="H31" s="20">
        <f>ROUND(C31*D31*E31/10^6,3)</f>
        <v>3.5529999999999999</v>
      </c>
      <c r="I31" s="20">
        <f>IF(F31="","-",ROUND((E31+F31)*C31/2*D31/10^6,3))</f>
        <v>3.5529999999999999</v>
      </c>
      <c r="J31" s="72">
        <f>IF(F31="","-",ROUND((D31+E31)*C31/2*F31/10^6,3))</f>
        <v>2.4990000000000001</v>
      </c>
      <c r="K31" s="824"/>
      <c r="L31" s="20"/>
      <c r="M31" s="20"/>
      <c r="N31" s="20"/>
      <c r="O31" s="20"/>
      <c r="P31" s="20"/>
      <c r="Q31" s="21"/>
      <c r="R31" s="22">
        <f>D31</f>
        <v>187</v>
      </c>
      <c r="S31" s="20">
        <v>1</v>
      </c>
      <c r="T31" s="20"/>
      <c r="U31" s="22"/>
      <c r="V31" s="20" t="str">
        <f>B31&amp;"-"&amp;C31&amp;"x"&amp;D31&amp;"x"&amp;E31</f>
        <v>S-250x187x76</v>
      </c>
    </row>
    <row r="32" spans="1:22" s="290" customFormat="1">
      <c r="A32" s="289" t="s">
        <v>534</v>
      </c>
      <c r="B32" s="2" t="s">
        <v>2145</v>
      </c>
      <c r="C32" s="2">
        <v>250</v>
      </c>
      <c r="D32" s="2">
        <v>250</v>
      </c>
      <c r="E32" s="2">
        <v>64</v>
      </c>
      <c r="F32" s="2">
        <f t="shared" si="5"/>
        <v>64</v>
      </c>
      <c r="G32" s="21">
        <f t="shared" si="6"/>
        <v>4</v>
      </c>
      <c r="H32" s="20">
        <f t="shared" si="7"/>
        <v>4</v>
      </c>
      <c r="I32" s="20">
        <f t="shared" si="8"/>
        <v>4</v>
      </c>
      <c r="J32" s="72">
        <f t="shared" si="9"/>
        <v>2.512</v>
      </c>
      <c r="K32" s="824"/>
      <c r="L32" s="20"/>
      <c r="M32" s="20"/>
      <c r="N32" s="20"/>
      <c r="O32" s="20"/>
      <c r="P32" s="20"/>
      <c r="Q32" s="21"/>
      <c r="R32" s="22">
        <f t="shared" si="3"/>
        <v>250</v>
      </c>
      <c r="S32" s="20">
        <v>1</v>
      </c>
      <c r="T32" s="20"/>
      <c r="U32" s="22"/>
      <c r="V32" s="20" t="str">
        <f t="shared" si="10"/>
        <v>S-250x250x64</v>
      </c>
    </row>
    <row r="33" spans="1:22" s="290" customFormat="1">
      <c r="A33" s="289" t="s">
        <v>2025</v>
      </c>
      <c r="B33" s="2" t="s">
        <v>2145</v>
      </c>
      <c r="C33" s="2">
        <v>250</v>
      </c>
      <c r="D33" s="2">
        <v>250</v>
      </c>
      <c r="E33" s="2">
        <v>76</v>
      </c>
      <c r="F33" s="2">
        <f t="shared" si="5"/>
        <v>76</v>
      </c>
      <c r="G33" s="21">
        <f t="shared" si="6"/>
        <v>4.75</v>
      </c>
      <c r="H33" s="20">
        <f t="shared" si="7"/>
        <v>4.75</v>
      </c>
      <c r="I33" s="20">
        <f t="shared" si="8"/>
        <v>4.75</v>
      </c>
      <c r="J33" s="72">
        <f t="shared" si="9"/>
        <v>3.097</v>
      </c>
      <c r="K33" s="824"/>
      <c r="L33" s="20"/>
      <c r="M33" s="20"/>
      <c r="N33" s="20"/>
      <c r="O33" s="20"/>
      <c r="P33" s="20"/>
      <c r="Q33" s="21"/>
      <c r="R33" s="22">
        <f t="shared" si="3"/>
        <v>250</v>
      </c>
      <c r="S33" s="20">
        <v>1</v>
      </c>
      <c r="T33" s="20"/>
      <c r="U33" s="22"/>
      <c r="V33" s="20" t="str">
        <f t="shared" si="10"/>
        <v>S-250x250x76</v>
      </c>
    </row>
    <row r="34" spans="1:22" s="290" customFormat="1">
      <c r="A34" s="289" t="s">
        <v>533</v>
      </c>
      <c r="B34" s="2" t="s">
        <v>2145</v>
      </c>
      <c r="C34" s="2">
        <v>375</v>
      </c>
      <c r="D34" s="2">
        <v>124</v>
      </c>
      <c r="E34" s="2">
        <v>64</v>
      </c>
      <c r="F34" s="2">
        <f t="shared" si="5"/>
        <v>64</v>
      </c>
      <c r="G34" s="21">
        <f t="shared" si="6"/>
        <v>2.976</v>
      </c>
      <c r="H34" s="20">
        <f t="shared" si="7"/>
        <v>2.976</v>
      </c>
      <c r="I34" s="20">
        <f t="shared" si="8"/>
        <v>2.976</v>
      </c>
      <c r="J34" s="72">
        <f t="shared" si="9"/>
        <v>2.2559999999999998</v>
      </c>
      <c r="K34" s="824"/>
      <c r="L34" s="20"/>
      <c r="M34" s="20"/>
      <c r="N34" s="20"/>
      <c r="O34" s="20"/>
      <c r="P34" s="20"/>
      <c r="Q34" s="21"/>
      <c r="R34" s="22">
        <f t="shared" si="3"/>
        <v>124</v>
      </c>
      <c r="S34" s="20">
        <v>1</v>
      </c>
      <c r="T34" s="20"/>
      <c r="U34" s="22"/>
      <c r="V34" s="20" t="str">
        <f t="shared" si="10"/>
        <v>S-375x124x64</v>
      </c>
    </row>
    <row r="35" spans="1:22" s="290" customFormat="1">
      <c r="A35" s="537" t="s">
        <v>493</v>
      </c>
      <c r="B35" s="2" t="s">
        <v>2145</v>
      </c>
      <c r="C35" s="2">
        <v>375</v>
      </c>
      <c r="D35" s="2">
        <v>124</v>
      </c>
      <c r="E35" s="2">
        <v>76</v>
      </c>
      <c r="F35" s="2">
        <f t="shared" si="5"/>
        <v>76</v>
      </c>
      <c r="G35" s="21">
        <f t="shared" si="6"/>
        <v>3.5339999999999998</v>
      </c>
      <c r="H35" s="20">
        <f>ROUND(C35*D35*E35/10^6,3)</f>
        <v>3.5339999999999998</v>
      </c>
      <c r="I35" s="20">
        <f>IF(F35="","-",ROUND((E35+F35)*C35/2*D35/10^6,3))</f>
        <v>3.5339999999999998</v>
      </c>
      <c r="J35" s="72">
        <f>IF(F35="","-",ROUND((D35+E35)*C35/2*F35/10^6,3))</f>
        <v>2.85</v>
      </c>
      <c r="K35" s="824"/>
      <c r="L35" s="20"/>
      <c r="M35" s="20"/>
      <c r="N35" s="20"/>
      <c r="O35" s="20"/>
      <c r="P35" s="20"/>
      <c r="Q35" s="21"/>
      <c r="R35" s="22">
        <f>D35</f>
        <v>124</v>
      </c>
      <c r="S35" s="20">
        <v>1</v>
      </c>
      <c r="T35" s="20"/>
      <c r="U35" s="22"/>
      <c r="V35" s="20" t="str">
        <f>B35&amp;"-"&amp;C35&amp;"x"&amp;D35&amp;"x"&amp;E35</f>
        <v>S-375x124x76</v>
      </c>
    </row>
    <row r="36" spans="1:22" s="290" customFormat="1">
      <c r="A36" s="537" t="s">
        <v>494</v>
      </c>
      <c r="B36" s="2" t="s">
        <v>2145</v>
      </c>
      <c r="C36" s="2">
        <v>375</v>
      </c>
      <c r="D36" s="2">
        <v>187</v>
      </c>
      <c r="E36" s="2">
        <v>76</v>
      </c>
      <c r="F36" s="2">
        <f t="shared" si="5"/>
        <v>76</v>
      </c>
      <c r="G36" s="21">
        <f t="shared" si="6"/>
        <v>5.3295000000000003</v>
      </c>
      <c r="H36" s="20">
        <f>ROUND(C36*D36*E36/10^6,3)</f>
        <v>5.33</v>
      </c>
      <c r="I36" s="20">
        <f>IF(F36="","-",ROUND((E36+F36)*C36/2*D36/10^6,3))</f>
        <v>5.33</v>
      </c>
      <c r="J36" s="72">
        <f>IF(F36="","-",ROUND((D36+E36)*C36/2*F36/10^6,3))</f>
        <v>3.7480000000000002</v>
      </c>
      <c r="K36" s="824"/>
      <c r="L36" s="20"/>
      <c r="M36" s="20"/>
      <c r="N36" s="20"/>
      <c r="O36" s="20"/>
      <c r="P36" s="20"/>
      <c r="Q36" s="21"/>
      <c r="R36" s="22">
        <f>D36</f>
        <v>187</v>
      </c>
      <c r="S36" s="20">
        <v>1</v>
      </c>
      <c r="T36" s="20"/>
      <c r="U36" s="22"/>
      <c r="V36" s="20" t="str">
        <f>B36&amp;"-"&amp;C36&amp;"x"&amp;D36&amp;"x"&amp;E36</f>
        <v>S-375x187x76</v>
      </c>
    </row>
    <row r="37" spans="1:22" s="290" customFormat="1">
      <c r="A37" s="289" t="s">
        <v>535</v>
      </c>
      <c r="B37" s="2" t="s">
        <v>2145</v>
      </c>
      <c r="C37" s="2">
        <v>187</v>
      </c>
      <c r="D37" s="2">
        <v>155</v>
      </c>
      <c r="E37" s="2">
        <v>124</v>
      </c>
      <c r="F37" s="2">
        <f t="shared" si="5"/>
        <v>124</v>
      </c>
      <c r="G37" s="21">
        <f t="shared" si="6"/>
        <v>3.5941399999999999</v>
      </c>
      <c r="H37" s="20">
        <f t="shared" si="7"/>
        <v>3.5939999999999999</v>
      </c>
      <c r="I37" s="20">
        <f t="shared" si="8"/>
        <v>3.5939999999999999</v>
      </c>
      <c r="J37" s="72">
        <f t="shared" si="9"/>
        <v>3.2349999999999999</v>
      </c>
      <c r="K37" s="824"/>
      <c r="L37" s="20"/>
      <c r="M37" s="20"/>
      <c r="N37" s="20"/>
      <c r="O37" s="20"/>
      <c r="P37" s="20"/>
      <c r="Q37" s="21"/>
      <c r="R37" s="22">
        <f t="shared" si="3"/>
        <v>155</v>
      </c>
      <c r="S37" s="20">
        <v>1</v>
      </c>
      <c r="T37" s="20"/>
      <c r="U37" s="22"/>
      <c r="V37" s="20" t="str">
        <f t="shared" si="10"/>
        <v>S-187x155x124</v>
      </c>
    </row>
    <row r="38" spans="1:22" s="290" customFormat="1">
      <c r="A38" s="289" t="s">
        <v>536</v>
      </c>
      <c r="B38" s="2" t="s">
        <v>2145</v>
      </c>
      <c r="C38" s="2">
        <v>210</v>
      </c>
      <c r="D38" s="2">
        <v>187</v>
      </c>
      <c r="E38" s="2">
        <v>155</v>
      </c>
      <c r="F38" s="2">
        <f t="shared" si="5"/>
        <v>155</v>
      </c>
      <c r="G38" s="21">
        <f t="shared" si="6"/>
        <v>6.0868500000000001</v>
      </c>
      <c r="H38" s="20">
        <f t="shared" si="7"/>
        <v>6.0869999999999997</v>
      </c>
      <c r="I38" s="20">
        <f t="shared" si="8"/>
        <v>6.0869999999999997</v>
      </c>
      <c r="J38" s="72">
        <f t="shared" si="9"/>
        <v>5.5659999999999998</v>
      </c>
      <c r="K38" s="824"/>
      <c r="L38" s="20"/>
      <c r="M38" s="20"/>
      <c r="N38" s="20"/>
      <c r="O38" s="20"/>
      <c r="P38" s="20"/>
      <c r="Q38" s="21"/>
      <c r="R38" s="22">
        <f t="shared" si="3"/>
        <v>187</v>
      </c>
      <c r="S38" s="20">
        <v>1</v>
      </c>
      <c r="T38" s="20"/>
      <c r="U38" s="22"/>
      <c r="V38" s="20" t="str">
        <f t="shared" si="10"/>
        <v>S-210x187x155</v>
      </c>
    </row>
    <row r="39" spans="1:22" s="290" customFormat="1">
      <c r="A39" s="289" t="s">
        <v>537</v>
      </c>
      <c r="B39" s="2" t="s">
        <v>2145</v>
      </c>
      <c r="C39" s="2">
        <v>340</v>
      </c>
      <c r="D39" s="2">
        <v>210</v>
      </c>
      <c r="E39" s="2">
        <v>88</v>
      </c>
      <c r="F39" s="2">
        <f t="shared" si="5"/>
        <v>88</v>
      </c>
      <c r="G39" s="21">
        <f t="shared" si="6"/>
        <v>6.2831999999999999</v>
      </c>
      <c r="H39" s="20">
        <f t="shared" si="7"/>
        <v>6.2830000000000004</v>
      </c>
      <c r="I39" s="20">
        <f t="shared" si="8"/>
        <v>6.2830000000000004</v>
      </c>
      <c r="J39" s="72">
        <f t="shared" si="9"/>
        <v>4.4580000000000002</v>
      </c>
      <c r="K39" s="824"/>
      <c r="L39" s="20"/>
      <c r="M39" s="20"/>
      <c r="N39" s="20"/>
      <c r="O39" s="20"/>
      <c r="P39" s="20"/>
      <c r="Q39" s="21"/>
      <c r="R39" s="22">
        <f t="shared" si="3"/>
        <v>210</v>
      </c>
      <c r="S39" s="20">
        <v>1</v>
      </c>
      <c r="T39" s="20"/>
      <c r="U39" s="22"/>
      <c r="V39" s="20" t="str">
        <f t="shared" si="10"/>
        <v>S-340x210x88</v>
      </c>
    </row>
    <row r="40" spans="1:22" s="290" customFormat="1">
      <c r="A40" s="536">
        <v>3</v>
      </c>
      <c r="B40" s="2" t="s">
        <v>2145</v>
      </c>
      <c r="C40" s="2">
        <v>300</v>
      </c>
      <c r="D40" s="2">
        <v>150</v>
      </c>
      <c r="E40" s="2">
        <v>64</v>
      </c>
      <c r="F40" s="2">
        <f t="shared" si="5"/>
        <v>64</v>
      </c>
      <c r="G40" s="21">
        <f t="shared" si="6"/>
        <v>2.88</v>
      </c>
      <c r="H40" s="20">
        <f t="shared" si="7"/>
        <v>2.88</v>
      </c>
      <c r="I40" s="20">
        <f t="shared" si="8"/>
        <v>2.88</v>
      </c>
      <c r="J40" s="72">
        <f t="shared" si="9"/>
        <v>2.0539999999999998</v>
      </c>
      <c r="K40" s="824"/>
      <c r="L40" s="20"/>
      <c r="M40" s="20"/>
      <c r="N40" s="20"/>
      <c r="O40" s="20"/>
      <c r="P40" s="20"/>
      <c r="Q40" s="21"/>
      <c r="R40" s="22">
        <f t="shared" si="3"/>
        <v>150</v>
      </c>
      <c r="S40" s="20">
        <v>1</v>
      </c>
      <c r="T40" s="20"/>
      <c r="U40" s="22"/>
      <c r="V40" s="20" t="str">
        <f t="shared" si="10"/>
        <v>S-300x150x64</v>
      </c>
    </row>
    <row r="41" spans="1:22" s="290" customFormat="1">
      <c r="A41" s="538" t="s">
        <v>2026</v>
      </c>
      <c r="B41" s="2" t="s">
        <v>2145</v>
      </c>
      <c r="C41" s="2">
        <v>300</v>
      </c>
      <c r="D41" s="2">
        <v>150</v>
      </c>
      <c r="E41" s="2">
        <v>32</v>
      </c>
      <c r="F41" s="2">
        <f t="shared" si="5"/>
        <v>32</v>
      </c>
      <c r="G41" s="21">
        <f t="shared" si="6"/>
        <v>1.44</v>
      </c>
      <c r="H41" s="20">
        <f t="shared" si="7"/>
        <v>1.44</v>
      </c>
      <c r="I41" s="20">
        <f t="shared" si="8"/>
        <v>1.44</v>
      </c>
      <c r="J41" s="72">
        <f t="shared" si="9"/>
        <v>0.874</v>
      </c>
      <c r="K41" s="824"/>
      <c r="L41" s="20"/>
      <c r="M41" s="20"/>
      <c r="N41" s="20"/>
      <c r="O41" s="20"/>
      <c r="P41" s="20"/>
      <c r="Q41" s="21"/>
      <c r="R41" s="22">
        <f t="shared" si="3"/>
        <v>150</v>
      </c>
      <c r="S41" s="20">
        <v>1</v>
      </c>
      <c r="T41" s="20"/>
      <c r="U41" s="22"/>
      <c r="V41" s="20" t="str">
        <f t="shared" si="10"/>
        <v>S-300x150x32</v>
      </c>
    </row>
    <row r="42" spans="1:22" s="290" customFormat="1">
      <c r="A42" s="538" t="s">
        <v>489</v>
      </c>
      <c r="B42" s="2" t="s">
        <v>2145</v>
      </c>
      <c r="C42" s="2">
        <v>300</v>
      </c>
      <c r="D42" s="2">
        <v>150</v>
      </c>
      <c r="E42" s="2">
        <v>76</v>
      </c>
      <c r="F42" s="2">
        <f t="shared" si="5"/>
        <v>76</v>
      </c>
      <c r="G42" s="21">
        <f t="shared" si="6"/>
        <v>3.42</v>
      </c>
      <c r="H42" s="20">
        <f t="shared" si="7"/>
        <v>3.42</v>
      </c>
      <c r="I42" s="20">
        <f t="shared" si="8"/>
        <v>3.42</v>
      </c>
      <c r="J42" s="72">
        <f t="shared" si="9"/>
        <v>2.5760000000000001</v>
      </c>
      <c r="K42" s="824"/>
      <c r="L42" s="20"/>
      <c r="M42" s="20"/>
      <c r="N42" s="20"/>
      <c r="O42" s="20"/>
      <c r="P42" s="20"/>
      <c r="Q42" s="21"/>
      <c r="R42" s="22">
        <f t="shared" si="3"/>
        <v>150</v>
      </c>
      <c r="S42" s="20">
        <v>1</v>
      </c>
      <c r="T42" s="20"/>
      <c r="U42" s="22"/>
      <c r="V42" s="20" t="str">
        <f t="shared" si="10"/>
        <v>S-300x150x76</v>
      </c>
    </row>
    <row r="43" spans="1:22" s="290" customFormat="1">
      <c r="A43" s="537" t="s">
        <v>2027</v>
      </c>
      <c r="B43" s="2" t="s">
        <v>2145</v>
      </c>
      <c r="C43" s="2">
        <v>300</v>
      </c>
      <c r="D43" s="2">
        <v>225</v>
      </c>
      <c r="E43" s="2">
        <v>64</v>
      </c>
      <c r="F43" s="2">
        <f t="shared" si="5"/>
        <v>64</v>
      </c>
      <c r="G43" s="21">
        <f t="shared" si="6"/>
        <v>4.32</v>
      </c>
      <c r="H43" s="20">
        <f t="shared" si="7"/>
        <v>4.32</v>
      </c>
      <c r="I43" s="20">
        <f t="shared" si="8"/>
        <v>4.32</v>
      </c>
      <c r="J43" s="72">
        <f t="shared" si="9"/>
        <v>2.774</v>
      </c>
      <c r="K43" s="824"/>
      <c r="L43" s="20"/>
      <c r="M43" s="20"/>
      <c r="N43" s="20"/>
      <c r="O43" s="20"/>
      <c r="P43" s="20"/>
      <c r="Q43" s="21"/>
      <c r="R43" s="22">
        <f t="shared" si="3"/>
        <v>225</v>
      </c>
      <c r="S43" s="20">
        <v>1</v>
      </c>
      <c r="T43" s="20"/>
      <c r="U43" s="22"/>
      <c r="V43" s="20" t="str">
        <f t="shared" si="10"/>
        <v>S-300x225x64</v>
      </c>
    </row>
    <row r="44" spans="1:22" s="290" customFormat="1">
      <c r="A44" s="537" t="s">
        <v>490</v>
      </c>
      <c r="B44" s="2" t="s">
        <v>2145</v>
      </c>
      <c r="C44" s="2">
        <v>300</v>
      </c>
      <c r="D44" s="2">
        <v>225</v>
      </c>
      <c r="E44" s="2">
        <v>76</v>
      </c>
      <c r="F44" s="2">
        <f t="shared" si="5"/>
        <v>76</v>
      </c>
      <c r="G44" s="21">
        <f t="shared" si="6"/>
        <v>5.13</v>
      </c>
      <c r="H44" s="20">
        <f t="shared" si="7"/>
        <v>5.13</v>
      </c>
      <c r="I44" s="20">
        <f t="shared" si="8"/>
        <v>5.13</v>
      </c>
      <c r="J44" s="72">
        <f t="shared" si="9"/>
        <v>3.431</v>
      </c>
      <c r="K44" s="824"/>
      <c r="L44" s="20"/>
      <c r="M44" s="20"/>
      <c r="N44" s="20"/>
      <c r="O44" s="20"/>
      <c r="P44" s="20"/>
      <c r="Q44" s="21"/>
      <c r="R44" s="22">
        <f t="shared" si="3"/>
        <v>225</v>
      </c>
      <c r="S44" s="20">
        <v>1</v>
      </c>
      <c r="T44" s="20"/>
      <c r="U44" s="22"/>
      <c r="V44" s="20" t="str">
        <f t="shared" si="10"/>
        <v>S-300x225x76</v>
      </c>
    </row>
    <row r="45" spans="1:22" s="290" customFormat="1">
      <c r="A45" s="537" t="s">
        <v>2028</v>
      </c>
      <c r="B45" s="2" t="s">
        <v>2145</v>
      </c>
      <c r="C45" s="2">
        <v>300</v>
      </c>
      <c r="D45" s="2">
        <v>300</v>
      </c>
      <c r="E45" s="2">
        <v>64</v>
      </c>
      <c r="F45" s="2">
        <f t="shared" si="5"/>
        <v>64</v>
      </c>
      <c r="G45" s="21">
        <f t="shared" si="6"/>
        <v>5.76</v>
      </c>
      <c r="H45" s="20">
        <f t="shared" si="7"/>
        <v>5.76</v>
      </c>
      <c r="I45" s="20">
        <f t="shared" si="8"/>
        <v>5.76</v>
      </c>
      <c r="J45" s="72">
        <f t="shared" si="9"/>
        <v>3.4940000000000002</v>
      </c>
      <c r="K45" s="824"/>
      <c r="L45" s="20"/>
      <c r="M45" s="20"/>
      <c r="N45" s="20"/>
      <c r="O45" s="20"/>
      <c r="P45" s="20"/>
      <c r="Q45" s="21"/>
      <c r="R45" s="22">
        <f t="shared" si="3"/>
        <v>300</v>
      </c>
      <c r="S45" s="20">
        <v>1</v>
      </c>
      <c r="T45" s="20"/>
      <c r="U45" s="22"/>
      <c r="V45" s="20" t="str">
        <f t="shared" si="10"/>
        <v>S-300x300x64</v>
      </c>
    </row>
    <row r="46" spans="1:22" s="290" customFormat="1">
      <c r="A46" s="537" t="s">
        <v>491</v>
      </c>
      <c r="B46" s="2" t="s">
        <v>2145</v>
      </c>
      <c r="C46" s="2">
        <v>300</v>
      </c>
      <c r="D46" s="2">
        <v>300</v>
      </c>
      <c r="E46" s="2">
        <v>76</v>
      </c>
      <c r="F46" s="2">
        <f t="shared" si="5"/>
        <v>76</v>
      </c>
      <c r="G46" s="21">
        <f t="shared" si="6"/>
        <v>6.84</v>
      </c>
      <c r="H46" s="20">
        <f t="shared" si="7"/>
        <v>6.84</v>
      </c>
      <c r="I46" s="20">
        <f t="shared" si="8"/>
        <v>6.84</v>
      </c>
      <c r="J46" s="72">
        <f t="shared" si="9"/>
        <v>4.2859999999999996</v>
      </c>
      <c r="K46" s="824"/>
      <c r="L46" s="20"/>
      <c r="M46" s="20"/>
      <c r="N46" s="20"/>
      <c r="O46" s="20"/>
      <c r="P46" s="20"/>
      <c r="Q46" s="21"/>
      <c r="R46" s="22">
        <f t="shared" si="3"/>
        <v>300</v>
      </c>
      <c r="S46" s="20">
        <v>1</v>
      </c>
      <c r="T46" s="20"/>
      <c r="U46" s="22"/>
      <c r="V46" s="20" t="str">
        <f t="shared" si="10"/>
        <v>S-300x300x76</v>
      </c>
    </row>
    <row r="47" spans="1:22" s="290" customFormat="1">
      <c r="A47" s="537" t="s">
        <v>2029</v>
      </c>
      <c r="B47" s="2" t="s">
        <v>2145</v>
      </c>
      <c r="C47" s="2">
        <v>450</v>
      </c>
      <c r="D47" s="2">
        <v>150</v>
      </c>
      <c r="E47" s="2">
        <v>64</v>
      </c>
      <c r="F47" s="2">
        <f t="shared" si="5"/>
        <v>64</v>
      </c>
      <c r="G47" s="21">
        <f t="shared" si="6"/>
        <v>4.32</v>
      </c>
      <c r="H47" s="20">
        <f t="shared" si="7"/>
        <v>4.32</v>
      </c>
      <c r="I47" s="20">
        <f t="shared" si="8"/>
        <v>4.32</v>
      </c>
      <c r="J47" s="72">
        <f t="shared" si="9"/>
        <v>3.0819999999999999</v>
      </c>
      <c r="K47" s="824"/>
      <c r="L47" s="20"/>
      <c r="M47" s="20"/>
      <c r="N47" s="20"/>
      <c r="O47" s="20"/>
      <c r="P47" s="20"/>
      <c r="Q47" s="21"/>
      <c r="R47" s="22">
        <f t="shared" si="3"/>
        <v>150</v>
      </c>
      <c r="S47" s="20">
        <v>1</v>
      </c>
      <c r="T47" s="20"/>
      <c r="U47" s="22"/>
      <c r="V47" s="20" t="str">
        <f t="shared" si="10"/>
        <v>S-450x150x64</v>
      </c>
    </row>
    <row r="48" spans="1:22" s="290" customFormat="1">
      <c r="A48" s="537" t="s">
        <v>2030</v>
      </c>
      <c r="B48" s="2" t="s">
        <v>2145</v>
      </c>
      <c r="C48" s="2">
        <v>450</v>
      </c>
      <c r="D48" s="2">
        <v>150</v>
      </c>
      <c r="E48" s="2">
        <v>76</v>
      </c>
      <c r="F48" s="2">
        <f t="shared" si="5"/>
        <v>76</v>
      </c>
      <c r="G48" s="21">
        <f t="shared" si="6"/>
        <v>5.13</v>
      </c>
      <c r="H48" s="20">
        <f t="shared" si="7"/>
        <v>5.13</v>
      </c>
      <c r="I48" s="20">
        <f t="shared" si="8"/>
        <v>5.13</v>
      </c>
      <c r="J48" s="72">
        <f t="shared" si="9"/>
        <v>3.8650000000000002</v>
      </c>
      <c r="K48" s="824"/>
      <c r="L48" s="20"/>
      <c r="M48" s="20"/>
      <c r="N48" s="20"/>
      <c r="O48" s="20"/>
      <c r="P48" s="20"/>
      <c r="Q48" s="21"/>
      <c r="R48" s="22">
        <f t="shared" si="3"/>
        <v>150</v>
      </c>
      <c r="S48" s="20">
        <v>1</v>
      </c>
      <c r="T48" s="20"/>
      <c r="U48" s="22"/>
      <c r="V48" s="20" t="str">
        <f t="shared" si="10"/>
        <v>S-450x150x76</v>
      </c>
    </row>
    <row r="49" spans="1:22" s="290" customFormat="1">
      <c r="A49" s="537" t="s">
        <v>495</v>
      </c>
      <c r="B49" s="2" t="s">
        <v>2145</v>
      </c>
      <c r="C49" s="2">
        <v>450</v>
      </c>
      <c r="D49" s="2">
        <v>225</v>
      </c>
      <c r="E49" s="2">
        <v>76</v>
      </c>
      <c r="F49" s="2">
        <f t="shared" si="5"/>
        <v>76</v>
      </c>
      <c r="G49" s="21">
        <f t="shared" si="6"/>
        <v>7.6950000000000003</v>
      </c>
      <c r="H49" s="20">
        <f t="shared" si="7"/>
        <v>7.6950000000000003</v>
      </c>
      <c r="I49" s="20">
        <f t="shared" si="8"/>
        <v>7.6950000000000003</v>
      </c>
      <c r="J49" s="72">
        <f t="shared" si="9"/>
        <v>5.1470000000000002</v>
      </c>
      <c r="K49" s="824"/>
      <c r="L49" s="20"/>
      <c r="M49" s="20"/>
      <c r="N49" s="20"/>
      <c r="O49" s="20"/>
      <c r="P49" s="20"/>
      <c r="Q49" s="21"/>
      <c r="R49" s="22">
        <f t="shared" si="3"/>
        <v>225</v>
      </c>
      <c r="S49" s="20">
        <v>1</v>
      </c>
      <c r="T49" s="20"/>
      <c r="U49" s="22"/>
      <c r="V49" s="20" t="str">
        <f t="shared" si="10"/>
        <v>S-450x225x76</v>
      </c>
    </row>
    <row r="50" spans="1:22" s="290" customFormat="1">
      <c r="A50" s="289" t="s">
        <v>538</v>
      </c>
      <c r="B50" s="2" t="s">
        <v>2145</v>
      </c>
      <c r="C50" s="2">
        <v>250</v>
      </c>
      <c r="D50" s="2">
        <v>155</v>
      </c>
      <c r="E50" s="2">
        <v>100</v>
      </c>
      <c r="F50" s="2">
        <f t="shared" si="5"/>
        <v>100</v>
      </c>
      <c r="G50" s="21">
        <f t="shared" si="6"/>
        <v>3.875</v>
      </c>
      <c r="H50" s="20">
        <f t="shared" si="7"/>
        <v>3.875</v>
      </c>
      <c r="I50" s="20">
        <f t="shared" si="8"/>
        <v>3.875</v>
      </c>
      <c r="J50" s="72">
        <f t="shared" si="9"/>
        <v>3.1880000000000002</v>
      </c>
      <c r="K50" s="824"/>
      <c r="L50" s="20"/>
      <c r="M50" s="20"/>
      <c r="N50" s="20"/>
      <c r="O50" s="20"/>
      <c r="P50" s="20"/>
      <c r="Q50" s="21"/>
      <c r="R50" s="22">
        <f t="shared" si="3"/>
        <v>155</v>
      </c>
      <c r="S50" s="20">
        <v>1</v>
      </c>
      <c r="T50" s="20"/>
      <c r="U50" s="22"/>
      <c r="V50" s="20" t="str">
        <f t="shared" si="10"/>
        <v>S-250x155x100</v>
      </c>
    </row>
    <row r="51" spans="1:22" s="290" customFormat="1">
      <c r="A51" s="289" t="s">
        <v>539</v>
      </c>
      <c r="B51" s="2" t="s">
        <v>2145</v>
      </c>
      <c r="C51" s="2">
        <v>250</v>
      </c>
      <c r="D51" s="2">
        <v>187</v>
      </c>
      <c r="E51" s="2">
        <v>100</v>
      </c>
      <c r="F51" s="2">
        <f t="shared" si="5"/>
        <v>100</v>
      </c>
      <c r="G51" s="21">
        <f t="shared" si="6"/>
        <v>4.6749999999999998</v>
      </c>
      <c r="H51" s="20">
        <f t="shared" si="7"/>
        <v>4.6749999999999998</v>
      </c>
      <c r="I51" s="20">
        <f t="shared" si="8"/>
        <v>4.6749999999999998</v>
      </c>
      <c r="J51" s="72">
        <f t="shared" si="9"/>
        <v>3.5880000000000001</v>
      </c>
      <c r="K51" s="824"/>
      <c r="L51" s="20"/>
      <c r="M51" s="20"/>
      <c r="N51" s="20"/>
      <c r="O51" s="20"/>
      <c r="P51" s="20"/>
      <c r="Q51" s="21"/>
      <c r="R51" s="22">
        <f t="shared" si="3"/>
        <v>187</v>
      </c>
      <c r="S51" s="20">
        <v>1</v>
      </c>
      <c r="T51" s="20"/>
      <c r="U51" s="22"/>
      <c r="V51" s="20" t="str">
        <f t="shared" si="10"/>
        <v>S-250x187x100</v>
      </c>
    </row>
    <row r="52" spans="1:22" s="290" customFormat="1">
      <c r="A52" s="289" t="s">
        <v>540</v>
      </c>
      <c r="B52" s="2" t="s">
        <v>2145</v>
      </c>
      <c r="C52" s="2">
        <v>250</v>
      </c>
      <c r="D52" s="2">
        <v>220</v>
      </c>
      <c r="E52" s="2">
        <v>100</v>
      </c>
      <c r="F52" s="2">
        <f t="shared" si="5"/>
        <v>100</v>
      </c>
      <c r="G52" s="21">
        <f t="shared" si="6"/>
        <v>5.5</v>
      </c>
      <c r="H52" s="20">
        <f t="shared" si="7"/>
        <v>5.5</v>
      </c>
      <c r="I52" s="20">
        <f t="shared" si="8"/>
        <v>5.5</v>
      </c>
      <c r="J52" s="72">
        <f t="shared" si="9"/>
        <v>4</v>
      </c>
      <c r="K52" s="824"/>
      <c r="L52" s="20"/>
      <c r="M52" s="20"/>
      <c r="N52" s="20"/>
      <c r="O52" s="20"/>
      <c r="P52" s="20"/>
      <c r="Q52" s="21"/>
      <c r="R52" s="22">
        <f t="shared" si="3"/>
        <v>220</v>
      </c>
      <c r="S52" s="20">
        <v>1</v>
      </c>
      <c r="T52" s="20"/>
      <c r="U52" s="22"/>
      <c r="V52" s="20" t="str">
        <f t="shared" si="10"/>
        <v>S-250x220x100</v>
      </c>
    </row>
    <row r="53" spans="1:22" s="290" customFormat="1">
      <c r="A53" s="289" t="s">
        <v>541</v>
      </c>
      <c r="B53" s="2" t="s">
        <v>2145</v>
      </c>
      <c r="C53" s="2">
        <v>500</v>
      </c>
      <c r="D53" s="2">
        <v>250</v>
      </c>
      <c r="E53" s="2">
        <v>64</v>
      </c>
      <c r="F53" s="2">
        <f t="shared" si="5"/>
        <v>64</v>
      </c>
      <c r="G53" s="21">
        <f t="shared" si="6"/>
        <v>8</v>
      </c>
      <c r="H53" s="20">
        <f t="shared" si="7"/>
        <v>8</v>
      </c>
      <c r="I53" s="20">
        <f t="shared" si="8"/>
        <v>8</v>
      </c>
      <c r="J53" s="72">
        <f t="shared" si="9"/>
        <v>5.024</v>
      </c>
      <c r="K53" s="824"/>
      <c r="L53" s="20"/>
      <c r="M53" s="20"/>
      <c r="N53" s="20"/>
      <c r="O53" s="20"/>
      <c r="P53" s="20"/>
      <c r="Q53" s="21"/>
      <c r="R53" s="22">
        <f t="shared" si="3"/>
        <v>250</v>
      </c>
      <c r="S53" s="20">
        <v>1</v>
      </c>
      <c r="T53" s="20"/>
      <c r="U53" s="22"/>
      <c r="V53" s="20" t="str">
        <f t="shared" si="10"/>
        <v>S-500x250x64</v>
      </c>
    </row>
    <row r="54" spans="1:22" s="290" customFormat="1">
      <c r="A54" s="289" t="s">
        <v>542</v>
      </c>
      <c r="B54" s="2" t="s">
        <v>2145</v>
      </c>
      <c r="C54" s="2">
        <v>375</v>
      </c>
      <c r="D54" s="2">
        <v>250</v>
      </c>
      <c r="E54" s="2">
        <v>64</v>
      </c>
      <c r="F54" s="2">
        <f t="shared" si="5"/>
        <v>64</v>
      </c>
      <c r="G54" s="21">
        <f t="shared" si="6"/>
        <v>6</v>
      </c>
      <c r="H54" s="20">
        <f t="shared" si="7"/>
        <v>6</v>
      </c>
      <c r="I54" s="20">
        <f t="shared" si="8"/>
        <v>6</v>
      </c>
      <c r="J54" s="72">
        <f t="shared" si="9"/>
        <v>3.7679999999999998</v>
      </c>
      <c r="K54" s="824"/>
      <c r="L54" s="20"/>
      <c r="M54" s="20"/>
      <c r="N54" s="20"/>
      <c r="O54" s="20"/>
      <c r="P54" s="20"/>
      <c r="Q54" s="21"/>
      <c r="R54" s="22">
        <f t="shared" si="3"/>
        <v>250</v>
      </c>
      <c r="S54" s="20">
        <v>1</v>
      </c>
      <c r="T54" s="20"/>
      <c r="U54" s="22"/>
      <c r="V54" s="20" t="str">
        <f t="shared" si="10"/>
        <v>S-375x250x64</v>
      </c>
    </row>
    <row r="55" spans="1:22" s="290" customFormat="1">
      <c r="A55" s="289" t="s">
        <v>543</v>
      </c>
      <c r="B55" s="2" t="s">
        <v>2145</v>
      </c>
      <c r="C55" s="2">
        <v>500</v>
      </c>
      <c r="D55" s="2">
        <v>375</v>
      </c>
      <c r="E55" s="2">
        <v>64</v>
      </c>
      <c r="F55" s="2">
        <f t="shared" si="5"/>
        <v>64</v>
      </c>
      <c r="G55" s="21">
        <f t="shared" si="6"/>
        <v>12</v>
      </c>
      <c r="H55" s="20">
        <f t="shared" si="7"/>
        <v>12</v>
      </c>
      <c r="I55" s="20">
        <f t="shared" si="8"/>
        <v>12</v>
      </c>
      <c r="J55" s="72">
        <f t="shared" si="9"/>
        <v>7.024</v>
      </c>
      <c r="K55" s="824"/>
      <c r="L55" s="20"/>
      <c r="M55" s="20"/>
      <c r="N55" s="20"/>
      <c r="O55" s="20"/>
      <c r="P55" s="20"/>
      <c r="Q55" s="21"/>
      <c r="R55" s="22">
        <f t="shared" si="3"/>
        <v>375</v>
      </c>
      <c r="S55" s="20">
        <v>1</v>
      </c>
      <c r="T55" s="20"/>
      <c r="U55" s="22"/>
      <c r="V55" s="20" t="str">
        <f t="shared" si="10"/>
        <v>S-500x375x64</v>
      </c>
    </row>
    <row r="56" spans="1:22" s="290" customFormat="1">
      <c r="A56" s="289" t="s">
        <v>2031</v>
      </c>
      <c r="B56" s="2" t="s">
        <v>2145</v>
      </c>
      <c r="C56" s="2">
        <v>500</v>
      </c>
      <c r="D56" s="2">
        <v>500</v>
      </c>
      <c r="E56" s="2">
        <v>64</v>
      </c>
      <c r="F56" s="2">
        <f t="shared" si="5"/>
        <v>64</v>
      </c>
      <c r="G56" s="21">
        <f t="shared" si="6"/>
        <v>16</v>
      </c>
      <c r="H56" s="20">
        <f t="shared" si="7"/>
        <v>16</v>
      </c>
      <c r="I56" s="20">
        <f t="shared" si="8"/>
        <v>16</v>
      </c>
      <c r="J56" s="72">
        <f t="shared" si="9"/>
        <v>9.0239999999999991</v>
      </c>
      <c r="K56" s="824"/>
      <c r="L56" s="20"/>
      <c r="M56" s="20"/>
      <c r="N56" s="20"/>
      <c r="O56" s="20"/>
      <c r="P56" s="20"/>
      <c r="Q56" s="21"/>
      <c r="R56" s="22">
        <f t="shared" si="3"/>
        <v>500</v>
      </c>
      <c r="S56" s="20">
        <v>1</v>
      </c>
      <c r="T56" s="20"/>
      <c r="U56" s="22"/>
      <c r="V56" s="20" t="str">
        <f t="shared" si="10"/>
        <v>S-500x500x64</v>
      </c>
    </row>
    <row r="57" spans="1:22" s="290" customFormat="1">
      <c r="A57" s="289" t="s">
        <v>544</v>
      </c>
      <c r="B57" s="2" t="s">
        <v>2145</v>
      </c>
      <c r="C57" s="2">
        <v>500</v>
      </c>
      <c r="D57" s="2">
        <v>375</v>
      </c>
      <c r="E57" s="2">
        <v>100</v>
      </c>
      <c r="F57" s="2">
        <f t="shared" si="5"/>
        <v>100</v>
      </c>
      <c r="G57" s="21">
        <f t="shared" si="6"/>
        <v>18.75</v>
      </c>
      <c r="H57" s="20">
        <f t="shared" si="7"/>
        <v>18.75</v>
      </c>
      <c r="I57" s="20">
        <f t="shared" si="8"/>
        <v>18.75</v>
      </c>
      <c r="J57" s="72">
        <f t="shared" si="9"/>
        <v>11.875</v>
      </c>
      <c r="K57" s="824"/>
      <c r="L57" s="20"/>
      <c r="M57" s="20"/>
      <c r="N57" s="20"/>
      <c r="O57" s="20"/>
      <c r="P57" s="20"/>
      <c r="Q57" s="21"/>
      <c r="R57" s="22">
        <f t="shared" si="3"/>
        <v>375</v>
      </c>
      <c r="S57" s="20">
        <v>1</v>
      </c>
      <c r="T57" s="20"/>
      <c r="U57" s="22"/>
      <c r="V57" s="20" t="str">
        <f t="shared" si="10"/>
        <v>S-500x375x100</v>
      </c>
    </row>
    <row r="58" spans="1:22" s="290" customFormat="1">
      <c r="A58" s="289" t="s">
        <v>974</v>
      </c>
      <c r="B58" s="2" t="s">
        <v>2145</v>
      </c>
      <c r="C58" s="2">
        <v>500</v>
      </c>
      <c r="D58" s="2">
        <v>500</v>
      </c>
      <c r="E58" s="2">
        <v>100</v>
      </c>
      <c r="F58" s="2">
        <f t="shared" si="5"/>
        <v>100</v>
      </c>
      <c r="G58" s="21">
        <f t="shared" si="6"/>
        <v>25</v>
      </c>
      <c r="H58" s="20">
        <f t="shared" si="7"/>
        <v>25</v>
      </c>
      <c r="I58" s="20">
        <f t="shared" si="8"/>
        <v>25</v>
      </c>
      <c r="J58" s="72">
        <f t="shared" si="9"/>
        <v>15</v>
      </c>
      <c r="K58" s="824"/>
      <c r="L58" s="20"/>
      <c r="M58" s="20"/>
      <c r="N58" s="20"/>
      <c r="O58" s="20"/>
      <c r="P58" s="20"/>
      <c r="Q58" s="21"/>
      <c r="R58" s="22">
        <f t="shared" si="3"/>
        <v>500</v>
      </c>
      <c r="S58" s="20">
        <v>1</v>
      </c>
      <c r="T58" s="20"/>
      <c r="U58" s="22"/>
      <c r="V58" s="20" t="str">
        <f t="shared" si="10"/>
        <v>S-500x500x100</v>
      </c>
    </row>
    <row r="59" spans="1:22" s="290" customFormat="1">
      <c r="A59" s="289" t="s">
        <v>545</v>
      </c>
      <c r="B59" s="2" t="s">
        <v>2145</v>
      </c>
      <c r="C59" s="2">
        <v>250</v>
      </c>
      <c r="D59" s="2">
        <v>200</v>
      </c>
      <c r="E59" s="2">
        <v>100</v>
      </c>
      <c r="F59" s="2">
        <f t="shared" si="5"/>
        <v>100</v>
      </c>
      <c r="G59" s="21">
        <f t="shared" si="6"/>
        <v>5</v>
      </c>
      <c r="H59" s="20">
        <f t="shared" si="7"/>
        <v>5</v>
      </c>
      <c r="I59" s="20">
        <f t="shared" si="8"/>
        <v>5</v>
      </c>
      <c r="J59" s="72">
        <f t="shared" si="9"/>
        <v>3.75</v>
      </c>
      <c r="K59" s="824"/>
      <c r="L59" s="20"/>
      <c r="M59" s="20"/>
      <c r="N59" s="20"/>
      <c r="O59" s="20"/>
      <c r="P59" s="20"/>
      <c r="Q59" s="21"/>
      <c r="R59" s="22">
        <f t="shared" si="3"/>
        <v>200</v>
      </c>
      <c r="S59" s="20">
        <v>1</v>
      </c>
      <c r="T59" s="20"/>
      <c r="U59" s="22"/>
      <c r="V59" s="20" t="str">
        <f t="shared" si="10"/>
        <v>S-250x200x100</v>
      </c>
    </row>
    <row r="60" spans="1:22" s="290" customFormat="1">
      <c r="A60" s="289" t="s">
        <v>546</v>
      </c>
      <c r="B60" s="2" t="s">
        <v>2145</v>
      </c>
      <c r="C60" s="2">
        <v>375</v>
      </c>
      <c r="D60" s="2">
        <v>250</v>
      </c>
      <c r="E60" s="2">
        <v>130</v>
      </c>
      <c r="F60" s="2">
        <f t="shared" si="5"/>
        <v>130</v>
      </c>
      <c r="G60" s="21">
        <f t="shared" si="6"/>
        <v>12.1875</v>
      </c>
      <c r="H60" s="20">
        <f>ROUND(C60*D60*E60/10^6,3)</f>
        <v>12.188000000000001</v>
      </c>
      <c r="I60" s="20">
        <f>IF(F60="","-",ROUND((E60+F60)*C60/2*D60/10^6,3))</f>
        <v>12.188000000000001</v>
      </c>
      <c r="J60" s="72">
        <f>IF(F60="","-",ROUND((D60+E60)*C60/2*F60/10^6,3))</f>
        <v>9.2629999999999999</v>
      </c>
      <c r="K60" s="824"/>
      <c r="L60" s="20"/>
      <c r="M60" s="20"/>
      <c r="N60" s="20"/>
      <c r="O60" s="20"/>
      <c r="P60" s="20"/>
      <c r="Q60" s="21"/>
      <c r="R60" s="22">
        <f>D60</f>
        <v>250</v>
      </c>
      <c r="S60" s="20">
        <v>1</v>
      </c>
      <c r="T60" s="20"/>
      <c r="U60" s="22"/>
      <c r="V60" s="20" t="str">
        <f>B60&amp;"-"&amp;C60&amp;"x"&amp;D60&amp;"x"&amp;E60</f>
        <v>S-375x250x130</v>
      </c>
    </row>
    <row r="61" spans="1:22" s="290" customFormat="1">
      <c r="A61" s="536" t="s">
        <v>547</v>
      </c>
      <c r="B61" s="2" t="s">
        <v>2145</v>
      </c>
      <c r="C61" s="2">
        <v>230</v>
      </c>
      <c r="D61" s="2">
        <v>150</v>
      </c>
      <c r="E61" s="2">
        <v>76</v>
      </c>
      <c r="F61" s="2">
        <f t="shared" si="5"/>
        <v>76</v>
      </c>
      <c r="G61" s="21">
        <f t="shared" si="6"/>
        <v>2.6219999999999999</v>
      </c>
      <c r="H61" s="20">
        <f t="shared" si="7"/>
        <v>2.6219999999999999</v>
      </c>
      <c r="I61" s="20">
        <f t="shared" si="8"/>
        <v>2.6219999999999999</v>
      </c>
      <c r="J61" s="72">
        <f t="shared" si="9"/>
        <v>1.9750000000000001</v>
      </c>
      <c r="K61" s="824"/>
      <c r="L61" s="20"/>
      <c r="M61" s="20"/>
      <c r="N61" s="20"/>
      <c r="O61" s="20"/>
      <c r="P61" s="20"/>
      <c r="Q61" s="21"/>
      <c r="R61" s="22">
        <f t="shared" si="3"/>
        <v>150</v>
      </c>
      <c r="S61" s="20">
        <v>1</v>
      </c>
      <c r="T61" s="20"/>
      <c r="U61" s="22"/>
      <c r="V61" s="20" t="str">
        <f t="shared" si="10"/>
        <v>S-230x150x76</v>
      </c>
    </row>
    <row r="62" spans="1:22" s="290" customFormat="1">
      <c r="A62" s="536" t="s">
        <v>548</v>
      </c>
      <c r="B62" s="2" t="s">
        <v>2145</v>
      </c>
      <c r="C62" s="2">
        <v>230</v>
      </c>
      <c r="D62" s="2">
        <v>150</v>
      </c>
      <c r="E62" s="2">
        <v>100</v>
      </c>
      <c r="F62" s="2">
        <f t="shared" si="5"/>
        <v>100</v>
      </c>
      <c r="G62" s="21">
        <f t="shared" si="6"/>
        <v>3.45</v>
      </c>
      <c r="H62" s="20">
        <f t="shared" si="7"/>
        <v>3.45</v>
      </c>
      <c r="I62" s="20">
        <f t="shared" si="8"/>
        <v>3.45</v>
      </c>
      <c r="J62" s="72">
        <f t="shared" si="9"/>
        <v>2.875</v>
      </c>
      <c r="K62" s="824"/>
      <c r="L62" s="20"/>
      <c r="M62" s="20"/>
      <c r="N62" s="20"/>
      <c r="O62" s="20"/>
      <c r="P62" s="20"/>
      <c r="Q62" s="21"/>
      <c r="R62" s="22">
        <f t="shared" si="3"/>
        <v>150</v>
      </c>
      <c r="S62" s="20">
        <v>1</v>
      </c>
      <c r="T62" s="20"/>
      <c r="U62" s="22"/>
      <c r="V62" s="20" t="str">
        <f t="shared" si="10"/>
        <v>S-230x150x100</v>
      </c>
    </row>
    <row r="63" spans="1:22" s="290" customFormat="1">
      <c r="A63" s="289" t="s">
        <v>549</v>
      </c>
      <c r="B63" s="2" t="s">
        <v>2145</v>
      </c>
      <c r="C63" s="2">
        <v>350</v>
      </c>
      <c r="D63" s="2">
        <v>225</v>
      </c>
      <c r="E63" s="2">
        <v>100</v>
      </c>
      <c r="F63" s="2">
        <f t="shared" si="5"/>
        <v>100</v>
      </c>
      <c r="G63" s="21">
        <f t="shared" si="6"/>
        <v>7.875</v>
      </c>
      <c r="H63" s="20">
        <f t="shared" si="7"/>
        <v>7.875</v>
      </c>
      <c r="I63" s="20">
        <f t="shared" si="8"/>
        <v>7.875</v>
      </c>
      <c r="J63" s="72">
        <f t="shared" si="9"/>
        <v>5.6879999999999997</v>
      </c>
      <c r="K63" s="824"/>
      <c r="L63" s="20"/>
      <c r="M63" s="20"/>
      <c r="N63" s="20"/>
      <c r="O63" s="20"/>
      <c r="P63" s="20"/>
      <c r="Q63" s="21"/>
      <c r="R63" s="22">
        <f t="shared" si="3"/>
        <v>225</v>
      </c>
      <c r="S63" s="20">
        <v>1</v>
      </c>
      <c r="T63" s="20"/>
      <c r="U63" s="22"/>
      <c r="V63" s="20" t="str">
        <f t="shared" si="10"/>
        <v>S-350x225x100</v>
      </c>
    </row>
    <row r="64" spans="1:22" s="290" customFormat="1">
      <c r="A64" s="289" t="s">
        <v>550</v>
      </c>
      <c r="B64" s="2" t="s">
        <v>2145</v>
      </c>
      <c r="C64" s="2">
        <v>300</v>
      </c>
      <c r="D64" s="2">
        <v>250</v>
      </c>
      <c r="E64" s="2">
        <v>100</v>
      </c>
      <c r="F64" s="2">
        <f>E64</f>
        <v>100</v>
      </c>
      <c r="G64" s="21">
        <f t="shared" si="6"/>
        <v>7.5</v>
      </c>
      <c r="H64" s="20">
        <f>ROUND(C64*D64*E64/10^6,3)</f>
        <v>7.5</v>
      </c>
      <c r="I64" s="20">
        <f>IF(F64="","-",ROUND((E64+F64)*C64/2*D64/10^6,3))</f>
        <v>7.5</v>
      </c>
      <c r="J64" s="72">
        <f>IF(F64="","-",ROUND((D64+E64)*C64/2*F64/10^6,3))</f>
        <v>5.25</v>
      </c>
      <c r="K64" s="824"/>
      <c r="L64" s="20"/>
      <c r="M64" s="20"/>
      <c r="N64" s="20"/>
      <c r="O64" s="20"/>
      <c r="P64" s="20"/>
      <c r="Q64" s="21"/>
      <c r="R64" s="22">
        <f>D64</f>
        <v>250</v>
      </c>
      <c r="S64" s="20">
        <v>1</v>
      </c>
      <c r="T64" s="20"/>
      <c r="U64" s="22"/>
      <c r="V64" s="20" t="str">
        <f>B64&amp;"-"&amp;C64&amp;"x"&amp;D64&amp;"x"&amp;E64</f>
        <v>S-300x250x100</v>
      </c>
    </row>
    <row r="65" spans="1:22" s="290" customFormat="1" ht="13.8" thickBot="1">
      <c r="A65" s="289" t="s">
        <v>551</v>
      </c>
      <c r="B65" s="2" t="s">
        <v>2145</v>
      </c>
      <c r="C65" s="2">
        <v>300</v>
      </c>
      <c r="D65" s="2">
        <v>250</v>
      </c>
      <c r="E65" s="2">
        <v>130</v>
      </c>
      <c r="F65" s="2">
        <f>E65</f>
        <v>130</v>
      </c>
      <c r="G65" s="21">
        <f t="shared" si="6"/>
        <v>9.75</v>
      </c>
      <c r="H65" s="20">
        <f>ROUND(C65*D65*E65/10^6,3)</f>
        <v>9.75</v>
      </c>
      <c r="I65" s="20">
        <f>IF(F65="","-",ROUND((E65+F65)*C65/2*D65/10^6,3))</f>
        <v>9.75</v>
      </c>
      <c r="J65" s="72">
        <f>IF(F65="","-",ROUND((D65+E65)*C65/2*F65/10^6,3))</f>
        <v>7.41</v>
      </c>
      <c r="K65" s="824"/>
      <c r="L65" s="20"/>
      <c r="M65" s="20"/>
      <c r="N65" s="20"/>
      <c r="O65" s="20"/>
      <c r="P65" s="20"/>
      <c r="Q65" s="21"/>
      <c r="R65" s="22">
        <f>D65</f>
        <v>250</v>
      </c>
      <c r="S65" s="20">
        <v>1</v>
      </c>
      <c r="T65" s="20"/>
      <c r="U65" s="22"/>
      <c r="V65" s="20" t="str">
        <f>B65&amp;"-"&amp;C65&amp;"x"&amp;D65&amp;"x"&amp;E65</f>
        <v>S-300x250x130</v>
      </c>
    </row>
    <row r="66" spans="1:22" s="60" customFormat="1" ht="25.2" thickBot="1">
      <c r="A66" s="61" t="s">
        <v>596</v>
      </c>
      <c r="B66" s="62"/>
      <c r="C66" s="62"/>
      <c r="D66" s="62"/>
      <c r="E66" s="62"/>
      <c r="F66" s="62"/>
      <c r="G66" s="98"/>
      <c r="H66" s="62"/>
      <c r="I66" s="62"/>
      <c r="J66" s="63"/>
      <c r="K66" s="710"/>
      <c r="L66" s="57"/>
      <c r="M66" s="57"/>
      <c r="N66" s="57"/>
      <c r="O66" s="57"/>
      <c r="P66" s="57"/>
      <c r="Q66" s="58"/>
      <c r="R66" s="59"/>
      <c r="S66" s="57"/>
      <c r="T66" s="57"/>
      <c r="U66" s="59"/>
      <c r="V66" s="57"/>
    </row>
    <row r="67" spans="1:22" s="290" customFormat="1">
      <c r="A67" s="2" t="s">
        <v>552</v>
      </c>
      <c r="B67" s="2" t="s">
        <v>2146</v>
      </c>
      <c r="C67" s="2">
        <v>230</v>
      </c>
      <c r="D67" s="2">
        <v>114</v>
      </c>
      <c r="E67" s="2">
        <v>66</v>
      </c>
      <c r="F67" s="2">
        <v>62</v>
      </c>
      <c r="G67" s="21">
        <f t="shared" si="6"/>
        <v>1.67808</v>
      </c>
      <c r="H67" s="20">
        <f t="shared" ref="H67:H117" si="11">ROUND(C67*D67*E67/10^6,3)</f>
        <v>1.7310000000000001</v>
      </c>
      <c r="I67" s="20">
        <f t="shared" ref="I67:I117" si="12">IF(F67="","-",ROUND((E67+F67)*C67/2*D67/10^6,3))</f>
        <v>1.6779999999999999</v>
      </c>
      <c r="J67" s="72">
        <f t="shared" ref="J67:J117" si="13">IF(F67="","-",ROUND((D67+E67)*C67/2*F67/10^6,3))</f>
        <v>1.2829999999999999</v>
      </c>
      <c r="K67" s="824" t="s">
        <v>2387</v>
      </c>
      <c r="L67" s="20"/>
      <c r="M67" s="20"/>
      <c r="N67" s="20"/>
      <c r="O67" s="20"/>
      <c r="P67" s="20"/>
      <c r="Q67" s="21"/>
      <c r="R67" s="22">
        <f t="shared" ref="R67:R117" si="14">D67</f>
        <v>114</v>
      </c>
      <c r="S67" s="20">
        <v>1</v>
      </c>
      <c r="T67" s="20">
        <f t="shared" ref="T67:T116" si="15">IF(E67=F67,"-",(E67/(E67-F67))*SQRT((C67^2)+((E67-F67)/2)^2))</f>
        <v>3795.1434755487176</v>
      </c>
      <c r="U67" s="22"/>
      <c r="V67" s="20"/>
    </row>
    <row r="68" spans="1:22" s="290" customFormat="1">
      <c r="A68" s="2" t="s">
        <v>2032</v>
      </c>
      <c r="B68" s="2" t="s">
        <v>2146</v>
      </c>
      <c r="C68" s="2">
        <v>230</v>
      </c>
      <c r="D68" s="2">
        <v>114</v>
      </c>
      <c r="E68" s="2">
        <v>78</v>
      </c>
      <c r="F68" s="2">
        <v>74</v>
      </c>
      <c r="G68" s="21">
        <f t="shared" si="6"/>
        <v>1.99272</v>
      </c>
      <c r="H68" s="20">
        <f t="shared" si="11"/>
        <v>2.0449999999999999</v>
      </c>
      <c r="I68" s="20">
        <f t="shared" si="12"/>
        <v>1.9930000000000001</v>
      </c>
      <c r="J68" s="72">
        <f t="shared" si="13"/>
        <v>1.6339999999999999</v>
      </c>
      <c r="K68" s="824"/>
      <c r="L68" s="20"/>
      <c r="M68" s="20"/>
      <c r="N68" s="20"/>
      <c r="O68" s="20"/>
      <c r="P68" s="20"/>
      <c r="Q68" s="21"/>
      <c r="R68" s="22">
        <f t="shared" si="14"/>
        <v>114</v>
      </c>
      <c r="S68" s="20">
        <v>1</v>
      </c>
      <c r="T68" s="20">
        <f t="shared" si="15"/>
        <v>4485.1695620121209</v>
      </c>
      <c r="U68" s="22"/>
      <c r="V68" s="20"/>
    </row>
    <row r="69" spans="1:22" s="290" customFormat="1">
      <c r="A69" s="2" t="s">
        <v>553</v>
      </c>
      <c r="B69" s="2" t="s">
        <v>2146</v>
      </c>
      <c r="C69" s="2">
        <v>230</v>
      </c>
      <c r="D69" s="2">
        <v>114</v>
      </c>
      <c r="E69" s="2">
        <v>69</v>
      </c>
      <c r="F69" s="2">
        <v>59</v>
      </c>
      <c r="G69" s="21">
        <f t="shared" ref="G69:G126" si="16">IF(B69="","",AVERAGE(E69:F69)*D69*C69/10^6)</f>
        <v>1.67808</v>
      </c>
      <c r="H69" s="20">
        <f t="shared" si="11"/>
        <v>1.8089999999999999</v>
      </c>
      <c r="I69" s="20">
        <f t="shared" si="12"/>
        <v>1.6779999999999999</v>
      </c>
      <c r="J69" s="72">
        <f t="shared" si="13"/>
        <v>1.242</v>
      </c>
      <c r="K69" s="824"/>
      <c r="L69" s="20"/>
      <c r="M69" s="20"/>
      <c r="N69" s="20"/>
      <c r="O69" s="20"/>
      <c r="P69" s="20"/>
      <c r="Q69" s="21"/>
      <c r="R69" s="22">
        <f t="shared" si="14"/>
        <v>114</v>
      </c>
      <c r="S69" s="20">
        <v>1</v>
      </c>
      <c r="T69" s="20">
        <f t="shared" si="15"/>
        <v>1587.3749557051731</v>
      </c>
      <c r="U69" s="22"/>
      <c r="V69" s="20"/>
    </row>
    <row r="70" spans="1:22" s="290" customFormat="1">
      <c r="A70" s="2" t="s">
        <v>2033</v>
      </c>
      <c r="B70" s="2" t="s">
        <v>2146</v>
      </c>
      <c r="C70" s="2">
        <v>230</v>
      </c>
      <c r="D70" s="2">
        <v>114</v>
      </c>
      <c r="E70" s="2">
        <v>81</v>
      </c>
      <c r="F70" s="2">
        <v>71</v>
      </c>
      <c r="G70" s="21">
        <f t="shared" si="16"/>
        <v>1.99272</v>
      </c>
      <c r="H70" s="20">
        <f t="shared" si="11"/>
        <v>2.1240000000000001</v>
      </c>
      <c r="I70" s="20">
        <f t="shared" si="12"/>
        <v>1.9930000000000001</v>
      </c>
      <c r="J70" s="72">
        <f t="shared" si="13"/>
        <v>1.5920000000000001</v>
      </c>
      <c r="K70" s="824"/>
      <c r="L70" s="20"/>
      <c r="M70" s="20"/>
      <c r="N70" s="20"/>
      <c r="O70" s="20"/>
      <c r="P70" s="20"/>
      <c r="Q70" s="21"/>
      <c r="R70" s="22">
        <f t="shared" si="14"/>
        <v>114</v>
      </c>
      <c r="S70" s="20">
        <v>1</v>
      </c>
      <c r="T70" s="20">
        <f t="shared" si="15"/>
        <v>1863.4401653930292</v>
      </c>
      <c r="U70" s="22"/>
      <c r="V70" s="20"/>
    </row>
    <row r="71" spans="1:22" s="290" customFormat="1">
      <c r="A71" s="2" t="s">
        <v>554</v>
      </c>
      <c r="B71" s="2" t="s">
        <v>2146</v>
      </c>
      <c r="C71" s="2">
        <v>230</v>
      </c>
      <c r="D71" s="2">
        <v>114</v>
      </c>
      <c r="E71" s="2">
        <v>72</v>
      </c>
      <c r="F71" s="2">
        <v>56</v>
      </c>
      <c r="G71" s="21">
        <f t="shared" si="16"/>
        <v>1.67808</v>
      </c>
      <c r="H71" s="20">
        <f t="shared" si="11"/>
        <v>1.8879999999999999</v>
      </c>
      <c r="I71" s="20">
        <f t="shared" si="12"/>
        <v>1.6779999999999999</v>
      </c>
      <c r="J71" s="72">
        <f t="shared" si="13"/>
        <v>1.198</v>
      </c>
      <c r="K71" s="824"/>
      <c r="L71" s="20"/>
      <c r="M71" s="20"/>
      <c r="N71" s="20"/>
      <c r="O71" s="20"/>
      <c r="P71" s="20"/>
      <c r="Q71" s="21"/>
      <c r="R71" s="22">
        <f t="shared" si="14"/>
        <v>114</v>
      </c>
      <c r="S71" s="20">
        <v>1</v>
      </c>
      <c r="T71" s="20">
        <f t="shared" si="15"/>
        <v>1035.6258977063098</v>
      </c>
      <c r="U71" s="22"/>
      <c r="V71" s="20"/>
    </row>
    <row r="72" spans="1:22" s="290" customFormat="1">
      <c r="A72" s="2" t="s">
        <v>2034</v>
      </c>
      <c r="B72" s="2" t="s">
        <v>2146</v>
      </c>
      <c r="C72" s="2">
        <v>230</v>
      </c>
      <c r="D72" s="2">
        <v>114</v>
      </c>
      <c r="E72" s="2">
        <v>84</v>
      </c>
      <c r="F72" s="2">
        <v>68</v>
      </c>
      <c r="G72" s="21">
        <f t="shared" si="16"/>
        <v>1.99272</v>
      </c>
      <c r="H72" s="20">
        <f t="shared" si="11"/>
        <v>2.202</v>
      </c>
      <c r="I72" s="20">
        <f t="shared" si="12"/>
        <v>1.9930000000000001</v>
      </c>
      <c r="J72" s="72">
        <f t="shared" si="13"/>
        <v>1.548</v>
      </c>
      <c r="K72" s="824"/>
      <c r="L72" s="20"/>
      <c r="M72" s="20"/>
      <c r="N72" s="20"/>
      <c r="O72" s="20"/>
      <c r="P72" s="20"/>
      <c r="Q72" s="21"/>
      <c r="R72" s="22">
        <f t="shared" si="14"/>
        <v>114</v>
      </c>
      <c r="S72" s="20">
        <v>1</v>
      </c>
      <c r="T72" s="20">
        <f t="shared" si="15"/>
        <v>1208.2302139906947</v>
      </c>
      <c r="U72" s="22"/>
      <c r="V72" s="20"/>
    </row>
    <row r="73" spans="1:22" s="290" customFormat="1">
      <c r="A73" s="2" t="s">
        <v>555</v>
      </c>
      <c r="B73" s="2" t="s">
        <v>2146</v>
      </c>
      <c r="C73" s="2">
        <v>230</v>
      </c>
      <c r="D73" s="2">
        <v>114</v>
      </c>
      <c r="E73" s="2">
        <v>76</v>
      </c>
      <c r="F73" s="2">
        <v>52</v>
      </c>
      <c r="G73" s="21">
        <f t="shared" si="16"/>
        <v>1.67808</v>
      </c>
      <c r="H73" s="20">
        <f t="shared" si="11"/>
        <v>1.9930000000000001</v>
      </c>
      <c r="I73" s="20">
        <f t="shared" si="12"/>
        <v>1.6779999999999999</v>
      </c>
      <c r="J73" s="72">
        <f t="shared" si="13"/>
        <v>1.1359999999999999</v>
      </c>
      <c r="K73" s="824"/>
      <c r="L73" s="20"/>
      <c r="M73" s="20"/>
      <c r="N73" s="20"/>
      <c r="O73" s="20"/>
      <c r="P73" s="20"/>
      <c r="Q73" s="21"/>
      <c r="R73" s="22">
        <f t="shared" si="14"/>
        <v>114</v>
      </c>
      <c r="S73" s="20">
        <v>1</v>
      </c>
      <c r="T73" s="20">
        <f t="shared" si="15"/>
        <v>729.32396398613173</v>
      </c>
      <c r="U73" s="22"/>
      <c r="V73" s="20"/>
    </row>
    <row r="74" spans="1:22" s="290" customFormat="1">
      <c r="A74" s="2" t="s">
        <v>2035</v>
      </c>
      <c r="B74" s="2" t="s">
        <v>2146</v>
      </c>
      <c r="C74" s="2">
        <v>230</v>
      </c>
      <c r="D74" s="2">
        <v>114</v>
      </c>
      <c r="E74" s="2">
        <v>88</v>
      </c>
      <c r="F74" s="2">
        <v>64</v>
      </c>
      <c r="G74" s="21">
        <f t="shared" si="16"/>
        <v>1.99272</v>
      </c>
      <c r="H74" s="20">
        <f t="shared" si="11"/>
        <v>2.3069999999999999</v>
      </c>
      <c r="I74" s="20">
        <f t="shared" si="12"/>
        <v>1.9930000000000001</v>
      </c>
      <c r="J74" s="72">
        <f t="shared" si="13"/>
        <v>1.4870000000000001</v>
      </c>
      <c r="K74" s="824"/>
      <c r="L74" s="20"/>
      <c r="M74" s="20"/>
      <c r="N74" s="20"/>
      <c r="O74" s="20"/>
      <c r="P74" s="20"/>
      <c r="Q74" s="21"/>
      <c r="R74" s="22">
        <f t="shared" si="14"/>
        <v>114</v>
      </c>
      <c r="S74" s="20">
        <v>1</v>
      </c>
      <c r="T74" s="20">
        <f t="shared" si="15"/>
        <v>844.480379352363</v>
      </c>
      <c r="U74" s="22"/>
      <c r="V74" s="20"/>
    </row>
    <row r="75" spans="1:22" s="290" customFormat="1">
      <c r="A75" s="2" t="s">
        <v>556</v>
      </c>
      <c r="B75" s="2" t="s">
        <v>2146</v>
      </c>
      <c r="C75" s="2">
        <v>230</v>
      </c>
      <c r="D75" s="2">
        <v>114</v>
      </c>
      <c r="E75" s="2">
        <v>77</v>
      </c>
      <c r="F75" s="2">
        <v>51</v>
      </c>
      <c r="G75" s="21">
        <f t="shared" si="16"/>
        <v>1.67808</v>
      </c>
      <c r="H75" s="20">
        <f t="shared" si="11"/>
        <v>2.0190000000000001</v>
      </c>
      <c r="I75" s="20">
        <f t="shared" si="12"/>
        <v>1.6779999999999999</v>
      </c>
      <c r="J75" s="72">
        <f t="shared" si="13"/>
        <v>1.1200000000000001</v>
      </c>
      <c r="K75" s="824"/>
      <c r="L75" s="20"/>
      <c r="M75" s="20"/>
      <c r="N75" s="20"/>
      <c r="O75" s="20"/>
      <c r="P75" s="20"/>
      <c r="Q75" s="21"/>
      <c r="R75" s="22">
        <f t="shared" si="14"/>
        <v>114</v>
      </c>
      <c r="S75" s="20">
        <v>1</v>
      </c>
      <c r="T75" s="20">
        <f t="shared" si="15"/>
        <v>682.24102202240636</v>
      </c>
      <c r="U75" s="22"/>
      <c r="V75" s="20"/>
    </row>
    <row r="76" spans="1:22" s="290" customFormat="1">
      <c r="A76" s="2" t="s">
        <v>557</v>
      </c>
      <c r="B76" s="2" t="s">
        <v>2146</v>
      </c>
      <c r="C76" s="2">
        <v>230</v>
      </c>
      <c r="D76" s="2">
        <v>114</v>
      </c>
      <c r="E76" s="2">
        <v>78</v>
      </c>
      <c r="F76" s="2">
        <v>50</v>
      </c>
      <c r="G76" s="21">
        <f t="shared" si="16"/>
        <v>1.67808</v>
      </c>
      <c r="H76" s="20">
        <f t="shared" si="11"/>
        <v>2.0449999999999999</v>
      </c>
      <c r="I76" s="20">
        <f t="shared" si="12"/>
        <v>1.6779999999999999</v>
      </c>
      <c r="J76" s="72">
        <f t="shared" si="13"/>
        <v>1.1040000000000001</v>
      </c>
      <c r="K76" s="824"/>
      <c r="L76" s="20"/>
      <c r="M76" s="20"/>
      <c r="N76" s="20"/>
      <c r="O76" s="20"/>
      <c r="P76" s="20"/>
      <c r="Q76" s="21"/>
      <c r="R76" s="22">
        <f t="shared" si="14"/>
        <v>114</v>
      </c>
      <c r="S76" s="20">
        <v>1</v>
      </c>
      <c r="T76" s="20">
        <f t="shared" si="15"/>
        <v>641.90014481877733</v>
      </c>
      <c r="U76" s="22"/>
      <c r="V76" s="20"/>
    </row>
    <row r="77" spans="1:22" s="290" customFormat="1">
      <c r="A77" s="2" t="s">
        <v>558</v>
      </c>
      <c r="B77" s="2" t="s">
        <v>2146</v>
      </c>
      <c r="C77" s="2">
        <v>230</v>
      </c>
      <c r="D77" s="2">
        <v>114</v>
      </c>
      <c r="E77" s="2">
        <v>89</v>
      </c>
      <c r="F77" s="2">
        <v>39</v>
      </c>
      <c r="G77" s="21">
        <f t="shared" si="16"/>
        <v>1.67808</v>
      </c>
      <c r="H77" s="20">
        <f t="shared" si="11"/>
        <v>2.3340000000000001</v>
      </c>
      <c r="I77" s="20">
        <f t="shared" si="12"/>
        <v>1.6779999999999999</v>
      </c>
      <c r="J77" s="72">
        <f t="shared" si="13"/>
        <v>0.91</v>
      </c>
      <c r="K77" s="824"/>
      <c r="L77" s="20"/>
      <c r="M77" s="20"/>
      <c r="N77" s="20"/>
      <c r="O77" s="20"/>
      <c r="P77" s="20"/>
      <c r="Q77" s="21"/>
      <c r="R77" s="22">
        <f t="shared" si="14"/>
        <v>114</v>
      </c>
      <c r="S77" s="20">
        <v>1</v>
      </c>
      <c r="T77" s="20">
        <f t="shared" si="15"/>
        <v>411.81137672483021</v>
      </c>
      <c r="U77" s="22"/>
      <c r="V77" s="20"/>
    </row>
    <row r="78" spans="1:22" s="290" customFormat="1">
      <c r="A78" s="2" t="s">
        <v>2036</v>
      </c>
      <c r="B78" s="2" t="s">
        <v>2146</v>
      </c>
      <c r="C78" s="2">
        <v>230</v>
      </c>
      <c r="D78" s="2">
        <v>114</v>
      </c>
      <c r="E78" s="2">
        <v>101</v>
      </c>
      <c r="F78" s="2">
        <v>51</v>
      </c>
      <c r="G78" s="21">
        <f t="shared" si="16"/>
        <v>1.99272</v>
      </c>
      <c r="H78" s="20">
        <f t="shared" si="11"/>
        <v>2.6480000000000001</v>
      </c>
      <c r="I78" s="20">
        <f t="shared" si="12"/>
        <v>1.9930000000000001</v>
      </c>
      <c r="J78" s="72">
        <f t="shared" si="13"/>
        <v>1.2609999999999999</v>
      </c>
      <c r="K78" s="824"/>
      <c r="L78" s="20"/>
      <c r="M78" s="20"/>
      <c r="N78" s="20"/>
      <c r="O78" s="20"/>
      <c r="P78" s="20"/>
      <c r="Q78" s="21"/>
      <c r="R78" s="22">
        <f t="shared" si="14"/>
        <v>114</v>
      </c>
      <c r="S78" s="20">
        <v>1</v>
      </c>
      <c r="T78" s="20">
        <f t="shared" si="15"/>
        <v>467.33650617087471</v>
      </c>
      <c r="U78" s="22"/>
      <c r="V78" s="20"/>
    </row>
    <row r="79" spans="1:22" s="290" customFormat="1">
      <c r="A79" s="2" t="s">
        <v>559</v>
      </c>
      <c r="B79" s="2" t="s">
        <v>2146</v>
      </c>
      <c r="C79" s="2">
        <v>230</v>
      </c>
      <c r="D79" s="2">
        <v>230</v>
      </c>
      <c r="E79" s="2">
        <v>66</v>
      </c>
      <c r="F79" s="2">
        <v>62</v>
      </c>
      <c r="G79" s="21">
        <f t="shared" si="16"/>
        <v>3.3856000000000002</v>
      </c>
      <c r="H79" s="20">
        <f t="shared" si="11"/>
        <v>3.4910000000000001</v>
      </c>
      <c r="I79" s="20">
        <f t="shared" si="12"/>
        <v>3.3860000000000001</v>
      </c>
      <c r="J79" s="72">
        <f t="shared" si="13"/>
        <v>2.11</v>
      </c>
      <c r="K79" s="824"/>
      <c r="L79" s="20"/>
      <c r="M79" s="20"/>
      <c r="N79" s="20"/>
      <c r="O79" s="20"/>
      <c r="P79" s="20"/>
      <c r="Q79" s="21"/>
      <c r="R79" s="22">
        <f t="shared" si="14"/>
        <v>230</v>
      </c>
      <c r="S79" s="20">
        <v>1</v>
      </c>
      <c r="T79" s="20">
        <f t="shared" si="15"/>
        <v>3795.1434755487176</v>
      </c>
      <c r="U79" s="22"/>
      <c r="V79" s="20"/>
    </row>
    <row r="80" spans="1:22" s="290" customFormat="1">
      <c r="A80" s="2" t="s">
        <v>2037</v>
      </c>
      <c r="B80" s="2" t="s">
        <v>2146</v>
      </c>
      <c r="C80" s="2">
        <v>230</v>
      </c>
      <c r="D80" s="2">
        <v>230</v>
      </c>
      <c r="E80" s="2">
        <v>78</v>
      </c>
      <c r="F80" s="2">
        <v>74</v>
      </c>
      <c r="G80" s="21">
        <f t="shared" si="16"/>
        <v>4.0204000000000004</v>
      </c>
      <c r="H80" s="20">
        <f t="shared" si="11"/>
        <v>4.1260000000000003</v>
      </c>
      <c r="I80" s="20">
        <f t="shared" si="12"/>
        <v>4.0199999999999996</v>
      </c>
      <c r="J80" s="72">
        <f t="shared" si="13"/>
        <v>2.621</v>
      </c>
      <c r="K80" s="824"/>
      <c r="L80" s="20"/>
      <c r="M80" s="20"/>
      <c r="N80" s="20"/>
      <c r="O80" s="20"/>
      <c r="P80" s="20"/>
      <c r="Q80" s="21"/>
      <c r="R80" s="22">
        <f t="shared" si="14"/>
        <v>230</v>
      </c>
      <c r="S80" s="20">
        <v>1</v>
      </c>
      <c r="T80" s="20">
        <f t="shared" si="15"/>
        <v>4485.1695620121209</v>
      </c>
      <c r="U80" s="22"/>
      <c r="V80" s="20"/>
    </row>
    <row r="81" spans="1:22" s="290" customFormat="1">
      <c r="A81" s="2" t="s">
        <v>560</v>
      </c>
      <c r="B81" s="2" t="s">
        <v>2146</v>
      </c>
      <c r="C81" s="2">
        <v>230</v>
      </c>
      <c r="D81" s="2">
        <v>230</v>
      </c>
      <c r="E81" s="2">
        <v>69</v>
      </c>
      <c r="F81" s="2">
        <v>59</v>
      </c>
      <c r="G81" s="21">
        <f t="shared" si="16"/>
        <v>3.3856000000000002</v>
      </c>
      <c r="H81" s="20">
        <f t="shared" si="11"/>
        <v>3.65</v>
      </c>
      <c r="I81" s="20">
        <f t="shared" si="12"/>
        <v>3.3860000000000001</v>
      </c>
      <c r="J81" s="72">
        <f t="shared" si="13"/>
        <v>2.0289999999999999</v>
      </c>
      <c r="K81" s="824"/>
      <c r="L81" s="20"/>
      <c r="M81" s="20"/>
      <c r="N81" s="20"/>
      <c r="O81" s="20"/>
      <c r="P81" s="20"/>
      <c r="Q81" s="21"/>
      <c r="R81" s="22">
        <f t="shared" si="14"/>
        <v>230</v>
      </c>
      <c r="S81" s="20">
        <v>1</v>
      </c>
      <c r="T81" s="20">
        <f t="shared" si="15"/>
        <v>1587.3749557051731</v>
      </c>
      <c r="U81" s="22"/>
      <c r="V81" s="20"/>
    </row>
    <row r="82" spans="1:22" s="290" customFormat="1">
      <c r="A82" s="2" t="s">
        <v>2038</v>
      </c>
      <c r="B82" s="2" t="s">
        <v>2146</v>
      </c>
      <c r="C82" s="2">
        <v>230</v>
      </c>
      <c r="D82" s="2">
        <v>230</v>
      </c>
      <c r="E82" s="2">
        <v>81</v>
      </c>
      <c r="F82" s="2">
        <v>71</v>
      </c>
      <c r="G82" s="21">
        <f t="shared" si="16"/>
        <v>4.0204000000000004</v>
      </c>
      <c r="H82" s="20">
        <f t="shared" si="11"/>
        <v>4.2850000000000001</v>
      </c>
      <c r="I82" s="20">
        <f t="shared" si="12"/>
        <v>4.0199999999999996</v>
      </c>
      <c r="J82" s="72">
        <f t="shared" si="13"/>
        <v>2.5390000000000001</v>
      </c>
      <c r="K82" s="824"/>
      <c r="L82" s="20"/>
      <c r="M82" s="20"/>
      <c r="N82" s="20"/>
      <c r="O82" s="20"/>
      <c r="P82" s="20"/>
      <c r="Q82" s="21"/>
      <c r="R82" s="22">
        <f t="shared" si="14"/>
        <v>230</v>
      </c>
      <c r="S82" s="20">
        <v>1</v>
      </c>
      <c r="T82" s="20">
        <f t="shared" si="15"/>
        <v>1863.4401653930292</v>
      </c>
      <c r="U82" s="22"/>
      <c r="V82" s="20"/>
    </row>
    <row r="83" spans="1:22" s="290" customFormat="1">
      <c r="A83" s="2" t="s">
        <v>561</v>
      </c>
      <c r="B83" s="2" t="s">
        <v>2146</v>
      </c>
      <c r="C83" s="2">
        <v>230</v>
      </c>
      <c r="D83" s="2">
        <v>230</v>
      </c>
      <c r="E83" s="2">
        <v>72</v>
      </c>
      <c r="F83" s="2">
        <v>56</v>
      </c>
      <c r="G83" s="21">
        <f t="shared" si="16"/>
        <v>3.3856000000000002</v>
      </c>
      <c r="H83" s="20">
        <f t="shared" si="11"/>
        <v>3.8090000000000002</v>
      </c>
      <c r="I83" s="20">
        <f t="shared" si="12"/>
        <v>3.3860000000000001</v>
      </c>
      <c r="J83" s="72">
        <f t="shared" si="13"/>
        <v>1.9450000000000001</v>
      </c>
      <c r="K83" s="824"/>
      <c r="L83" s="20"/>
      <c r="M83" s="20"/>
      <c r="N83" s="20"/>
      <c r="O83" s="20"/>
      <c r="P83" s="20"/>
      <c r="Q83" s="21"/>
      <c r="R83" s="22">
        <f t="shared" si="14"/>
        <v>230</v>
      </c>
      <c r="S83" s="20">
        <v>1</v>
      </c>
      <c r="T83" s="20">
        <f t="shared" si="15"/>
        <v>1035.6258977063098</v>
      </c>
      <c r="U83" s="22"/>
      <c r="V83" s="20"/>
    </row>
    <row r="84" spans="1:22" s="290" customFormat="1">
      <c r="A84" s="2" t="s">
        <v>2039</v>
      </c>
      <c r="B84" s="2" t="s">
        <v>2146</v>
      </c>
      <c r="C84" s="2">
        <v>230</v>
      </c>
      <c r="D84" s="2">
        <v>230</v>
      </c>
      <c r="E84" s="2">
        <v>84</v>
      </c>
      <c r="F84" s="2">
        <v>68</v>
      </c>
      <c r="G84" s="21">
        <f t="shared" si="16"/>
        <v>4.0204000000000004</v>
      </c>
      <c r="H84" s="20">
        <f t="shared" si="11"/>
        <v>4.444</v>
      </c>
      <c r="I84" s="20">
        <f t="shared" si="12"/>
        <v>4.0199999999999996</v>
      </c>
      <c r="J84" s="72">
        <f t="shared" si="13"/>
        <v>2.4550000000000001</v>
      </c>
      <c r="K84" s="824"/>
      <c r="L84" s="20"/>
      <c r="M84" s="20"/>
      <c r="N84" s="20"/>
      <c r="O84" s="20"/>
      <c r="P84" s="20"/>
      <c r="Q84" s="21"/>
      <c r="R84" s="22">
        <f t="shared" si="14"/>
        <v>230</v>
      </c>
      <c r="S84" s="20">
        <v>1</v>
      </c>
      <c r="T84" s="20">
        <f t="shared" si="15"/>
        <v>1208.2302139906947</v>
      </c>
      <c r="U84" s="22"/>
      <c r="V84" s="20"/>
    </row>
    <row r="85" spans="1:22" s="290" customFormat="1">
      <c r="A85" s="2" t="s">
        <v>562</v>
      </c>
      <c r="B85" s="2" t="s">
        <v>2146</v>
      </c>
      <c r="C85" s="2">
        <v>230</v>
      </c>
      <c r="D85" s="2">
        <v>230</v>
      </c>
      <c r="E85" s="2">
        <v>76</v>
      </c>
      <c r="F85" s="2">
        <v>52</v>
      </c>
      <c r="G85" s="21">
        <f t="shared" si="16"/>
        <v>3.3856000000000002</v>
      </c>
      <c r="H85" s="20">
        <f t="shared" si="11"/>
        <v>4.0199999999999996</v>
      </c>
      <c r="I85" s="20">
        <f t="shared" si="12"/>
        <v>3.3860000000000001</v>
      </c>
      <c r="J85" s="72">
        <f t="shared" si="13"/>
        <v>1.83</v>
      </c>
      <c r="K85" s="824"/>
      <c r="L85" s="20"/>
      <c r="M85" s="20"/>
      <c r="N85" s="20"/>
      <c r="O85" s="20"/>
      <c r="P85" s="20"/>
      <c r="Q85" s="21"/>
      <c r="R85" s="22">
        <f t="shared" si="14"/>
        <v>230</v>
      </c>
      <c r="S85" s="20">
        <v>1</v>
      </c>
      <c r="T85" s="20">
        <f t="shared" si="15"/>
        <v>729.32396398613173</v>
      </c>
      <c r="U85" s="22"/>
      <c r="V85" s="20"/>
    </row>
    <row r="86" spans="1:22" s="290" customFormat="1">
      <c r="A86" s="2" t="s">
        <v>2040</v>
      </c>
      <c r="B86" s="2" t="s">
        <v>2146</v>
      </c>
      <c r="C86" s="2">
        <v>230</v>
      </c>
      <c r="D86" s="2">
        <v>230</v>
      </c>
      <c r="E86" s="2">
        <v>88</v>
      </c>
      <c r="F86" s="2">
        <v>64</v>
      </c>
      <c r="G86" s="21">
        <f t="shared" si="16"/>
        <v>4.0204000000000004</v>
      </c>
      <c r="H86" s="20">
        <f t="shared" si="11"/>
        <v>4.6550000000000002</v>
      </c>
      <c r="I86" s="20">
        <f t="shared" si="12"/>
        <v>4.0199999999999996</v>
      </c>
      <c r="J86" s="72">
        <f t="shared" si="13"/>
        <v>2.34</v>
      </c>
      <c r="K86" s="824"/>
      <c r="L86" s="20"/>
      <c r="M86" s="20"/>
      <c r="N86" s="20"/>
      <c r="O86" s="20"/>
      <c r="P86" s="20"/>
      <c r="Q86" s="21"/>
      <c r="R86" s="22">
        <f t="shared" si="14"/>
        <v>230</v>
      </c>
      <c r="S86" s="20">
        <v>1</v>
      </c>
      <c r="T86" s="20">
        <f t="shared" si="15"/>
        <v>844.480379352363</v>
      </c>
      <c r="U86" s="22"/>
      <c r="V86" s="20"/>
    </row>
    <row r="87" spans="1:22" s="290" customFormat="1">
      <c r="A87" s="2" t="s">
        <v>563</v>
      </c>
      <c r="B87" s="2" t="s">
        <v>2146</v>
      </c>
      <c r="C87" s="2">
        <v>230</v>
      </c>
      <c r="D87" s="2">
        <v>230</v>
      </c>
      <c r="E87" s="2">
        <v>77</v>
      </c>
      <c r="F87" s="2">
        <v>51</v>
      </c>
      <c r="G87" s="21">
        <f t="shared" si="16"/>
        <v>3.3856000000000002</v>
      </c>
      <c r="H87" s="20">
        <f t="shared" si="11"/>
        <v>4.0730000000000004</v>
      </c>
      <c r="I87" s="20">
        <f t="shared" si="12"/>
        <v>3.3860000000000001</v>
      </c>
      <c r="J87" s="72">
        <f t="shared" si="13"/>
        <v>1.8009999999999999</v>
      </c>
      <c r="K87" s="824"/>
      <c r="L87" s="20"/>
      <c r="M87" s="20"/>
      <c r="N87" s="20"/>
      <c r="O87" s="20"/>
      <c r="P87" s="20"/>
      <c r="Q87" s="21"/>
      <c r="R87" s="22">
        <f t="shared" si="14"/>
        <v>230</v>
      </c>
      <c r="S87" s="20">
        <v>1</v>
      </c>
      <c r="T87" s="20">
        <f t="shared" si="15"/>
        <v>682.24102202240636</v>
      </c>
      <c r="U87" s="22"/>
      <c r="V87" s="20"/>
    </row>
    <row r="88" spans="1:22" s="290" customFormat="1">
      <c r="A88" s="2" t="s">
        <v>2041</v>
      </c>
      <c r="B88" s="2" t="s">
        <v>2146</v>
      </c>
      <c r="C88" s="2">
        <v>230</v>
      </c>
      <c r="D88" s="2">
        <v>230</v>
      </c>
      <c r="E88" s="2">
        <v>89</v>
      </c>
      <c r="F88" s="2">
        <v>39</v>
      </c>
      <c r="G88" s="21">
        <f t="shared" si="16"/>
        <v>3.3856000000000002</v>
      </c>
      <c r="H88" s="20">
        <f t="shared" si="11"/>
        <v>4.7080000000000002</v>
      </c>
      <c r="I88" s="20">
        <f t="shared" si="12"/>
        <v>3.3860000000000001</v>
      </c>
      <c r="J88" s="72">
        <f t="shared" si="13"/>
        <v>1.431</v>
      </c>
      <c r="K88" s="824"/>
      <c r="L88" s="20"/>
      <c r="M88" s="20"/>
      <c r="N88" s="20"/>
      <c r="O88" s="20"/>
      <c r="P88" s="20"/>
      <c r="Q88" s="21"/>
      <c r="R88" s="22">
        <f t="shared" si="14"/>
        <v>230</v>
      </c>
      <c r="S88" s="20">
        <v>1</v>
      </c>
      <c r="T88" s="20">
        <f t="shared" si="15"/>
        <v>411.81137672483021</v>
      </c>
      <c r="U88" s="22"/>
      <c r="V88" s="20"/>
    </row>
    <row r="89" spans="1:22" s="290" customFormat="1">
      <c r="A89" s="2" t="s">
        <v>2042</v>
      </c>
      <c r="B89" s="2" t="s">
        <v>2146</v>
      </c>
      <c r="C89" s="2">
        <v>230</v>
      </c>
      <c r="D89" s="2">
        <v>230</v>
      </c>
      <c r="E89" s="2">
        <v>101</v>
      </c>
      <c r="F89" s="2">
        <v>51</v>
      </c>
      <c r="G89" s="21">
        <f t="shared" si="16"/>
        <v>4.0204000000000004</v>
      </c>
      <c r="H89" s="20">
        <f t="shared" si="11"/>
        <v>5.343</v>
      </c>
      <c r="I89" s="20">
        <f t="shared" si="12"/>
        <v>4.0199999999999996</v>
      </c>
      <c r="J89" s="72">
        <f t="shared" si="13"/>
        <v>1.9410000000000001</v>
      </c>
      <c r="K89" s="824"/>
      <c r="L89" s="20"/>
      <c r="M89" s="20"/>
      <c r="N89" s="20"/>
      <c r="O89" s="20"/>
      <c r="P89" s="20"/>
      <c r="Q89" s="21"/>
      <c r="R89" s="22">
        <f t="shared" si="14"/>
        <v>230</v>
      </c>
      <c r="S89" s="20">
        <v>1</v>
      </c>
      <c r="T89" s="20">
        <f t="shared" si="15"/>
        <v>467.33650617087471</v>
      </c>
      <c r="U89" s="22"/>
      <c r="V89" s="20"/>
    </row>
    <row r="90" spans="1:22" s="290" customFormat="1">
      <c r="A90" s="2" t="s">
        <v>564</v>
      </c>
      <c r="B90" s="2" t="s">
        <v>2146</v>
      </c>
      <c r="C90" s="2">
        <v>250</v>
      </c>
      <c r="D90" s="2">
        <v>124</v>
      </c>
      <c r="E90" s="2">
        <v>66</v>
      </c>
      <c r="F90" s="2">
        <v>62</v>
      </c>
      <c r="G90" s="21">
        <f t="shared" si="16"/>
        <v>1.984</v>
      </c>
      <c r="H90" s="20">
        <f t="shared" si="11"/>
        <v>2.0459999999999998</v>
      </c>
      <c r="I90" s="20">
        <f t="shared" si="12"/>
        <v>1.984</v>
      </c>
      <c r="J90" s="72">
        <f t="shared" si="13"/>
        <v>1.4730000000000001</v>
      </c>
      <c r="K90" s="824"/>
      <c r="L90" s="20"/>
      <c r="M90" s="20"/>
      <c r="N90" s="20"/>
      <c r="O90" s="20"/>
      <c r="P90" s="20"/>
      <c r="Q90" s="21"/>
      <c r="R90" s="22">
        <f t="shared" si="14"/>
        <v>124</v>
      </c>
      <c r="S90" s="20">
        <v>1</v>
      </c>
      <c r="T90" s="20">
        <f t="shared" si="15"/>
        <v>4125.1319978880674</v>
      </c>
      <c r="U90" s="22"/>
      <c r="V90" s="20"/>
    </row>
    <row r="91" spans="1:22" s="290" customFormat="1">
      <c r="A91" s="2" t="s">
        <v>2043</v>
      </c>
      <c r="B91" s="2" t="s">
        <v>2146</v>
      </c>
      <c r="C91" s="2">
        <v>250</v>
      </c>
      <c r="D91" s="2">
        <v>124</v>
      </c>
      <c r="E91" s="2">
        <v>78</v>
      </c>
      <c r="F91" s="2">
        <v>74</v>
      </c>
      <c r="G91" s="21">
        <f t="shared" si="16"/>
        <v>2.3559999999999999</v>
      </c>
      <c r="H91" s="20">
        <f t="shared" si="11"/>
        <v>2.4180000000000001</v>
      </c>
      <c r="I91" s="20">
        <f t="shared" si="12"/>
        <v>2.3559999999999999</v>
      </c>
      <c r="J91" s="72">
        <f t="shared" si="13"/>
        <v>1.869</v>
      </c>
      <c r="K91" s="824"/>
      <c r="L91" s="20"/>
      <c r="M91" s="20"/>
      <c r="N91" s="20"/>
      <c r="O91" s="20"/>
      <c r="P91" s="20"/>
      <c r="Q91" s="21"/>
      <c r="R91" s="22">
        <f t="shared" si="14"/>
        <v>124</v>
      </c>
      <c r="S91" s="20">
        <v>1</v>
      </c>
      <c r="T91" s="20">
        <f t="shared" si="15"/>
        <v>4875.15599750408</v>
      </c>
      <c r="U91" s="22"/>
      <c r="V91" s="20"/>
    </row>
    <row r="92" spans="1:22" s="290" customFormat="1">
      <c r="A92" s="2" t="s">
        <v>565</v>
      </c>
      <c r="B92" s="2" t="s">
        <v>2146</v>
      </c>
      <c r="C92" s="2">
        <v>250</v>
      </c>
      <c r="D92" s="2">
        <v>124</v>
      </c>
      <c r="E92" s="2">
        <v>67</v>
      </c>
      <c r="F92" s="2">
        <v>61</v>
      </c>
      <c r="G92" s="21">
        <f t="shared" si="16"/>
        <v>1.984</v>
      </c>
      <c r="H92" s="20">
        <f t="shared" si="11"/>
        <v>2.077</v>
      </c>
      <c r="I92" s="20">
        <f t="shared" si="12"/>
        <v>1.984</v>
      </c>
      <c r="J92" s="72">
        <f t="shared" si="13"/>
        <v>1.456</v>
      </c>
      <c r="K92" s="824"/>
      <c r="L92" s="20"/>
      <c r="M92" s="20"/>
      <c r="N92" s="20"/>
      <c r="O92" s="20"/>
      <c r="P92" s="20"/>
      <c r="Q92" s="21"/>
      <c r="R92" s="22">
        <f t="shared" si="14"/>
        <v>124</v>
      </c>
      <c r="S92" s="20">
        <v>1</v>
      </c>
      <c r="T92" s="20">
        <f t="shared" si="15"/>
        <v>2791.8676594311873</v>
      </c>
      <c r="U92" s="22"/>
      <c r="V92" s="20"/>
    </row>
    <row r="93" spans="1:22" s="290" customFormat="1">
      <c r="A93" s="2" t="s">
        <v>443</v>
      </c>
      <c r="B93" s="2" t="s">
        <v>2146</v>
      </c>
      <c r="C93" s="2">
        <v>250</v>
      </c>
      <c r="D93" s="2">
        <v>124</v>
      </c>
      <c r="E93" s="2">
        <v>69</v>
      </c>
      <c r="F93" s="2">
        <v>59</v>
      </c>
      <c r="G93" s="21">
        <f t="shared" si="16"/>
        <v>1.984</v>
      </c>
      <c r="H93" s="20">
        <f t="shared" si="11"/>
        <v>2.1389999999999998</v>
      </c>
      <c r="I93" s="20">
        <f t="shared" si="12"/>
        <v>1.984</v>
      </c>
      <c r="J93" s="72">
        <f t="shared" si="13"/>
        <v>1.423</v>
      </c>
      <c r="K93" s="824"/>
      <c r="L93" s="20"/>
      <c r="M93" s="20"/>
      <c r="N93" s="20"/>
      <c r="O93" s="20"/>
      <c r="P93" s="20"/>
      <c r="Q93" s="21"/>
      <c r="R93" s="22">
        <f t="shared" si="14"/>
        <v>124</v>
      </c>
      <c r="S93" s="20">
        <v>1</v>
      </c>
      <c r="T93" s="20">
        <f t="shared" si="15"/>
        <v>1725.3449655068985</v>
      </c>
      <c r="U93" s="22"/>
      <c r="V93" s="20"/>
    </row>
    <row r="94" spans="1:22" s="290" customFormat="1">
      <c r="A94" s="2" t="s">
        <v>2044</v>
      </c>
      <c r="B94" s="2" t="s">
        <v>2146</v>
      </c>
      <c r="C94" s="2">
        <v>250</v>
      </c>
      <c r="D94" s="2">
        <v>124</v>
      </c>
      <c r="E94" s="2">
        <v>81</v>
      </c>
      <c r="F94" s="2">
        <v>71</v>
      </c>
      <c r="G94" s="21">
        <f t="shared" si="16"/>
        <v>2.3559999999999999</v>
      </c>
      <c r="H94" s="20">
        <f t="shared" si="11"/>
        <v>2.5110000000000001</v>
      </c>
      <c r="I94" s="20">
        <f t="shared" si="12"/>
        <v>2.3559999999999999</v>
      </c>
      <c r="J94" s="72">
        <f t="shared" si="13"/>
        <v>1.819</v>
      </c>
      <c r="K94" s="824"/>
      <c r="L94" s="20"/>
      <c r="M94" s="20"/>
      <c r="N94" s="20"/>
      <c r="O94" s="20"/>
      <c r="P94" s="20"/>
      <c r="Q94" s="21"/>
      <c r="R94" s="22">
        <f t="shared" si="14"/>
        <v>124</v>
      </c>
      <c r="S94" s="20">
        <v>1</v>
      </c>
      <c r="T94" s="20">
        <f t="shared" si="15"/>
        <v>2025.404959508098</v>
      </c>
      <c r="U94" s="22"/>
      <c r="V94" s="20"/>
    </row>
    <row r="95" spans="1:22" s="290" customFormat="1">
      <c r="A95" s="2" t="s">
        <v>566</v>
      </c>
      <c r="B95" s="2" t="s">
        <v>2146</v>
      </c>
      <c r="C95" s="2">
        <v>250</v>
      </c>
      <c r="D95" s="2">
        <v>124</v>
      </c>
      <c r="E95" s="2">
        <v>72</v>
      </c>
      <c r="F95" s="2">
        <v>56</v>
      </c>
      <c r="G95" s="21">
        <f t="shared" si="16"/>
        <v>1.984</v>
      </c>
      <c r="H95" s="20">
        <f t="shared" si="11"/>
        <v>2.2320000000000002</v>
      </c>
      <c r="I95" s="20">
        <f t="shared" si="12"/>
        <v>1.984</v>
      </c>
      <c r="J95" s="72">
        <f t="shared" si="13"/>
        <v>1.3720000000000001</v>
      </c>
      <c r="K95" s="824"/>
      <c r="L95" s="20"/>
      <c r="M95" s="20"/>
      <c r="N95" s="20"/>
      <c r="O95" s="20"/>
      <c r="P95" s="20"/>
      <c r="Q95" s="21"/>
      <c r="R95" s="22">
        <f t="shared" si="14"/>
        <v>124</v>
      </c>
      <c r="S95" s="20">
        <v>1</v>
      </c>
      <c r="T95" s="20">
        <f t="shared" si="15"/>
        <v>1125.5758526194491</v>
      </c>
      <c r="U95" s="22"/>
      <c r="V95" s="20"/>
    </row>
    <row r="96" spans="1:22" s="290" customFormat="1">
      <c r="A96" s="2" t="s">
        <v>2045</v>
      </c>
      <c r="B96" s="2" t="s">
        <v>2146</v>
      </c>
      <c r="C96" s="2">
        <v>250</v>
      </c>
      <c r="D96" s="2">
        <v>124</v>
      </c>
      <c r="E96" s="2">
        <v>84</v>
      </c>
      <c r="F96" s="2">
        <v>68</v>
      </c>
      <c r="G96" s="21">
        <f t="shared" si="16"/>
        <v>2.3559999999999999</v>
      </c>
      <c r="H96" s="20">
        <f t="shared" si="11"/>
        <v>2.6040000000000001</v>
      </c>
      <c r="I96" s="20">
        <f t="shared" si="12"/>
        <v>2.3559999999999999</v>
      </c>
      <c r="J96" s="72">
        <f t="shared" si="13"/>
        <v>1.768</v>
      </c>
      <c r="K96" s="824"/>
      <c r="L96" s="20"/>
      <c r="M96" s="20"/>
      <c r="N96" s="20"/>
      <c r="O96" s="20"/>
      <c r="P96" s="20"/>
      <c r="Q96" s="21"/>
      <c r="R96" s="22">
        <f t="shared" si="14"/>
        <v>124</v>
      </c>
      <c r="S96" s="20">
        <v>1</v>
      </c>
      <c r="T96" s="20">
        <f t="shared" si="15"/>
        <v>1313.171828056024</v>
      </c>
      <c r="U96" s="22"/>
      <c r="V96" s="20"/>
    </row>
    <row r="97" spans="1:22" s="290" customFormat="1">
      <c r="A97" s="2" t="s">
        <v>567</v>
      </c>
      <c r="B97" s="2" t="s">
        <v>2146</v>
      </c>
      <c r="C97" s="2">
        <v>250</v>
      </c>
      <c r="D97" s="2">
        <v>124</v>
      </c>
      <c r="E97" s="2">
        <v>76</v>
      </c>
      <c r="F97" s="2">
        <v>52</v>
      </c>
      <c r="G97" s="21">
        <f t="shared" si="16"/>
        <v>1.984</v>
      </c>
      <c r="H97" s="20">
        <f t="shared" si="11"/>
        <v>2.3559999999999999</v>
      </c>
      <c r="I97" s="20">
        <f t="shared" si="12"/>
        <v>1.984</v>
      </c>
      <c r="J97" s="72">
        <f t="shared" si="13"/>
        <v>1.3</v>
      </c>
      <c r="K97" s="824"/>
      <c r="L97" s="20"/>
      <c r="M97" s="20"/>
      <c r="N97" s="20"/>
      <c r="O97" s="20"/>
      <c r="P97" s="20"/>
      <c r="Q97" s="21"/>
      <c r="R97" s="22">
        <f t="shared" si="14"/>
        <v>124</v>
      </c>
      <c r="S97" s="20">
        <v>1</v>
      </c>
      <c r="T97" s="20">
        <f t="shared" si="15"/>
        <v>792.57814195895605</v>
      </c>
      <c r="U97" s="22"/>
      <c r="V97" s="20"/>
    </row>
    <row r="98" spans="1:22" s="290" customFormat="1">
      <c r="A98" s="2" t="s">
        <v>2046</v>
      </c>
      <c r="B98" s="2" t="s">
        <v>2146</v>
      </c>
      <c r="C98" s="2">
        <v>250</v>
      </c>
      <c r="D98" s="2">
        <v>124</v>
      </c>
      <c r="E98" s="2">
        <v>88</v>
      </c>
      <c r="F98" s="2">
        <v>64</v>
      </c>
      <c r="G98" s="21">
        <f t="shared" si="16"/>
        <v>2.3559999999999999</v>
      </c>
      <c r="H98" s="20">
        <f t="shared" si="11"/>
        <v>2.7280000000000002</v>
      </c>
      <c r="I98" s="20">
        <f t="shared" si="12"/>
        <v>2.3559999999999999</v>
      </c>
      <c r="J98" s="72">
        <f t="shared" si="13"/>
        <v>1.696</v>
      </c>
      <c r="K98" s="824"/>
      <c r="L98" s="20"/>
      <c r="M98" s="20"/>
      <c r="N98" s="20"/>
      <c r="O98" s="20"/>
      <c r="P98" s="20"/>
      <c r="Q98" s="21"/>
      <c r="R98" s="22">
        <f t="shared" si="14"/>
        <v>124</v>
      </c>
      <c r="S98" s="20">
        <v>1</v>
      </c>
      <c r="T98" s="20">
        <f t="shared" si="15"/>
        <v>917.7220591103702</v>
      </c>
      <c r="U98" s="22"/>
      <c r="V98" s="20"/>
    </row>
    <row r="99" spans="1:22" s="290" customFormat="1">
      <c r="A99" s="2" t="s">
        <v>568</v>
      </c>
      <c r="B99" s="2" t="s">
        <v>2146</v>
      </c>
      <c r="C99" s="2">
        <v>250</v>
      </c>
      <c r="D99" s="2">
        <v>124</v>
      </c>
      <c r="E99" s="2">
        <v>77</v>
      </c>
      <c r="F99" s="2">
        <v>51</v>
      </c>
      <c r="G99" s="21">
        <f t="shared" si="16"/>
        <v>1.984</v>
      </c>
      <c r="H99" s="20">
        <f t="shared" si="11"/>
        <v>2.387</v>
      </c>
      <c r="I99" s="20">
        <f t="shared" si="12"/>
        <v>1.984</v>
      </c>
      <c r="J99" s="72">
        <f t="shared" si="13"/>
        <v>1.2809999999999999</v>
      </c>
      <c r="K99" s="824"/>
      <c r="L99" s="20"/>
      <c r="M99" s="20"/>
      <c r="N99" s="20"/>
      <c r="O99" s="20"/>
      <c r="P99" s="20"/>
      <c r="Q99" s="21"/>
      <c r="R99" s="22">
        <f t="shared" si="14"/>
        <v>124</v>
      </c>
      <c r="S99" s="20">
        <v>1</v>
      </c>
      <c r="T99" s="20">
        <f t="shared" si="15"/>
        <v>741.3849396219382</v>
      </c>
      <c r="U99" s="22"/>
      <c r="V99" s="20"/>
    </row>
    <row r="100" spans="1:22" s="290" customFormat="1">
      <c r="A100" s="2" t="s">
        <v>569</v>
      </c>
      <c r="B100" s="2" t="s">
        <v>2146</v>
      </c>
      <c r="C100" s="2">
        <v>250</v>
      </c>
      <c r="D100" s="2">
        <v>124</v>
      </c>
      <c r="E100" s="2">
        <v>83</v>
      </c>
      <c r="F100" s="2">
        <v>45</v>
      </c>
      <c r="G100" s="21">
        <f t="shared" si="16"/>
        <v>1.984</v>
      </c>
      <c r="H100" s="20">
        <f t="shared" si="11"/>
        <v>2.573</v>
      </c>
      <c r="I100" s="20">
        <f t="shared" si="12"/>
        <v>1.984</v>
      </c>
      <c r="J100" s="72">
        <f t="shared" si="13"/>
        <v>1.1639999999999999</v>
      </c>
      <c r="K100" s="824"/>
      <c r="L100" s="20"/>
      <c r="M100" s="20"/>
      <c r="N100" s="20"/>
      <c r="O100" s="20"/>
      <c r="P100" s="20"/>
      <c r="Q100" s="21"/>
      <c r="R100" s="22">
        <f t="shared" si="14"/>
        <v>124</v>
      </c>
      <c r="S100" s="20">
        <v>1</v>
      </c>
      <c r="T100" s="20">
        <f t="shared" si="15"/>
        <v>547.62736094382069</v>
      </c>
      <c r="U100" s="22"/>
      <c r="V100" s="20"/>
    </row>
    <row r="101" spans="1:22" s="290" customFormat="1">
      <c r="A101" s="2" t="s">
        <v>570</v>
      </c>
      <c r="B101" s="2" t="s">
        <v>2146</v>
      </c>
      <c r="C101" s="2">
        <v>250</v>
      </c>
      <c r="D101" s="2">
        <v>124</v>
      </c>
      <c r="E101" s="2">
        <v>89</v>
      </c>
      <c r="F101" s="2">
        <v>39</v>
      </c>
      <c r="G101" s="21">
        <f t="shared" si="16"/>
        <v>1.984</v>
      </c>
      <c r="H101" s="20">
        <f t="shared" si="11"/>
        <v>2.7589999999999999</v>
      </c>
      <c r="I101" s="20">
        <f t="shared" si="12"/>
        <v>1.984</v>
      </c>
      <c r="J101" s="72">
        <f t="shared" si="13"/>
        <v>1.038</v>
      </c>
      <c r="K101" s="824"/>
      <c r="L101" s="20"/>
      <c r="M101" s="20"/>
      <c r="N101" s="20"/>
      <c r="O101" s="20"/>
      <c r="P101" s="20"/>
      <c r="Q101" s="21"/>
      <c r="R101" s="22">
        <f t="shared" si="14"/>
        <v>124</v>
      </c>
      <c r="S101" s="20">
        <v>1</v>
      </c>
      <c r="T101" s="20">
        <f t="shared" si="15"/>
        <v>447.21946513987962</v>
      </c>
      <c r="U101" s="22"/>
      <c r="V101" s="20"/>
    </row>
    <row r="102" spans="1:22" s="290" customFormat="1">
      <c r="A102" s="2" t="s">
        <v>2047</v>
      </c>
      <c r="B102" s="2" t="s">
        <v>2146</v>
      </c>
      <c r="C102" s="2">
        <v>250</v>
      </c>
      <c r="D102" s="2">
        <v>124</v>
      </c>
      <c r="E102" s="2">
        <v>101</v>
      </c>
      <c r="F102" s="2">
        <v>51</v>
      </c>
      <c r="G102" s="21">
        <f t="shared" si="16"/>
        <v>2.3559999999999999</v>
      </c>
      <c r="H102" s="20">
        <f t="shared" si="11"/>
        <v>3.1309999999999998</v>
      </c>
      <c r="I102" s="20">
        <f t="shared" si="12"/>
        <v>2.3559999999999999</v>
      </c>
      <c r="J102" s="72">
        <f t="shared" si="13"/>
        <v>1.4339999999999999</v>
      </c>
      <c r="K102" s="824"/>
      <c r="L102" s="20"/>
      <c r="M102" s="20"/>
      <c r="N102" s="20"/>
      <c r="O102" s="20"/>
      <c r="P102" s="20"/>
      <c r="Q102" s="21"/>
      <c r="R102" s="22">
        <f t="shared" si="14"/>
        <v>124</v>
      </c>
      <c r="S102" s="20">
        <v>1</v>
      </c>
      <c r="T102" s="20">
        <f t="shared" si="15"/>
        <v>507.51871886660496</v>
      </c>
      <c r="U102" s="22"/>
      <c r="V102" s="20"/>
    </row>
    <row r="103" spans="1:22" s="290" customFormat="1">
      <c r="A103" s="2" t="s">
        <v>444</v>
      </c>
      <c r="B103" s="2" t="s">
        <v>2146</v>
      </c>
      <c r="C103" s="2">
        <v>250</v>
      </c>
      <c r="D103" s="2">
        <v>250</v>
      </c>
      <c r="E103" s="2">
        <v>66</v>
      </c>
      <c r="F103" s="2">
        <v>62</v>
      </c>
      <c r="G103" s="21">
        <f t="shared" si="16"/>
        <v>4</v>
      </c>
      <c r="H103" s="20">
        <f t="shared" si="11"/>
        <v>4.125</v>
      </c>
      <c r="I103" s="20">
        <f t="shared" si="12"/>
        <v>4</v>
      </c>
      <c r="J103" s="72">
        <f t="shared" si="13"/>
        <v>2.4489999999999998</v>
      </c>
      <c r="K103" s="824"/>
      <c r="L103" s="20"/>
      <c r="M103" s="20"/>
      <c r="N103" s="20"/>
      <c r="O103" s="20"/>
      <c r="P103" s="20"/>
      <c r="Q103" s="21"/>
      <c r="R103" s="22">
        <f t="shared" si="14"/>
        <v>250</v>
      </c>
      <c r="S103" s="20">
        <v>1</v>
      </c>
      <c r="T103" s="20">
        <f t="shared" si="15"/>
        <v>4125.1319978880674</v>
      </c>
      <c r="U103" s="22"/>
      <c r="V103" s="20"/>
    </row>
    <row r="104" spans="1:22" s="290" customFormat="1">
      <c r="A104" s="2" t="s">
        <v>2048</v>
      </c>
      <c r="B104" s="2" t="s">
        <v>2146</v>
      </c>
      <c r="C104" s="2">
        <v>250</v>
      </c>
      <c r="D104" s="2">
        <v>250</v>
      </c>
      <c r="E104" s="2">
        <v>78</v>
      </c>
      <c r="F104" s="2">
        <v>74</v>
      </c>
      <c r="G104" s="21">
        <f t="shared" si="16"/>
        <v>4.75</v>
      </c>
      <c r="H104" s="20">
        <f t="shared" si="11"/>
        <v>4.875</v>
      </c>
      <c r="I104" s="20">
        <f t="shared" si="12"/>
        <v>4.75</v>
      </c>
      <c r="J104" s="72">
        <f t="shared" si="13"/>
        <v>3.0339999999999998</v>
      </c>
      <c r="K104" s="824"/>
      <c r="L104" s="20"/>
      <c r="M104" s="20"/>
      <c r="N104" s="20"/>
      <c r="O104" s="20"/>
      <c r="P104" s="20"/>
      <c r="Q104" s="21"/>
      <c r="R104" s="22">
        <f t="shared" si="14"/>
        <v>250</v>
      </c>
      <c r="S104" s="20">
        <v>1</v>
      </c>
      <c r="T104" s="20">
        <f t="shared" si="15"/>
        <v>4875.15599750408</v>
      </c>
      <c r="U104" s="22"/>
      <c r="V104" s="20"/>
    </row>
    <row r="105" spans="1:22" s="290" customFormat="1">
      <c r="A105" s="2" t="s">
        <v>571</v>
      </c>
      <c r="B105" s="2" t="s">
        <v>2146</v>
      </c>
      <c r="C105" s="2">
        <v>250</v>
      </c>
      <c r="D105" s="2">
        <v>250</v>
      </c>
      <c r="E105" s="2">
        <v>67</v>
      </c>
      <c r="F105" s="2">
        <v>61</v>
      </c>
      <c r="G105" s="21">
        <f t="shared" si="16"/>
        <v>4</v>
      </c>
      <c r="H105" s="20">
        <f t="shared" si="11"/>
        <v>4.1879999999999997</v>
      </c>
      <c r="I105" s="20">
        <f t="shared" si="12"/>
        <v>4</v>
      </c>
      <c r="J105" s="72">
        <f t="shared" si="13"/>
        <v>2.4169999999999998</v>
      </c>
      <c r="K105" s="824"/>
      <c r="L105" s="20"/>
      <c r="M105" s="20"/>
      <c r="N105" s="20"/>
      <c r="O105" s="20"/>
      <c r="P105" s="20"/>
      <c r="Q105" s="21"/>
      <c r="R105" s="22">
        <f t="shared" si="14"/>
        <v>250</v>
      </c>
      <c r="S105" s="20">
        <v>1</v>
      </c>
      <c r="T105" s="20">
        <f t="shared" si="15"/>
        <v>2791.8676594311873</v>
      </c>
      <c r="U105" s="22"/>
      <c r="V105" s="20"/>
    </row>
    <row r="106" spans="1:22" s="290" customFormat="1">
      <c r="A106" s="2" t="s">
        <v>572</v>
      </c>
      <c r="B106" s="2" t="s">
        <v>2146</v>
      </c>
      <c r="C106" s="2">
        <v>250</v>
      </c>
      <c r="D106" s="2">
        <v>250</v>
      </c>
      <c r="E106" s="2">
        <v>68</v>
      </c>
      <c r="F106" s="2">
        <v>60</v>
      </c>
      <c r="G106" s="21">
        <f t="shared" si="16"/>
        <v>4</v>
      </c>
      <c r="H106" s="20">
        <f t="shared" si="11"/>
        <v>4.25</v>
      </c>
      <c r="I106" s="20">
        <f t="shared" si="12"/>
        <v>4</v>
      </c>
      <c r="J106" s="72">
        <f t="shared" si="13"/>
        <v>2.3849999999999998</v>
      </c>
      <c r="K106" s="824"/>
      <c r="L106" s="20"/>
      <c r="M106" s="20"/>
      <c r="N106" s="20"/>
      <c r="O106" s="20"/>
      <c r="P106" s="20"/>
      <c r="Q106" s="21"/>
      <c r="R106" s="22">
        <f t="shared" si="14"/>
        <v>250</v>
      </c>
      <c r="S106" s="20">
        <v>1</v>
      </c>
      <c r="T106" s="20">
        <f t="shared" si="15"/>
        <v>2125.2719825942277</v>
      </c>
      <c r="U106" s="22"/>
      <c r="V106" s="20"/>
    </row>
    <row r="107" spans="1:22" s="290" customFormat="1">
      <c r="A107" s="2" t="s">
        <v>445</v>
      </c>
      <c r="B107" s="2" t="s">
        <v>2146</v>
      </c>
      <c r="C107" s="2">
        <v>250</v>
      </c>
      <c r="D107" s="2">
        <v>250</v>
      </c>
      <c r="E107" s="2">
        <v>69</v>
      </c>
      <c r="F107" s="2">
        <v>59</v>
      </c>
      <c r="G107" s="21">
        <f t="shared" si="16"/>
        <v>4</v>
      </c>
      <c r="H107" s="20">
        <f t="shared" si="11"/>
        <v>4.3129999999999997</v>
      </c>
      <c r="I107" s="20">
        <f t="shared" si="12"/>
        <v>4</v>
      </c>
      <c r="J107" s="72">
        <f t="shared" si="13"/>
        <v>2.3530000000000002</v>
      </c>
      <c r="K107" s="824"/>
      <c r="L107" s="20"/>
      <c r="M107" s="20"/>
      <c r="N107" s="20"/>
      <c r="O107" s="20"/>
      <c r="P107" s="20"/>
      <c r="Q107" s="23"/>
      <c r="R107" s="22">
        <f t="shared" si="14"/>
        <v>250</v>
      </c>
      <c r="S107" s="20">
        <v>1</v>
      </c>
      <c r="T107" s="20">
        <f t="shared" si="15"/>
        <v>1725.3449655068985</v>
      </c>
      <c r="U107" s="22"/>
      <c r="V107" s="20"/>
    </row>
    <row r="108" spans="1:22" s="290" customFormat="1">
      <c r="A108" s="2" t="s">
        <v>2049</v>
      </c>
      <c r="B108" s="2" t="s">
        <v>2146</v>
      </c>
      <c r="C108" s="2">
        <v>250</v>
      </c>
      <c r="D108" s="2">
        <v>250</v>
      </c>
      <c r="E108" s="2">
        <v>81</v>
      </c>
      <c r="F108" s="2">
        <v>71</v>
      </c>
      <c r="G108" s="21">
        <f t="shared" si="16"/>
        <v>4.75</v>
      </c>
      <c r="H108" s="20">
        <f t="shared" si="11"/>
        <v>5.0629999999999997</v>
      </c>
      <c r="I108" s="20">
        <f t="shared" si="12"/>
        <v>4.75</v>
      </c>
      <c r="J108" s="72">
        <f t="shared" si="13"/>
        <v>2.9380000000000002</v>
      </c>
      <c r="K108" s="824"/>
      <c r="L108" s="20"/>
      <c r="M108" s="20"/>
      <c r="N108" s="20"/>
      <c r="O108" s="20"/>
      <c r="P108" s="20"/>
      <c r="Q108" s="23"/>
      <c r="R108" s="22">
        <f t="shared" si="14"/>
        <v>250</v>
      </c>
      <c r="S108" s="20">
        <v>1</v>
      </c>
      <c r="T108" s="20">
        <f t="shared" si="15"/>
        <v>2025.404959508098</v>
      </c>
      <c r="U108" s="22"/>
      <c r="V108" s="20"/>
    </row>
    <row r="109" spans="1:22" s="290" customFormat="1">
      <c r="A109" s="2" t="s">
        <v>573</v>
      </c>
      <c r="B109" s="2" t="s">
        <v>2146</v>
      </c>
      <c r="C109" s="2">
        <v>250</v>
      </c>
      <c r="D109" s="2">
        <v>250</v>
      </c>
      <c r="E109" s="2">
        <v>70</v>
      </c>
      <c r="F109" s="2">
        <v>58</v>
      </c>
      <c r="G109" s="21">
        <f t="shared" si="16"/>
        <v>4</v>
      </c>
      <c r="H109" s="20">
        <f t="shared" si="11"/>
        <v>4.375</v>
      </c>
      <c r="I109" s="20">
        <f t="shared" si="12"/>
        <v>4</v>
      </c>
      <c r="J109" s="72">
        <f t="shared" si="13"/>
        <v>2.3199999999999998</v>
      </c>
      <c r="K109" s="824"/>
      <c r="L109" s="20"/>
      <c r="M109" s="20"/>
      <c r="N109" s="20"/>
      <c r="O109" s="20"/>
      <c r="P109" s="20"/>
      <c r="Q109" s="23"/>
      <c r="R109" s="22">
        <f t="shared" si="14"/>
        <v>250</v>
      </c>
      <c r="S109" s="20">
        <v>1</v>
      </c>
      <c r="T109" s="20">
        <f t="shared" si="15"/>
        <v>1458.7532728707451</v>
      </c>
      <c r="U109" s="22"/>
      <c r="V109" s="20"/>
    </row>
    <row r="110" spans="1:22" s="290" customFormat="1">
      <c r="A110" s="2" t="s">
        <v>446</v>
      </c>
      <c r="B110" s="2" t="s">
        <v>2146</v>
      </c>
      <c r="C110" s="2">
        <v>250</v>
      </c>
      <c r="D110" s="2">
        <v>250</v>
      </c>
      <c r="E110" s="2">
        <v>72</v>
      </c>
      <c r="F110" s="2">
        <v>56</v>
      </c>
      <c r="G110" s="21">
        <f t="shared" si="16"/>
        <v>4</v>
      </c>
      <c r="H110" s="20">
        <f t="shared" si="11"/>
        <v>4.5</v>
      </c>
      <c r="I110" s="20">
        <f t="shared" si="12"/>
        <v>4</v>
      </c>
      <c r="J110" s="72">
        <f t="shared" si="13"/>
        <v>2.254</v>
      </c>
      <c r="K110" s="824"/>
      <c r="L110" s="20"/>
      <c r="M110" s="20"/>
      <c r="N110" s="20"/>
      <c r="O110" s="20"/>
      <c r="P110" s="20"/>
      <c r="Q110" s="23"/>
      <c r="R110" s="22">
        <f t="shared" si="14"/>
        <v>250</v>
      </c>
      <c r="S110" s="20">
        <v>1</v>
      </c>
      <c r="T110" s="20">
        <f t="shared" si="15"/>
        <v>1125.5758526194491</v>
      </c>
      <c r="U110" s="22"/>
      <c r="V110" s="20"/>
    </row>
    <row r="111" spans="1:22" s="290" customFormat="1">
      <c r="A111" s="2" t="s">
        <v>2050</v>
      </c>
      <c r="B111" s="2" t="s">
        <v>2146</v>
      </c>
      <c r="C111" s="2">
        <v>250</v>
      </c>
      <c r="D111" s="2">
        <v>250</v>
      </c>
      <c r="E111" s="2">
        <v>84</v>
      </c>
      <c r="F111" s="2">
        <v>68</v>
      </c>
      <c r="G111" s="21">
        <f t="shared" si="16"/>
        <v>4.75</v>
      </c>
      <c r="H111" s="20">
        <f t="shared" si="11"/>
        <v>5.25</v>
      </c>
      <c r="I111" s="20">
        <f t="shared" si="12"/>
        <v>4.75</v>
      </c>
      <c r="J111" s="72">
        <f t="shared" si="13"/>
        <v>2.839</v>
      </c>
      <c r="K111" s="824"/>
      <c r="L111" s="20"/>
      <c r="M111" s="20"/>
      <c r="N111" s="20"/>
      <c r="O111" s="20"/>
      <c r="P111" s="20"/>
      <c r="Q111" s="23"/>
      <c r="R111" s="22">
        <f t="shared" si="14"/>
        <v>250</v>
      </c>
      <c r="S111" s="20">
        <v>1</v>
      </c>
      <c r="T111" s="20">
        <f t="shared" si="15"/>
        <v>1313.171828056024</v>
      </c>
      <c r="U111" s="22"/>
      <c r="V111" s="20"/>
    </row>
    <row r="112" spans="1:22" s="290" customFormat="1">
      <c r="A112" s="2" t="s">
        <v>574</v>
      </c>
      <c r="B112" s="2" t="s">
        <v>2146</v>
      </c>
      <c r="C112" s="2">
        <v>250</v>
      </c>
      <c r="D112" s="2">
        <v>250</v>
      </c>
      <c r="E112" s="2">
        <v>76</v>
      </c>
      <c r="F112" s="2">
        <v>52</v>
      </c>
      <c r="G112" s="21">
        <f t="shared" si="16"/>
        <v>4</v>
      </c>
      <c r="H112" s="20">
        <f t="shared" si="11"/>
        <v>4.75</v>
      </c>
      <c r="I112" s="20">
        <f t="shared" si="12"/>
        <v>4</v>
      </c>
      <c r="J112" s="72">
        <f t="shared" si="13"/>
        <v>2.1190000000000002</v>
      </c>
      <c r="K112" s="824"/>
      <c r="L112" s="20"/>
      <c r="M112" s="20"/>
      <c r="N112" s="20"/>
      <c r="O112" s="20"/>
      <c r="P112" s="20"/>
      <c r="Q112" s="23"/>
      <c r="R112" s="22">
        <f t="shared" si="14"/>
        <v>250</v>
      </c>
      <c r="S112" s="20">
        <v>1</v>
      </c>
      <c r="T112" s="20">
        <f t="shared" si="15"/>
        <v>792.57814195895605</v>
      </c>
      <c r="U112" s="22"/>
      <c r="V112" s="20"/>
    </row>
    <row r="113" spans="1:22" s="290" customFormat="1">
      <c r="A113" s="2" t="s">
        <v>2051</v>
      </c>
      <c r="B113" s="2" t="s">
        <v>2146</v>
      </c>
      <c r="C113" s="2">
        <v>250</v>
      </c>
      <c r="D113" s="2">
        <v>250</v>
      </c>
      <c r="E113" s="2">
        <v>88</v>
      </c>
      <c r="F113" s="2">
        <v>64</v>
      </c>
      <c r="G113" s="21">
        <f t="shared" si="16"/>
        <v>4.75</v>
      </c>
      <c r="H113" s="20">
        <f t="shared" si="11"/>
        <v>5.5</v>
      </c>
      <c r="I113" s="20">
        <f t="shared" si="12"/>
        <v>4.75</v>
      </c>
      <c r="J113" s="72">
        <f t="shared" si="13"/>
        <v>2.7040000000000002</v>
      </c>
      <c r="K113" s="824"/>
      <c r="L113" s="20"/>
      <c r="M113" s="20"/>
      <c r="N113" s="20"/>
      <c r="O113" s="20"/>
      <c r="P113" s="20"/>
      <c r="Q113" s="23"/>
      <c r="R113" s="22">
        <f t="shared" si="14"/>
        <v>250</v>
      </c>
      <c r="S113" s="20">
        <v>1</v>
      </c>
      <c r="T113" s="20">
        <f t="shared" si="15"/>
        <v>917.7220591103702</v>
      </c>
      <c r="U113" s="22"/>
      <c r="V113" s="20"/>
    </row>
    <row r="114" spans="1:22" s="290" customFormat="1">
      <c r="A114" s="2" t="s">
        <v>575</v>
      </c>
      <c r="B114" s="2" t="s">
        <v>2146</v>
      </c>
      <c r="C114" s="2">
        <v>250</v>
      </c>
      <c r="D114" s="2">
        <v>250</v>
      </c>
      <c r="E114" s="2">
        <v>77</v>
      </c>
      <c r="F114" s="2">
        <v>51</v>
      </c>
      <c r="G114" s="21">
        <f t="shared" si="16"/>
        <v>4</v>
      </c>
      <c r="H114" s="20">
        <f t="shared" si="11"/>
        <v>4.8129999999999997</v>
      </c>
      <c r="I114" s="20">
        <f t="shared" si="12"/>
        <v>4</v>
      </c>
      <c r="J114" s="72">
        <f t="shared" si="13"/>
        <v>2.085</v>
      </c>
      <c r="K114" s="824"/>
      <c r="L114" s="20"/>
      <c r="M114" s="20"/>
      <c r="N114" s="20"/>
      <c r="O114" s="20"/>
      <c r="P114" s="20"/>
      <c r="Q114" s="23"/>
      <c r="R114" s="22">
        <f t="shared" si="14"/>
        <v>250</v>
      </c>
      <c r="S114" s="20">
        <v>1</v>
      </c>
      <c r="T114" s="20">
        <f t="shared" si="15"/>
        <v>741.3849396219382</v>
      </c>
      <c r="U114" s="22"/>
      <c r="V114" s="20"/>
    </row>
    <row r="115" spans="1:22" s="290" customFormat="1">
      <c r="A115" s="2" t="s">
        <v>576</v>
      </c>
      <c r="B115" s="2" t="s">
        <v>2146</v>
      </c>
      <c r="C115" s="2">
        <v>250</v>
      </c>
      <c r="D115" s="2">
        <v>250</v>
      </c>
      <c r="E115" s="2">
        <v>83</v>
      </c>
      <c r="F115" s="2">
        <v>45</v>
      </c>
      <c r="G115" s="21">
        <f t="shared" si="16"/>
        <v>4</v>
      </c>
      <c r="H115" s="20">
        <f t="shared" si="11"/>
        <v>5.1879999999999997</v>
      </c>
      <c r="I115" s="20">
        <f t="shared" si="12"/>
        <v>4</v>
      </c>
      <c r="J115" s="72">
        <f t="shared" si="13"/>
        <v>1.873</v>
      </c>
      <c r="K115" s="824"/>
      <c r="L115" s="20"/>
      <c r="M115" s="20"/>
      <c r="N115" s="20"/>
      <c r="O115" s="20"/>
      <c r="P115" s="20"/>
      <c r="Q115" s="23"/>
      <c r="R115" s="22">
        <f t="shared" si="14"/>
        <v>250</v>
      </c>
      <c r="S115" s="20">
        <v>1</v>
      </c>
      <c r="T115" s="20">
        <f t="shared" si="15"/>
        <v>547.62736094382069</v>
      </c>
      <c r="U115" s="22"/>
      <c r="V115" s="20"/>
    </row>
    <row r="116" spans="1:22" s="290" customFormat="1">
      <c r="A116" s="2" t="s">
        <v>577</v>
      </c>
      <c r="B116" s="2" t="s">
        <v>2146</v>
      </c>
      <c r="C116" s="2">
        <v>250</v>
      </c>
      <c r="D116" s="2">
        <v>250</v>
      </c>
      <c r="E116" s="2">
        <v>89</v>
      </c>
      <c r="F116" s="2">
        <v>39</v>
      </c>
      <c r="G116" s="21">
        <f t="shared" si="16"/>
        <v>4</v>
      </c>
      <c r="H116" s="20">
        <f t="shared" si="11"/>
        <v>5.5629999999999997</v>
      </c>
      <c r="I116" s="20">
        <f t="shared" si="12"/>
        <v>4</v>
      </c>
      <c r="J116" s="72">
        <f t="shared" si="13"/>
        <v>1.653</v>
      </c>
      <c r="K116" s="824"/>
      <c r="L116" s="20"/>
      <c r="M116" s="20"/>
      <c r="N116" s="20"/>
      <c r="O116" s="20"/>
      <c r="P116" s="20"/>
      <c r="Q116" s="23"/>
      <c r="R116" s="22">
        <f t="shared" si="14"/>
        <v>250</v>
      </c>
      <c r="S116" s="20">
        <v>1</v>
      </c>
      <c r="T116" s="20">
        <f t="shared" si="15"/>
        <v>447.21946513987962</v>
      </c>
      <c r="U116" s="22"/>
      <c r="V116" s="20"/>
    </row>
    <row r="117" spans="1:22" s="290" customFormat="1" ht="13.8" thickBot="1">
      <c r="A117" s="2" t="s">
        <v>2052</v>
      </c>
      <c r="B117" s="2" t="s">
        <v>2146</v>
      </c>
      <c r="C117" s="2">
        <v>250</v>
      </c>
      <c r="D117" s="2">
        <v>250</v>
      </c>
      <c r="E117" s="2">
        <v>101</v>
      </c>
      <c r="F117" s="2">
        <v>51</v>
      </c>
      <c r="G117" s="21">
        <f t="shared" si="16"/>
        <v>4.75</v>
      </c>
      <c r="H117" s="20">
        <f t="shared" si="11"/>
        <v>6.3129999999999997</v>
      </c>
      <c r="I117" s="20">
        <f t="shared" si="12"/>
        <v>4.75</v>
      </c>
      <c r="J117" s="72">
        <f t="shared" si="13"/>
        <v>2.238</v>
      </c>
      <c r="K117" s="824"/>
      <c r="L117" s="20"/>
      <c r="M117" s="20"/>
      <c r="N117" s="20"/>
      <c r="O117" s="20"/>
      <c r="P117" s="20"/>
      <c r="Q117" s="23"/>
      <c r="R117" s="22">
        <f t="shared" si="14"/>
        <v>250</v>
      </c>
      <c r="S117" s="20">
        <v>1</v>
      </c>
      <c r="T117" s="20">
        <f>IF(E117=F117,"-",(E117/(E117-F117))*SQRT((C117^2)+((E117-F117)/2)^2))</f>
        <v>507.51871886660496</v>
      </c>
      <c r="U117" s="22"/>
      <c r="V117" s="20"/>
    </row>
    <row r="118" spans="1:22" s="60" customFormat="1" ht="25.2" thickBot="1">
      <c r="A118" s="61" t="s">
        <v>578</v>
      </c>
      <c r="B118" s="62"/>
      <c r="C118" s="62"/>
      <c r="D118" s="62"/>
      <c r="E118" s="62"/>
      <c r="F118" s="62"/>
      <c r="G118" s="98"/>
      <c r="H118" s="62"/>
      <c r="I118" s="62"/>
      <c r="J118" s="63"/>
      <c r="K118" s="56"/>
      <c r="L118" s="57"/>
      <c r="M118" s="57"/>
      <c r="N118" s="57"/>
      <c r="O118" s="57"/>
      <c r="P118" s="57"/>
      <c r="Q118" s="58"/>
      <c r="R118" s="59"/>
      <c r="S118" s="57"/>
      <c r="T118" s="57"/>
      <c r="U118" s="59"/>
      <c r="V118" s="57"/>
    </row>
    <row r="119" spans="1:22" s="290" customFormat="1" ht="12.75" customHeight="1">
      <c r="A119" s="289" t="s">
        <v>579</v>
      </c>
      <c r="B119" s="2" t="s">
        <v>22</v>
      </c>
      <c r="C119" s="2">
        <v>230</v>
      </c>
      <c r="D119" s="2">
        <v>114</v>
      </c>
      <c r="E119" s="2">
        <v>66</v>
      </c>
      <c r="F119" s="2">
        <v>62</v>
      </c>
      <c r="G119" s="21">
        <f t="shared" si="16"/>
        <v>1.67808</v>
      </c>
      <c r="H119" s="20">
        <f t="shared" ref="H119:H183" si="17">ROUND(C119*D119*E119/10^6,3)</f>
        <v>1.7310000000000001</v>
      </c>
      <c r="I119" s="20">
        <f t="shared" ref="I119:I183" si="18">IF(F119="","-",ROUND((E119+F119)*C119/2*D119/10^6,3))</f>
        <v>1.6779999999999999</v>
      </c>
      <c r="J119" s="72">
        <f t="shared" ref="J119:J183" si="19">IF(F119="","-",ROUND((D119+E119)*C119/2*F119/10^6,3))</f>
        <v>1.2829999999999999</v>
      </c>
      <c r="K119" s="825" t="s">
        <v>522</v>
      </c>
      <c r="L119" s="20"/>
      <c r="M119" s="20"/>
      <c r="N119" s="20"/>
      <c r="O119" s="20"/>
      <c r="P119" s="20"/>
      <c r="Q119" s="23"/>
      <c r="R119" s="22" t="s">
        <v>16</v>
      </c>
      <c r="S119" s="22" t="s">
        <v>16</v>
      </c>
      <c r="T119" s="753">
        <f t="shared" ref="T119:T182" si="20">IF(E119=F119,"-",(E119/(E119-F119))*SQRT((D119^2)+((E119-F119)/2)^2))</f>
        <v>1881.2894514135776</v>
      </c>
      <c r="U119" s="22">
        <v>1</v>
      </c>
      <c r="V119" s="20"/>
    </row>
    <row r="120" spans="1:22" s="290" customFormat="1" ht="12.75" customHeight="1">
      <c r="A120" s="289" t="s">
        <v>580</v>
      </c>
      <c r="B120" s="2" t="s">
        <v>22</v>
      </c>
      <c r="C120" s="2">
        <v>230</v>
      </c>
      <c r="D120" s="2">
        <v>114</v>
      </c>
      <c r="E120" s="2">
        <v>67</v>
      </c>
      <c r="F120" s="2">
        <v>61</v>
      </c>
      <c r="G120" s="21">
        <f t="shared" si="16"/>
        <v>1.67808</v>
      </c>
      <c r="H120" s="20">
        <f t="shared" si="17"/>
        <v>1.7569999999999999</v>
      </c>
      <c r="I120" s="20">
        <f t="shared" si="18"/>
        <v>1.6779999999999999</v>
      </c>
      <c r="J120" s="72">
        <f t="shared" si="19"/>
        <v>1.27</v>
      </c>
      <c r="K120" s="826"/>
      <c r="L120" s="20"/>
      <c r="M120" s="20"/>
      <c r="N120" s="20"/>
      <c r="O120" s="20"/>
      <c r="P120" s="20"/>
      <c r="Q120" s="23"/>
      <c r="R120" s="22" t="s">
        <v>16</v>
      </c>
      <c r="S120" s="22" t="s">
        <v>16</v>
      </c>
      <c r="T120" s="753">
        <f t="shared" si="20"/>
        <v>1273.4407131861301</v>
      </c>
      <c r="U120" s="22">
        <v>1</v>
      </c>
      <c r="V120" s="20"/>
    </row>
    <row r="121" spans="1:22" s="290" customFormat="1" ht="12.75" customHeight="1">
      <c r="A121" s="289" t="s">
        <v>2053</v>
      </c>
      <c r="B121" s="2" t="s">
        <v>22</v>
      </c>
      <c r="C121" s="2">
        <v>230</v>
      </c>
      <c r="D121" s="2">
        <v>114</v>
      </c>
      <c r="E121" s="2">
        <v>79</v>
      </c>
      <c r="F121" s="2">
        <v>73</v>
      </c>
      <c r="G121" s="21">
        <f t="shared" si="16"/>
        <v>1.99272</v>
      </c>
      <c r="H121" s="20">
        <f t="shared" si="17"/>
        <v>2.0710000000000002</v>
      </c>
      <c r="I121" s="20">
        <f t="shared" si="18"/>
        <v>1.9930000000000001</v>
      </c>
      <c r="J121" s="72">
        <f t="shared" si="19"/>
        <v>1.62</v>
      </c>
      <c r="K121" s="826"/>
      <c r="L121" s="20"/>
      <c r="M121" s="20"/>
      <c r="N121" s="20"/>
      <c r="O121" s="20"/>
      <c r="P121" s="20"/>
      <c r="Q121" s="23"/>
      <c r="R121" s="22" t="s">
        <v>16</v>
      </c>
      <c r="S121" s="22" t="s">
        <v>16</v>
      </c>
      <c r="T121" s="753">
        <f t="shared" si="20"/>
        <v>1501.5196468911086</v>
      </c>
      <c r="U121" s="22">
        <v>1</v>
      </c>
      <c r="V121" s="20"/>
    </row>
    <row r="122" spans="1:22" s="290" customFormat="1" ht="12.75" customHeight="1">
      <c r="A122" s="289" t="s">
        <v>581</v>
      </c>
      <c r="B122" s="2" t="s">
        <v>22</v>
      </c>
      <c r="C122" s="2">
        <v>230</v>
      </c>
      <c r="D122" s="2">
        <v>114</v>
      </c>
      <c r="E122" s="2">
        <v>69</v>
      </c>
      <c r="F122" s="2">
        <v>59</v>
      </c>
      <c r="G122" s="21">
        <f t="shared" si="16"/>
        <v>1.67808</v>
      </c>
      <c r="H122" s="20">
        <f t="shared" si="17"/>
        <v>1.8089999999999999</v>
      </c>
      <c r="I122" s="20">
        <f t="shared" si="18"/>
        <v>1.6779999999999999</v>
      </c>
      <c r="J122" s="72">
        <f t="shared" si="19"/>
        <v>1.242</v>
      </c>
      <c r="K122" s="826"/>
      <c r="L122" s="20"/>
      <c r="M122" s="20"/>
      <c r="N122" s="20"/>
      <c r="O122" s="20"/>
      <c r="P122" s="20"/>
      <c r="Q122" s="23"/>
      <c r="R122" s="22" t="s">
        <v>16</v>
      </c>
      <c r="S122" s="22" t="s">
        <v>16</v>
      </c>
      <c r="T122" s="753">
        <f t="shared" si="20"/>
        <v>787.35621544508058</v>
      </c>
      <c r="U122" s="22">
        <v>1</v>
      </c>
      <c r="V122" s="20"/>
    </row>
    <row r="123" spans="1:22" s="290" customFormat="1" ht="12.75" customHeight="1">
      <c r="A123" s="289" t="s">
        <v>2054</v>
      </c>
      <c r="B123" s="2" t="s">
        <v>22</v>
      </c>
      <c r="C123" s="2">
        <v>230</v>
      </c>
      <c r="D123" s="2">
        <v>114</v>
      </c>
      <c r="E123" s="2">
        <v>81</v>
      </c>
      <c r="F123" s="2">
        <v>71</v>
      </c>
      <c r="G123" s="21">
        <f t="shared" si="16"/>
        <v>1.99272</v>
      </c>
      <c r="H123" s="20">
        <f t="shared" si="17"/>
        <v>2.1240000000000001</v>
      </c>
      <c r="I123" s="20">
        <f t="shared" si="18"/>
        <v>1.9930000000000001</v>
      </c>
      <c r="J123" s="72">
        <f t="shared" si="19"/>
        <v>1.5920000000000001</v>
      </c>
      <c r="K123" s="826"/>
      <c r="L123" s="20"/>
      <c r="M123" s="20"/>
      <c r="N123" s="20"/>
      <c r="O123" s="20"/>
      <c r="P123" s="20"/>
      <c r="Q123" s="23"/>
      <c r="R123" s="22" t="s">
        <v>16</v>
      </c>
      <c r="S123" s="22" t="s">
        <v>16</v>
      </c>
      <c r="T123" s="753">
        <f t="shared" si="20"/>
        <v>924.28773117465971</v>
      </c>
      <c r="U123" s="22">
        <v>1</v>
      </c>
      <c r="V123" s="20"/>
    </row>
    <row r="124" spans="1:22" s="290" customFormat="1" ht="12.75" customHeight="1">
      <c r="A124" s="289" t="s">
        <v>582</v>
      </c>
      <c r="B124" s="2" t="s">
        <v>22</v>
      </c>
      <c r="C124" s="2">
        <v>230</v>
      </c>
      <c r="D124" s="2">
        <v>114</v>
      </c>
      <c r="E124" s="2">
        <v>72</v>
      </c>
      <c r="F124" s="2">
        <v>56</v>
      </c>
      <c r="G124" s="21">
        <f t="shared" si="16"/>
        <v>1.67808</v>
      </c>
      <c r="H124" s="20">
        <f t="shared" si="17"/>
        <v>1.8879999999999999</v>
      </c>
      <c r="I124" s="20">
        <f t="shared" si="18"/>
        <v>1.6779999999999999</v>
      </c>
      <c r="J124" s="72">
        <f t="shared" si="19"/>
        <v>1.198</v>
      </c>
      <c r="K124" s="826"/>
      <c r="L124" s="20"/>
      <c r="M124" s="20"/>
      <c r="N124" s="20"/>
      <c r="O124" s="20"/>
      <c r="P124" s="20"/>
      <c r="Q124" s="23"/>
      <c r="R124" s="22" t="s">
        <v>16</v>
      </c>
      <c r="S124" s="22" t="s">
        <v>16</v>
      </c>
      <c r="T124" s="753">
        <f t="shared" si="20"/>
        <v>514.26160657781952</v>
      </c>
      <c r="U124" s="22">
        <v>1</v>
      </c>
      <c r="V124" s="20"/>
    </row>
    <row r="125" spans="1:22" s="290" customFormat="1" ht="12.75" customHeight="1">
      <c r="A125" s="289" t="s">
        <v>2055</v>
      </c>
      <c r="B125" s="2" t="s">
        <v>22</v>
      </c>
      <c r="C125" s="2">
        <v>230</v>
      </c>
      <c r="D125" s="2">
        <v>114</v>
      </c>
      <c r="E125" s="2">
        <v>84</v>
      </c>
      <c r="F125" s="2">
        <v>68</v>
      </c>
      <c r="G125" s="21">
        <f t="shared" si="16"/>
        <v>1.99272</v>
      </c>
      <c r="H125" s="20">
        <f t="shared" si="17"/>
        <v>2.202</v>
      </c>
      <c r="I125" s="20">
        <f t="shared" si="18"/>
        <v>1.9930000000000001</v>
      </c>
      <c r="J125" s="72">
        <f t="shared" si="19"/>
        <v>1.548</v>
      </c>
      <c r="K125" s="826"/>
      <c r="L125" s="20"/>
      <c r="M125" s="20"/>
      <c r="N125" s="20"/>
      <c r="O125" s="20"/>
      <c r="P125" s="20"/>
      <c r="Q125" s="23"/>
      <c r="R125" s="22" t="s">
        <v>16</v>
      </c>
      <c r="S125" s="22" t="s">
        <v>16</v>
      </c>
      <c r="T125" s="753">
        <f t="shared" si="20"/>
        <v>599.97187434078944</v>
      </c>
      <c r="U125" s="22">
        <v>1</v>
      </c>
      <c r="V125" s="20"/>
    </row>
    <row r="126" spans="1:22" s="290" customFormat="1" ht="12.75" customHeight="1">
      <c r="A126" s="289" t="s">
        <v>583</v>
      </c>
      <c r="B126" s="2" t="s">
        <v>22</v>
      </c>
      <c r="C126" s="2">
        <v>230</v>
      </c>
      <c r="D126" s="2">
        <v>114</v>
      </c>
      <c r="E126" s="2">
        <v>76</v>
      </c>
      <c r="F126" s="2">
        <v>52</v>
      </c>
      <c r="G126" s="21">
        <f t="shared" si="16"/>
        <v>1.67808</v>
      </c>
      <c r="H126" s="20">
        <f t="shared" si="17"/>
        <v>1.9930000000000001</v>
      </c>
      <c r="I126" s="20">
        <f t="shared" si="18"/>
        <v>1.6779999999999999</v>
      </c>
      <c r="J126" s="72">
        <f t="shared" si="19"/>
        <v>1.1359999999999999</v>
      </c>
      <c r="K126" s="826"/>
      <c r="L126" s="20"/>
      <c r="M126" s="20"/>
      <c r="N126" s="20"/>
      <c r="O126" s="20"/>
      <c r="P126" s="20"/>
      <c r="Q126" s="23"/>
      <c r="R126" s="22" t="s">
        <v>16</v>
      </c>
      <c r="S126" s="22" t="s">
        <v>16</v>
      </c>
      <c r="T126" s="753">
        <f t="shared" si="20"/>
        <v>362.99449031631315</v>
      </c>
      <c r="U126" s="22">
        <v>1</v>
      </c>
      <c r="V126" s="20"/>
    </row>
    <row r="127" spans="1:22" s="290" customFormat="1" ht="12.75" customHeight="1">
      <c r="A127" s="289" t="s">
        <v>2056</v>
      </c>
      <c r="B127" s="2" t="s">
        <v>22</v>
      </c>
      <c r="C127" s="2">
        <v>230</v>
      </c>
      <c r="D127" s="2">
        <v>114</v>
      </c>
      <c r="E127" s="2">
        <v>88</v>
      </c>
      <c r="F127" s="2">
        <v>64</v>
      </c>
      <c r="G127" s="21">
        <f t="shared" ref="G127:G190" si="21">IF(B127="","",AVERAGE(E127:F127)*D127*C127/10^6)</f>
        <v>1.99272</v>
      </c>
      <c r="H127" s="20">
        <f t="shared" si="17"/>
        <v>2.3069999999999999</v>
      </c>
      <c r="I127" s="20">
        <f t="shared" si="18"/>
        <v>1.9930000000000001</v>
      </c>
      <c r="J127" s="72">
        <f t="shared" si="19"/>
        <v>1.4870000000000001</v>
      </c>
      <c r="K127" s="826"/>
      <c r="L127" s="20"/>
      <c r="M127" s="20"/>
      <c r="N127" s="20"/>
      <c r="O127" s="20"/>
      <c r="P127" s="20"/>
      <c r="Q127" s="23"/>
      <c r="R127" s="22" t="s">
        <v>16</v>
      </c>
      <c r="S127" s="22" t="s">
        <v>16</v>
      </c>
      <c r="T127" s="753">
        <f t="shared" si="20"/>
        <v>420.30940983994157</v>
      </c>
      <c r="U127" s="22">
        <v>1</v>
      </c>
      <c r="V127" s="20"/>
    </row>
    <row r="128" spans="1:22" s="290" customFormat="1" ht="12.75" customHeight="1">
      <c r="A128" s="289" t="s">
        <v>584</v>
      </c>
      <c r="B128" s="2" t="s">
        <v>22</v>
      </c>
      <c r="C128" s="2">
        <v>230</v>
      </c>
      <c r="D128" s="2">
        <v>114</v>
      </c>
      <c r="E128" s="2">
        <v>77</v>
      </c>
      <c r="F128" s="2">
        <v>51</v>
      </c>
      <c r="G128" s="21">
        <f t="shared" si="21"/>
        <v>1.67808</v>
      </c>
      <c r="H128" s="20">
        <f t="shared" si="17"/>
        <v>2.0190000000000001</v>
      </c>
      <c r="I128" s="20">
        <f t="shared" si="18"/>
        <v>1.6779999999999999</v>
      </c>
      <c r="J128" s="72">
        <f t="shared" si="19"/>
        <v>1.1200000000000001</v>
      </c>
      <c r="K128" s="826"/>
      <c r="L128" s="20"/>
      <c r="M128" s="20"/>
      <c r="N128" s="20"/>
      <c r="O128" s="20"/>
      <c r="P128" s="20"/>
      <c r="Q128" s="23"/>
      <c r="R128" s="22" t="s">
        <v>16</v>
      </c>
      <c r="S128" s="22" t="s">
        <v>16</v>
      </c>
      <c r="T128" s="753">
        <f t="shared" si="20"/>
        <v>339.80346956585669</v>
      </c>
      <c r="U128" s="22">
        <v>1</v>
      </c>
      <c r="V128" s="20"/>
    </row>
    <row r="129" spans="1:22" s="290" customFormat="1" ht="12.75" customHeight="1">
      <c r="A129" s="289" t="s">
        <v>585</v>
      </c>
      <c r="B129" s="2" t="s">
        <v>22</v>
      </c>
      <c r="C129" s="2">
        <v>230</v>
      </c>
      <c r="D129" s="2">
        <v>114</v>
      </c>
      <c r="E129" s="2">
        <v>89</v>
      </c>
      <c r="F129" s="2">
        <v>39</v>
      </c>
      <c r="G129" s="21">
        <f t="shared" si="21"/>
        <v>1.67808</v>
      </c>
      <c r="H129" s="20">
        <f t="shared" si="17"/>
        <v>2.3340000000000001</v>
      </c>
      <c r="I129" s="20">
        <f t="shared" si="18"/>
        <v>1.6779999999999999</v>
      </c>
      <c r="J129" s="72">
        <f t="shared" si="19"/>
        <v>0.91</v>
      </c>
      <c r="K129" s="826"/>
      <c r="L129" s="20"/>
      <c r="M129" s="20"/>
      <c r="N129" s="20"/>
      <c r="O129" s="20"/>
      <c r="P129" s="20"/>
      <c r="Q129" s="23"/>
      <c r="R129" s="22" t="s">
        <v>16</v>
      </c>
      <c r="S129" s="22" t="s">
        <v>16</v>
      </c>
      <c r="T129" s="753">
        <f t="shared" si="20"/>
        <v>207.74209106485858</v>
      </c>
      <c r="U129" s="22">
        <v>1</v>
      </c>
      <c r="V129" s="20"/>
    </row>
    <row r="130" spans="1:22" s="290" customFormat="1" ht="12.75" customHeight="1">
      <c r="A130" s="289" t="s">
        <v>2057</v>
      </c>
      <c r="B130" s="2" t="s">
        <v>22</v>
      </c>
      <c r="C130" s="2">
        <v>230</v>
      </c>
      <c r="D130" s="2">
        <v>114</v>
      </c>
      <c r="E130" s="2">
        <v>101</v>
      </c>
      <c r="F130" s="2">
        <v>51</v>
      </c>
      <c r="G130" s="21">
        <f t="shared" si="21"/>
        <v>1.99272</v>
      </c>
      <c r="H130" s="20">
        <f t="shared" si="17"/>
        <v>2.6480000000000001</v>
      </c>
      <c r="I130" s="20">
        <f t="shared" si="18"/>
        <v>1.9930000000000001</v>
      </c>
      <c r="J130" s="72">
        <f t="shared" si="19"/>
        <v>1.2609999999999999</v>
      </c>
      <c r="K130" s="826"/>
      <c r="L130" s="20"/>
      <c r="M130" s="20"/>
      <c r="N130" s="20"/>
      <c r="O130" s="20"/>
      <c r="P130" s="20"/>
      <c r="Q130" s="23"/>
      <c r="R130" s="22" t="s">
        <v>16</v>
      </c>
      <c r="S130" s="22" t="s">
        <v>16</v>
      </c>
      <c r="T130" s="753">
        <f t="shared" si="20"/>
        <v>235.75226064663727</v>
      </c>
      <c r="U130" s="22">
        <v>1</v>
      </c>
      <c r="V130" s="20"/>
    </row>
    <row r="131" spans="1:22" s="290" customFormat="1">
      <c r="A131" s="289" t="s">
        <v>424</v>
      </c>
      <c r="B131" s="2" t="s">
        <v>22</v>
      </c>
      <c r="C131" s="2">
        <v>345</v>
      </c>
      <c r="D131" s="2">
        <v>114</v>
      </c>
      <c r="E131" s="2">
        <v>67</v>
      </c>
      <c r="F131" s="2">
        <v>61</v>
      </c>
      <c r="G131" s="21">
        <f t="shared" si="21"/>
        <v>2.5171199999999998</v>
      </c>
      <c r="H131" s="20">
        <f t="shared" si="17"/>
        <v>2.6349999999999998</v>
      </c>
      <c r="I131" s="20">
        <f t="shared" si="18"/>
        <v>2.5169999999999999</v>
      </c>
      <c r="J131" s="72">
        <f t="shared" si="19"/>
        <v>1.905</v>
      </c>
      <c r="K131" s="826"/>
      <c r="L131" s="20"/>
      <c r="M131" s="20"/>
      <c r="N131" s="20"/>
      <c r="O131" s="20"/>
      <c r="P131" s="20"/>
      <c r="Q131" s="23"/>
      <c r="R131" s="22">
        <f t="shared" ref="R131:R140" si="22">D131</f>
        <v>114</v>
      </c>
      <c r="S131" s="22" t="s">
        <v>16</v>
      </c>
      <c r="T131" s="753">
        <f t="shared" si="20"/>
        <v>1273.4407131861301</v>
      </c>
      <c r="U131" s="22">
        <v>1</v>
      </c>
      <c r="V131" s="20"/>
    </row>
    <row r="132" spans="1:22" s="290" customFormat="1">
      <c r="A132" s="289" t="s">
        <v>2058</v>
      </c>
      <c r="B132" s="2" t="s">
        <v>22</v>
      </c>
      <c r="C132" s="2">
        <v>345</v>
      </c>
      <c r="D132" s="2">
        <v>114</v>
      </c>
      <c r="E132" s="2">
        <v>79</v>
      </c>
      <c r="F132" s="2">
        <v>73</v>
      </c>
      <c r="G132" s="21">
        <f t="shared" si="21"/>
        <v>2.98908</v>
      </c>
      <c r="H132" s="20">
        <f t="shared" si="17"/>
        <v>3.1070000000000002</v>
      </c>
      <c r="I132" s="20">
        <f t="shared" si="18"/>
        <v>2.9889999999999999</v>
      </c>
      <c r="J132" s="72">
        <f t="shared" si="19"/>
        <v>2.4300000000000002</v>
      </c>
      <c r="K132" s="826"/>
      <c r="L132" s="20"/>
      <c r="M132" s="20"/>
      <c r="N132" s="20"/>
      <c r="O132" s="20"/>
      <c r="P132" s="20"/>
      <c r="Q132" s="23"/>
      <c r="R132" s="22">
        <f t="shared" si="22"/>
        <v>114</v>
      </c>
      <c r="S132" s="22" t="s">
        <v>16</v>
      </c>
      <c r="T132" s="753">
        <f t="shared" si="20"/>
        <v>1501.5196468911086</v>
      </c>
      <c r="U132" s="22">
        <v>1</v>
      </c>
      <c r="V132" s="20"/>
    </row>
    <row r="133" spans="1:22" s="290" customFormat="1">
      <c r="A133" s="289" t="s">
        <v>2059</v>
      </c>
      <c r="B133" s="2" t="s">
        <v>22</v>
      </c>
      <c r="C133" s="2">
        <v>345</v>
      </c>
      <c r="D133" s="2">
        <v>114</v>
      </c>
      <c r="E133" s="2">
        <v>69</v>
      </c>
      <c r="F133" s="2">
        <v>59</v>
      </c>
      <c r="G133" s="21">
        <f t="shared" si="21"/>
        <v>2.5171199999999998</v>
      </c>
      <c r="H133" s="20">
        <f t="shared" si="17"/>
        <v>2.714</v>
      </c>
      <c r="I133" s="20">
        <f t="shared" si="18"/>
        <v>2.5169999999999999</v>
      </c>
      <c r="J133" s="72">
        <f t="shared" si="19"/>
        <v>1.8620000000000001</v>
      </c>
      <c r="K133" s="826"/>
      <c r="L133" s="20"/>
      <c r="M133" s="20"/>
      <c r="N133" s="20"/>
      <c r="O133" s="20"/>
      <c r="P133" s="20"/>
      <c r="Q133" s="23"/>
      <c r="R133" s="22">
        <f t="shared" si="22"/>
        <v>114</v>
      </c>
      <c r="S133" s="22" t="s">
        <v>16</v>
      </c>
      <c r="T133" s="753">
        <f t="shared" si="20"/>
        <v>787.35621544508058</v>
      </c>
      <c r="U133" s="22">
        <v>1</v>
      </c>
      <c r="V133" s="20"/>
    </row>
    <row r="134" spans="1:22" s="290" customFormat="1">
      <c r="A134" s="289" t="s">
        <v>2060</v>
      </c>
      <c r="B134" s="2" t="s">
        <v>22</v>
      </c>
      <c r="C134" s="2">
        <v>345</v>
      </c>
      <c r="D134" s="2">
        <v>114</v>
      </c>
      <c r="E134" s="2">
        <v>81</v>
      </c>
      <c r="F134" s="2">
        <v>71</v>
      </c>
      <c r="G134" s="21">
        <f t="shared" si="21"/>
        <v>2.98908</v>
      </c>
      <c r="H134" s="20">
        <f t="shared" si="17"/>
        <v>3.1859999999999999</v>
      </c>
      <c r="I134" s="20">
        <f t="shared" si="18"/>
        <v>2.9889999999999999</v>
      </c>
      <c r="J134" s="72">
        <f t="shared" si="19"/>
        <v>2.3879999999999999</v>
      </c>
      <c r="K134" s="826"/>
      <c r="L134" s="20"/>
      <c r="M134" s="20"/>
      <c r="N134" s="20"/>
      <c r="O134" s="20"/>
      <c r="P134" s="20"/>
      <c r="Q134" s="23"/>
      <c r="R134" s="22">
        <f t="shared" si="22"/>
        <v>114</v>
      </c>
      <c r="S134" s="22" t="s">
        <v>16</v>
      </c>
      <c r="T134" s="753">
        <f t="shared" si="20"/>
        <v>924.28773117465971</v>
      </c>
      <c r="U134" s="22">
        <v>1</v>
      </c>
      <c r="V134" s="20"/>
    </row>
    <row r="135" spans="1:22" s="290" customFormat="1">
      <c r="A135" s="289" t="s">
        <v>2061</v>
      </c>
      <c r="B135" s="2" t="s">
        <v>22</v>
      </c>
      <c r="C135" s="2">
        <v>345</v>
      </c>
      <c r="D135" s="2">
        <v>114</v>
      </c>
      <c r="E135" s="2">
        <v>72</v>
      </c>
      <c r="F135" s="2">
        <v>56</v>
      </c>
      <c r="G135" s="21">
        <f t="shared" si="21"/>
        <v>2.5171199999999998</v>
      </c>
      <c r="H135" s="20">
        <f t="shared" si="17"/>
        <v>2.8319999999999999</v>
      </c>
      <c r="I135" s="20">
        <f t="shared" si="18"/>
        <v>2.5169999999999999</v>
      </c>
      <c r="J135" s="72">
        <f t="shared" si="19"/>
        <v>1.7969999999999999</v>
      </c>
      <c r="K135" s="826"/>
      <c r="L135" s="20"/>
      <c r="M135" s="20"/>
      <c r="N135" s="20"/>
      <c r="O135" s="20"/>
      <c r="P135" s="20"/>
      <c r="Q135" s="23"/>
      <c r="R135" s="22">
        <f t="shared" si="22"/>
        <v>114</v>
      </c>
      <c r="S135" s="22" t="s">
        <v>16</v>
      </c>
      <c r="T135" s="753">
        <f t="shared" si="20"/>
        <v>514.26160657781952</v>
      </c>
      <c r="U135" s="22">
        <v>1</v>
      </c>
      <c r="V135" s="20"/>
    </row>
    <row r="136" spans="1:22" s="290" customFormat="1">
      <c r="A136" s="289" t="s">
        <v>2062</v>
      </c>
      <c r="B136" s="2" t="s">
        <v>22</v>
      </c>
      <c r="C136" s="2">
        <v>345</v>
      </c>
      <c r="D136" s="2">
        <v>114</v>
      </c>
      <c r="E136" s="2">
        <v>84</v>
      </c>
      <c r="F136" s="2">
        <v>68</v>
      </c>
      <c r="G136" s="21">
        <f t="shared" si="21"/>
        <v>2.98908</v>
      </c>
      <c r="H136" s="20">
        <f t="shared" si="17"/>
        <v>3.3039999999999998</v>
      </c>
      <c r="I136" s="20">
        <f t="shared" si="18"/>
        <v>2.9889999999999999</v>
      </c>
      <c r="J136" s="72">
        <f t="shared" si="19"/>
        <v>2.323</v>
      </c>
      <c r="K136" s="826"/>
      <c r="L136" s="20"/>
      <c r="M136" s="20"/>
      <c r="N136" s="20"/>
      <c r="O136" s="20"/>
      <c r="P136" s="20"/>
      <c r="Q136" s="23"/>
      <c r="R136" s="22">
        <f t="shared" si="22"/>
        <v>114</v>
      </c>
      <c r="S136" s="22" t="s">
        <v>16</v>
      </c>
      <c r="T136" s="753">
        <f t="shared" si="20"/>
        <v>599.97187434078944</v>
      </c>
      <c r="U136" s="22">
        <v>1</v>
      </c>
      <c r="V136" s="20"/>
    </row>
    <row r="137" spans="1:22" s="290" customFormat="1">
      <c r="A137" s="289" t="s">
        <v>2063</v>
      </c>
      <c r="B137" s="2" t="s">
        <v>22</v>
      </c>
      <c r="C137" s="2">
        <v>345</v>
      </c>
      <c r="D137" s="2">
        <v>114</v>
      </c>
      <c r="E137" s="2">
        <v>76</v>
      </c>
      <c r="F137" s="2">
        <v>52</v>
      </c>
      <c r="G137" s="21">
        <f t="shared" si="21"/>
        <v>2.5171199999999998</v>
      </c>
      <c r="H137" s="20">
        <f t="shared" si="17"/>
        <v>2.9889999999999999</v>
      </c>
      <c r="I137" s="20">
        <f t="shared" si="18"/>
        <v>2.5169999999999999</v>
      </c>
      <c r="J137" s="72">
        <f t="shared" si="19"/>
        <v>1.704</v>
      </c>
      <c r="K137" s="826"/>
      <c r="L137" s="20"/>
      <c r="M137" s="20"/>
      <c r="N137" s="20"/>
      <c r="O137" s="20"/>
      <c r="P137" s="20"/>
      <c r="Q137" s="23"/>
      <c r="R137" s="22">
        <f t="shared" si="22"/>
        <v>114</v>
      </c>
      <c r="S137" s="22" t="s">
        <v>16</v>
      </c>
      <c r="T137" s="753">
        <f t="shared" si="20"/>
        <v>362.99449031631315</v>
      </c>
      <c r="U137" s="22">
        <v>1</v>
      </c>
      <c r="V137" s="20"/>
    </row>
    <row r="138" spans="1:22" s="290" customFormat="1">
      <c r="A138" s="289" t="s">
        <v>2064</v>
      </c>
      <c r="B138" s="2" t="s">
        <v>22</v>
      </c>
      <c r="C138" s="2">
        <v>345</v>
      </c>
      <c r="D138" s="2">
        <v>114</v>
      </c>
      <c r="E138" s="2">
        <v>88</v>
      </c>
      <c r="F138" s="2">
        <v>64</v>
      </c>
      <c r="G138" s="21">
        <f t="shared" si="21"/>
        <v>2.98908</v>
      </c>
      <c r="H138" s="20">
        <f t="shared" si="17"/>
        <v>3.4609999999999999</v>
      </c>
      <c r="I138" s="20">
        <f t="shared" si="18"/>
        <v>2.9889999999999999</v>
      </c>
      <c r="J138" s="72">
        <f t="shared" si="19"/>
        <v>2.23</v>
      </c>
      <c r="K138" s="826"/>
      <c r="L138" s="20"/>
      <c r="M138" s="20"/>
      <c r="N138" s="20"/>
      <c r="O138" s="20"/>
      <c r="P138" s="20"/>
      <c r="Q138" s="23"/>
      <c r="R138" s="22">
        <f t="shared" si="22"/>
        <v>114</v>
      </c>
      <c r="S138" s="22" t="s">
        <v>16</v>
      </c>
      <c r="T138" s="753">
        <f t="shared" si="20"/>
        <v>420.30940983994157</v>
      </c>
      <c r="U138" s="22">
        <v>1</v>
      </c>
      <c r="V138" s="20"/>
    </row>
    <row r="139" spans="1:22" s="290" customFormat="1">
      <c r="A139" s="289" t="s">
        <v>2065</v>
      </c>
      <c r="B139" s="2" t="s">
        <v>22</v>
      </c>
      <c r="C139" s="2">
        <v>345</v>
      </c>
      <c r="D139" s="2">
        <v>114</v>
      </c>
      <c r="E139" s="2">
        <v>89</v>
      </c>
      <c r="F139" s="2">
        <v>39</v>
      </c>
      <c r="G139" s="21">
        <f t="shared" si="21"/>
        <v>2.5171199999999998</v>
      </c>
      <c r="H139" s="20">
        <f t="shared" si="17"/>
        <v>3.5</v>
      </c>
      <c r="I139" s="20">
        <f t="shared" si="18"/>
        <v>2.5169999999999999</v>
      </c>
      <c r="J139" s="72">
        <f t="shared" si="19"/>
        <v>1.3660000000000001</v>
      </c>
      <c r="K139" s="826"/>
      <c r="L139" s="20"/>
      <c r="M139" s="20"/>
      <c r="N139" s="20"/>
      <c r="O139" s="20"/>
      <c r="P139" s="20"/>
      <c r="Q139" s="23"/>
      <c r="R139" s="22">
        <f t="shared" si="22"/>
        <v>114</v>
      </c>
      <c r="S139" s="22" t="s">
        <v>16</v>
      </c>
      <c r="T139" s="753">
        <f t="shared" si="20"/>
        <v>207.74209106485858</v>
      </c>
      <c r="U139" s="22">
        <v>1</v>
      </c>
      <c r="V139" s="20"/>
    </row>
    <row r="140" spans="1:22" s="290" customFormat="1">
      <c r="A140" s="289" t="s">
        <v>2066</v>
      </c>
      <c r="B140" s="2" t="s">
        <v>22</v>
      </c>
      <c r="C140" s="2">
        <v>345</v>
      </c>
      <c r="D140" s="2">
        <v>114</v>
      </c>
      <c r="E140" s="2">
        <v>101</v>
      </c>
      <c r="F140" s="2">
        <v>51</v>
      </c>
      <c r="G140" s="21">
        <f t="shared" si="21"/>
        <v>2.98908</v>
      </c>
      <c r="H140" s="20">
        <f t="shared" si="17"/>
        <v>3.972</v>
      </c>
      <c r="I140" s="20">
        <f t="shared" si="18"/>
        <v>2.9889999999999999</v>
      </c>
      <c r="J140" s="72">
        <f t="shared" si="19"/>
        <v>1.891</v>
      </c>
      <c r="K140" s="826"/>
      <c r="L140" s="20"/>
      <c r="M140" s="20"/>
      <c r="N140" s="20"/>
      <c r="O140" s="20"/>
      <c r="P140" s="20"/>
      <c r="Q140" s="23"/>
      <c r="R140" s="22">
        <f t="shared" si="22"/>
        <v>114</v>
      </c>
      <c r="S140" s="22" t="s">
        <v>16</v>
      </c>
      <c r="T140" s="753">
        <f t="shared" si="20"/>
        <v>235.75226064663727</v>
      </c>
      <c r="U140" s="22">
        <v>1</v>
      </c>
      <c r="V140" s="20"/>
    </row>
    <row r="141" spans="1:22" s="290" customFormat="1" ht="12.75" customHeight="1">
      <c r="A141" s="289" t="s">
        <v>586</v>
      </c>
      <c r="B141" s="2" t="s">
        <v>22</v>
      </c>
      <c r="C141" s="2">
        <v>250</v>
      </c>
      <c r="D141" s="2">
        <v>124</v>
      </c>
      <c r="E141" s="2">
        <v>66</v>
      </c>
      <c r="F141" s="2">
        <v>62</v>
      </c>
      <c r="G141" s="21">
        <f t="shared" si="21"/>
        <v>1.984</v>
      </c>
      <c r="H141" s="20">
        <f t="shared" si="17"/>
        <v>2.0459999999999998</v>
      </c>
      <c r="I141" s="20">
        <f t="shared" si="18"/>
        <v>1.984</v>
      </c>
      <c r="J141" s="72">
        <f t="shared" si="19"/>
        <v>1.4730000000000001</v>
      </c>
      <c r="K141" s="826"/>
      <c r="L141" s="20"/>
      <c r="M141" s="20"/>
      <c r="N141" s="20"/>
      <c r="O141" s="20"/>
      <c r="P141" s="20"/>
      <c r="Q141" s="23"/>
      <c r="R141" s="22" t="s">
        <v>16</v>
      </c>
      <c r="S141" s="22" t="s">
        <v>16</v>
      </c>
      <c r="T141" s="753">
        <f t="shared" si="20"/>
        <v>2046.2661117264295</v>
      </c>
      <c r="U141" s="22">
        <v>1</v>
      </c>
      <c r="V141" s="20"/>
    </row>
    <row r="142" spans="1:22" s="290" customFormat="1">
      <c r="A142" s="289" t="s">
        <v>377</v>
      </c>
      <c r="B142" s="2" t="s">
        <v>22</v>
      </c>
      <c r="C142" s="2">
        <v>250</v>
      </c>
      <c r="D142" s="2">
        <v>124</v>
      </c>
      <c r="E142" s="2">
        <v>67</v>
      </c>
      <c r="F142" s="2">
        <v>61</v>
      </c>
      <c r="G142" s="21">
        <f t="shared" si="21"/>
        <v>1.984</v>
      </c>
      <c r="H142" s="20">
        <f t="shared" si="17"/>
        <v>2.077</v>
      </c>
      <c r="I142" s="20">
        <f t="shared" si="18"/>
        <v>1.984</v>
      </c>
      <c r="J142" s="72">
        <f t="shared" si="19"/>
        <v>1.456</v>
      </c>
      <c r="K142" s="826"/>
      <c r="L142" s="20"/>
      <c r="M142" s="20"/>
      <c r="N142" s="20"/>
      <c r="O142" s="20"/>
      <c r="P142" s="20"/>
      <c r="Q142" s="23"/>
      <c r="R142" s="22" t="s">
        <v>16</v>
      </c>
      <c r="S142" s="22" t="s">
        <v>16</v>
      </c>
      <c r="T142" s="753">
        <f t="shared" si="20"/>
        <v>1385.0718493196582</v>
      </c>
      <c r="U142" s="22">
        <v>1</v>
      </c>
      <c r="V142" s="20"/>
    </row>
    <row r="143" spans="1:22" s="290" customFormat="1">
      <c r="A143" s="289" t="s">
        <v>2067</v>
      </c>
      <c r="B143" s="2" t="s">
        <v>22</v>
      </c>
      <c r="C143" s="2">
        <v>250</v>
      </c>
      <c r="D143" s="2">
        <v>124</v>
      </c>
      <c r="E143" s="2">
        <v>79</v>
      </c>
      <c r="F143" s="2">
        <v>73</v>
      </c>
      <c r="G143" s="21">
        <f t="shared" si="21"/>
        <v>2.3559999999999999</v>
      </c>
      <c r="H143" s="20">
        <f t="shared" si="17"/>
        <v>2.4489999999999998</v>
      </c>
      <c r="I143" s="20">
        <f t="shared" si="18"/>
        <v>2.3559999999999999</v>
      </c>
      <c r="J143" s="72">
        <f t="shared" si="19"/>
        <v>1.8520000000000001</v>
      </c>
      <c r="K143" s="826"/>
      <c r="L143" s="20"/>
      <c r="M143" s="20"/>
      <c r="N143" s="20"/>
      <c r="O143" s="20"/>
      <c r="P143" s="20"/>
      <c r="Q143" s="23"/>
      <c r="R143" s="22" t="s">
        <v>16</v>
      </c>
      <c r="S143" s="22" t="s">
        <v>16</v>
      </c>
      <c r="T143" s="753">
        <f t="shared" si="20"/>
        <v>1633.1444193470595</v>
      </c>
      <c r="U143" s="22">
        <v>1</v>
      </c>
      <c r="V143" s="20"/>
    </row>
    <row r="144" spans="1:22" s="290" customFormat="1">
      <c r="A144" s="289" t="s">
        <v>378</v>
      </c>
      <c r="B144" s="2" t="s">
        <v>22</v>
      </c>
      <c r="C144" s="2">
        <v>250</v>
      </c>
      <c r="D144" s="2">
        <v>124</v>
      </c>
      <c r="E144" s="2">
        <v>69</v>
      </c>
      <c r="F144" s="2">
        <v>59</v>
      </c>
      <c r="G144" s="21">
        <f t="shared" si="21"/>
        <v>1.984</v>
      </c>
      <c r="H144" s="20">
        <f t="shared" si="17"/>
        <v>2.1389999999999998</v>
      </c>
      <c r="I144" s="20">
        <f t="shared" si="18"/>
        <v>1.984</v>
      </c>
      <c r="J144" s="72">
        <f t="shared" si="19"/>
        <v>1.423</v>
      </c>
      <c r="K144" s="826"/>
      <c r="L144" s="20"/>
      <c r="M144" s="20"/>
      <c r="N144" s="20"/>
      <c r="O144" s="20"/>
      <c r="P144" s="20"/>
      <c r="Q144" s="23"/>
      <c r="R144" s="22" t="s">
        <v>16</v>
      </c>
      <c r="S144" s="22" t="s">
        <v>16</v>
      </c>
      <c r="T144" s="753">
        <f t="shared" si="20"/>
        <v>856.29528201432947</v>
      </c>
      <c r="U144" s="22">
        <v>1</v>
      </c>
      <c r="V144" s="20"/>
    </row>
    <row r="145" spans="1:22" s="290" customFormat="1">
      <c r="A145" s="289" t="s">
        <v>2068</v>
      </c>
      <c r="B145" s="2" t="s">
        <v>22</v>
      </c>
      <c r="C145" s="2">
        <v>250</v>
      </c>
      <c r="D145" s="2">
        <v>124</v>
      </c>
      <c r="E145" s="2">
        <v>81</v>
      </c>
      <c r="F145" s="2">
        <v>71</v>
      </c>
      <c r="G145" s="21">
        <f t="shared" si="21"/>
        <v>2.3559999999999999</v>
      </c>
      <c r="H145" s="20">
        <f t="shared" si="17"/>
        <v>2.5110000000000001</v>
      </c>
      <c r="I145" s="20">
        <f t="shared" si="18"/>
        <v>2.3559999999999999</v>
      </c>
      <c r="J145" s="72">
        <f t="shared" si="19"/>
        <v>1.819</v>
      </c>
      <c r="K145" s="826"/>
      <c r="L145" s="20"/>
      <c r="M145" s="20"/>
      <c r="N145" s="20"/>
      <c r="O145" s="20"/>
      <c r="P145" s="20"/>
      <c r="Q145" s="23"/>
      <c r="R145" s="22" t="s">
        <v>16</v>
      </c>
      <c r="S145" s="22" t="s">
        <v>16</v>
      </c>
      <c r="T145" s="753">
        <f t="shared" si="20"/>
        <v>1005.2162006255171</v>
      </c>
      <c r="U145" s="22">
        <v>1</v>
      </c>
      <c r="V145" s="20"/>
    </row>
    <row r="146" spans="1:22" s="290" customFormat="1">
      <c r="A146" s="289" t="s">
        <v>379</v>
      </c>
      <c r="B146" s="2" t="s">
        <v>22</v>
      </c>
      <c r="C146" s="2">
        <v>250</v>
      </c>
      <c r="D146" s="2">
        <v>124</v>
      </c>
      <c r="E146" s="2">
        <v>72</v>
      </c>
      <c r="F146" s="2">
        <v>56</v>
      </c>
      <c r="G146" s="21">
        <f t="shared" si="21"/>
        <v>1.984</v>
      </c>
      <c r="H146" s="20">
        <f t="shared" si="17"/>
        <v>2.2320000000000002</v>
      </c>
      <c r="I146" s="20">
        <f t="shared" si="18"/>
        <v>1.984</v>
      </c>
      <c r="J146" s="72">
        <f t="shared" si="19"/>
        <v>1.3720000000000001</v>
      </c>
      <c r="K146" s="826"/>
      <c r="L146" s="20"/>
      <c r="M146" s="20"/>
      <c r="N146" s="20"/>
      <c r="O146" s="20"/>
      <c r="P146" s="20"/>
      <c r="Q146" s="23"/>
      <c r="R146" s="22" t="s">
        <v>16</v>
      </c>
      <c r="S146" s="22" t="s">
        <v>16</v>
      </c>
      <c r="T146" s="753">
        <f t="shared" si="20"/>
        <v>559.16008441232634</v>
      </c>
      <c r="U146" s="22">
        <v>1</v>
      </c>
      <c r="V146" s="20"/>
    </row>
    <row r="147" spans="1:22" s="290" customFormat="1">
      <c r="A147" s="289" t="s">
        <v>2069</v>
      </c>
      <c r="B147" s="2" t="s">
        <v>22</v>
      </c>
      <c r="C147" s="2">
        <v>250</v>
      </c>
      <c r="D147" s="2">
        <v>124</v>
      </c>
      <c r="E147" s="2">
        <v>84</v>
      </c>
      <c r="F147" s="2">
        <v>68</v>
      </c>
      <c r="G147" s="21">
        <f t="shared" si="21"/>
        <v>2.3559999999999999</v>
      </c>
      <c r="H147" s="20">
        <f t="shared" si="17"/>
        <v>2.6040000000000001</v>
      </c>
      <c r="I147" s="20">
        <f t="shared" si="18"/>
        <v>2.3559999999999999</v>
      </c>
      <c r="J147" s="72">
        <f t="shared" si="19"/>
        <v>1.768</v>
      </c>
      <c r="K147" s="826"/>
      <c r="L147" s="20"/>
      <c r="M147" s="20"/>
      <c r="N147" s="20"/>
      <c r="O147" s="20"/>
      <c r="P147" s="20"/>
      <c r="Q147" s="23"/>
      <c r="R147" s="22" t="s">
        <v>16</v>
      </c>
      <c r="S147" s="22" t="s">
        <v>16</v>
      </c>
      <c r="T147" s="753">
        <f t="shared" si="20"/>
        <v>652.35343181438077</v>
      </c>
      <c r="U147" s="22">
        <v>1</v>
      </c>
      <c r="V147" s="20"/>
    </row>
    <row r="148" spans="1:22" s="290" customFormat="1">
      <c r="A148" s="289" t="s">
        <v>380</v>
      </c>
      <c r="B148" s="2" t="s">
        <v>22</v>
      </c>
      <c r="C148" s="2">
        <v>250</v>
      </c>
      <c r="D148" s="2">
        <v>124</v>
      </c>
      <c r="E148" s="2">
        <v>76</v>
      </c>
      <c r="F148" s="2">
        <v>52</v>
      </c>
      <c r="G148" s="21">
        <f t="shared" si="21"/>
        <v>1.984</v>
      </c>
      <c r="H148" s="20">
        <f t="shared" si="17"/>
        <v>2.3559999999999999</v>
      </c>
      <c r="I148" s="20">
        <f t="shared" si="18"/>
        <v>1.984</v>
      </c>
      <c r="J148" s="72">
        <f t="shared" si="19"/>
        <v>1.3</v>
      </c>
      <c r="K148" s="826"/>
      <c r="L148" s="20"/>
      <c r="M148" s="20"/>
      <c r="N148" s="20"/>
      <c r="O148" s="20"/>
      <c r="P148" s="20"/>
      <c r="Q148" s="23"/>
      <c r="R148" s="22" t="s">
        <v>16</v>
      </c>
      <c r="S148" s="22" t="s">
        <v>16</v>
      </c>
      <c r="T148" s="753">
        <f t="shared" si="20"/>
        <v>394.5010913940684</v>
      </c>
      <c r="U148" s="22">
        <v>1</v>
      </c>
      <c r="V148" s="20"/>
    </row>
    <row r="149" spans="1:22" s="290" customFormat="1">
      <c r="A149" s="289" t="s">
        <v>2070</v>
      </c>
      <c r="B149" s="2" t="s">
        <v>22</v>
      </c>
      <c r="C149" s="2">
        <v>250</v>
      </c>
      <c r="D149" s="2">
        <v>124</v>
      </c>
      <c r="E149" s="2">
        <v>88</v>
      </c>
      <c r="F149" s="2">
        <v>64</v>
      </c>
      <c r="G149" s="21">
        <f t="shared" si="21"/>
        <v>2.3559999999999999</v>
      </c>
      <c r="H149" s="20">
        <f t="shared" si="17"/>
        <v>2.7280000000000002</v>
      </c>
      <c r="I149" s="20">
        <f t="shared" si="18"/>
        <v>2.3559999999999999</v>
      </c>
      <c r="J149" s="72">
        <f t="shared" si="19"/>
        <v>1.696</v>
      </c>
      <c r="K149" s="826"/>
      <c r="L149" s="20"/>
      <c r="M149" s="20"/>
      <c r="N149" s="20"/>
      <c r="O149" s="20"/>
      <c r="P149" s="20"/>
      <c r="Q149" s="23"/>
      <c r="R149" s="22" t="s">
        <v>16</v>
      </c>
      <c r="S149" s="22" t="s">
        <v>16</v>
      </c>
      <c r="T149" s="753">
        <f t="shared" si="20"/>
        <v>456.79073740365811</v>
      </c>
      <c r="U149" s="22">
        <v>1</v>
      </c>
      <c r="V149" s="20"/>
    </row>
    <row r="150" spans="1:22" s="290" customFormat="1">
      <c r="A150" s="289" t="s">
        <v>587</v>
      </c>
      <c r="B150" s="2" t="s">
        <v>22</v>
      </c>
      <c r="C150" s="2">
        <v>250</v>
      </c>
      <c r="D150" s="2">
        <v>124</v>
      </c>
      <c r="E150" s="2">
        <v>77</v>
      </c>
      <c r="F150" s="2">
        <v>51</v>
      </c>
      <c r="G150" s="21">
        <f t="shared" si="21"/>
        <v>1.984</v>
      </c>
      <c r="H150" s="20">
        <f t="shared" si="17"/>
        <v>2.387</v>
      </c>
      <c r="I150" s="20">
        <f t="shared" si="18"/>
        <v>1.984</v>
      </c>
      <c r="J150" s="72">
        <f t="shared" si="19"/>
        <v>1.2809999999999999</v>
      </c>
      <c r="K150" s="826"/>
      <c r="L150" s="20"/>
      <c r="M150" s="20"/>
      <c r="N150" s="20"/>
      <c r="O150" s="20"/>
      <c r="P150" s="20"/>
      <c r="Q150" s="23"/>
      <c r="R150" s="22" t="s">
        <v>16</v>
      </c>
      <c r="S150" s="22" t="s">
        <v>16</v>
      </c>
      <c r="T150" s="753">
        <f t="shared" si="20"/>
        <v>369.24339922309036</v>
      </c>
      <c r="U150" s="22">
        <v>1</v>
      </c>
      <c r="V150" s="20"/>
    </row>
    <row r="151" spans="1:22" s="290" customFormat="1">
      <c r="A151" s="289" t="s">
        <v>588</v>
      </c>
      <c r="B151" s="2" t="s">
        <v>22</v>
      </c>
      <c r="C151" s="2">
        <v>250</v>
      </c>
      <c r="D151" s="2">
        <v>124</v>
      </c>
      <c r="E151" s="2">
        <v>83</v>
      </c>
      <c r="F151" s="2">
        <v>45</v>
      </c>
      <c r="G151" s="21">
        <f t="shared" si="21"/>
        <v>1.984</v>
      </c>
      <c r="H151" s="20">
        <f t="shared" si="17"/>
        <v>2.573</v>
      </c>
      <c r="I151" s="20">
        <f t="shared" si="18"/>
        <v>1.984</v>
      </c>
      <c r="J151" s="72">
        <f t="shared" si="19"/>
        <v>1.1639999999999999</v>
      </c>
      <c r="K151" s="826"/>
      <c r="L151" s="20"/>
      <c r="M151" s="20"/>
      <c r="N151" s="20"/>
      <c r="O151" s="20"/>
      <c r="P151" s="20"/>
      <c r="Q151" s="23"/>
      <c r="R151" s="22" t="s">
        <v>16</v>
      </c>
      <c r="S151" s="22" t="s">
        <v>16</v>
      </c>
      <c r="T151" s="753">
        <f t="shared" si="20"/>
        <v>274.00309484270338</v>
      </c>
      <c r="U151" s="22">
        <v>1</v>
      </c>
      <c r="V151" s="20"/>
    </row>
    <row r="152" spans="1:22" s="290" customFormat="1">
      <c r="A152" s="289" t="s">
        <v>589</v>
      </c>
      <c r="B152" s="2" t="s">
        <v>22</v>
      </c>
      <c r="C152" s="2">
        <v>250</v>
      </c>
      <c r="D152" s="2">
        <v>124</v>
      </c>
      <c r="E152" s="2">
        <v>89</v>
      </c>
      <c r="F152" s="2">
        <v>39</v>
      </c>
      <c r="G152" s="21">
        <f t="shared" si="21"/>
        <v>1.984</v>
      </c>
      <c r="H152" s="20">
        <f t="shared" si="17"/>
        <v>2.7589999999999999</v>
      </c>
      <c r="I152" s="20">
        <f t="shared" si="18"/>
        <v>1.984</v>
      </c>
      <c r="J152" s="72">
        <f t="shared" si="19"/>
        <v>1.038</v>
      </c>
      <c r="K152" s="826"/>
      <c r="L152" s="20"/>
      <c r="M152" s="20"/>
      <c r="N152" s="20"/>
      <c r="O152" s="20"/>
      <c r="P152" s="20"/>
      <c r="Q152" s="23"/>
      <c r="R152" s="22" t="s">
        <v>16</v>
      </c>
      <c r="S152" s="22" t="s">
        <v>16</v>
      </c>
      <c r="T152" s="753">
        <f t="shared" si="20"/>
        <v>225.16120536184738</v>
      </c>
      <c r="U152" s="22">
        <v>1</v>
      </c>
      <c r="V152" s="20"/>
    </row>
    <row r="153" spans="1:22" s="290" customFormat="1">
      <c r="A153" s="289" t="s">
        <v>2071</v>
      </c>
      <c r="B153" s="2" t="s">
        <v>22</v>
      </c>
      <c r="C153" s="2">
        <v>250</v>
      </c>
      <c r="D153" s="2">
        <v>124</v>
      </c>
      <c r="E153" s="2">
        <v>101</v>
      </c>
      <c r="F153" s="2">
        <v>51</v>
      </c>
      <c r="G153" s="21">
        <f t="shared" si="21"/>
        <v>2.3559999999999999</v>
      </c>
      <c r="H153" s="20">
        <f t="shared" si="17"/>
        <v>3.1309999999999998</v>
      </c>
      <c r="I153" s="20">
        <f t="shared" si="18"/>
        <v>2.3559999999999999</v>
      </c>
      <c r="J153" s="72">
        <f t="shared" si="19"/>
        <v>1.4339999999999999</v>
      </c>
      <c r="K153" s="826"/>
      <c r="L153" s="20"/>
      <c r="M153" s="20"/>
      <c r="N153" s="20"/>
      <c r="O153" s="20"/>
      <c r="P153" s="20"/>
      <c r="Q153" s="23"/>
      <c r="R153" s="22" t="s">
        <v>16</v>
      </c>
      <c r="S153" s="22" t="s">
        <v>16</v>
      </c>
      <c r="T153" s="753">
        <f t="shared" si="20"/>
        <v>255.52001956793916</v>
      </c>
      <c r="U153" s="22">
        <v>1</v>
      </c>
      <c r="V153" s="20"/>
    </row>
    <row r="154" spans="1:22" s="290" customFormat="1">
      <c r="A154" s="289" t="s">
        <v>590</v>
      </c>
      <c r="B154" s="2" t="s">
        <v>22</v>
      </c>
      <c r="C154" s="2">
        <v>375</v>
      </c>
      <c r="D154" s="2">
        <v>124</v>
      </c>
      <c r="E154" s="2">
        <v>67</v>
      </c>
      <c r="F154" s="2">
        <v>61</v>
      </c>
      <c r="G154" s="21">
        <f t="shared" si="21"/>
        <v>2.976</v>
      </c>
      <c r="H154" s="20">
        <f t="shared" si="17"/>
        <v>3.1160000000000001</v>
      </c>
      <c r="I154" s="20">
        <f t="shared" si="18"/>
        <v>2.976</v>
      </c>
      <c r="J154" s="72">
        <f t="shared" si="19"/>
        <v>2.1850000000000001</v>
      </c>
      <c r="K154" s="826"/>
      <c r="L154" s="20"/>
      <c r="M154" s="20"/>
      <c r="N154" s="20"/>
      <c r="O154" s="20"/>
      <c r="P154" s="20"/>
      <c r="Q154" s="23"/>
      <c r="R154" s="22" t="s">
        <v>16</v>
      </c>
      <c r="S154" s="22" t="s">
        <v>16</v>
      </c>
      <c r="T154" s="753">
        <f t="shared" si="20"/>
        <v>1385.0718493196582</v>
      </c>
      <c r="U154" s="22">
        <v>1</v>
      </c>
      <c r="V154" s="20"/>
    </row>
    <row r="155" spans="1:22" s="290" customFormat="1">
      <c r="A155" s="289" t="s">
        <v>2072</v>
      </c>
      <c r="B155" s="2" t="s">
        <v>22</v>
      </c>
      <c r="C155" s="2">
        <v>375</v>
      </c>
      <c r="D155" s="2">
        <v>124</v>
      </c>
      <c r="E155" s="2">
        <v>79</v>
      </c>
      <c r="F155" s="2">
        <v>73</v>
      </c>
      <c r="G155" s="21">
        <f t="shared" si="21"/>
        <v>3.5339999999999998</v>
      </c>
      <c r="H155" s="20">
        <f t="shared" si="17"/>
        <v>3.6739999999999999</v>
      </c>
      <c r="I155" s="20">
        <f t="shared" si="18"/>
        <v>3.5339999999999998</v>
      </c>
      <c r="J155" s="72">
        <f t="shared" si="19"/>
        <v>2.7789999999999999</v>
      </c>
      <c r="K155" s="826"/>
      <c r="L155" s="20"/>
      <c r="M155" s="20"/>
      <c r="N155" s="20"/>
      <c r="O155" s="20"/>
      <c r="P155" s="20"/>
      <c r="Q155" s="23"/>
      <c r="R155" s="22" t="s">
        <v>16</v>
      </c>
      <c r="S155" s="22" t="s">
        <v>16</v>
      </c>
      <c r="T155" s="753">
        <f t="shared" si="20"/>
        <v>1633.1444193470595</v>
      </c>
      <c r="U155" s="22">
        <v>1</v>
      </c>
      <c r="V155" s="20"/>
    </row>
    <row r="156" spans="1:22" s="290" customFormat="1">
      <c r="A156" s="289" t="s">
        <v>382</v>
      </c>
      <c r="B156" s="2" t="s">
        <v>22</v>
      </c>
      <c r="C156" s="2">
        <v>375</v>
      </c>
      <c r="D156" s="2">
        <v>124</v>
      </c>
      <c r="E156" s="2">
        <v>69</v>
      </c>
      <c r="F156" s="2">
        <v>59</v>
      </c>
      <c r="G156" s="21">
        <f t="shared" si="21"/>
        <v>2.976</v>
      </c>
      <c r="H156" s="20">
        <f t="shared" si="17"/>
        <v>3.2090000000000001</v>
      </c>
      <c r="I156" s="20">
        <f t="shared" si="18"/>
        <v>2.976</v>
      </c>
      <c r="J156" s="72">
        <f t="shared" si="19"/>
        <v>2.1349999999999998</v>
      </c>
      <c r="K156" s="826"/>
      <c r="L156" s="20"/>
      <c r="M156" s="20"/>
      <c r="N156" s="20"/>
      <c r="O156" s="20"/>
      <c r="P156" s="20"/>
      <c r="Q156" s="23"/>
      <c r="R156" s="22" t="s">
        <v>16</v>
      </c>
      <c r="S156" s="22" t="s">
        <v>16</v>
      </c>
      <c r="T156" s="753">
        <f t="shared" si="20"/>
        <v>856.29528201432947</v>
      </c>
      <c r="U156" s="22">
        <v>1</v>
      </c>
      <c r="V156" s="20"/>
    </row>
    <row r="157" spans="1:22" s="290" customFormat="1">
      <c r="A157" s="289" t="s">
        <v>2073</v>
      </c>
      <c r="B157" s="2" t="s">
        <v>22</v>
      </c>
      <c r="C157" s="2">
        <v>375</v>
      </c>
      <c r="D157" s="2">
        <v>124</v>
      </c>
      <c r="E157" s="2">
        <v>81</v>
      </c>
      <c r="F157" s="2">
        <v>71</v>
      </c>
      <c r="G157" s="21">
        <f t="shared" si="21"/>
        <v>3.5339999999999998</v>
      </c>
      <c r="H157" s="20">
        <f t="shared" si="17"/>
        <v>3.7669999999999999</v>
      </c>
      <c r="I157" s="20">
        <f t="shared" si="18"/>
        <v>3.5339999999999998</v>
      </c>
      <c r="J157" s="72">
        <f t="shared" si="19"/>
        <v>2.7290000000000001</v>
      </c>
      <c r="K157" s="826"/>
      <c r="L157" s="20"/>
      <c r="M157" s="20"/>
      <c r="N157" s="20"/>
      <c r="O157" s="20"/>
      <c r="P157" s="20"/>
      <c r="Q157" s="23"/>
      <c r="R157" s="22" t="s">
        <v>16</v>
      </c>
      <c r="S157" s="22" t="s">
        <v>16</v>
      </c>
      <c r="T157" s="753">
        <f t="shared" si="20"/>
        <v>1005.2162006255171</v>
      </c>
      <c r="U157" s="22">
        <v>1</v>
      </c>
      <c r="V157" s="20"/>
    </row>
    <row r="158" spans="1:22" s="290" customFormat="1">
      <c r="A158" s="289" t="s">
        <v>383</v>
      </c>
      <c r="B158" s="2" t="s">
        <v>22</v>
      </c>
      <c r="C158" s="2">
        <v>375</v>
      </c>
      <c r="D158" s="2">
        <v>124</v>
      </c>
      <c r="E158" s="2">
        <v>72</v>
      </c>
      <c r="F158" s="2">
        <v>56</v>
      </c>
      <c r="G158" s="21">
        <f t="shared" si="21"/>
        <v>2.976</v>
      </c>
      <c r="H158" s="20">
        <f t="shared" si="17"/>
        <v>3.3479999999999999</v>
      </c>
      <c r="I158" s="20">
        <f t="shared" si="18"/>
        <v>2.976</v>
      </c>
      <c r="J158" s="72">
        <f t="shared" si="19"/>
        <v>2.0579999999999998</v>
      </c>
      <c r="K158" s="826"/>
      <c r="L158" s="20"/>
      <c r="M158" s="20"/>
      <c r="N158" s="20"/>
      <c r="O158" s="20"/>
      <c r="P158" s="20"/>
      <c r="Q158" s="23"/>
      <c r="R158" s="22">
        <f t="shared" ref="R158:R165" si="23">D158</f>
        <v>124</v>
      </c>
      <c r="S158" s="20"/>
      <c r="T158" s="753">
        <f t="shared" si="20"/>
        <v>559.16008441232634</v>
      </c>
      <c r="U158" s="22">
        <v>1</v>
      </c>
      <c r="V158" s="20"/>
    </row>
    <row r="159" spans="1:22" s="290" customFormat="1">
      <c r="A159" s="289" t="s">
        <v>2074</v>
      </c>
      <c r="B159" s="2" t="s">
        <v>22</v>
      </c>
      <c r="C159" s="2">
        <v>375</v>
      </c>
      <c r="D159" s="2">
        <v>124</v>
      </c>
      <c r="E159" s="2">
        <v>84</v>
      </c>
      <c r="F159" s="2">
        <v>68</v>
      </c>
      <c r="G159" s="21">
        <f t="shared" si="21"/>
        <v>3.5339999999999998</v>
      </c>
      <c r="H159" s="20">
        <f t="shared" si="17"/>
        <v>3.9060000000000001</v>
      </c>
      <c r="I159" s="20">
        <f t="shared" si="18"/>
        <v>3.5339999999999998</v>
      </c>
      <c r="J159" s="72">
        <f t="shared" si="19"/>
        <v>2.6520000000000001</v>
      </c>
      <c r="K159" s="826"/>
      <c r="L159" s="20"/>
      <c r="M159" s="20"/>
      <c r="N159" s="20"/>
      <c r="O159" s="20"/>
      <c r="P159" s="20"/>
      <c r="Q159" s="23"/>
      <c r="R159" s="22">
        <f t="shared" si="23"/>
        <v>124</v>
      </c>
      <c r="S159" s="20"/>
      <c r="T159" s="753">
        <f t="shared" si="20"/>
        <v>652.35343181438077</v>
      </c>
      <c r="U159" s="22">
        <v>1</v>
      </c>
      <c r="V159" s="20"/>
    </row>
    <row r="160" spans="1:22" s="290" customFormat="1" ht="13.5" customHeight="1">
      <c r="A160" s="289" t="s">
        <v>384</v>
      </c>
      <c r="B160" s="2" t="s">
        <v>22</v>
      </c>
      <c r="C160" s="2">
        <v>375</v>
      </c>
      <c r="D160" s="2">
        <v>124</v>
      </c>
      <c r="E160" s="2">
        <v>76</v>
      </c>
      <c r="F160" s="2">
        <v>52</v>
      </c>
      <c r="G160" s="21">
        <f t="shared" si="21"/>
        <v>2.976</v>
      </c>
      <c r="H160" s="20">
        <f t="shared" si="17"/>
        <v>3.5339999999999998</v>
      </c>
      <c r="I160" s="20">
        <f t="shared" si="18"/>
        <v>2.976</v>
      </c>
      <c r="J160" s="72">
        <f t="shared" si="19"/>
        <v>1.95</v>
      </c>
      <c r="K160" s="826"/>
      <c r="L160" s="20"/>
      <c r="M160" s="20"/>
      <c r="N160" s="20"/>
      <c r="O160" s="20"/>
      <c r="P160" s="20"/>
      <c r="Q160" s="23"/>
      <c r="R160" s="22">
        <f t="shared" si="23"/>
        <v>124</v>
      </c>
      <c r="S160" s="20"/>
      <c r="T160" s="753">
        <f t="shared" si="20"/>
        <v>394.5010913940684</v>
      </c>
      <c r="U160" s="22">
        <v>1</v>
      </c>
      <c r="V160" s="20"/>
    </row>
    <row r="161" spans="1:22" s="290" customFormat="1" ht="13.5" customHeight="1">
      <c r="A161" s="289" t="s">
        <v>2075</v>
      </c>
      <c r="B161" s="2" t="s">
        <v>22</v>
      </c>
      <c r="C161" s="2">
        <v>375</v>
      </c>
      <c r="D161" s="2">
        <v>124</v>
      </c>
      <c r="E161" s="2">
        <v>88</v>
      </c>
      <c r="F161" s="2">
        <v>64</v>
      </c>
      <c r="G161" s="21">
        <f t="shared" si="21"/>
        <v>3.5339999999999998</v>
      </c>
      <c r="H161" s="20">
        <f t="shared" si="17"/>
        <v>4.0919999999999996</v>
      </c>
      <c r="I161" s="20">
        <f t="shared" si="18"/>
        <v>3.5339999999999998</v>
      </c>
      <c r="J161" s="72">
        <f t="shared" si="19"/>
        <v>2.544</v>
      </c>
      <c r="K161" s="826"/>
      <c r="L161" s="20"/>
      <c r="M161" s="20"/>
      <c r="N161" s="20"/>
      <c r="O161" s="20"/>
      <c r="P161" s="20"/>
      <c r="Q161" s="23"/>
      <c r="R161" s="22">
        <f t="shared" si="23"/>
        <v>124</v>
      </c>
      <c r="S161" s="20"/>
      <c r="T161" s="753">
        <f t="shared" si="20"/>
        <v>456.79073740365811</v>
      </c>
      <c r="U161" s="22">
        <v>1</v>
      </c>
      <c r="V161" s="20"/>
    </row>
    <row r="162" spans="1:22" s="290" customFormat="1" ht="13.5" customHeight="1">
      <c r="A162" s="289" t="s">
        <v>2076</v>
      </c>
      <c r="B162" s="2" t="s">
        <v>22</v>
      </c>
      <c r="C162" s="2">
        <v>375</v>
      </c>
      <c r="D162" s="2">
        <v>124</v>
      </c>
      <c r="E162" s="2">
        <v>89</v>
      </c>
      <c r="F162" s="2">
        <v>39</v>
      </c>
      <c r="G162" s="21">
        <f t="shared" si="21"/>
        <v>2.976</v>
      </c>
      <c r="H162" s="20">
        <f t="shared" si="17"/>
        <v>4.1390000000000002</v>
      </c>
      <c r="I162" s="20">
        <f t="shared" si="18"/>
        <v>2.976</v>
      </c>
      <c r="J162" s="72">
        <f t="shared" si="19"/>
        <v>1.5580000000000001</v>
      </c>
      <c r="K162" s="826"/>
      <c r="L162" s="20"/>
      <c r="M162" s="20"/>
      <c r="N162" s="20"/>
      <c r="O162" s="20"/>
      <c r="P162" s="20"/>
      <c r="Q162" s="23"/>
      <c r="R162" s="22">
        <f t="shared" si="23"/>
        <v>124</v>
      </c>
      <c r="S162" s="20"/>
      <c r="T162" s="753">
        <f t="shared" si="20"/>
        <v>225.16120536184738</v>
      </c>
      <c r="U162" s="22">
        <v>1</v>
      </c>
      <c r="V162" s="20"/>
    </row>
    <row r="163" spans="1:22" s="290" customFormat="1" ht="13.5" customHeight="1">
      <c r="A163" s="289" t="s">
        <v>2077</v>
      </c>
      <c r="B163" s="2" t="s">
        <v>22</v>
      </c>
      <c r="C163" s="2">
        <v>375</v>
      </c>
      <c r="D163" s="2">
        <v>124</v>
      </c>
      <c r="E163" s="2">
        <v>101</v>
      </c>
      <c r="F163" s="2">
        <v>51</v>
      </c>
      <c r="G163" s="21">
        <f t="shared" si="21"/>
        <v>3.5339999999999998</v>
      </c>
      <c r="H163" s="20">
        <f t="shared" si="17"/>
        <v>4.6970000000000001</v>
      </c>
      <c r="I163" s="20">
        <f t="shared" si="18"/>
        <v>3.5339999999999998</v>
      </c>
      <c r="J163" s="72">
        <f t="shared" si="19"/>
        <v>2.1520000000000001</v>
      </c>
      <c r="K163" s="826"/>
      <c r="L163" s="20"/>
      <c r="M163" s="20"/>
      <c r="N163" s="20"/>
      <c r="O163" s="20"/>
      <c r="P163" s="20"/>
      <c r="Q163" s="23"/>
      <c r="R163" s="22">
        <f t="shared" si="23"/>
        <v>124</v>
      </c>
      <c r="S163" s="20"/>
      <c r="T163" s="753">
        <f t="shared" si="20"/>
        <v>255.52001956793916</v>
      </c>
      <c r="U163" s="22">
        <v>1</v>
      </c>
      <c r="V163" s="20"/>
    </row>
    <row r="164" spans="1:22" s="290" customFormat="1">
      <c r="A164" s="289" t="s">
        <v>2078</v>
      </c>
      <c r="B164" s="2" t="s">
        <v>22</v>
      </c>
      <c r="C164" s="2">
        <v>200</v>
      </c>
      <c r="D164" s="2">
        <v>150</v>
      </c>
      <c r="E164" s="2">
        <v>67</v>
      </c>
      <c r="F164" s="2">
        <v>61</v>
      </c>
      <c r="G164" s="21">
        <f t="shared" si="21"/>
        <v>1.92</v>
      </c>
      <c r="H164" s="20">
        <f t="shared" si="17"/>
        <v>2.0099999999999998</v>
      </c>
      <c r="I164" s="20">
        <f t="shared" si="18"/>
        <v>1.92</v>
      </c>
      <c r="J164" s="72">
        <f t="shared" si="19"/>
        <v>1.3240000000000001</v>
      </c>
      <c r="K164" s="826"/>
      <c r="L164" s="20"/>
      <c r="M164" s="20"/>
      <c r="N164" s="20"/>
      <c r="O164" s="20"/>
      <c r="P164" s="20"/>
      <c r="Q164" s="23"/>
      <c r="R164" s="22">
        <f t="shared" si="23"/>
        <v>150</v>
      </c>
      <c r="S164" s="20"/>
      <c r="T164" s="753">
        <f t="shared" si="20"/>
        <v>1675.3349665066983</v>
      </c>
      <c r="U164" s="22">
        <v>1</v>
      </c>
      <c r="V164" s="20"/>
    </row>
    <row r="165" spans="1:22" s="290" customFormat="1">
      <c r="A165" s="289" t="s">
        <v>2079</v>
      </c>
      <c r="B165" s="2" t="s">
        <v>22</v>
      </c>
      <c r="C165" s="2">
        <v>200</v>
      </c>
      <c r="D165" s="2">
        <v>150</v>
      </c>
      <c r="E165" s="2">
        <v>79</v>
      </c>
      <c r="F165" s="2">
        <v>73</v>
      </c>
      <c r="G165" s="21">
        <f t="shared" si="21"/>
        <v>2.2799999999999998</v>
      </c>
      <c r="H165" s="20">
        <f t="shared" si="17"/>
        <v>2.37</v>
      </c>
      <c r="I165" s="20">
        <f t="shared" si="18"/>
        <v>2.2799999999999998</v>
      </c>
      <c r="J165" s="72">
        <f t="shared" si="19"/>
        <v>1.6719999999999999</v>
      </c>
      <c r="K165" s="826"/>
      <c r="L165" s="20"/>
      <c r="M165" s="20"/>
      <c r="N165" s="20"/>
      <c r="O165" s="20"/>
      <c r="P165" s="20"/>
      <c r="Q165" s="23"/>
      <c r="R165" s="22">
        <f t="shared" si="23"/>
        <v>150</v>
      </c>
      <c r="S165" s="20"/>
      <c r="T165" s="753">
        <f t="shared" si="20"/>
        <v>1975.3949605078978</v>
      </c>
      <c r="U165" s="22">
        <v>1</v>
      </c>
      <c r="V165" s="20"/>
    </row>
    <row r="166" spans="1:22" s="290" customFormat="1">
      <c r="A166" s="289" t="s">
        <v>2080</v>
      </c>
      <c r="B166" s="2" t="s">
        <v>22</v>
      </c>
      <c r="C166" s="2">
        <v>200</v>
      </c>
      <c r="D166" s="2">
        <v>150</v>
      </c>
      <c r="E166" s="2">
        <v>69</v>
      </c>
      <c r="F166" s="2">
        <v>59</v>
      </c>
      <c r="G166" s="21">
        <f t="shared" si="21"/>
        <v>1.92</v>
      </c>
      <c r="H166" s="20">
        <f t="shared" si="17"/>
        <v>2.0699999999999998</v>
      </c>
      <c r="I166" s="20">
        <f t="shared" si="18"/>
        <v>1.92</v>
      </c>
      <c r="J166" s="72">
        <f t="shared" si="19"/>
        <v>1.292</v>
      </c>
      <c r="K166" s="826"/>
      <c r="L166" s="20"/>
      <c r="M166" s="20"/>
      <c r="N166" s="20"/>
      <c r="O166" s="20"/>
      <c r="P166" s="20"/>
      <c r="Q166" s="23"/>
      <c r="R166" s="22" t="s">
        <v>16</v>
      </c>
      <c r="S166" s="22" t="s">
        <v>16</v>
      </c>
      <c r="T166" s="753">
        <f t="shared" si="20"/>
        <v>1035.5748403664509</v>
      </c>
      <c r="U166" s="22">
        <v>1</v>
      </c>
      <c r="V166" s="20"/>
    </row>
    <row r="167" spans="1:22" s="290" customFormat="1">
      <c r="A167" s="289" t="s">
        <v>2081</v>
      </c>
      <c r="B167" s="2" t="s">
        <v>22</v>
      </c>
      <c r="C167" s="2">
        <v>200</v>
      </c>
      <c r="D167" s="2">
        <v>150</v>
      </c>
      <c r="E167" s="2">
        <v>81</v>
      </c>
      <c r="F167" s="2">
        <v>71</v>
      </c>
      <c r="G167" s="21">
        <f t="shared" si="21"/>
        <v>2.2799999999999998</v>
      </c>
      <c r="H167" s="20">
        <f t="shared" si="17"/>
        <v>2.4300000000000002</v>
      </c>
      <c r="I167" s="20">
        <f t="shared" si="18"/>
        <v>2.2799999999999998</v>
      </c>
      <c r="J167" s="72">
        <f t="shared" si="19"/>
        <v>1.64</v>
      </c>
      <c r="K167" s="826"/>
      <c r="L167" s="20"/>
      <c r="M167" s="20"/>
      <c r="N167" s="20"/>
      <c r="O167" s="20"/>
      <c r="P167" s="20"/>
      <c r="Q167" s="23"/>
      <c r="R167" s="22" t="s">
        <v>16</v>
      </c>
      <c r="S167" s="22" t="s">
        <v>16</v>
      </c>
      <c r="T167" s="753">
        <f t="shared" si="20"/>
        <v>1215.6748126040943</v>
      </c>
      <c r="U167" s="22">
        <v>1</v>
      </c>
      <c r="V167" s="20"/>
    </row>
    <row r="168" spans="1:22" s="290" customFormat="1">
      <c r="A168" s="289" t="s">
        <v>2082</v>
      </c>
      <c r="B168" s="2" t="s">
        <v>22</v>
      </c>
      <c r="C168" s="2">
        <v>200</v>
      </c>
      <c r="D168" s="2">
        <v>150</v>
      </c>
      <c r="E168" s="2">
        <v>72</v>
      </c>
      <c r="F168" s="2">
        <v>56</v>
      </c>
      <c r="G168" s="21">
        <f t="shared" si="21"/>
        <v>1.92</v>
      </c>
      <c r="H168" s="20">
        <f t="shared" si="17"/>
        <v>2.16</v>
      </c>
      <c r="I168" s="20">
        <f t="shared" si="18"/>
        <v>1.92</v>
      </c>
      <c r="J168" s="72">
        <f t="shared" si="19"/>
        <v>1.2430000000000001</v>
      </c>
      <c r="K168" s="826"/>
      <c r="L168" s="20"/>
      <c r="M168" s="20"/>
      <c r="N168" s="20"/>
      <c r="O168" s="20"/>
      <c r="P168" s="20"/>
      <c r="Q168" s="23"/>
      <c r="R168" s="22" t="s">
        <v>16</v>
      </c>
      <c r="S168" s="22" t="s">
        <v>16</v>
      </c>
      <c r="T168" s="753">
        <f t="shared" si="20"/>
        <v>675.95931830251436</v>
      </c>
      <c r="U168" s="22">
        <v>1</v>
      </c>
      <c r="V168" s="20"/>
    </row>
    <row r="169" spans="1:22" s="290" customFormat="1">
      <c r="A169" s="289" t="s">
        <v>2083</v>
      </c>
      <c r="B169" s="2" t="s">
        <v>22</v>
      </c>
      <c r="C169" s="2">
        <v>200</v>
      </c>
      <c r="D169" s="2">
        <v>150</v>
      </c>
      <c r="E169" s="2">
        <v>84</v>
      </c>
      <c r="F169" s="2">
        <v>68</v>
      </c>
      <c r="G169" s="21">
        <f t="shared" si="21"/>
        <v>2.2799999999999998</v>
      </c>
      <c r="H169" s="20">
        <f t="shared" si="17"/>
        <v>2.52</v>
      </c>
      <c r="I169" s="20">
        <f t="shared" si="18"/>
        <v>2.2799999999999998</v>
      </c>
      <c r="J169" s="72">
        <f t="shared" si="19"/>
        <v>1.591</v>
      </c>
      <c r="K169" s="826"/>
      <c r="L169" s="20"/>
      <c r="M169" s="20"/>
      <c r="N169" s="20"/>
      <c r="O169" s="20"/>
      <c r="P169" s="20"/>
      <c r="Q169" s="23"/>
      <c r="R169" s="22" t="s">
        <v>16</v>
      </c>
      <c r="S169" s="22" t="s">
        <v>16</v>
      </c>
      <c r="T169" s="753">
        <f t="shared" si="20"/>
        <v>788.61920468626681</v>
      </c>
      <c r="U169" s="22">
        <v>1</v>
      </c>
      <c r="V169" s="20"/>
    </row>
    <row r="170" spans="1:22" s="290" customFormat="1">
      <c r="A170" s="289" t="s">
        <v>2084</v>
      </c>
      <c r="B170" s="2" t="s">
        <v>22</v>
      </c>
      <c r="C170" s="2">
        <v>200</v>
      </c>
      <c r="D170" s="2">
        <v>150</v>
      </c>
      <c r="E170" s="2">
        <v>76</v>
      </c>
      <c r="F170" s="2">
        <v>52</v>
      </c>
      <c r="G170" s="21">
        <f t="shared" si="21"/>
        <v>1.92</v>
      </c>
      <c r="H170" s="20">
        <f t="shared" si="17"/>
        <v>2.2799999999999998</v>
      </c>
      <c r="I170" s="20">
        <f t="shared" si="18"/>
        <v>1.92</v>
      </c>
      <c r="J170" s="72">
        <f t="shared" si="19"/>
        <v>1.175</v>
      </c>
      <c r="K170" s="826"/>
      <c r="L170" s="20"/>
      <c r="M170" s="20"/>
      <c r="N170" s="20"/>
      <c r="O170" s="20"/>
      <c r="P170" s="20"/>
      <c r="Q170" s="23"/>
      <c r="R170" s="22" t="s">
        <v>16</v>
      </c>
      <c r="S170" s="22" t="s">
        <v>16</v>
      </c>
      <c r="T170" s="753">
        <f t="shared" si="20"/>
        <v>476.5175757514092</v>
      </c>
      <c r="U170" s="22">
        <v>1</v>
      </c>
      <c r="V170" s="20"/>
    </row>
    <row r="171" spans="1:22" s="290" customFormat="1">
      <c r="A171" s="289" t="s">
        <v>2085</v>
      </c>
      <c r="B171" s="2" t="s">
        <v>22</v>
      </c>
      <c r="C171" s="2">
        <v>200</v>
      </c>
      <c r="D171" s="2">
        <v>150</v>
      </c>
      <c r="E171" s="2">
        <v>88</v>
      </c>
      <c r="F171" s="2">
        <v>64</v>
      </c>
      <c r="G171" s="21">
        <f t="shared" si="21"/>
        <v>2.2799999999999998</v>
      </c>
      <c r="H171" s="20">
        <f t="shared" si="17"/>
        <v>2.64</v>
      </c>
      <c r="I171" s="20">
        <f t="shared" si="18"/>
        <v>2.2799999999999998</v>
      </c>
      <c r="J171" s="72">
        <f t="shared" si="19"/>
        <v>1.5229999999999999</v>
      </c>
      <c r="K171" s="826"/>
      <c r="L171" s="20"/>
      <c r="M171" s="20"/>
      <c r="N171" s="20"/>
      <c r="O171" s="20"/>
      <c r="P171" s="20"/>
      <c r="Q171" s="23"/>
      <c r="R171" s="22" t="s">
        <v>16</v>
      </c>
      <c r="S171" s="22" t="s">
        <v>16</v>
      </c>
      <c r="T171" s="753">
        <f t="shared" si="20"/>
        <v>551.75719297531589</v>
      </c>
      <c r="U171" s="22">
        <v>1</v>
      </c>
      <c r="V171" s="20"/>
    </row>
    <row r="172" spans="1:22" s="290" customFormat="1">
      <c r="A172" s="289" t="s">
        <v>2086</v>
      </c>
      <c r="B172" s="2" t="s">
        <v>22</v>
      </c>
      <c r="C172" s="2">
        <v>200</v>
      </c>
      <c r="D172" s="2">
        <v>150</v>
      </c>
      <c r="E172" s="2">
        <v>89</v>
      </c>
      <c r="F172" s="2">
        <v>39</v>
      </c>
      <c r="G172" s="21">
        <f t="shared" si="21"/>
        <v>1.92</v>
      </c>
      <c r="H172" s="20">
        <f t="shared" si="17"/>
        <v>2.67</v>
      </c>
      <c r="I172" s="20">
        <f t="shared" si="18"/>
        <v>1.92</v>
      </c>
      <c r="J172" s="72">
        <f t="shared" si="19"/>
        <v>0.93200000000000005</v>
      </c>
      <c r="K172" s="826"/>
      <c r="L172" s="20"/>
      <c r="M172" s="20"/>
      <c r="N172" s="20"/>
      <c r="O172" s="20"/>
      <c r="P172" s="20"/>
      <c r="Q172" s="23"/>
      <c r="R172" s="22" t="s">
        <v>16</v>
      </c>
      <c r="S172" s="22" t="s">
        <v>16</v>
      </c>
      <c r="T172" s="753">
        <f t="shared" si="20"/>
        <v>270.68293259827078</v>
      </c>
      <c r="U172" s="22">
        <v>1</v>
      </c>
      <c r="V172" s="20"/>
    </row>
    <row r="173" spans="1:22" s="290" customFormat="1">
      <c r="A173" s="289" t="s">
        <v>2087</v>
      </c>
      <c r="B173" s="2" t="s">
        <v>22</v>
      </c>
      <c r="C173" s="2">
        <v>200</v>
      </c>
      <c r="D173" s="2">
        <v>150</v>
      </c>
      <c r="E173" s="2">
        <v>101</v>
      </c>
      <c r="F173" s="2">
        <v>51</v>
      </c>
      <c r="G173" s="21">
        <f t="shared" si="21"/>
        <v>2.2799999999999998</v>
      </c>
      <c r="H173" s="20">
        <f t="shared" si="17"/>
        <v>3.03</v>
      </c>
      <c r="I173" s="20">
        <f t="shared" si="18"/>
        <v>2.2799999999999998</v>
      </c>
      <c r="J173" s="72">
        <f t="shared" si="19"/>
        <v>1.28</v>
      </c>
      <c r="K173" s="826"/>
      <c r="L173" s="20"/>
      <c r="M173" s="20"/>
      <c r="N173" s="20"/>
      <c r="O173" s="20"/>
      <c r="P173" s="20"/>
      <c r="Q173" s="23"/>
      <c r="R173" s="22" t="s">
        <v>16</v>
      </c>
      <c r="S173" s="22" t="s">
        <v>16</v>
      </c>
      <c r="T173" s="753">
        <f t="shared" si="20"/>
        <v>307.17950778006008</v>
      </c>
      <c r="U173" s="22">
        <v>1</v>
      </c>
      <c r="V173" s="20"/>
    </row>
    <row r="174" spans="1:22" s="290" customFormat="1">
      <c r="A174" s="289" t="s">
        <v>381</v>
      </c>
      <c r="B174" s="2" t="s">
        <v>22</v>
      </c>
      <c r="C174" s="2">
        <v>300</v>
      </c>
      <c r="D174" s="2">
        <v>150</v>
      </c>
      <c r="E174" s="2">
        <v>67</v>
      </c>
      <c r="F174" s="2">
        <v>61</v>
      </c>
      <c r="G174" s="21">
        <f t="shared" si="21"/>
        <v>2.88</v>
      </c>
      <c r="H174" s="20">
        <f>ROUND(C174*D174*E174/10^6,3)</f>
        <v>3.0150000000000001</v>
      </c>
      <c r="I174" s="20">
        <f>IF(F174="","-",ROUND((E174+F174)*C174/2*D174/10^6,3))</f>
        <v>2.88</v>
      </c>
      <c r="J174" s="72">
        <f>IF(F174="","-",ROUND((D174+E174)*C174/2*F174/10^6,3))</f>
        <v>1.986</v>
      </c>
      <c r="K174" s="826"/>
      <c r="L174" s="20"/>
      <c r="M174" s="20"/>
      <c r="N174" s="20"/>
      <c r="O174" s="20"/>
      <c r="P174" s="20"/>
      <c r="Q174" s="23"/>
      <c r="R174" s="22">
        <f>D174</f>
        <v>150</v>
      </c>
      <c r="S174" s="20"/>
      <c r="T174" s="753">
        <f t="shared" si="20"/>
        <v>1675.3349665066983</v>
      </c>
      <c r="U174" s="22">
        <v>1</v>
      </c>
      <c r="V174" s="20"/>
    </row>
    <row r="175" spans="1:22" s="290" customFormat="1">
      <c r="A175" s="289" t="s">
        <v>2088</v>
      </c>
      <c r="B175" s="2" t="s">
        <v>22</v>
      </c>
      <c r="C175" s="2">
        <v>300</v>
      </c>
      <c r="D175" s="2">
        <v>150</v>
      </c>
      <c r="E175" s="2">
        <v>79</v>
      </c>
      <c r="F175" s="2">
        <v>73</v>
      </c>
      <c r="G175" s="21">
        <f t="shared" si="21"/>
        <v>3.42</v>
      </c>
      <c r="H175" s="20">
        <f>ROUND(C175*D175*E175/10^6,3)</f>
        <v>3.5550000000000002</v>
      </c>
      <c r="I175" s="20">
        <f>IF(F175="","-",ROUND((E175+F175)*C175/2*D175/10^6,3))</f>
        <v>3.42</v>
      </c>
      <c r="J175" s="72">
        <f>IF(F175="","-",ROUND((D175+E175)*C175/2*F175/10^6,3))</f>
        <v>2.508</v>
      </c>
      <c r="K175" s="826"/>
      <c r="L175" s="20"/>
      <c r="M175" s="20"/>
      <c r="N175" s="20"/>
      <c r="O175" s="20"/>
      <c r="P175" s="20"/>
      <c r="Q175" s="23"/>
      <c r="R175" s="22">
        <f>D175</f>
        <v>150</v>
      </c>
      <c r="S175" s="20"/>
      <c r="T175" s="753">
        <f t="shared" si="20"/>
        <v>1975.3949605078978</v>
      </c>
      <c r="U175" s="22">
        <v>1</v>
      </c>
      <c r="V175" s="20"/>
    </row>
    <row r="176" spans="1:22" s="290" customFormat="1">
      <c r="A176" s="289" t="s">
        <v>591</v>
      </c>
      <c r="B176" s="2" t="s">
        <v>22</v>
      </c>
      <c r="C176" s="2">
        <v>300</v>
      </c>
      <c r="D176" s="2">
        <v>150</v>
      </c>
      <c r="E176" s="2">
        <v>69</v>
      </c>
      <c r="F176" s="2">
        <v>59</v>
      </c>
      <c r="G176" s="21">
        <f t="shared" si="21"/>
        <v>2.88</v>
      </c>
      <c r="H176" s="20">
        <f t="shared" si="17"/>
        <v>3.105</v>
      </c>
      <c r="I176" s="20">
        <f t="shared" si="18"/>
        <v>2.88</v>
      </c>
      <c r="J176" s="72">
        <f t="shared" si="19"/>
        <v>1.9379999999999999</v>
      </c>
      <c r="K176" s="826"/>
      <c r="L176" s="20"/>
      <c r="M176" s="20"/>
      <c r="N176" s="20"/>
      <c r="O176" s="20"/>
      <c r="P176" s="20"/>
      <c r="Q176" s="23"/>
      <c r="R176" s="22" t="s">
        <v>16</v>
      </c>
      <c r="S176" s="22" t="s">
        <v>16</v>
      </c>
      <c r="T176" s="753">
        <f t="shared" si="20"/>
        <v>1035.5748403664509</v>
      </c>
      <c r="U176" s="22">
        <v>1</v>
      </c>
      <c r="V176" s="20"/>
    </row>
    <row r="177" spans="1:22" s="290" customFormat="1">
      <c r="A177" s="289" t="s">
        <v>2089</v>
      </c>
      <c r="B177" s="2" t="s">
        <v>22</v>
      </c>
      <c r="C177" s="2">
        <v>300</v>
      </c>
      <c r="D177" s="2">
        <v>150</v>
      </c>
      <c r="E177" s="2">
        <v>81</v>
      </c>
      <c r="F177" s="2">
        <v>71</v>
      </c>
      <c r="G177" s="21">
        <f t="shared" si="21"/>
        <v>3.42</v>
      </c>
      <c r="H177" s="20">
        <f t="shared" si="17"/>
        <v>3.645</v>
      </c>
      <c r="I177" s="20">
        <f t="shared" si="18"/>
        <v>3.42</v>
      </c>
      <c r="J177" s="72">
        <f t="shared" si="19"/>
        <v>2.46</v>
      </c>
      <c r="K177" s="826"/>
      <c r="L177" s="20"/>
      <c r="M177" s="20"/>
      <c r="N177" s="20"/>
      <c r="O177" s="20"/>
      <c r="P177" s="20"/>
      <c r="Q177" s="23"/>
      <c r="R177" s="22" t="s">
        <v>16</v>
      </c>
      <c r="S177" s="22" t="s">
        <v>16</v>
      </c>
      <c r="T177" s="753">
        <f t="shared" si="20"/>
        <v>1215.6748126040943</v>
      </c>
      <c r="U177" s="22">
        <v>1</v>
      </c>
      <c r="V177" s="20"/>
    </row>
    <row r="178" spans="1:22" s="290" customFormat="1">
      <c r="A178" s="289" t="s">
        <v>592</v>
      </c>
      <c r="B178" s="2" t="s">
        <v>22</v>
      </c>
      <c r="C178" s="2">
        <v>300</v>
      </c>
      <c r="D178" s="2">
        <v>150</v>
      </c>
      <c r="E178" s="2">
        <v>72</v>
      </c>
      <c r="F178" s="2">
        <v>56</v>
      </c>
      <c r="G178" s="21">
        <f t="shared" si="21"/>
        <v>2.88</v>
      </c>
      <c r="H178" s="20">
        <f t="shared" si="17"/>
        <v>3.24</v>
      </c>
      <c r="I178" s="20">
        <f t="shared" si="18"/>
        <v>2.88</v>
      </c>
      <c r="J178" s="72">
        <f t="shared" si="19"/>
        <v>1.865</v>
      </c>
      <c r="K178" s="826"/>
      <c r="L178" s="20"/>
      <c r="M178" s="20"/>
      <c r="N178" s="20"/>
      <c r="O178" s="20"/>
      <c r="P178" s="20"/>
      <c r="Q178" s="23"/>
      <c r="R178" s="22" t="s">
        <v>16</v>
      </c>
      <c r="S178" s="22" t="s">
        <v>16</v>
      </c>
      <c r="T178" s="753">
        <f t="shared" si="20"/>
        <v>675.95931830251436</v>
      </c>
      <c r="U178" s="22">
        <v>1</v>
      </c>
      <c r="V178" s="20"/>
    </row>
    <row r="179" spans="1:22" s="290" customFormat="1">
      <c r="A179" s="289" t="s">
        <v>2090</v>
      </c>
      <c r="B179" s="2" t="s">
        <v>22</v>
      </c>
      <c r="C179" s="2">
        <v>300</v>
      </c>
      <c r="D179" s="2">
        <v>150</v>
      </c>
      <c r="E179" s="2">
        <v>84</v>
      </c>
      <c r="F179" s="2">
        <v>68</v>
      </c>
      <c r="G179" s="21">
        <f t="shared" si="21"/>
        <v>3.42</v>
      </c>
      <c r="H179" s="20">
        <f t="shared" si="17"/>
        <v>3.78</v>
      </c>
      <c r="I179" s="20">
        <f t="shared" si="18"/>
        <v>3.42</v>
      </c>
      <c r="J179" s="72">
        <f t="shared" si="19"/>
        <v>2.387</v>
      </c>
      <c r="K179" s="826"/>
      <c r="L179" s="20"/>
      <c r="M179" s="20"/>
      <c r="N179" s="20"/>
      <c r="O179" s="20"/>
      <c r="P179" s="20"/>
      <c r="Q179" s="23"/>
      <c r="R179" s="22" t="s">
        <v>16</v>
      </c>
      <c r="S179" s="22" t="s">
        <v>16</v>
      </c>
      <c r="T179" s="753">
        <f t="shared" si="20"/>
        <v>788.61920468626681</v>
      </c>
      <c r="U179" s="22">
        <v>1</v>
      </c>
      <c r="V179" s="20"/>
    </row>
    <row r="180" spans="1:22" s="290" customFormat="1">
      <c r="A180" s="289" t="s">
        <v>593</v>
      </c>
      <c r="B180" s="2" t="s">
        <v>22</v>
      </c>
      <c r="C180" s="2">
        <v>300</v>
      </c>
      <c r="D180" s="2">
        <v>150</v>
      </c>
      <c r="E180" s="2">
        <v>76</v>
      </c>
      <c r="F180" s="2">
        <v>52</v>
      </c>
      <c r="G180" s="21">
        <f t="shared" si="21"/>
        <v>2.88</v>
      </c>
      <c r="H180" s="20">
        <f t="shared" si="17"/>
        <v>3.42</v>
      </c>
      <c r="I180" s="20">
        <f t="shared" si="18"/>
        <v>2.88</v>
      </c>
      <c r="J180" s="72">
        <f t="shared" si="19"/>
        <v>1.7629999999999999</v>
      </c>
      <c r="K180" s="826"/>
      <c r="L180" s="20"/>
      <c r="M180" s="20"/>
      <c r="N180" s="20"/>
      <c r="O180" s="20"/>
      <c r="P180" s="20"/>
      <c r="Q180" s="23"/>
      <c r="R180" s="22" t="s">
        <v>16</v>
      </c>
      <c r="S180" s="22" t="s">
        <v>16</v>
      </c>
      <c r="T180" s="753">
        <f t="shared" si="20"/>
        <v>476.5175757514092</v>
      </c>
      <c r="U180" s="22">
        <v>1</v>
      </c>
      <c r="V180" s="20"/>
    </row>
    <row r="181" spans="1:22" s="290" customFormat="1">
      <c r="A181" s="289" t="s">
        <v>2091</v>
      </c>
      <c r="B181" s="2" t="s">
        <v>22</v>
      </c>
      <c r="C181" s="2">
        <v>300</v>
      </c>
      <c r="D181" s="2">
        <v>150</v>
      </c>
      <c r="E181" s="2">
        <v>88</v>
      </c>
      <c r="F181" s="2">
        <v>64</v>
      </c>
      <c r="G181" s="21">
        <f t="shared" si="21"/>
        <v>3.42</v>
      </c>
      <c r="H181" s="20">
        <f t="shared" si="17"/>
        <v>3.96</v>
      </c>
      <c r="I181" s="20">
        <f t="shared" si="18"/>
        <v>3.42</v>
      </c>
      <c r="J181" s="72">
        <f t="shared" si="19"/>
        <v>2.2850000000000001</v>
      </c>
      <c r="K181" s="826"/>
      <c r="L181" s="20"/>
      <c r="M181" s="20"/>
      <c r="N181" s="20"/>
      <c r="O181" s="20"/>
      <c r="P181" s="20"/>
      <c r="Q181" s="23"/>
      <c r="R181" s="22" t="s">
        <v>16</v>
      </c>
      <c r="S181" s="22" t="s">
        <v>16</v>
      </c>
      <c r="T181" s="753">
        <f t="shared" si="20"/>
        <v>551.75719297531589</v>
      </c>
      <c r="U181" s="22">
        <v>1</v>
      </c>
      <c r="V181" s="20"/>
    </row>
    <row r="182" spans="1:22" s="290" customFormat="1">
      <c r="A182" s="289" t="s">
        <v>594</v>
      </c>
      <c r="B182" s="2" t="s">
        <v>22</v>
      </c>
      <c r="C182" s="2">
        <v>300</v>
      </c>
      <c r="D182" s="2">
        <v>150</v>
      </c>
      <c r="E182" s="2">
        <v>89</v>
      </c>
      <c r="F182" s="2">
        <v>39</v>
      </c>
      <c r="G182" s="21">
        <f t="shared" si="21"/>
        <v>2.88</v>
      </c>
      <c r="H182" s="20">
        <f t="shared" si="17"/>
        <v>4.0049999999999999</v>
      </c>
      <c r="I182" s="20">
        <f t="shared" si="18"/>
        <v>2.88</v>
      </c>
      <c r="J182" s="72">
        <f t="shared" si="19"/>
        <v>1.3979999999999999</v>
      </c>
      <c r="K182" s="826"/>
      <c r="L182" s="20"/>
      <c r="M182" s="20"/>
      <c r="N182" s="20"/>
      <c r="O182" s="20"/>
      <c r="P182" s="20"/>
      <c r="Q182" s="23"/>
      <c r="R182" s="22" t="s">
        <v>16</v>
      </c>
      <c r="S182" s="22" t="s">
        <v>16</v>
      </c>
      <c r="T182" s="753">
        <f t="shared" si="20"/>
        <v>270.68293259827078</v>
      </c>
      <c r="U182" s="22">
        <v>1</v>
      </c>
      <c r="V182" s="20"/>
    </row>
    <row r="183" spans="1:22" s="290" customFormat="1">
      <c r="A183" s="289" t="s">
        <v>2092</v>
      </c>
      <c r="B183" s="2" t="s">
        <v>22</v>
      </c>
      <c r="C183" s="2">
        <v>300</v>
      </c>
      <c r="D183" s="2">
        <v>150</v>
      </c>
      <c r="E183" s="2">
        <v>101</v>
      </c>
      <c r="F183" s="2">
        <v>51</v>
      </c>
      <c r="G183" s="21">
        <f t="shared" si="21"/>
        <v>3.42</v>
      </c>
      <c r="H183" s="20">
        <f t="shared" si="17"/>
        <v>4.5449999999999999</v>
      </c>
      <c r="I183" s="20">
        <f t="shared" si="18"/>
        <v>3.42</v>
      </c>
      <c r="J183" s="72">
        <f t="shared" si="19"/>
        <v>1.92</v>
      </c>
      <c r="K183" s="826"/>
      <c r="L183" s="20"/>
      <c r="M183" s="20"/>
      <c r="N183" s="20"/>
      <c r="O183" s="20"/>
      <c r="P183" s="20"/>
      <c r="Q183" s="23"/>
      <c r="R183" s="22" t="s">
        <v>16</v>
      </c>
      <c r="S183" s="22" t="s">
        <v>16</v>
      </c>
      <c r="T183" s="753">
        <f t="shared" ref="T183:T184" si="24">IF(E183=F183,"-",(E183/(E183-F183))*SQRT((D183^2)+((E183-F183)/2)^2))</f>
        <v>307.17950778006008</v>
      </c>
      <c r="U183" s="22">
        <v>1</v>
      </c>
      <c r="V183" s="20"/>
    </row>
    <row r="184" spans="1:22" s="290" customFormat="1" ht="13.8" thickBot="1">
      <c r="A184" s="289" t="s">
        <v>423</v>
      </c>
      <c r="B184" s="2" t="s">
        <v>22</v>
      </c>
      <c r="C184" s="2">
        <v>300</v>
      </c>
      <c r="D184" s="2">
        <v>150</v>
      </c>
      <c r="E184" s="2">
        <v>79</v>
      </c>
      <c r="F184" s="2">
        <v>73</v>
      </c>
      <c r="G184" s="21">
        <f t="shared" si="21"/>
        <v>3.42</v>
      </c>
      <c r="H184" s="20">
        <f>ROUND(C184*D184*E184/10^6,3)</f>
        <v>3.5550000000000002</v>
      </c>
      <c r="I184" s="20">
        <f>IF(F184="","-",ROUND((E184+F184)*C184/2*D184/10^6,3))</f>
        <v>3.42</v>
      </c>
      <c r="J184" s="72">
        <f>IF(F184="","-",ROUND((D184+E184)*C184/2*F184/10^6,3))</f>
        <v>2.508</v>
      </c>
      <c r="K184" s="826"/>
      <c r="L184" s="20"/>
      <c r="M184" s="20"/>
      <c r="N184" s="20"/>
      <c r="O184" s="20"/>
      <c r="P184" s="20"/>
      <c r="Q184" s="23"/>
      <c r="R184" s="22">
        <f>D184</f>
        <v>150</v>
      </c>
      <c r="S184" s="20"/>
      <c r="T184" s="753">
        <f t="shared" si="24"/>
        <v>1975.3949605078978</v>
      </c>
      <c r="U184" s="22">
        <v>1</v>
      </c>
      <c r="V184" s="20"/>
    </row>
    <row r="185" spans="1:22" s="60" customFormat="1" ht="25.2" thickBot="1">
      <c r="A185" s="351" t="s">
        <v>600</v>
      </c>
      <c r="B185" s="62"/>
      <c r="C185" s="62"/>
      <c r="D185" s="62"/>
      <c r="E185" s="62"/>
      <c r="F185" s="62"/>
      <c r="G185" s="98"/>
      <c r="H185" s="62"/>
      <c r="I185" s="62"/>
      <c r="J185" s="63"/>
      <c r="K185" s="56"/>
      <c r="L185" s="57"/>
      <c r="M185" s="57"/>
      <c r="N185" s="57"/>
      <c r="O185" s="57"/>
      <c r="P185" s="57"/>
      <c r="Q185" s="58"/>
      <c r="R185" s="59"/>
      <c r="S185" s="57"/>
      <c r="T185" s="57"/>
      <c r="U185" s="59"/>
      <c r="V185" s="57"/>
    </row>
    <row r="186" spans="1:22" ht="12.75" customHeight="1">
      <c r="A186" s="73" t="s">
        <v>605</v>
      </c>
      <c r="B186" s="2" t="s">
        <v>22</v>
      </c>
      <c r="C186" s="2">
        <v>250</v>
      </c>
      <c r="D186" s="2">
        <v>65</v>
      </c>
      <c r="E186" s="2">
        <v>126</v>
      </c>
      <c r="F186" s="2">
        <v>122</v>
      </c>
      <c r="G186" s="21">
        <f t="shared" si="21"/>
        <v>2.0150000000000001</v>
      </c>
      <c r="H186" s="20">
        <f t="shared" ref="H186:H216" si="25">ROUND(C186*D186*E186/10^6,3)</f>
        <v>2.048</v>
      </c>
      <c r="I186" s="20">
        <f t="shared" ref="I186:I216" si="26">IF(F186="","-",ROUND((E186+F186)*C186/2*D186/10^6,3))</f>
        <v>2.0150000000000001</v>
      </c>
      <c r="J186" s="72">
        <f t="shared" ref="J186:J216" si="27">IF(F186="","-",ROUND((D186+E186)*C186/2*F186/10^6,3))</f>
        <v>2.9129999999999998</v>
      </c>
      <c r="K186" s="825" t="s">
        <v>522</v>
      </c>
      <c r="L186" s="20"/>
      <c r="M186" s="20"/>
      <c r="N186" s="20"/>
      <c r="O186" s="20"/>
      <c r="P186" s="20"/>
      <c r="Q186" s="23"/>
      <c r="R186" s="22" t="s">
        <v>16</v>
      </c>
      <c r="S186" s="22" t="s">
        <v>16</v>
      </c>
      <c r="T186" s="753">
        <f>IF(E186=F186,"-",(E186/(E186-F186))*SQRT((D186^2)+((E186-F186)/2)^2))</f>
        <v>2048.4690014740277</v>
      </c>
      <c r="U186" s="22">
        <v>1</v>
      </c>
      <c r="V186" s="20"/>
    </row>
    <row r="187" spans="1:22" ht="12.75" customHeight="1">
      <c r="A187" s="73" t="s">
        <v>606</v>
      </c>
      <c r="B187" s="2" t="s">
        <v>22</v>
      </c>
      <c r="C187" s="2">
        <v>250</v>
      </c>
      <c r="D187" s="2">
        <v>65</v>
      </c>
      <c r="E187" s="2">
        <v>126.5</v>
      </c>
      <c r="F187" s="2">
        <v>121.5</v>
      </c>
      <c r="G187" s="21">
        <f t="shared" si="21"/>
        <v>2.0150000000000001</v>
      </c>
      <c r="H187" s="20">
        <f t="shared" ref="H187" si="28">ROUND(C187*D187*E187/10^6,3)</f>
        <v>2.056</v>
      </c>
      <c r="I187" s="20">
        <f t="shared" ref="I187" si="29">IF(F187="","-",ROUND((E187+F187)*C187/2*D187/10^6,3))</f>
        <v>2.0150000000000001</v>
      </c>
      <c r="J187" s="72">
        <f t="shared" ref="J187" si="30">IF(F187="","-",ROUND((D187+E187)*C187/2*F187/10^6,3))</f>
        <v>2.9079999999999999</v>
      </c>
      <c r="K187" s="826"/>
      <c r="L187" s="20"/>
      <c r="M187" s="20"/>
      <c r="N187" s="20"/>
      <c r="O187" s="20"/>
      <c r="P187" s="20"/>
      <c r="Q187" s="23"/>
      <c r="R187" s="22" t="s">
        <v>16</v>
      </c>
      <c r="S187" s="22" t="s">
        <v>16</v>
      </c>
      <c r="T187" s="753">
        <f t="shared" ref="T187:T216" si="31">IF(E187=F187,"-",(E187/(E187-F187))*SQRT((D187^2)+((E187-F187)/2)^2))</f>
        <v>1645.7158966540974</v>
      </c>
      <c r="U187" s="22">
        <v>1</v>
      </c>
      <c r="V187" s="20"/>
    </row>
    <row r="188" spans="1:22" ht="12.75" customHeight="1">
      <c r="A188" s="73" t="s">
        <v>607</v>
      </c>
      <c r="B188" s="2" t="s">
        <v>22</v>
      </c>
      <c r="C188" s="2">
        <v>250</v>
      </c>
      <c r="D188" s="2">
        <v>65</v>
      </c>
      <c r="E188" s="2">
        <v>127</v>
      </c>
      <c r="F188" s="2">
        <v>121</v>
      </c>
      <c r="G188" s="21">
        <f t="shared" si="21"/>
        <v>2.0150000000000001</v>
      </c>
      <c r="H188" s="20">
        <f t="shared" si="25"/>
        <v>2.0640000000000001</v>
      </c>
      <c r="I188" s="20">
        <f t="shared" si="26"/>
        <v>2.0150000000000001</v>
      </c>
      <c r="J188" s="72">
        <f t="shared" si="27"/>
        <v>2.9039999999999999</v>
      </c>
      <c r="K188" s="826"/>
      <c r="L188" s="20"/>
      <c r="M188" s="20"/>
      <c r="N188" s="20"/>
      <c r="O188" s="20"/>
      <c r="P188" s="20"/>
      <c r="Q188" s="23"/>
      <c r="R188" s="22" t="s">
        <v>16</v>
      </c>
      <c r="S188" s="22" t="s">
        <v>16</v>
      </c>
      <c r="T188" s="753">
        <f t="shared" si="31"/>
        <v>1377.29793839645</v>
      </c>
      <c r="U188" s="22">
        <v>1</v>
      </c>
      <c r="V188" s="20"/>
    </row>
    <row r="189" spans="1:22" ht="12.75" customHeight="1">
      <c r="A189" s="73" t="s">
        <v>608</v>
      </c>
      <c r="B189" s="2" t="s">
        <v>22</v>
      </c>
      <c r="C189" s="2">
        <v>250</v>
      </c>
      <c r="D189" s="2">
        <v>65</v>
      </c>
      <c r="E189" s="2">
        <v>123</v>
      </c>
      <c r="F189" s="2">
        <v>116</v>
      </c>
      <c r="G189" s="21">
        <f t="shared" si="21"/>
        <v>1.941875</v>
      </c>
      <c r="H189" s="20">
        <f t="shared" si="25"/>
        <v>1.9990000000000001</v>
      </c>
      <c r="I189" s="20">
        <f t="shared" si="26"/>
        <v>1.9419999999999999</v>
      </c>
      <c r="J189" s="72">
        <f t="shared" si="27"/>
        <v>2.726</v>
      </c>
      <c r="K189" s="826"/>
      <c r="L189" s="20"/>
      <c r="M189" s="20"/>
      <c r="N189" s="20"/>
      <c r="O189" s="20"/>
      <c r="P189" s="20"/>
      <c r="Q189" s="23"/>
      <c r="R189" s="22" t="s">
        <v>16</v>
      </c>
      <c r="S189" s="22" t="s">
        <v>16</v>
      </c>
      <c r="T189" s="753">
        <f t="shared" si="31"/>
        <v>1143.797427922641</v>
      </c>
      <c r="U189" s="22">
        <v>1</v>
      </c>
      <c r="V189" s="20"/>
    </row>
    <row r="190" spans="1:22" ht="12.75" customHeight="1">
      <c r="A190" s="73" t="s">
        <v>609</v>
      </c>
      <c r="B190" s="2" t="s">
        <v>22</v>
      </c>
      <c r="C190" s="2">
        <v>250</v>
      </c>
      <c r="D190" s="2">
        <v>65</v>
      </c>
      <c r="E190" s="2">
        <v>129</v>
      </c>
      <c r="F190" s="2">
        <v>119</v>
      </c>
      <c r="G190" s="21">
        <f t="shared" si="21"/>
        <v>2.0150000000000001</v>
      </c>
      <c r="H190" s="20">
        <f t="shared" si="25"/>
        <v>2.0960000000000001</v>
      </c>
      <c r="I190" s="20">
        <f t="shared" si="26"/>
        <v>2.0150000000000001</v>
      </c>
      <c r="J190" s="72">
        <f t="shared" si="27"/>
        <v>2.8860000000000001</v>
      </c>
      <c r="K190" s="826"/>
      <c r="L190" s="20"/>
      <c r="M190" s="20"/>
      <c r="N190" s="20"/>
      <c r="O190" s="20"/>
      <c r="P190" s="20"/>
      <c r="Q190" s="23"/>
      <c r="R190" s="22" t="s">
        <v>16</v>
      </c>
      <c r="S190" s="22" t="s">
        <v>16</v>
      </c>
      <c r="T190" s="753">
        <f t="shared" si="31"/>
        <v>840.97711027114167</v>
      </c>
      <c r="U190" s="22">
        <v>1</v>
      </c>
      <c r="V190" s="20"/>
    </row>
    <row r="191" spans="1:22" ht="12.75" customHeight="1">
      <c r="A191" s="73" t="s">
        <v>610</v>
      </c>
      <c r="B191" s="2" t="s">
        <v>22</v>
      </c>
      <c r="C191" s="2">
        <v>250</v>
      </c>
      <c r="D191" s="2">
        <v>65</v>
      </c>
      <c r="E191" s="2">
        <v>123</v>
      </c>
      <c r="F191" s="2">
        <v>108</v>
      </c>
      <c r="G191" s="21">
        <f t="shared" ref="G191:G253" si="32">IF(B191="","",AVERAGE(E191:F191)*D191*C191/10^6)</f>
        <v>1.8768750000000001</v>
      </c>
      <c r="H191" s="20">
        <f t="shared" si="25"/>
        <v>1.9990000000000001</v>
      </c>
      <c r="I191" s="20">
        <f t="shared" si="26"/>
        <v>1.877</v>
      </c>
      <c r="J191" s="72">
        <f t="shared" si="27"/>
        <v>2.5379999999999998</v>
      </c>
      <c r="K191" s="826"/>
      <c r="L191" s="20"/>
      <c r="M191" s="20"/>
      <c r="N191" s="20"/>
      <c r="O191" s="20"/>
      <c r="P191" s="20"/>
      <c r="Q191" s="23"/>
      <c r="R191" s="22" t="s">
        <v>16</v>
      </c>
      <c r="S191" s="22" t="s">
        <v>16</v>
      </c>
      <c r="T191" s="753">
        <f t="shared" si="31"/>
        <v>536.53634546039848</v>
      </c>
      <c r="U191" s="22">
        <v>1</v>
      </c>
      <c r="V191" s="20"/>
    </row>
    <row r="192" spans="1:22" ht="12.75" customHeight="1">
      <c r="A192" s="73" t="s">
        <v>601</v>
      </c>
      <c r="B192" s="2" t="s">
        <v>2145</v>
      </c>
      <c r="C192" s="2">
        <v>250</v>
      </c>
      <c r="D192" s="2">
        <v>90</v>
      </c>
      <c r="E192" s="2">
        <v>125</v>
      </c>
      <c r="F192" s="2">
        <v>125</v>
      </c>
      <c r="G192" s="21">
        <f t="shared" si="32"/>
        <v>2.8125</v>
      </c>
      <c r="H192" s="20">
        <f t="shared" si="25"/>
        <v>2.8130000000000002</v>
      </c>
      <c r="I192" s="20">
        <f t="shared" si="26"/>
        <v>2.8130000000000002</v>
      </c>
      <c r="J192" s="72">
        <f t="shared" si="27"/>
        <v>3.359</v>
      </c>
      <c r="K192" s="826"/>
      <c r="L192" s="20"/>
      <c r="M192" s="20"/>
      <c r="N192" s="20"/>
      <c r="O192" s="20"/>
      <c r="P192" s="20"/>
      <c r="Q192" s="23"/>
      <c r="R192" s="22" t="s">
        <v>16</v>
      </c>
      <c r="S192" s="22" t="s">
        <v>16</v>
      </c>
      <c r="T192" s="753" t="str">
        <f t="shared" si="31"/>
        <v>-</v>
      </c>
      <c r="U192" s="22">
        <v>1</v>
      </c>
      <c r="V192" s="20"/>
    </row>
    <row r="193" spans="1:22" ht="12.75" customHeight="1">
      <c r="A193" s="73" t="s">
        <v>602</v>
      </c>
      <c r="B193" s="2" t="s">
        <v>22</v>
      </c>
      <c r="C193" s="2">
        <v>250</v>
      </c>
      <c r="D193" s="2">
        <v>90</v>
      </c>
      <c r="E193" s="2">
        <v>129</v>
      </c>
      <c r="F193" s="2">
        <v>121</v>
      </c>
      <c r="G193" s="21">
        <f t="shared" si="32"/>
        <v>2.8125</v>
      </c>
      <c r="H193" s="20">
        <f t="shared" si="25"/>
        <v>2.903</v>
      </c>
      <c r="I193" s="20">
        <f t="shared" si="26"/>
        <v>2.8130000000000002</v>
      </c>
      <c r="J193" s="72">
        <f t="shared" si="27"/>
        <v>3.3119999999999998</v>
      </c>
      <c r="K193" s="826"/>
      <c r="L193" s="20"/>
      <c r="M193" s="20"/>
      <c r="N193" s="20"/>
      <c r="O193" s="20"/>
      <c r="P193" s="20"/>
      <c r="Q193" s="23"/>
      <c r="R193" s="22" t="s">
        <v>16</v>
      </c>
      <c r="S193" s="22" t="s">
        <v>16</v>
      </c>
      <c r="T193" s="753">
        <f t="shared" si="31"/>
        <v>1452.6826262126219</v>
      </c>
      <c r="U193" s="22">
        <v>1</v>
      </c>
      <c r="V193" s="20"/>
    </row>
    <row r="194" spans="1:22" ht="12.75" customHeight="1">
      <c r="A194" s="73" t="s">
        <v>603</v>
      </c>
      <c r="B194" s="2" t="s">
        <v>22</v>
      </c>
      <c r="C194" s="2">
        <v>250</v>
      </c>
      <c r="D194" s="2">
        <v>90</v>
      </c>
      <c r="E194" s="2">
        <v>134</v>
      </c>
      <c r="F194" s="2">
        <v>116</v>
      </c>
      <c r="G194" s="21">
        <f t="shared" si="32"/>
        <v>2.8125</v>
      </c>
      <c r="H194" s="20">
        <f t="shared" si="25"/>
        <v>3.0150000000000001</v>
      </c>
      <c r="I194" s="20">
        <f t="shared" si="26"/>
        <v>2.8130000000000002</v>
      </c>
      <c r="J194" s="72">
        <f t="shared" si="27"/>
        <v>3.2480000000000002</v>
      </c>
      <c r="K194" s="826"/>
      <c r="L194" s="20"/>
      <c r="M194" s="20"/>
      <c r="N194" s="20"/>
      <c r="O194" s="20"/>
      <c r="P194" s="20"/>
      <c r="Q194" s="23"/>
      <c r="R194" s="22" t="s">
        <v>16</v>
      </c>
      <c r="S194" s="22" t="s">
        <v>16</v>
      </c>
      <c r="T194" s="753">
        <f t="shared" si="31"/>
        <v>673.3416666150996</v>
      </c>
      <c r="U194" s="22">
        <v>1</v>
      </c>
      <c r="V194" s="20"/>
    </row>
    <row r="195" spans="1:22" ht="12.75" customHeight="1">
      <c r="A195" s="73" t="s">
        <v>604</v>
      </c>
      <c r="B195" s="2" t="s">
        <v>22</v>
      </c>
      <c r="C195" s="2">
        <v>250</v>
      </c>
      <c r="D195" s="2">
        <v>90</v>
      </c>
      <c r="E195" s="2">
        <v>138</v>
      </c>
      <c r="F195" s="2">
        <v>112</v>
      </c>
      <c r="G195" s="21">
        <f t="shared" si="32"/>
        <v>2.8125</v>
      </c>
      <c r="H195" s="20">
        <f t="shared" si="25"/>
        <v>3.105</v>
      </c>
      <c r="I195" s="20">
        <f t="shared" si="26"/>
        <v>2.8130000000000002</v>
      </c>
      <c r="J195" s="72">
        <f t="shared" si="27"/>
        <v>3.1920000000000002</v>
      </c>
      <c r="K195" s="826"/>
      <c r="L195" s="20"/>
      <c r="M195" s="20"/>
      <c r="N195" s="20"/>
      <c r="O195" s="20"/>
      <c r="P195" s="20"/>
      <c r="Q195" s="23"/>
      <c r="R195" s="22" t="s">
        <v>16</v>
      </c>
      <c r="S195" s="22" t="s">
        <v>16</v>
      </c>
      <c r="T195" s="753">
        <f t="shared" si="31"/>
        <v>482.64991539251548</v>
      </c>
      <c r="U195" s="22">
        <v>1</v>
      </c>
      <c r="V195" s="20"/>
    </row>
    <row r="196" spans="1:22" ht="12.75" customHeight="1">
      <c r="A196" s="73" t="s">
        <v>611</v>
      </c>
      <c r="B196" s="2" t="s">
        <v>2145</v>
      </c>
      <c r="C196" s="2">
        <v>250</v>
      </c>
      <c r="D196" s="2">
        <v>124</v>
      </c>
      <c r="E196" s="2">
        <v>125</v>
      </c>
      <c r="F196" s="2">
        <v>125</v>
      </c>
      <c r="G196" s="21">
        <f t="shared" si="32"/>
        <v>3.875</v>
      </c>
      <c r="H196" s="20">
        <f t="shared" si="25"/>
        <v>3.875</v>
      </c>
      <c r="I196" s="20">
        <f t="shared" si="26"/>
        <v>3.875</v>
      </c>
      <c r="J196" s="72">
        <f t="shared" si="27"/>
        <v>3.891</v>
      </c>
      <c r="K196" s="826"/>
      <c r="L196" s="20"/>
      <c r="M196" s="20"/>
      <c r="N196" s="20"/>
      <c r="O196" s="20"/>
      <c r="P196" s="20"/>
      <c r="Q196" s="23"/>
      <c r="R196" s="22" t="s">
        <v>16</v>
      </c>
      <c r="S196" s="22" t="s">
        <v>16</v>
      </c>
      <c r="T196" s="753" t="str">
        <f t="shared" si="31"/>
        <v>-</v>
      </c>
      <c r="U196" s="22">
        <v>1</v>
      </c>
      <c r="V196" s="20"/>
    </row>
    <row r="197" spans="1:22" ht="12.75" customHeight="1">
      <c r="A197" s="73" t="s">
        <v>629</v>
      </c>
      <c r="B197" s="2" t="s">
        <v>22</v>
      </c>
      <c r="C197" s="2">
        <v>250</v>
      </c>
      <c r="D197" s="2">
        <v>124</v>
      </c>
      <c r="E197" s="2">
        <v>128</v>
      </c>
      <c r="F197" s="2">
        <v>122</v>
      </c>
      <c r="G197" s="21">
        <f t="shared" si="32"/>
        <v>3.875</v>
      </c>
      <c r="H197" s="20">
        <f t="shared" si="25"/>
        <v>3.968</v>
      </c>
      <c r="I197" s="20">
        <f t="shared" si="26"/>
        <v>3.875</v>
      </c>
      <c r="J197" s="72">
        <f t="shared" si="27"/>
        <v>3.843</v>
      </c>
      <c r="K197" s="826"/>
      <c r="L197" s="20"/>
      <c r="M197" s="20"/>
      <c r="N197" s="20"/>
      <c r="O197" s="20"/>
      <c r="P197" s="20"/>
      <c r="Q197" s="23"/>
      <c r="R197" s="22" t="s">
        <v>16</v>
      </c>
      <c r="S197" s="22" t="s">
        <v>16</v>
      </c>
      <c r="T197" s="753">
        <f t="shared" si="31"/>
        <v>2646.1074136256157</v>
      </c>
      <c r="U197" s="22">
        <v>1</v>
      </c>
      <c r="V197" s="20"/>
    </row>
    <row r="198" spans="1:22" ht="12.75" customHeight="1">
      <c r="A198" s="73" t="s">
        <v>630</v>
      </c>
      <c r="B198" s="2" t="s">
        <v>22</v>
      </c>
      <c r="C198" s="2">
        <v>250</v>
      </c>
      <c r="D198" s="2">
        <v>124</v>
      </c>
      <c r="E198" s="2">
        <v>130</v>
      </c>
      <c r="F198" s="2">
        <v>120</v>
      </c>
      <c r="G198" s="21">
        <f t="shared" si="32"/>
        <v>3.875</v>
      </c>
      <c r="H198" s="20">
        <f t="shared" si="25"/>
        <v>4.03</v>
      </c>
      <c r="I198" s="20">
        <f t="shared" si="26"/>
        <v>3.875</v>
      </c>
      <c r="J198" s="72">
        <f t="shared" si="27"/>
        <v>3.81</v>
      </c>
      <c r="K198" s="826"/>
      <c r="L198" s="20"/>
      <c r="M198" s="20"/>
      <c r="N198" s="20"/>
      <c r="O198" s="20"/>
      <c r="P198" s="20"/>
      <c r="Q198" s="23"/>
      <c r="R198" s="22" t="s">
        <v>16</v>
      </c>
      <c r="S198" s="22" t="s">
        <v>16</v>
      </c>
      <c r="T198" s="753">
        <f t="shared" si="31"/>
        <v>1613.3099516212005</v>
      </c>
      <c r="U198" s="22">
        <v>1</v>
      </c>
      <c r="V198" s="20"/>
    </row>
    <row r="199" spans="1:22" ht="12.75" customHeight="1">
      <c r="A199" s="73" t="s">
        <v>631</v>
      </c>
      <c r="B199" s="2" t="s">
        <v>22</v>
      </c>
      <c r="C199" s="2">
        <v>250</v>
      </c>
      <c r="D199" s="2">
        <v>124</v>
      </c>
      <c r="E199" s="2">
        <v>137</v>
      </c>
      <c r="F199" s="2">
        <v>113</v>
      </c>
      <c r="G199" s="21">
        <f t="shared" si="32"/>
        <v>3.875</v>
      </c>
      <c r="H199" s="20">
        <f t="shared" si="25"/>
        <v>4.2469999999999999</v>
      </c>
      <c r="I199" s="20">
        <f t="shared" si="26"/>
        <v>3.875</v>
      </c>
      <c r="J199" s="72">
        <f t="shared" si="27"/>
        <v>3.6869999999999998</v>
      </c>
      <c r="K199" s="826"/>
      <c r="L199" s="20"/>
      <c r="M199" s="20"/>
      <c r="N199" s="20"/>
      <c r="O199" s="20"/>
      <c r="P199" s="20"/>
      <c r="Q199" s="23"/>
      <c r="R199" s="22" t="s">
        <v>16</v>
      </c>
      <c r="S199" s="22" t="s">
        <v>16</v>
      </c>
      <c r="T199" s="753">
        <f t="shared" si="31"/>
        <v>711.14012527614955</v>
      </c>
      <c r="U199" s="22">
        <v>1</v>
      </c>
      <c r="V199" s="20"/>
    </row>
    <row r="200" spans="1:22" ht="12.75" customHeight="1">
      <c r="A200" s="73" t="s">
        <v>612</v>
      </c>
      <c r="B200" s="2" t="s">
        <v>2145</v>
      </c>
      <c r="C200" s="2">
        <v>250</v>
      </c>
      <c r="D200" s="2">
        <v>155</v>
      </c>
      <c r="E200" s="2">
        <v>100</v>
      </c>
      <c r="F200" s="2">
        <v>100</v>
      </c>
      <c r="G200" s="21">
        <f t="shared" si="32"/>
        <v>3.875</v>
      </c>
      <c r="H200" s="20">
        <f t="shared" si="25"/>
        <v>3.875</v>
      </c>
      <c r="I200" s="20">
        <f t="shared" si="26"/>
        <v>3.875</v>
      </c>
      <c r="J200" s="72">
        <f t="shared" si="27"/>
        <v>3.1880000000000002</v>
      </c>
      <c r="K200" s="826"/>
      <c r="L200" s="20"/>
      <c r="M200" s="20"/>
      <c r="N200" s="20"/>
      <c r="O200" s="20"/>
      <c r="P200" s="20"/>
      <c r="Q200" s="23"/>
      <c r="R200" s="22" t="s">
        <v>16</v>
      </c>
      <c r="S200" s="22" t="s">
        <v>16</v>
      </c>
      <c r="T200" s="753" t="str">
        <f t="shared" si="31"/>
        <v>-</v>
      </c>
      <c r="U200" s="22">
        <v>1</v>
      </c>
      <c r="V200" s="20"/>
    </row>
    <row r="201" spans="1:22" ht="12.75" customHeight="1">
      <c r="A201" s="73" t="s">
        <v>613</v>
      </c>
      <c r="B201" s="2" t="s">
        <v>22</v>
      </c>
      <c r="C201" s="2">
        <v>250</v>
      </c>
      <c r="D201" s="2">
        <v>155</v>
      </c>
      <c r="E201" s="2">
        <v>103</v>
      </c>
      <c r="F201" s="2">
        <v>97</v>
      </c>
      <c r="G201" s="21">
        <f t="shared" si="32"/>
        <v>3.875</v>
      </c>
      <c r="H201" s="20">
        <f t="shared" si="25"/>
        <v>3.9910000000000001</v>
      </c>
      <c r="I201" s="20">
        <f t="shared" si="26"/>
        <v>3.875</v>
      </c>
      <c r="J201" s="72">
        <f t="shared" si="27"/>
        <v>3.1280000000000001</v>
      </c>
      <c r="K201" s="826"/>
      <c r="L201" s="20"/>
      <c r="M201" s="20"/>
      <c r="N201" s="20"/>
      <c r="O201" s="20"/>
      <c r="P201" s="20"/>
      <c r="Q201" s="23"/>
      <c r="R201" s="22" t="s">
        <v>16</v>
      </c>
      <c r="S201" s="22" t="s">
        <v>16</v>
      </c>
      <c r="T201" s="753">
        <f t="shared" si="31"/>
        <v>2661.3316737636774</v>
      </c>
      <c r="U201" s="22">
        <v>1</v>
      </c>
      <c r="V201" s="20"/>
    </row>
    <row r="202" spans="1:22" ht="12.75" customHeight="1">
      <c r="A202" s="73" t="s">
        <v>614</v>
      </c>
      <c r="B202" s="2" t="s">
        <v>22</v>
      </c>
      <c r="C202" s="2">
        <v>250</v>
      </c>
      <c r="D202" s="2">
        <v>155</v>
      </c>
      <c r="E202" s="2">
        <v>105</v>
      </c>
      <c r="F202" s="2">
        <v>95</v>
      </c>
      <c r="G202" s="21">
        <f t="shared" si="32"/>
        <v>3.875</v>
      </c>
      <c r="H202" s="20">
        <f t="shared" si="25"/>
        <v>4.069</v>
      </c>
      <c r="I202" s="20">
        <f t="shared" si="26"/>
        <v>3.875</v>
      </c>
      <c r="J202" s="72">
        <f t="shared" si="27"/>
        <v>3.0880000000000001</v>
      </c>
      <c r="K202" s="826"/>
      <c r="L202" s="20"/>
      <c r="M202" s="20"/>
      <c r="N202" s="20"/>
      <c r="O202" s="20"/>
      <c r="P202" s="20"/>
      <c r="Q202" s="23"/>
      <c r="R202" s="22" t="s">
        <v>16</v>
      </c>
      <c r="S202" s="22" t="s">
        <v>16</v>
      </c>
      <c r="T202" s="753">
        <f t="shared" si="31"/>
        <v>1628.3465540234365</v>
      </c>
      <c r="U202" s="22">
        <v>1</v>
      </c>
      <c r="V202" s="20"/>
    </row>
    <row r="203" spans="1:22" ht="12.75" customHeight="1">
      <c r="A203" s="73" t="s">
        <v>615</v>
      </c>
      <c r="B203" s="2" t="s">
        <v>22</v>
      </c>
      <c r="C203" s="2">
        <v>250</v>
      </c>
      <c r="D203" s="2">
        <v>155</v>
      </c>
      <c r="E203" s="2">
        <v>110</v>
      </c>
      <c r="F203" s="2">
        <v>90</v>
      </c>
      <c r="G203" s="21">
        <f t="shared" si="32"/>
        <v>3.875</v>
      </c>
      <c r="H203" s="20">
        <f t="shared" si="25"/>
        <v>4.2629999999999999</v>
      </c>
      <c r="I203" s="20">
        <f t="shared" si="26"/>
        <v>3.875</v>
      </c>
      <c r="J203" s="72">
        <f t="shared" si="27"/>
        <v>2.9809999999999999</v>
      </c>
      <c r="K203" s="826"/>
      <c r="L203" s="20"/>
      <c r="M203" s="20"/>
      <c r="N203" s="20"/>
      <c r="O203" s="20"/>
      <c r="P203" s="20"/>
      <c r="Q203" s="23"/>
      <c r="R203" s="22" t="s">
        <v>16</v>
      </c>
      <c r="S203" s="22" t="s">
        <v>16</v>
      </c>
      <c r="T203" s="753">
        <f t="shared" si="31"/>
        <v>854.27235118549868</v>
      </c>
      <c r="U203" s="22">
        <v>1</v>
      </c>
      <c r="V203" s="20"/>
    </row>
    <row r="204" spans="1:22" ht="12.75" customHeight="1">
      <c r="A204" s="73" t="s">
        <v>616</v>
      </c>
      <c r="B204" s="2" t="s">
        <v>22</v>
      </c>
      <c r="C204" s="2">
        <v>250</v>
      </c>
      <c r="D204" s="2">
        <v>155</v>
      </c>
      <c r="E204" s="2">
        <v>113</v>
      </c>
      <c r="F204" s="2">
        <v>87</v>
      </c>
      <c r="G204" s="21">
        <f t="shared" si="32"/>
        <v>3.875</v>
      </c>
      <c r="H204" s="20">
        <f t="shared" si="25"/>
        <v>4.3789999999999996</v>
      </c>
      <c r="I204" s="20">
        <f t="shared" si="26"/>
        <v>3.875</v>
      </c>
      <c r="J204" s="72">
        <f t="shared" si="27"/>
        <v>2.915</v>
      </c>
      <c r="K204" s="826"/>
      <c r="L204" s="20"/>
      <c r="M204" s="20"/>
      <c r="N204" s="20"/>
      <c r="O204" s="20"/>
      <c r="P204" s="20"/>
      <c r="Q204" s="23"/>
      <c r="R204" s="22" t="s">
        <v>16</v>
      </c>
      <c r="S204" s="22" t="s">
        <v>16</v>
      </c>
      <c r="T204" s="753">
        <f t="shared" si="31"/>
        <v>676.01904887204898</v>
      </c>
      <c r="U204" s="22">
        <v>1</v>
      </c>
      <c r="V204" s="20"/>
    </row>
    <row r="205" spans="1:22" ht="12.75" customHeight="1">
      <c r="A205" s="73" t="s">
        <v>617</v>
      </c>
      <c r="B205" s="2" t="s">
        <v>2145</v>
      </c>
      <c r="C205" s="2">
        <v>250</v>
      </c>
      <c r="D205" s="2">
        <v>187</v>
      </c>
      <c r="E205" s="2">
        <v>100</v>
      </c>
      <c r="F205" s="2">
        <v>100</v>
      </c>
      <c r="G205" s="21">
        <f t="shared" si="32"/>
        <v>4.6749999999999998</v>
      </c>
      <c r="H205" s="20">
        <f t="shared" si="25"/>
        <v>4.6749999999999998</v>
      </c>
      <c r="I205" s="20">
        <f t="shared" si="26"/>
        <v>4.6749999999999998</v>
      </c>
      <c r="J205" s="72">
        <f t="shared" si="27"/>
        <v>3.5880000000000001</v>
      </c>
      <c r="K205" s="826"/>
      <c r="L205" s="20"/>
      <c r="M205" s="20"/>
      <c r="N205" s="20"/>
      <c r="O205" s="20"/>
      <c r="P205" s="20"/>
      <c r="Q205" s="23"/>
      <c r="R205" s="22" t="s">
        <v>16</v>
      </c>
      <c r="S205" s="22" t="s">
        <v>16</v>
      </c>
      <c r="T205" s="753" t="str">
        <f t="shared" si="31"/>
        <v>-</v>
      </c>
      <c r="U205" s="22">
        <v>1</v>
      </c>
      <c r="V205" s="20"/>
    </row>
    <row r="206" spans="1:22" ht="12.75" customHeight="1">
      <c r="A206" s="73" t="s">
        <v>618</v>
      </c>
      <c r="B206" s="2" t="s">
        <v>22</v>
      </c>
      <c r="C206" s="2">
        <v>250</v>
      </c>
      <c r="D206" s="2">
        <v>187</v>
      </c>
      <c r="E206" s="2">
        <v>104</v>
      </c>
      <c r="F206" s="2">
        <v>96</v>
      </c>
      <c r="G206" s="21">
        <f t="shared" si="32"/>
        <v>4.6749999999999998</v>
      </c>
      <c r="H206" s="20">
        <f t="shared" si="25"/>
        <v>4.8620000000000001</v>
      </c>
      <c r="I206" s="20">
        <f t="shared" si="26"/>
        <v>4.6749999999999998</v>
      </c>
      <c r="J206" s="72">
        <f t="shared" si="27"/>
        <v>3.492</v>
      </c>
      <c r="K206" s="826"/>
      <c r="L206" s="20"/>
      <c r="M206" s="20"/>
      <c r="N206" s="20"/>
      <c r="O206" s="20"/>
      <c r="P206" s="20"/>
      <c r="Q206" s="23"/>
      <c r="R206" s="22" t="s">
        <v>16</v>
      </c>
      <c r="S206" s="22" t="s">
        <v>16</v>
      </c>
      <c r="T206" s="753">
        <f t="shared" si="31"/>
        <v>2431.5560861308545</v>
      </c>
      <c r="U206" s="22">
        <v>1</v>
      </c>
      <c r="V206" s="20"/>
    </row>
    <row r="207" spans="1:22" ht="12.75" customHeight="1">
      <c r="A207" s="73" t="s">
        <v>619</v>
      </c>
      <c r="B207" s="2" t="s">
        <v>22</v>
      </c>
      <c r="C207" s="2">
        <v>250</v>
      </c>
      <c r="D207" s="2">
        <v>187</v>
      </c>
      <c r="E207" s="2">
        <v>105</v>
      </c>
      <c r="F207" s="2">
        <v>95</v>
      </c>
      <c r="G207" s="21">
        <f t="shared" si="32"/>
        <v>4.6749999999999998</v>
      </c>
      <c r="H207" s="20">
        <f t="shared" si="25"/>
        <v>4.9089999999999998</v>
      </c>
      <c r="I207" s="20">
        <f t="shared" si="26"/>
        <v>4.6749999999999998</v>
      </c>
      <c r="J207" s="72">
        <f t="shared" si="27"/>
        <v>3.468</v>
      </c>
      <c r="K207" s="826"/>
      <c r="L207" s="20"/>
      <c r="M207" s="20"/>
      <c r="N207" s="20"/>
      <c r="O207" s="20"/>
      <c r="P207" s="20"/>
      <c r="Q207" s="23"/>
      <c r="R207" s="22" t="s">
        <v>16</v>
      </c>
      <c r="S207" s="22" t="s">
        <v>16</v>
      </c>
      <c r="T207" s="753">
        <f t="shared" si="31"/>
        <v>1964.2017462572423</v>
      </c>
      <c r="U207" s="22">
        <v>1</v>
      </c>
      <c r="V207" s="20"/>
    </row>
    <row r="208" spans="1:22" ht="12.75" customHeight="1">
      <c r="A208" s="73" t="s">
        <v>620</v>
      </c>
      <c r="B208" s="2" t="s">
        <v>22</v>
      </c>
      <c r="C208" s="2">
        <v>250</v>
      </c>
      <c r="D208" s="2">
        <v>187</v>
      </c>
      <c r="E208" s="2">
        <v>106</v>
      </c>
      <c r="F208" s="2">
        <v>94</v>
      </c>
      <c r="G208" s="21">
        <f t="shared" si="32"/>
        <v>4.6749999999999998</v>
      </c>
      <c r="H208" s="20">
        <f t="shared" si="25"/>
        <v>4.9560000000000004</v>
      </c>
      <c r="I208" s="20">
        <f t="shared" si="26"/>
        <v>4.6749999999999998</v>
      </c>
      <c r="J208" s="72">
        <f t="shared" si="27"/>
        <v>3.4430000000000001</v>
      </c>
      <c r="K208" s="826"/>
      <c r="L208" s="20"/>
      <c r="M208" s="20"/>
      <c r="N208" s="20"/>
      <c r="O208" s="20"/>
      <c r="P208" s="20"/>
      <c r="Q208" s="23"/>
      <c r="R208" s="22" t="s">
        <v>16</v>
      </c>
      <c r="S208" s="22" t="s">
        <v>16</v>
      </c>
      <c r="T208" s="753">
        <f t="shared" si="31"/>
        <v>1652.6833819915753</v>
      </c>
      <c r="U208" s="22">
        <v>1</v>
      </c>
      <c r="V208" s="20"/>
    </row>
    <row r="209" spans="1:22" ht="12.75" customHeight="1">
      <c r="A209" s="73" t="s">
        <v>621</v>
      </c>
      <c r="B209" s="2" t="s">
        <v>22</v>
      </c>
      <c r="C209" s="2">
        <v>250</v>
      </c>
      <c r="D209" s="2">
        <v>187</v>
      </c>
      <c r="E209" s="2">
        <v>110</v>
      </c>
      <c r="F209" s="2">
        <v>90</v>
      </c>
      <c r="G209" s="21">
        <f t="shared" si="32"/>
        <v>4.6749999999999998</v>
      </c>
      <c r="H209" s="20">
        <f t="shared" si="25"/>
        <v>5.1429999999999998</v>
      </c>
      <c r="I209" s="20">
        <f t="shared" si="26"/>
        <v>4.6749999999999998</v>
      </c>
      <c r="J209" s="72">
        <f t="shared" si="27"/>
        <v>3.3410000000000002</v>
      </c>
      <c r="K209" s="826"/>
      <c r="L209" s="20"/>
      <c r="M209" s="20"/>
      <c r="N209" s="20"/>
      <c r="O209" s="20"/>
      <c r="P209" s="20"/>
      <c r="Q209" s="23"/>
      <c r="R209" s="22" t="s">
        <v>16</v>
      </c>
      <c r="S209" s="22" t="s">
        <v>16</v>
      </c>
      <c r="T209" s="753">
        <f t="shared" si="31"/>
        <v>1029.9695383845099</v>
      </c>
      <c r="U209" s="22">
        <v>1</v>
      </c>
      <c r="V209" s="20"/>
    </row>
    <row r="210" spans="1:22" ht="12.75" customHeight="1">
      <c r="A210" s="73" t="s">
        <v>622</v>
      </c>
      <c r="B210" s="2" t="s">
        <v>22</v>
      </c>
      <c r="C210" s="2">
        <v>250</v>
      </c>
      <c r="D210" s="2">
        <v>187</v>
      </c>
      <c r="E210" s="2">
        <v>111</v>
      </c>
      <c r="F210" s="2">
        <v>89</v>
      </c>
      <c r="G210" s="21">
        <f t="shared" si="32"/>
        <v>4.6749999999999998</v>
      </c>
      <c r="H210" s="20">
        <f t="shared" si="25"/>
        <v>5.1890000000000001</v>
      </c>
      <c r="I210" s="20">
        <f t="shared" si="26"/>
        <v>4.6749999999999998</v>
      </c>
      <c r="J210" s="72">
        <f t="shared" si="27"/>
        <v>3.3149999999999999</v>
      </c>
      <c r="K210" s="826"/>
      <c r="L210" s="20"/>
      <c r="M210" s="20"/>
      <c r="N210" s="20"/>
      <c r="O210" s="20"/>
      <c r="P210" s="20"/>
      <c r="Q210" s="23"/>
      <c r="R210" s="22" t="s">
        <v>16</v>
      </c>
      <c r="S210" s="22" t="s">
        <v>16</v>
      </c>
      <c r="T210" s="753">
        <f t="shared" si="31"/>
        <v>945.13094330891533</v>
      </c>
      <c r="U210" s="22">
        <v>1</v>
      </c>
      <c r="V210" s="20"/>
    </row>
    <row r="211" spans="1:22" ht="12.75" customHeight="1">
      <c r="A211" s="73" t="s">
        <v>623</v>
      </c>
      <c r="B211" s="2" t="s">
        <v>2145</v>
      </c>
      <c r="C211" s="2">
        <v>250</v>
      </c>
      <c r="D211" s="2">
        <v>220</v>
      </c>
      <c r="E211" s="2">
        <v>100</v>
      </c>
      <c r="F211" s="2">
        <v>100</v>
      </c>
      <c r="G211" s="21">
        <f t="shared" si="32"/>
        <v>5.5</v>
      </c>
      <c r="H211" s="20">
        <f t="shared" si="25"/>
        <v>5.5</v>
      </c>
      <c r="I211" s="20">
        <f t="shared" si="26"/>
        <v>5.5</v>
      </c>
      <c r="J211" s="72">
        <f t="shared" si="27"/>
        <v>4</v>
      </c>
      <c r="K211" s="826"/>
      <c r="L211" s="20"/>
      <c r="M211" s="20"/>
      <c r="N211" s="20"/>
      <c r="O211" s="20"/>
      <c r="P211" s="20"/>
      <c r="Q211" s="23"/>
      <c r="R211" s="22" t="s">
        <v>16</v>
      </c>
      <c r="S211" s="22" t="s">
        <v>16</v>
      </c>
      <c r="T211" s="753" t="str">
        <f t="shared" si="31"/>
        <v>-</v>
      </c>
      <c r="U211" s="22">
        <v>1</v>
      </c>
      <c r="V211" s="20"/>
    </row>
    <row r="212" spans="1:22" ht="12.75" customHeight="1">
      <c r="A212" s="73" t="s">
        <v>624</v>
      </c>
      <c r="B212" s="2" t="s">
        <v>22</v>
      </c>
      <c r="C212" s="2">
        <v>250</v>
      </c>
      <c r="D212" s="2">
        <v>220</v>
      </c>
      <c r="E212" s="2">
        <v>103</v>
      </c>
      <c r="F212" s="2">
        <v>97</v>
      </c>
      <c r="G212" s="21">
        <f t="shared" si="32"/>
        <v>5.5</v>
      </c>
      <c r="H212" s="20">
        <f t="shared" si="25"/>
        <v>5.665</v>
      </c>
      <c r="I212" s="20">
        <f t="shared" si="26"/>
        <v>5.5</v>
      </c>
      <c r="J212" s="72">
        <f t="shared" si="27"/>
        <v>3.9159999999999999</v>
      </c>
      <c r="K212" s="826"/>
      <c r="L212" s="20"/>
      <c r="M212" s="20"/>
      <c r="N212" s="20"/>
      <c r="O212" s="20"/>
      <c r="P212" s="20"/>
      <c r="Q212" s="23"/>
      <c r="R212" s="22" t="s">
        <v>16</v>
      </c>
      <c r="S212" s="22" t="s">
        <v>16</v>
      </c>
      <c r="T212" s="753">
        <f t="shared" si="31"/>
        <v>3777.017786708333</v>
      </c>
      <c r="U212" s="22">
        <v>1</v>
      </c>
      <c r="V212" s="20"/>
    </row>
    <row r="213" spans="1:22" ht="12.75" customHeight="1">
      <c r="A213" s="73" t="s">
        <v>625</v>
      </c>
      <c r="B213" s="2" t="s">
        <v>22</v>
      </c>
      <c r="C213" s="2">
        <v>250</v>
      </c>
      <c r="D213" s="2">
        <v>220</v>
      </c>
      <c r="E213" s="2">
        <v>104</v>
      </c>
      <c r="F213" s="2">
        <v>96</v>
      </c>
      <c r="G213" s="21">
        <f t="shared" si="32"/>
        <v>5.5</v>
      </c>
      <c r="H213" s="20">
        <f t="shared" si="25"/>
        <v>5.72</v>
      </c>
      <c r="I213" s="20">
        <f t="shared" si="26"/>
        <v>5.5</v>
      </c>
      <c r="J213" s="72">
        <f t="shared" si="27"/>
        <v>3.8879999999999999</v>
      </c>
      <c r="K213" s="826"/>
      <c r="L213" s="20"/>
      <c r="M213" s="20"/>
      <c r="N213" s="20"/>
      <c r="O213" s="20"/>
      <c r="P213" s="20"/>
      <c r="Q213" s="23"/>
      <c r="R213" s="22" t="s">
        <v>16</v>
      </c>
      <c r="S213" s="22" t="s">
        <v>16</v>
      </c>
      <c r="T213" s="753">
        <f t="shared" si="31"/>
        <v>2860.4726882108139</v>
      </c>
      <c r="U213" s="22">
        <v>1</v>
      </c>
      <c r="V213" s="20"/>
    </row>
    <row r="214" spans="1:22" ht="12.75" customHeight="1">
      <c r="A214" s="73" t="s">
        <v>626</v>
      </c>
      <c r="B214" s="2" t="s">
        <v>22</v>
      </c>
      <c r="C214" s="2">
        <v>250</v>
      </c>
      <c r="D214" s="2">
        <v>220</v>
      </c>
      <c r="E214" s="2">
        <v>106</v>
      </c>
      <c r="F214" s="2">
        <v>94</v>
      </c>
      <c r="G214" s="21">
        <f t="shared" si="32"/>
        <v>5.5</v>
      </c>
      <c r="H214" s="20">
        <f t="shared" si="25"/>
        <v>5.83</v>
      </c>
      <c r="I214" s="20">
        <f t="shared" si="26"/>
        <v>5.5</v>
      </c>
      <c r="J214" s="72">
        <f t="shared" si="27"/>
        <v>3.831</v>
      </c>
      <c r="K214" s="826"/>
      <c r="L214" s="20"/>
      <c r="M214" s="20"/>
      <c r="N214" s="20"/>
      <c r="O214" s="20"/>
      <c r="P214" s="20"/>
      <c r="Q214" s="23"/>
      <c r="R214" s="22" t="s">
        <v>16</v>
      </c>
      <c r="S214" s="22" t="s">
        <v>16</v>
      </c>
      <c r="T214" s="753">
        <f t="shared" si="31"/>
        <v>1944.0559262645827</v>
      </c>
      <c r="U214" s="22">
        <v>1</v>
      </c>
      <c r="V214" s="20"/>
    </row>
    <row r="215" spans="1:22" ht="12.75" customHeight="1">
      <c r="A215" s="73" t="s">
        <v>627</v>
      </c>
      <c r="B215" s="2" t="s">
        <v>22</v>
      </c>
      <c r="C215" s="2">
        <v>250</v>
      </c>
      <c r="D215" s="2">
        <v>220</v>
      </c>
      <c r="E215" s="2">
        <v>108</v>
      </c>
      <c r="F215" s="2">
        <v>92</v>
      </c>
      <c r="G215" s="21">
        <f t="shared" si="32"/>
        <v>5.5</v>
      </c>
      <c r="H215" s="20">
        <f t="shared" si="25"/>
        <v>5.94</v>
      </c>
      <c r="I215" s="20">
        <f t="shared" si="26"/>
        <v>5.5</v>
      </c>
      <c r="J215" s="72">
        <f t="shared" si="27"/>
        <v>3.7719999999999998</v>
      </c>
      <c r="K215" s="826"/>
      <c r="L215" s="20"/>
      <c r="M215" s="20"/>
      <c r="N215" s="20"/>
      <c r="O215" s="20"/>
      <c r="P215" s="20"/>
      <c r="Q215" s="23"/>
      <c r="R215" s="22" t="s">
        <v>16</v>
      </c>
      <c r="S215" s="22" t="s">
        <v>16</v>
      </c>
      <c r="T215" s="753">
        <f t="shared" si="31"/>
        <v>1485.9814938282375</v>
      </c>
      <c r="U215" s="22">
        <v>1</v>
      </c>
      <c r="V215" s="20"/>
    </row>
    <row r="216" spans="1:22" ht="12.75" customHeight="1" thickBot="1">
      <c r="A216" s="73" t="s">
        <v>628</v>
      </c>
      <c r="B216" s="2" t="s">
        <v>22</v>
      </c>
      <c r="C216" s="2">
        <v>250</v>
      </c>
      <c r="D216" s="2">
        <v>220</v>
      </c>
      <c r="E216" s="2">
        <v>111</v>
      </c>
      <c r="F216" s="2">
        <v>89</v>
      </c>
      <c r="G216" s="21">
        <f t="shared" si="32"/>
        <v>5.5</v>
      </c>
      <c r="H216" s="20">
        <f t="shared" si="25"/>
        <v>6.1050000000000004</v>
      </c>
      <c r="I216" s="20">
        <f t="shared" si="26"/>
        <v>5.5</v>
      </c>
      <c r="J216" s="72">
        <f t="shared" si="27"/>
        <v>3.6819999999999999</v>
      </c>
      <c r="K216" s="827"/>
      <c r="L216" s="20"/>
      <c r="M216" s="20"/>
      <c r="N216" s="20"/>
      <c r="O216" s="20"/>
      <c r="P216" s="20"/>
      <c r="Q216" s="23"/>
      <c r="R216" s="22" t="s">
        <v>16</v>
      </c>
      <c r="S216" s="22" t="s">
        <v>16</v>
      </c>
      <c r="T216" s="753">
        <f t="shared" si="31"/>
        <v>1111.3866338947937</v>
      </c>
      <c r="U216" s="22">
        <v>1</v>
      </c>
      <c r="V216" s="20"/>
    </row>
    <row r="217" spans="1:22" ht="25.2" thickBot="1">
      <c r="A217" s="350"/>
      <c r="B217" s="69"/>
      <c r="C217" s="69"/>
      <c r="D217" s="69"/>
      <c r="E217" s="69"/>
      <c r="F217" s="69"/>
      <c r="G217" s="99"/>
      <c r="H217" s="69"/>
      <c r="I217" s="69"/>
      <c r="J217" s="69"/>
      <c r="K217" s="71"/>
      <c r="L217" s="20"/>
      <c r="M217" s="20"/>
      <c r="N217" s="20"/>
      <c r="O217" s="20"/>
      <c r="P217" s="20"/>
      <c r="Q217" s="23"/>
      <c r="R217" s="22"/>
      <c r="S217" s="22"/>
      <c r="T217" s="753"/>
      <c r="U217" s="22"/>
      <c r="V217" s="20"/>
    </row>
    <row r="218" spans="1:22">
      <c r="A218" s="73" t="s">
        <v>441</v>
      </c>
      <c r="B218" s="2" t="s">
        <v>2146</v>
      </c>
      <c r="C218" s="2">
        <v>200</v>
      </c>
      <c r="D218" s="2">
        <v>150</v>
      </c>
      <c r="E218" s="2">
        <v>119</v>
      </c>
      <c r="F218" s="2">
        <v>110</v>
      </c>
      <c r="G218" s="21">
        <f t="shared" si="32"/>
        <v>3.4350000000000001</v>
      </c>
      <c r="H218" s="20">
        <f t="shared" ref="H218:H219" si="33">ROUND(C218*D218*E218/10^6,3)</f>
        <v>3.57</v>
      </c>
      <c r="I218" s="20">
        <f t="shared" ref="I218:I220" si="34">IF(F218="","-",ROUND((E218+F218)*C218/2*D218/10^6,3))</f>
        <v>3.4350000000000001</v>
      </c>
      <c r="J218" s="72">
        <f t="shared" ref="J218:J220" si="35">IF(F218="","-",ROUND((D218+E218)*C218/2*F218/10^6,3))</f>
        <v>2.9590000000000001</v>
      </c>
      <c r="K218" s="56"/>
      <c r="L218" s="20"/>
      <c r="M218" s="20"/>
      <c r="N218" s="20"/>
      <c r="O218" s="20"/>
      <c r="P218" s="20"/>
      <c r="Q218" s="21"/>
      <c r="R218" s="22">
        <f t="shared" ref="R218:R253" si="36">D218</f>
        <v>150</v>
      </c>
      <c r="S218" s="20"/>
      <c r="T218" s="753">
        <f>IF(E218=F218,"-",(E218/(E218-F218))*SQRT((C218^2)+((E218-F218)/2)^2))</f>
        <v>2645.1137347481085</v>
      </c>
      <c r="U218" s="22">
        <v>1</v>
      </c>
      <c r="V218" s="20"/>
    </row>
    <row r="219" spans="1:22">
      <c r="A219" s="73" t="s">
        <v>442</v>
      </c>
      <c r="B219" s="2" t="s">
        <v>2146</v>
      </c>
      <c r="C219" s="2">
        <v>200</v>
      </c>
      <c r="D219" s="2">
        <v>150</v>
      </c>
      <c r="E219" s="2">
        <v>130</v>
      </c>
      <c r="F219" s="2">
        <v>110</v>
      </c>
      <c r="G219" s="21">
        <f t="shared" si="32"/>
        <v>3.6</v>
      </c>
      <c r="H219" s="20">
        <f t="shared" si="33"/>
        <v>3.9</v>
      </c>
      <c r="I219" s="20">
        <f t="shared" si="34"/>
        <v>3.6</v>
      </c>
      <c r="J219" s="72">
        <f t="shared" si="35"/>
        <v>3.08</v>
      </c>
      <c r="K219" s="56"/>
      <c r="L219" s="20"/>
      <c r="M219" s="20"/>
      <c r="N219" s="20"/>
      <c r="O219" s="20"/>
      <c r="P219" s="20"/>
      <c r="Q219" s="21"/>
      <c r="R219" s="22">
        <f t="shared" si="36"/>
        <v>150</v>
      </c>
      <c r="S219" s="20"/>
      <c r="T219" s="753">
        <f t="shared" ref="T219:T253" si="37">IF(E219=F219,"-",(E219/(E219-F219))*SQRT((C219^2)+((E219-F219)/2)^2))</f>
        <v>1301.6239856425511</v>
      </c>
      <c r="U219" s="22">
        <v>1</v>
      </c>
      <c r="V219" s="20"/>
    </row>
    <row r="220" spans="1:22">
      <c r="A220" s="73" t="s">
        <v>447</v>
      </c>
      <c r="B220" s="2" t="s">
        <v>2146</v>
      </c>
      <c r="C220" s="2">
        <v>300</v>
      </c>
      <c r="D220" s="2">
        <v>150</v>
      </c>
      <c r="E220" s="2">
        <v>69</v>
      </c>
      <c r="F220" s="2">
        <v>65</v>
      </c>
      <c r="G220" s="21">
        <f t="shared" si="32"/>
        <v>3.0150000000000001</v>
      </c>
      <c r="H220" s="20">
        <f t="shared" ref="H220:H224" si="38">ROUND(C220*D220*E220/10^6,3)</f>
        <v>3.105</v>
      </c>
      <c r="I220" s="20">
        <f t="shared" si="34"/>
        <v>3.0150000000000001</v>
      </c>
      <c r="J220" s="72">
        <f t="shared" si="35"/>
        <v>2.1349999999999998</v>
      </c>
      <c r="K220" s="56"/>
      <c r="L220" s="20"/>
      <c r="M220" s="20"/>
      <c r="N220" s="20"/>
      <c r="O220" s="20"/>
      <c r="P220" s="20"/>
      <c r="Q220" s="21"/>
      <c r="R220" s="22">
        <f t="shared" si="36"/>
        <v>150</v>
      </c>
      <c r="S220" s="20"/>
      <c r="T220" s="753">
        <f t="shared" si="37"/>
        <v>5175.1149987222507</v>
      </c>
      <c r="U220" s="22">
        <v>1</v>
      </c>
      <c r="V220" s="20"/>
    </row>
    <row r="221" spans="1:22">
      <c r="A221" s="73" t="s">
        <v>448</v>
      </c>
      <c r="B221" s="2" t="s">
        <v>2146</v>
      </c>
      <c r="C221" s="2">
        <v>300</v>
      </c>
      <c r="D221" s="2">
        <v>150</v>
      </c>
      <c r="E221" s="2">
        <v>71</v>
      </c>
      <c r="F221" s="2">
        <v>65</v>
      </c>
      <c r="G221" s="21">
        <f t="shared" si="32"/>
        <v>3.06</v>
      </c>
      <c r="H221" s="20">
        <f t="shared" si="38"/>
        <v>3.1949999999999998</v>
      </c>
      <c r="I221" s="20">
        <f t="shared" ref="I221:I226" si="39">IF(F221="","-",ROUND((E221+F221)*C221/2*D221/10^6,3))</f>
        <v>3.06</v>
      </c>
      <c r="J221" s="72">
        <f t="shared" ref="J221:J226" si="40">IF(F221="","-",ROUND((D221+E221)*C221/2*F221/10^6,3))</f>
        <v>2.1549999999999998</v>
      </c>
      <c r="K221" s="56"/>
      <c r="L221" s="20"/>
      <c r="M221" s="20"/>
      <c r="N221" s="20"/>
      <c r="O221" s="20"/>
      <c r="P221" s="20"/>
      <c r="Q221" s="21"/>
      <c r="R221" s="22">
        <f t="shared" si="36"/>
        <v>150</v>
      </c>
      <c r="S221" s="20"/>
      <c r="T221" s="753">
        <f t="shared" si="37"/>
        <v>3550.177495562722</v>
      </c>
      <c r="U221" s="22">
        <v>1</v>
      </c>
      <c r="V221" s="20"/>
    </row>
    <row r="222" spans="1:22">
      <c r="A222" s="73" t="s">
        <v>449</v>
      </c>
      <c r="B222" s="2" t="s">
        <v>2146</v>
      </c>
      <c r="C222" s="2">
        <v>300</v>
      </c>
      <c r="D222" s="2">
        <v>150</v>
      </c>
      <c r="E222" s="2">
        <v>75</v>
      </c>
      <c r="F222" s="2">
        <v>65</v>
      </c>
      <c r="G222" s="21">
        <f t="shared" si="32"/>
        <v>3.15</v>
      </c>
      <c r="H222" s="20">
        <f t="shared" si="38"/>
        <v>3.375</v>
      </c>
      <c r="I222" s="20">
        <f t="shared" si="39"/>
        <v>3.15</v>
      </c>
      <c r="J222" s="72">
        <f t="shared" si="40"/>
        <v>2.194</v>
      </c>
      <c r="K222" s="56"/>
      <c r="L222" s="20"/>
      <c r="M222" s="20"/>
      <c r="N222" s="20"/>
      <c r="O222" s="20"/>
      <c r="P222" s="20"/>
      <c r="Q222" s="21"/>
      <c r="R222" s="22">
        <f t="shared" si="36"/>
        <v>150</v>
      </c>
      <c r="S222" s="20"/>
      <c r="T222" s="753">
        <f t="shared" si="37"/>
        <v>2250.3124783016247</v>
      </c>
      <c r="U222" s="22">
        <v>1</v>
      </c>
      <c r="V222" s="20"/>
    </row>
    <row r="223" spans="1:22">
      <c r="A223" s="73" t="s">
        <v>450</v>
      </c>
      <c r="B223" s="2" t="s">
        <v>2146</v>
      </c>
      <c r="C223" s="2">
        <v>300</v>
      </c>
      <c r="D223" s="2">
        <v>150</v>
      </c>
      <c r="E223" s="2">
        <v>85</v>
      </c>
      <c r="F223" s="2">
        <v>65</v>
      </c>
      <c r="G223" s="21">
        <f t="shared" si="32"/>
        <v>3.375</v>
      </c>
      <c r="H223" s="20">
        <f t="shared" si="38"/>
        <v>3.8250000000000002</v>
      </c>
      <c r="I223" s="20">
        <f t="shared" si="39"/>
        <v>3.375</v>
      </c>
      <c r="J223" s="72">
        <f t="shared" si="40"/>
        <v>2.2909999999999999</v>
      </c>
      <c r="K223" s="56"/>
      <c r="L223" s="20"/>
      <c r="M223" s="20"/>
      <c r="N223" s="20"/>
      <c r="O223" s="20"/>
      <c r="P223" s="20"/>
      <c r="Q223" s="23"/>
      <c r="R223" s="22">
        <f t="shared" si="36"/>
        <v>150</v>
      </c>
      <c r="S223" s="20"/>
      <c r="T223" s="753">
        <f t="shared" si="37"/>
        <v>1275.708136683309</v>
      </c>
      <c r="U223" s="22">
        <v>1</v>
      </c>
      <c r="V223" s="20"/>
    </row>
    <row r="224" spans="1:22">
      <c r="A224" s="73" t="s">
        <v>451</v>
      </c>
      <c r="B224" s="2" t="s">
        <v>2146</v>
      </c>
      <c r="C224" s="2">
        <v>300</v>
      </c>
      <c r="D224" s="2">
        <v>150</v>
      </c>
      <c r="E224" s="2">
        <v>90</v>
      </c>
      <c r="F224" s="2">
        <v>65</v>
      </c>
      <c r="G224" s="21">
        <f t="shared" si="32"/>
        <v>3.4874999999999998</v>
      </c>
      <c r="H224" s="20">
        <f t="shared" si="38"/>
        <v>4.05</v>
      </c>
      <c r="I224" s="20">
        <f t="shared" si="39"/>
        <v>3.488</v>
      </c>
      <c r="J224" s="72">
        <f t="shared" si="40"/>
        <v>2.34</v>
      </c>
      <c r="K224" s="56"/>
      <c r="L224" s="20"/>
      <c r="M224" s="20"/>
      <c r="N224" s="20"/>
      <c r="O224" s="20"/>
      <c r="P224" s="20"/>
      <c r="Q224" s="23"/>
      <c r="R224" s="22">
        <f t="shared" si="36"/>
        <v>150</v>
      </c>
      <c r="S224" s="20"/>
      <c r="T224" s="753">
        <f t="shared" si="37"/>
        <v>1080.9370934517883</v>
      </c>
      <c r="U224" s="22">
        <v>1</v>
      </c>
      <c r="V224" s="20"/>
    </row>
    <row r="225" spans="1:22">
      <c r="A225" s="2" t="s">
        <v>452</v>
      </c>
      <c r="B225" s="2" t="s">
        <v>2146</v>
      </c>
      <c r="C225" s="2">
        <v>300</v>
      </c>
      <c r="D225" s="2">
        <v>225</v>
      </c>
      <c r="E225" s="2">
        <v>69</v>
      </c>
      <c r="F225" s="2">
        <v>65</v>
      </c>
      <c r="G225" s="21">
        <f t="shared" si="32"/>
        <v>4.5225</v>
      </c>
      <c r="H225" s="20">
        <f t="shared" ref="H225:H230" si="41">ROUND(C225*D225*E225/10^6,3)</f>
        <v>4.6580000000000004</v>
      </c>
      <c r="I225" s="20">
        <f t="shared" si="39"/>
        <v>4.5229999999999997</v>
      </c>
      <c r="J225" s="72">
        <f t="shared" si="40"/>
        <v>2.867</v>
      </c>
      <c r="K225" s="56"/>
      <c r="L225" s="20"/>
      <c r="M225" s="20"/>
      <c r="N225" s="20"/>
      <c r="O225" s="20"/>
      <c r="P225" s="20"/>
      <c r="Q225" s="21"/>
      <c r="R225" s="22">
        <f t="shared" si="36"/>
        <v>225</v>
      </c>
      <c r="S225" s="20"/>
      <c r="T225" s="753">
        <f t="shared" si="37"/>
        <v>5175.1149987222507</v>
      </c>
      <c r="U225" s="22">
        <v>1</v>
      </c>
      <c r="V225" s="20"/>
    </row>
    <row r="226" spans="1:22">
      <c r="A226" s="2" t="s">
        <v>453</v>
      </c>
      <c r="B226" s="2" t="s">
        <v>2146</v>
      </c>
      <c r="C226" s="2">
        <v>300</v>
      </c>
      <c r="D226" s="2">
        <v>225</v>
      </c>
      <c r="E226" s="2">
        <v>71</v>
      </c>
      <c r="F226" s="2">
        <v>65</v>
      </c>
      <c r="G226" s="21">
        <f t="shared" si="32"/>
        <v>4.59</v>
      </c>
      <c r="H226" s="20">
        <f t="shared" si="41"/>
        <v>4.7930000000000001</v>
      </c>
      <c r="I226" s="20">
        <f t="shared" si="39"/>
        <v>4.59</v>
      </c>
      <c r="J226" s="72">
        <f t="shared" si="40"/>
        <v>2.8860000000000001</v>
      </c>
      <c r="K226" s="56"/>
      <c r="L226" s="20"/>
      <c r="M226" s="20"/>
      <c r="N226" s="20"/>
      <c r="O226" s="20"/>
      <c r="P226" s="20"/>
      <c r="Q226" s="21"/>
      <c r="R226" s="22">
        <f t="shared" si="36"/>
        <v>225</v>
      </c>
      <c r="S226" s="20"/>
      <c r="T226" s="753">
        <f t="shared" si="37"/>
        <v>3550.177495562722</v>
      </c>
      <c r="U226" s="22">
        <v>1</v>
      </c>
      <c r="V226" s="20"/>
    </row>
    <row r="227" spans="1:22">
      <c r="A227" s="2" t="s">
        <v>454</v>
      </c>
      <c r="B227" s="2" t="s">
        <v>2146</v>
      </c>
      <c r="C227" s="2">
        <v>300</v>
      </c>
      <c r="D227" s="2">
        <v>225</v>
      </c>
      <c r="E227" s="2">
        <v>75</v>
      </c>
      <c r="F227" s="2">
        <v>65</v>
      </c>
      <c r="G227" s="21">
        <f t="shared" si="32"/>
        <v>4.7249999999999996</v>
      </c>
      <c r="H227" s="20">
        <f t="shared" si="41"/>
        <v>5.0629999999999997</v>
      </c>
      <c r="I227" s="20">
        <f t="shared" ref="I227:I232" si="42">IF(F227="","-",ROUND((E227+F227)*C227/2*D227/10^6,3))</f>
        <v>4.7249999999999996</v>
      </c>
      <c r="J227" s="72">
        <f t="shared" ref="J227:J232" si="43">IF(F227="","-",ROUND((D227+E227)*C227/2*F227/10^6,3))</f>
        <v>2.9249999999999998</v>
      </c>
      <c r="K227" s="56"/>
      <c r="L227" s="20"/>
      <c r="M227" s="20"/>
      <c r="N227" s="20"/>
      <c r="O227" s="20"/>
      <c r="P227" s="20"/>
      <c r="Q227" s="21"/>
      <c r="R227" s="22">
        <f t="shared" si="36"/>
        <v>225</v>
      </c>
      <c r="S227" s="20"/>
      <c r="T227" s="753">
        <f t="shared" si="37"/>
        <v>2250.3124783016247</v>
      </c>
      <c r="U227" s="22">
        <v>1</v>
      </c>
      <c r="V227" s="20"/>
    </row>
    <row r="228" spans="1:22">
      <c r="A228" s="2" t="s">
        <v>455</v>
      </c>
      <c r="B228" s="2" t="s">
        <v>2146</v>
      </c>
      <c r="C228" s="2">
        <v>300</v>
      </c>
      <c r="D228" s="2">
        <v>225</v>
      </c>
      <c r="E228" s="2">
        <v>85</v>
      </c>
      <c r="F228" s="2">
        <v>65</v>
      </c>
      <c r="G228" s="21">
        <f t="shared" si="32"/>
        <v>5.0625</v>
      </c>
      <c r="H228" s="20">
        <f t="shared" si="41"/>
        <v>5.7380000000000004</v>
      </c>
      <c r="I228" s="20">
        <f t="shared" si="42"/>
        <v>5.0629999999999997</v>
      </c>
      <c r="J228" s="72">
        <f t="shared" si="43"/>
        <v>3.0230000000000001</v>
      </c>
      <c r="K228" s="56"/>
      <c r="L228" s="20"/>
      <c r="M228" s="20"/>
      <c r="N228" s="20"/>
      <c r="O228" s="20"/>
      <c r="P228" s="20"/>
      <c r="Q228" s="21"/>
      <c r="R228" s="22">
        <f t="shared" si="36"/>
        <v>225</v>
      </c>
      <c r="S228" s="20"/>
      <c r="T228" s="753">
        <f t="shared" si="37"/>
        <v>1275.708136683309</v>
      </c>
      <c r="U228" s="22">
        <v>1</v>
      </c>
      <c r="V228" s="20"/>
    </row>
    <row r="229" spans="1:22">
      <c r="A229" s="2" t="s">
        <v>456</v>
      </c>
      <c r="B229" s="2" t="s">
        <v>2146</v>
      </c>
      <c r="C229" s="2">
        <v>300</v>
      </c>
      <c r="D229" s="2">
        <v>225</v>
      </c>
      <c r="E229" s="2">
        <v>90</v>
      </c>
      <c r="F229" s="2">
        <v>65</v>
      </c>
      <c r="G229" s="21">
        <f t="shared" si="32"/>
        <v>5.2312500000000002</v>
      </c>
      <c r="H229" s="20">
        <f t="shared" si="41"/>
        <v>6.0750000000000002</v>
      </c>
      <c r="I229" s="20">
        <f t="shared" si="42"/>
        <v>5.2309999999999999</v>
      </c>
      <c r="J229" s="72">
        <f t="shared" si="43"/>
        <v>3.0710000000000002</v>
      </c>
      <c r="K229" s="56"/>
      <c r="L229" s="20"/>
      <c r="M229" s="20"/>
      <c r="N229" s="20"/>
      <c r="O229" s="20"/>
      <c r="P229" s="20"/>
      <c r="Q229" s="23"/>
      <c r="R229" s="22">
        <f t="shared" si="36"/>
        <v>225</v>
      </c>
      <c r="S229" s="20"/>
      <c r="T229" s="753">
        <f t="shared" si="37"/>
        <v>1080.9370934517883</v>
      </c>
      <c r="U229" s="22">
        <v>1</v>
      </c>
      <c r="V229" s="20"/>
    </row>
    <row r="230" spans="1:22">
      <c r="A230" s="2" t="s">
        <v>457</v>
      </c>
      <c r="B230" s="2" t="s">
        <v>2146</v>
      </c>
      <c r="C230" s="2">
        <v>300</v>
      </c>
      <c r="D230" s="2">
        <v>300</v>
      </c>
      <c r="E230" s="2">
        <v>69</v>
      </c>
      <c r="F230" s="2">
        <v>65</v>
      </c>
      <c r="G230" s="21">
        <f t="shared" si="32"/>
        <v>6.03</v>
      </c>
      <c r="H230" s="20">
        <f t="shared" si="41"/>
        <v>6.21</v>
      </c>
      <c r="I230" s="20">
        <f t="shared" si="42"/>
        <v>6.03</v>
      </c>
      <c r="J230" s="72">
        <f t="shared" si="43"/>
        <v>3.5979999999999999</v>
      </c>
      <c r="K230" s="56"/>
      <c r="L230" s="20"/>
      <c r="M230" s="20"/>
      <c r="N230" s="20"/>
      <c r="O230" s="20"/>
      <c r="P230" s="20"/>
      <c r="Q230" s="23"/>
      <c r="R230" s="22">
        <f t="shared" si="36"/>
        <v>300</v>
      </c>
      <c r="S230" s="20"/>
      <c r="T230" s="753">
        <f t="shared" si="37"/>
        <v>5175.1149987222507</v>
      </c>
      <c r="U230" s="22">
        <v>1</v>
      </c>
      <c r="V230" s="20"/>
    </row>
    <row r="231" spans="1:22">
      <c r="A231" s="2" t="s">
        <v>458</v>
      </c>
      <c r="B231" s="2" t="s">
        <v>2146</v>
      </c>
      <c r="C231" s="2">
        <v>300</v>
      </c>
      <c r="D231" s="2">
        <v>300</v>
      </c>
      <c r="E231" s="2">
        <v>71</v>
      </c>
      <c r="F231" s="2">
        <v>65</v>
      </c>
      <c r="G231" s="21">
        <f t="shared" si="32"/>
        <v>6.12</v>
      </c>
      <c r="H231" s="20">
        <f t="shared" ref="H231:H236" si="44">ROUND(C231*D231*E231/10^6,3)</f>
        <v>6.39</v>
      </c>
      <c r="I231" s="20">
        <f t="shared" si="42"/>
        <v>6.12</v>
      </c>
      <c r="J231" s="72">
        <f t="shared" si="43"/>
        <v>3.617</v>
      </c>
      <c r="K231" s="56"/>
      <c r="L231" s="20"/>
      <c r="M231" s="20"/>
      <c r="N231" s="20"/>
      <c r="O231" s="20"/>
      <c r="P231" s="20"/>
      <c r="Q231" s="21"/>
      <c r="R231" s="22">
        <f t="shared" si="36"/>
        <v>300</v>
      </c>
      <c r="S231" s="20"/>
      <c r="T231" s="753">
        <f t="shared" si="37"/>
        <v>3550.177495562722</v>
      </c>
      <c r="U231" s="22">
        <v>1</v>
      </c>
      <c r="V231" s="20"/>
    </row>
    <row r="232" spans="1:22">
      <c r="A232" s="2" t="s">
        <v>459</v>
      </c>
      <c r="B232" s="2" t="s">
        <v>2146</v>
      </c>
      <c r="C232" s="2">
        <v>300</v>
      </c>
      <c r="D232" s="2">
        <v>300</v>
      </c>
      <c r="E232" s="2">
        <v>75</v>
      </c>
      <c r="F232" s="2">
        <v>65</v>
      </c>
      <c r="G232" s="21">
        <f t="shared" si="32"/>
        <v>6.3</v>
      </c>
      <c r="H232" s="20">
        <f t="shared" si="44"/>
        <v>6.75</v>
      </c>
      <c r="I232" s="20">
        <f t="shared" si="42"/>
        <v>6.3</v>
      </c>
      <c r="J232" s="72">
        <f t="shared" si="43"/>
        <v>3.6560000000000001</v>
      </c>
      <c r="K232" s="56"/>
      <c r="L232" s="20"/>
      <c r="M232" s="20"/>
      <c r="N232" s="20"/>
      <c r="O232" s="20"/>
      <c r="P232" s="20"/>
      <c r="Q232" s="21"/>
      <c r="R232" s="22">
        <f t="shared" si="36"/>
        <v>300</v>
      </c>
      <c r="S232" s="20"/>
      <c r="T232" s="753">
        <f t="shared" si="37"/>
        <v>2250.3124783016247</v>
      </c>
      <c r="U232" s="22">
        <v>1</v>
      </c>
      <c r="V232" s="20"/>
    </row>
    <row r="233" spans="1:22">
      <c r="A233" s="2" t="s">
        <v>460</v>
      </c>
      <c r="B233" s="2" t="s">
        <v>2146</v>
      </c>
      <c r="C233" s="2">
        <v>300</v>
      </c>
      <c r="D233" s="2">
        <v>300</v>
      </c>
      <c r="E233" s="2">
        <v>90</v>
      </c>
      <c r="F233" s="2">
        <v>65</v>
      </c>
      <c r="G233" s="21">
        <f t="shared" si="32"/>
        <v>6.9749999999999996</v>
      </c>
      <c r="H233" s="20">
        <f t="shared" si="44"/>
        <v>8.1</v>
      </c>
      <c r="I233" s="20">
        <f t="shared" ref="I233:I238" si="45">IF(F233="","-",ROUND((E233+F233)*C233/2*D233/10^6,3))</f>
        <v>6.9749999999999996</v>
      </c>
      <c r="J233" s="72">
        <f t="shared" ref="J233:J238" si="46">IF(F233="","-",ROUND((D233+E233)*C233/2*F233/10^6,3))</f>
        <v>3.8029999999999999</v>
      </c>
      <c r="K233" s="56"/>
      <c r="L233" s="20"/>
      <c r="M233" s="20"/>
      <c r="N233" s="20"/>
      <c r="O233" s="20"/>
      <c r="P233" s="20"/>
      <c r="Q233" s="21"/>
      <c r="R233" s="22">
        <f t="shared" si="36"/>
        <v>300</v>
      </c>
      <c r="S233" s="20"/>
      <c r="T233" s="753">
        <f t="shared" si="37"/>
        <v>1080.9370934517883</v>
      </c>
      <c r="U233" s="22">
        <v>1</v>
      </c>
      <c r="V233" s="20"/>
    </row>
    <row r="234" spans="1:22">
      <c r="A234" s="2" t="s">
        <v>461</v>
      </c>
      <c r="B234" s="2" t="s">
        <v>2146</v>
      </c>
      <c r="C234" s="2">
        <v>375</v>
      </c>
      <c r="D234" s="2">
        <v>150</v>
      </c>
      <c r="E234" s="2">
        <v>66</v>
      </c>
      <c r="F234" s="2">
        <v>50</v>
      </c>
      <c r="G234" s="21">
        <f t="shared" si="32"/>
        <v>3.2625000000000002</v>
      </c>
      <c r="H234" s="20">
        <f t="shared" si="44"/>
        <v>3.7130000000000001</v>
      </c>
      <c r="I234" s="20">
        <f t="shared" si="45"/>
        <v>3.2629999999999999</v>
      </c>
      <c r="J234" s="72">
        <f t="shared" si="46"/>
        <v>2.0249999999999999</v>
      </c>
      <c r="K234" s="56"/>
      <c r="L234" s="20"/>
      <c r="M234" s="20"/>
      <c r="N234" s="20"/>
      <c r="O234" s="20"/>
      <c r="P234" s="20"/>
      <c r="Q234" s="21"/>
      <c r="R234" s="22">
        <f t="shared" si="36"/>
        <v>150</v>
      </c>
      <c r="S234" s="20"/>
      <c r="T234" s="753">
        <f t="shared" si="37"/>
        <v>1547.226959959333</v>
      </c>
      <c r="U234" s="22">
        <v>1</v>
      </c>
      <c r="V234" s="20"/>
    </row>
    <row r="235" spans="1:22">
      <c r="A235" s="2" t="s">
        <v>462</v>
      </c>
      <c r="B235" s="2" t="s">
        <v>2146</v>
      </c>
      <c r="C235" s="2">
        <v>375</v>
      </c>
      <c r="D235" s="2">
        <v>150</v>
      </c>
      <c r="E235" s="2">
        <v>70</v>
      </c>
      <c r="F235" s="2">
        <v>65</v>
      </c>
      <c r="G235" s="21">
        <f t="shared" si="32"/>
        <v>3.796875</v>
      </c>
      <c r="H235" s="20">
        <f t="shared" si="44"/>
        <v>3.9380000000000002</v>
      </c>
      <c r="I235" s="20">
        <f t="shared" si="45"/>
        <v>3.7970000000000002</v>
      </c>
      <c r="J235" s="72">
        <f t="shared" si="46"/>
        <v>2.681</v>
      </c>
      <c r="K235" s="56"/>
      <c r="L235" s="20"/>
      <c r="M235" s="20"/>
      <c r="N235" s="20"/>
      <c r="O235" s="20"/>
      <c r="P235" s="20"/>
      <c r="Q235" s="23"/>
      <c r="R235" s="22">
        <f t="shared" si="36"/>
        <v>150</v>
      </c>
      <c r="S235" s="20"/>
      <c r="T235" s="753">
        <f t="shared" si="37"/>
        <v>5250.1166653703986</v>
      </c>
      <c r="U235" s="22">
        <v>1</v>
      </c>
      <c r="V235" s="20"/>
    </row>
    <row r="236" spans="1:22">
      <c r="A236" s="2" t="s">
        <v>463</v>
      </c>
      <c r="B236" s="2" t="s">
        <v>2146</v>
      </c>
      <c r="C236" s="2">
        <v>375</v>
      </c>
      <c r="D236" s="2">
        <v>150</v>
      </c>
      <c r="E236" s="2">
        <v>73</v>
      </c>
      <c r="F236" s="2">
        <v>65</v>
      </c>
      <c r="G236" s="21">
        <f t="shared" si="32"/>
        <v>3.8812500000000001</v>
      </c>
      <c r="H236" s="20">
        <f t="shared" si="44"/>
        <v>4.1059999999999999</v>
      </c>
      <c r="I236" s="20">
        <f t="shared" si="45"/>
        <v>3.8809999999999998</v>
      </c>
      <c r="J236" s="72">
        <f t="shared" si="46"/>
        <v>2.718</v>
      </c>
      <c r="K236" s="56"/>
      <c r="L236" s="20"/>
      <c r="M236" s="20"/>
      <c r="N236" s="20"/>
      <c r="O236" s="20"/>
      <c r="P236" s="20"/>
      <c r="Q236" s="23"/>
      <c r="R236" s="22">
        <f t="shared" si="36"/>
        <v>150</v>
      </c>
      <c r="S236" s="20"/>
      <c r="T236" s="753">
        <f t="shared" si="37"/>
        <v>3422.0696611297967</v>
      </c>
      <c r="U236" s="22">
        <v>1</v>
      </c>
      <c r="V236" s="20"/>
    </row>
    <row r="237" spans="1:22">
      <c r="A237" s="2" t="s">
        <v>464</v>
      </c>
      <c r="B237" s="2" t="s">
        <v>2146</v>
      </c>
      <c r="C237" s="2">
        <v>375</v>
      </c>
      <c r="D237" s="2">
        <v>150</v>
      </c>
      <c r="E237" s="2">
        <v>78</v>
      </c>
      <c r="F237" s="2">
        <v>65</v>
      </c>
      <c r="G237" s="21">
        <f t="shared" si="32"/>
        <v>4.0218749999999996</v>
      </c>
      <c r="H237" s="20">
        <f t="shared" ref="H237:H253" si="47">ROUND(C237*D237*E237/10^6,3)</f>
        <v>4.3879999999999999</v>
      </c>
      <c r="I237" s="20">
        <f t="shared" si="45"/>
        <v>4.0220000000000002</v>
      </c>
      <c r="J237" s="72">
        <f t="shared" si="46"/>
        <v>2.7789999999999999</v>
      </c>
      <c r="K237" s="56"/>
      <c r="L237" s="20"/>
      <c r="M237" s="20"/>
      <c r="N237" s="20"/>
      <c r="O237" s="20"/>
      <c r="P237" s="20"/>
      <c r="Q237" s="21"/>
      <c r="R237" s="22">
        <f t="shared" si="36"/>
        <v>150</v>
      </c>
      <c r="S237" s="20"/>
      <c r="T237" s="753">
        <f t="shared" si="37"/>
        <v>2250.3379746162573</v>
      </c>
      <c r="U237" s="22">
        <v>1</v>
      </c>
      <c r="V237" s="20"/>
    </row>
    <row r="238" spans="1:22">
      <c r="A238" s="2" t="s">
        <v>465</v>
      </c>
      <c r="B238" s="2" t="s">
        <v>2146</v>
      </c>
      <c r="C238" s="2">
        <v>375</v>
      </c>
      <c r="D238" s="2">
        <v>150</v>
      </c>
      <c r="E238" s="2">
        <v>90</v>
      </c>
      <c r="F238" s="2">
        <v>65</v>
      </c>
      <c r="G238" s="21">
        <f t="shared" si="32"/>
        <v>4.359375</v>
      </c>
      <c r="H238" s="20">
        <f t="shared" si="47"/>
        <v>5.0629999999999997</v>
      </c>
      <c r="I238" s="20">
        <f t="shared" si="45"/>
        <v>4.359</v>
      </c>
      <c r="J238" s="72">
        <f t="shared" si="46"/>
        <v>2.9249999999999998</v>
      </c>
      <c r="K238" s="56"/>
      <c r="L238" s="20"/>
      <c r="M238" s="20"/>
      <c r="N238" s="20"/>
      <c r="O238" s="20"/>
      <c r="P238" s="20"/>
      <c r="Q238" s="21"/>
      <c r="R238" s="22">
        <f t="shared" si="36"/>
        <v>150</v>
      </c>
      <c r="S238" s="22"/>
      <c r="T238" s="753">
        <f t="shared" si="37"/>
        <v>1350.7497917823271</v>
      </c>
      <c r="U238" s="22">
        <v>1</v>
      </c>
      <c r="V238" s="20"/>
    </row>
    <row r="239" spans="1:22">
      <c r="A239" s="2" t="s">
        <v>466</v>
      </c>
      <c r="B239" s="2" t="s">
        <v>2146</v>
      </c>
      <c r="C239" s="2">
        <v>375</v>
      </c>
      <c r="D239" s="2">
        <v>150</v>
      </c>
      <c r="E239" s="2">
        <v>96</v>
      </c>
      <c r="F239" s="2">
        <v>65</v>
      </c>
      <c r="G239" s="21">
        <f t="shared" si="32"/>
        <v>4.5281250000000002</v>
      </c>
      <c r="H239" s="20">
        <f t="shared" si="47"/>
        <v>5.4</v>
      </c>
      <c r="I239" s="20">
        <f t="shared" ref="I239:I253" si="48">IF(F239="","-",ROUND((E239+F239)*C239/2*D239/10^6,3))</f>
        <v>4.5279999999999996</v>
      </c>
      <c r="J239" s="72">
        <f t="shared" ref="J239:J253" si="49">IF(F239="","-",ROUND((D239+E239)*C239/2*F239/10^6,3))</f>
        <v>2.9980000000000002</v>
      </c>
      <c r="K239" s="56"/>
      <c r="L239" s="20"/>
      <c r="M239" s="20"/>
      <c r="N239" s="20"/>
      <c r="O239" s="20"/>
      <c r="P239" s="20"/>
      <c r="Q239" s="21"/>
      <c r="R239" s="22">
        <f t="shared" si="36"/>
        <v>150</v>
      </c>
      <c r="S239" s="22"/>
      <c r="T239" s="753">
        <f t="shared" si="37"/>
        <v>1162.2818992479658</v>
      </c>
      <c r="U239" s="22">
        <v>1</v>
      </c>
      <c r="V239" s="20"/>
    </row>
    <row r="240" spans="1:22">
      <c r="A240" s="2" t="s">
        <v>467</v>
      </c>
      <c r="B240" s="2" t="s">
        <v>2146</v>
      </c>
      <c r="C240" s="2">
        <v>375</v>
      </c>
      <c r="D240" s="2">
        <v>225</v>
      </c>
      <c r="E240" s="2">
        <v>70</v>
      </c>
      <c r="F240" s="2">
        <v>65</v>
      </c>
      <c r="G240" s="21">
        <f t="shared" si="32"/>
        <v>5.6953125</v>
      </c>
      <c r="H240" s="20">
        <f t="shared" si="47"/>
        <v>5.9059999999999997</v>
      </c>
      <c r="I240" s="20">
        <f t="shared" si="48"/>
        <v>5.6950000000000003</v>
      </c>
      <c r="J240" s="72">
        <f t="shared" si="49"/>
        <v>3.5950000000000002</v>
      </c>
      <c r="K240" s="56"/>
      <c r="L240" s="20"/>
      <c r="M240" s="20"/>
      <c r="N240" s="20"/>
      <c r="O240" s="20"/>
      <c r="P240" s="20"/>
      <c r="Q240" s="21"/>
      <c r="R240" s="22">
        <f t="shared" si="36"/>
        <v>225</v>
      </c>
      <c r="S240" s="22"/>
      <c r="T240" s="753">
        <f t="shared" si="37"/>
        <v>5250.1166653703986</v>
      </c>
      <c r="U240" s="22">
        <v>1</v>
      </c>
      <c r="V240" s="20"/>
    </row>
    <row r="241" spans="1:22">
      <c r="A241" s="2" t="s">
        <v>468</v>
      </c>
      <c r="B241" s="2" t="s">
        <v>2146</v>
      </c>
      <c r="C241" s="2">
        <v>375</v>
      </c>
      <c r="D241" s="2">
        <v>225</v>
      </c>
      <c r="E241" s="2">
        <v>73</v>
      </c>
      <c r="F241" s="2">
        <v>65</v>
      </c>
      <c r="G241" s="21">
        <f t="shared" si="32"/>
        <v>5.8218750000000004</v>
      </c>
      <c r="H241" s="20">
        <f t="shared" si="47"/>
        <v>6.1589999999999998</v>
      </c>
      <c r="I241" s="20">
        <f t="shared" si="48"/>
        <v>5.8220000000000001</v>
      </c>
      <c r="J241" s="72">
        <f t="shared" si="49"/>
        <v>3.6320000000000001</v>
      </c>
      <c r="K241" s="56"/>
      <c r="L241" s="20"/>
      <c r="M241" s="20"/>
      <c r="N241" s="20"/>
      <c r="O241" s="20"/>
      <c r="P241" s="20"/>
      <c r="Q241" s="21"/>
      <c r="R241" s="22">
        <f t="shared" si="36"/>
        <v>225</v>
      </c>
      <c r="S241" s="22"/>
      <c r="T241" s="753">
        <f t="shared" si="37"/>
        <v>3422.0696611297967</v>
      </c>
      <c r="U241" s="22">
        <v>1</v>
      </c>
      <c r="V241" s="20"/>
    </row>
    <row r="242" spans="1:22">
      <c r="A242" s="2" t="s">
        <v>469</v>
      </c>
      <c r="B242" s="2" t="s">
        <v>2146</v>
      </c>
      <c r="C242" s="2">
        <v>375</v>
      </c>
      <c r="D242" s="2">
        <v>225</v>
      </c>
      <c r="E242" s="2">
        <v>78</v>
      </c>
      <c r="F242" s="2">
        <v>65</v>
      </c>
      <c r="G242" s="21">
        <f t="shared" si="32"/>
        <v>6.0328125000000004</v>
      </c>
      <c r="H242" s="20">
        <f t="shared" si="47"/>
        <v>6.5810000000000004</v>
      </c>
      <c r="I242" s="20">
        <f t="shared" si="48"/>
        <v>6.0330000000000004</v>
      </c>
      <c r="J242" s="72">
        <f t="shared" si="49"/>
        <v>3.6930000000000001</v>
      </c>
      <c r="K242" s="56"/>
      <c r="L242" s="20"/>
      <c r="M242" s="20"/>
      <c r="N242" s="20"/>
      <c r="O242" s="20"/>
      <c r="P242" s="20"/>
      <c r="Q242" s="21"/>
      <c r="R242" s="22">
        <f t="shared" si="36"/>
        <v>225</v>
      </c>
      <c r="S242" s="22"/>
      <c r="T242" s="753">
        <f t="shared" si="37"/>
        <v>2250.3379746162573</v>
      </c>
      <c r="U242" s="22">
        <v>1</v>
      </c>
      <c r="V242" s="20"/>
    </row>
    <row r="243" spans="1:22">
      <c r="A243" s="2" t="s">
        <v>470</v>
      </c>
      <c r="B243" s="2" t="s">
        <v>2146</v>
      </c>
      <c r="C243" s="2">
        <v>375</v>
      </c>
      <c r="D243" s="2">
        <v>225</v>
      </c>
      <c r="E243" s="2">
        <v>90</v>
      </c>
      <c r="F243" s="2">
        <v>65</v>
      </c>
      <c r="G243" s="21">
        <f t="shared" si="32"/>
        <v>6.5390625</v>
      </c>
      <c r="H243" s="20">
        <f t="shared" si="47"/>
        <v>7.5940000000000003</v>
      </c>
      <c r="I243" s="20">
        <f t="shared" si="48"/>
        <v>6.5389999999999997</v>
      </c>
      <c r="J243" s="72">
        <f t="shared" si="49"/>
        <v>3.839</v>
      </c>
      <c r="K243" s="56"/>
      <c r="L243" s="20"/>
      <c r="M243" s="20"/>
      <c r="N243" s="20"/>
      <c r="O243" s="20"/>
      <c r="P243" s="20"/>
      <c r="Q243" s="21"/>
      <c r="R243" s="22">
        <f t="shared" si="36"/>
        <v>225</v>
      </c>
      <c r="S243" s="22"/>
      <c r="T243" s="753">
        <f t="shared" si="37"/>
        <v>1350.7497917823271</v>
      </c>
      <c r="U243" s="22">
        <v>1</v>
      </c>
      <c r="V243" s="20"/>
    </row>
    <row r="244" spans="1:22">
      <c r="A244" s="2" t="s">
        <v>471</v>
      </c>
      <c r="B244" s="2" t="s">
        <v>2146</v>
      </c>
      <c r="C244" s="2">
        <v>375</v>
      </c>
      <c r="D244" s="2">
        <v>225</v>
      </c>
      <c r="E244" s="2">
        <v>96</v>
      </c>
      <c r="F244" s="2">
        <v>65</v>
      </c>
      <c r="G244" s="21">
        <f t="shared" si="32"/>
        <v>6.7921874999999998</v>
      </c>
      <c r="H244" s="20">
        <f t="shared" si="47"/>
        <v>8.1</v>
      </c>
      <c r="I244" s="20">
        <f t="shared" si="48"/>
        <v>6.7919999999999998</v>
      </c>
      <c r="J244" s="72">
        <f t="shared" si="49"/>
        <v>3.9119999999999999</v>
      </c>
      <c r="K244" s="56"/>
      <c r="L244" s="20"/>
      <c r="M244" s="20"/>
      <c r="N244" s="20"/>
      <c r="O244" s="20"/>
      <c r="P244" s="20"/>
      <c r="Q244" s="23"/>
      <c r="R244" s="22">
        <f t="shared" si="36"/>
        <v>225</v>
      </c>
      <c r="S244" s="22"/>
      <c r="T244" s="753">
        <f t="shared" si="37"/>
        <v>1162.2818992479658</v>
      </c>
      <c r="U244" s="22">
        <v>1</v>
      </c>
      <c r="V244" s="20"/>
    </row>
    <row r="245" spans="1:22">
      <c r="A245" s="2" t="s">
        <v>472</v>
      </c>
      <c r="B245" s="2" t="s">
        <v>2146</v>
      </c>
      <c r="C245" s="2">
        <v>375</v>
      </c>
      <c r="D245" s="2">
        <v>300</v>
      </c>
      <c r="E245" s="2">
        <v>70</v>
      </c>
      <c r="F245" s="2">
        <v>65</v>
      </c>
      <c r="G245" s="21">
        <f t="shared" si="32"/>
        <v>7.59375</v>
      </c>
      <c r="H245" s="20">
        <f t="shared" si="47"/>
        <v>7.875</v>
      </c>
      <c r="I245" s="20">
        <f t="shared" si="48"/>
        <v>7.5940000000000003</v>
      </c>
      <c r="J245" s="72">
        <f t="shared" si="49"/>
        <v>4.5090000000000003</v>
      </c>
      <c r="K245" s="56"/>
      <c r="L245" s="20"/>
      <c r="M245" s="20"/>
      <c r="N245" s="20"/>
      <c r="O245" s="20"/>
      <c r="P245" s="20"/>
      <c r="Q245" s="23"/>
      <c r="R245" s="22">
        <f t="shared" si="36"/>
        <v>300</v>
      </c>
      <c r="S245" s="22"/>
      <c r="T245" s="753">
        <f t="shared" si="37"/>
        <v>5250.1166653703986</v>
      </c>
      <c r="U245" s="22">
        <v>1</v>
      </c>
      <c r="V245" s="20"/>
    </row>
    <row r="246" spans="1:22">
      <c r="A246" s="2" t="s">
        <v>473</v>
      </c>
      <c r="B246" s="2" t="s">
        <v>2146</v>
      </c>
      <c r="C246" s="2">
        <v>375</v>
      </c>
      <c r="D246" s="2">
        <v>300</v>
      </c>
      <c r="E246" s="2">
        <v>73</v>
      </c>
      <c r="F246" s="2">
        <v>65</v>
      </c>
      <c r="G246" s="21">
        <f t="shared" si="32"/>
        <v>7.7625000000000002</v>
      </c>
      <c r="H246" s="20">
        <f t="shared" si="47"/>
        <v>8.2129999999999992</v>
      </c>
      <c r="I246" s="20">
        <f t="shared" si="48"/>
        <v>7.7629999999999999</v>
      </c>
      <c r="J246" s="72">
        <f t="shared" si="49"/>
        <v>4.5460000000000003</v>
      </c>
      <c r="K246" s="56"/>
      <c r="L246" s="20"/>
      <c r="M246" s="20"/>
      <c r="N246" s="20"/>
      <c r="O246" s="20"/>
      <c r="P246" s="20"/>
      <c r="Q246" s="21"/>
      <c r="R246" s="22">
        <f t="shared" si="36"/>
        <v>300</v>
      </c>
      <c r="S246" s="22"/>
      <c r="T246" s="753">
        <f t="shared" si="37"/>
        <v>3422.0696611297967</v>
      </c>
      <c r="U246" s="22">
        <v>1</v>
      </c>
      <c r="V246" s="20"/>
    </row>
    <row r="247" spans="1:22">
      <c r="A247" s="2" t="s">
        <v>474</v>
      </c>
      <c r="B247" s="2" t="s">
        <v>2146</v>
      </c>
      <c r="C247" s="2">
        <v>375</v>
      </c>
      <c r="D247" s="2">
        <v>300</v>
      </c>
      <c r="E247" s="2">
        <v>78</v>
      </c>
      <c r="F247" s="2">
        <v>65</v>
      </c>
      <c r="G247" s="21">
        <f t="shared" si="32"/>
        <v>8.0437499999999993</v>
      </c>
      <c r="H247" s="20">
        <f t="shared" si="47"/>
        <v>8.7750000000000004</v>
      </c>
      <c r="I247" s="20">
        <f t="shared" si="48"/>
        <v>8.0440000000000005</v>
      </c>
      <c r="J247" s="72">
        <f t="shared" si="49"/>
        <v>4.6070000000000002</v>
      </c>
      <c r="K247" s="56"/>
      <c r="L247" s="20"/>
      <c r="M247" s="20"/>
      <c r="N247" s="20"/>
      <c r="O247" s="20"/>
      <c r="P247" s="20"/>
      <c r="Q247" s="21"/>
      <c r="R247" s="22">
        <f t="shared" si="36"/>
        <v>300</v>
      </c>
      <c r="S247" s="22"/>
      <c r="T247" s="753">
        <f t="shared" si="37"/>
        <v>2250.3379746162573</v>
      </c>
      <c r="U247" s="22">
        <v>1</v>
      </c>
      <c r="V247" s="20"/>
    </row>
    <row r="248" spans="1:22">
      <c r="A248" s="2" t="s">
        <v>475</v>
      </c>
      <c r="B248" s="2" t="s">
        <v>2146</v>
      </c>
      <c r="C248" s="2">
        <v>375</v>
      </c>
      <c r="D248" s="2">
        <v>300</v>
      </c>
      <c r="E248" s="2">
        <v>96</v>
      </c>
      <c r="F248" s="2">
        <v>65</v>
      </c>
      <c r="G248" s="21">
        <f t="shared" si="32"/>
        <v>9.0562500000000004</v>
      </c>
      <c r="H248" s="20">
        <f t="shared" si="47"/>
        <v>10.8</v>
      </c>
      <c r="I248" s="20">
        <f t="shared" si="48"/>
        <v>9.0559999999999992</v>
      </c>
      <c r="J248" s="72">
        <f t="shared" si="49"/>
        <v>4.8259999999999996</v>
      </c>
      <c r="K248" s="56"/>
      <c r="L248" s="20"/>
      <c r="M248" s="20"/>
      <c r="N248" s="20"/>
      <c r="O248" s="20"/>
      <c r="P248" s="20"/>
      <c r="Q248" s="21"/>
      <c r="R248" s="22">
        <f t="shared" si="36"/>
        <v>300</v>
      </c>
      <c r="S248" s="22"/>
      <c r="T248" s="753">
        <f t="shared" si="37"/>
        <v>1162.2818992479658</v>
      </c>
      <c r="U248" s="22">
        <v>1</v>
      </c>
      <c r="V248" s="20"/>
    </row>
    <row r="249" spans="1:22">
      <c r="A249" s="2" t="s">
        <v>476</v>
      </c>
      <c r="B249" s="2" t="s">
        <v>2146</v>
      </c>
      <c r="C249" s="2">
        <v>375</v>
      </c>
      <c r="D249" s="2">
        <v>375</v>
      </c>
      <c r="E249" s="2">
        <v>94</v>
      </c>
      <c r="F249" s="2">
        <v>76</v>
      </c>
      <c r="G249" s="21">
        <f t="shared" si="32"/>
        <v>11.953125</v>
      </c>
      <c r="H249" s="20">
        <f t="shared" si="47"/>
        <v>13.218999999999999</v>
      </c>
      <c r="I249" s="20">
        <f t="shared" si="48"/>
        <v>11.952999999999999</v>
      </c>
      <c r="J249" s="72">
        <f t="shared" si="49"/>
        <v>6.6829999999999998</v>
      </c>
      <c r="K249" s="56"/>
      <c r="L249" s="20"/>
      <c r="M249" s="20"/>
      <c r="N249" s="20"/>
      <c r="O249" s="20"/>
      <c r="P249" s="20"/>
      <c r="Q249" s="21"/>
      <c r="R249" s="22">
        <f t="shared" si="36"/>
        <v>375</v>
      </c>
      <c r="S249" s="22"/>
      <c r="T249" s="753">
        <f t="shared" si="37"/>
        <v>1958.8972521407152</v>
      </c>
      <c r="U249" s="22">
        <v>1</v>
      </c>
      <c r="V249" s="20"/>
    </row>
    <row r="250" spans="1:22">
      <c r="A250" s="2" t="s">
        <v>477</v>
      </c>
      <c r="B250" s="2" t="s">
        <v>2146</v>
      </c>
      <c r="C250" s="2">
        <v>450</v>
      </c>
      <c r="D250" s="2">
        <v>150</v>
      </c>
      <c r="E250" s="2">
        <v>75</v>
      </c>
      <c r="F250" s="2">
        <v>65</v>
      </c>
      <c r="G250" s="21">
        <f t="shared" si="32"/>
        <v>4.7249999999999996</v>
      </c>
      <c r="H250" s="20">
        <f t="shared" si="47"/>
        <v>5.0629999999999997</v>
      </c>
      <c r="I250" s="20">
        <f t="shared" si="48"/>
        <v>4.7249999999999996</v>
      </c>
      <c r="J250" s="72">
        <f t="shared" si="49"/>
        <v>3.2909999999999999</v>
      </c>
      <c r="K250" s="56"/>
      <c r="L250" s="20"/>
      <c r="M250" s="20"/>
      <c r="N250" s="20"/>
      <c r="O250" s="20"/>
      <c r="P250" s="20"/>
      <c r="Q250" s="23"/>
      <c r="R250" s="22">
        <f t="shared" si="36"/>
        <v>150</v>
      </c>
      <c r="S250" s="22"/>
      <c r="T250" s="753">
        <f t="shared" si="37"/>
        <v>3375.2083269036889</v>
      </c>
      <c r="U250" s="22">
        <v>1</v>
      </c>
      <c r="V250" s="20"/>
    </row>
    <row r="251" spans="1:22">
      <c r="A251" s="2" t="s">
        <v>478</v>
      </c>
      <c r="B251" s="2" t="s">
        <v>2146</v>
      </c>
      <c r="C251" s="2">
        <v>450</v>
      </c>
      <c r="D251" s="2">
        <v>150</v>
      </c>
      <c r="E251" s="2">
        <v>80</v>
      </c>
      <c r="F251" s="2">
        <v>65</v>
      </c>
      <c r="G251" s="21">
        <f t="shared" si="32"/>
        <v>4.8937499999999998</v>
      </c>
      <c r="H251" s="20">
        <f t="shared" si="47"/>
        <v>5.4</v>
      </c>
      <c r="I251" s="20">
        <f t="shared" si="48"/>
        <v>4.8940000000000001</v>
      </c>
      <c r="J251" s="72">
        <f t="shared" si="49"/>
        <v>3.3639999999999999</v>
      </c>
      <c r="K251" s="56"/>
      <c r="L251" s="20"/>
      <c r="M251" s="20"/>
      <c r="N251" s="20"/>
      <c r="O251" s="20"/>
      <c r="P251" s="20"/>
      <c r="Q251" s="23"/>
      <c r="R251" s="22">
        <f t="shared" si="36"/>
        <v>150</v>
      </c>
      <c r="S251" s="22"/>
      <c r="T251" s="753">
        <f t="shared" si="37"/>
        <v>2400.3333101883995</v>
      </c>
      <c r="U251" s="22">
        <v>1</v>
      </c>
      <c r="V251" s="20"/>
    </row>
    <row r="252" spans="1:22">
      <c r="A252" s="2" t="s">
        <v>479</v>
      </c>
      <c r="B252" s="2" t="s">
        <v>2146</v>
      </c>
      <c r="C252" s="2">
        <v>450</v>
      </c>
      <c r="D252" s="2">
        <v>225</v>
      </c>
      <c r="E252" s="2">
        <v>75</v>
      </c>
      <c r="F252" s="2">
        <v>65</v>
      </c>
      <c r="G252" s="21">
        <f t="shared" si="32"/>
        <v>7.0875000000000004</v>
      </c>
      <c r="H252" s="20">
        <f t="shared" si="47"/>
        <v>7.5940000000000003</v>
      </c>
      <c r="I252" s="20">
        <f t="shared" si="48"/>
        <v>7.0880000000000001</v>
      </c>
      <c r="J252" s="72">
        <f t="shared" si="49"/>
        <v>4.3879999999999999</v>
      </c>
      <c r="K252" s="56"/>
      <c r="L252" s="20"/>
      <c r="M252" s="20"/>
      <c r="N252" s="20"/>
      <c r="O252" s="20"/>
      <c r="P252" s="20"/>
      <c r="Q252" s="21"/>
      <c r="R252" s="22">
        <f t="shared" si="36"/>
        <v>225</v>
      </c>
      <c r="S252" s="22"/>
      <c r="T252" s="753">
        <f t="shared" si="37"/>
        <v>3375.2083269036889</v>
      </c>
      <c r="U252" s="22">
        <v>1</v>
      </c>
      <c r="V252" s="20"/>
    </row>
    <row r="253" spans="1:22" ht="13.8" thickBot="1">
      <c r="A253" s="2" t="s">
        <v>480</v>
      </c>
      <c r="B253" s="2" t="s">
        <v>2146</v>
      </c>
      <c r="C253" s="2">
        <v>450</v>
      </c>
      <c r="D253" s="2">
        <v>225</v>
      </c>
      <c r="E253" s="2">
        <v>80</v>
      </c>
      <c r="F253" s="2">
        <v>65</v>
      </c>
      <c r="G253" s="21">
        <f t="shared" si="32"/>
        <v>7.3406250000000002</v>
      </c>
      <c r="H253" s="20">
        <f t="shared" si="47"/>
        <v>8.1</v>
      </c>
      <c r="I253" s="20">
        <f t="shared" si="48"/>
        <v>7.3410000000000002</v>
      </c>
      <c r="J253" s="72">
        <f t="shared" si="49"/>
        <v>4.4610000000000003</v>
      </c>
      <c r="K253" s="56"/>
      <c r="L253" s="20"/>
      <c r="M253" s="20"/>
      <c r="N253" s="20"/>
      <c r="O253" s="20"/>
      <c r="P253" s="20"/>
      <c r="Q253" s="21"/>
      <c r="R253" s="22">
        <f t="shared" si="36"/>
        <v>225</v>
      </c>
      <c r="S253" s="22"/>
      <c r="T253" s="753">
        <f t="shared" si="37"/>
        <v>2400.3333101883995</v>
      </c>
      <c r="U253" s="22">
        <v>1</v>
      </c>
      <c r="V253" s="20"/>
    </row>
    <row r="254" spans="1:22" ht="25.2" thickBot="1">
      <c r="A254" s="374" t="s">
        <v>1505</v>
      </c>
      <c r="B254" s="353"/>
      <c r="C254" s="353"/>
      <c r="D254" s="353"/>
      <c r="E254" s="353"/>
      <c r="F254" s="353"/>
      <c r="G254" s="99"/>
      <c r="H254" s="69"/>
      <c r="I254" s="69"/>
      <c r="J254" s="69"/>
      <c r="K254" s="71"/>
      <c r="L254" s="20"/>
      <c r="M254" s="20"/>
      <c r="N254" s="20"/>
      <c r="O254" s="20"/>
      <c r="P254" s="20"/>
      <c r="Q254" s="23"/>
      <c r="R254" s="22"/>
      <c r="S254" s="22"/>
      <c r="T254" s="20"/>
      <c r="U254" s="22"/>
      <c r="V254" s="20"/>
    </row>
    <row r="255" spans="1:22">
      <c r="A255" s="65" t="s">
        <v>1268</v>
      </c>
      <c r="B255" s="345" t="s">
        <v>2145</v>
      </c>
      <c r="C255" s="434">
        <v>152.4</v>
      </c>
      <c r="D255" s="434">
        <v>114.3</v>
      </c>
      <c r="E255" s="434">
        <v>76.2</v>
      </c>
      <c r="F255" s="434">
        <v>76.2</v>
      </c>
      <c r="G255" s="17">
        <f t="shared" ref="G255:G318" si="50">C255*D255*E255/10^6</f>
        <v>1.3273521840000002</v>
      </c>
      <c r="K255" s="56"/>
    </row>
    <row r="256" spans="1:22">
      <c r="A256" s="65" t="s">
        <v>1273</v>
      </c>
      <c r="B256" s="345" t="s">
        <v>2145</v>
      </c>
      <c r="C256" s="434">
        <v>152.4</v>
      </c>
      <c r="D256" s="434">
        <v>114.3</v>
      </c>
      <c r="E256" s="434">
        <v>63.5</v>
      </c>
      <c r="F256" s="434">
        <v>63.5</v>
      </c>
      <c r="G256" s="17">
        <f t="shared" si="50"/>
        <v>1.1061268200000001</v>
      </c>
      <c r="K256" s="56"/>
    </row>
    <row r="257" spans="1:11">
      <c r="A257" s="65" t="s">
        <v>1278</v>
      </c>
      <c r="B257" s="345" t="s">
        <v>2145</v>
      </c>
      <c r="C257" s="434">
        <v>152.4</v>
      </c>
      <c r="D257" s="434">
        <v>114.3</v>
      </c>
      <c r="E257" s="434">
        <v>100</v>
      </c>
      <c r="F257" s="434">
        <v>100</v>
      </c>
      <c r="G257" s="17">
        <f t="shared" si="50"/>
        <v>1.741932</v>
      </c>
      <c r="K257" s="56"/>
    </row>
    <row r="258" spans="1:11">
      <c r="A258" s="65" t="s">
        <v>1277</v>
      </c>
      <c r="B258" s="345" t="s">
        <v>2145</v>
      </c>
      <c r="C258" s="434">
        <v>152.4</v>
      </c>
      <c r="D258" s="434">
        <v>127</v>
      </c>
      <c r="E258" s="434">
        <v>76.2</v>
      </c>
      <c r="F258" s="434">
        <v>76.2</v>
      </c>
      <c r="G258" s="17">
        <f t="shared" si="50"/>
        <v>1.4748357599999999</v>
      </c>
      <c r="K258" s="56"/>
    </row>
    <row r="259" spans="1:11">
      <c r="A259" s="65" t="s">
        <v>1276</v>
      </c>
      <c r="B259" s="345" t="s">
        <v>2145</v>
      </c>
      <c r="C259" s="434">
        <v>152.4</v>
      </c>
      <c r="D259" s="434">
        <v>139.69999999999999</v>
      </c>
      <c r="E259" s="434">
        <v>101.6</v>
      </c>
      <c r="F259" s="434">
        <v>101.6</v>
      </c>
      <c r="G259" s="17">
        <f t="shared" si="50"/>
        <v>2.163092448</v>
      </c>
      <c r="K259" s="56"/>
    </row>
    <row r="260" spans="1:11">
      <c r="A260" s="65" t="s">
        <v>1271</v>
      </c>
      <c r="B260" s="345" t="s">
        <v>2145</v>
      </c>
      <c r="C260" s="434">
        <v>152.4</v>
      </c>
      <c r="D260" s="434">
        <v>152.4</v>
      </c>
      <c r="E260" s="434">
        <v>50.8</v>
      </c>
      <c r="F260" s="434">
        <v>50.8</v>
      </c>
      <c r="G260" s="17">
        <f t="shared" si="50"/>
        <v>1.179868608</v>
      </c>
      <c r="K260" s="56"/>
    </row>
    <row r="261" spans="1:11">
      <c r="A261" s="65" t="s">
        <v>1270</v>
      </c>
      <c r="B261" s="345" t="s">
        <v>2145</v>
      </c>
      <c r="C261" s="434">
        <v>152.4</v>
      </c>
      <c r="D261" s="434">
        <v>152.4</v>
      </c>
      <c r="E261" s="434">
        <v>76.2</v>
      </c>
      <c r="F261" s="434">
        <v>76.2</v>
      </c>
      <c r="G261" s="17">
        <f t="shared" si="50"/>
        <v>1.7698029120000003</v>
      </c>
      <c r="K261" s="56"/>
    </row>
    <row r="262" spans="1:11">
      <c r="A262" s="65" t="s">
        <v>1269</v>
      </c>
      <c r="B262" s="345" t="s">
        <v>2145</v>
      </c>
      <c r="C262" s="434">
        <v>152.4</v>
      </c>
      <c r="D262" s="434">
        <v>152.4</v>
      </c>
      <c r="E262" s="434">
        <v>101.6</v>
      </c>
      <c r="F262" s="434">
        <v>101.6</v>
      </c>
      <c r="G262" s="17">
        <f t="shared" si="50"/>
        <v>2.3597372160000001</v>
      </c>
      <c r="K262" s="56"/>
    </row>
    <row r="263" spans="1:11">
      <c r="A263" s="65" t="s">
        <v>1275</v>
      </c>
      <c r="B263" s="345" t="s">
        <v>2145</v>
      </c>
      <c r="C263" s="434">
        <v>152.4</v>
      </c>
      <c r="D263" s="434">
        <v>152.4</v>
      </c>
      <c r="E263" s="434">
        <v>114.3</v>
      </c>
      <c r="F263" s="434">
        <v>114.3</v>
      </c>
      <c r="G263" s="17">
        <f t="shared" si="50"/>
        <v>2.6547043680000004</v>
      </c>
      <c r="K263" s="56"/>
    </row>
    <row r="264" spans="1:11">
      <c r="A264" s="65" t="s">
        <v>1272</v>
      </c>
      <c r="B264" s="345" t="s">
        <v>2145</v>
      </c>
      <c r="C264" s="434">
        <v>152.4</v>
      </c>
      <c r="D264" s="434">
        <v>152.4</v>
      </c>
      <c r="E264" s="434">
        <v>139.69999999999999</v>
      </c>
      <c r="F264" s="434">
        <v>139.69999999999999</v>
      </c>
      <c r="G264" s="17">
        <f t="shared" si="50"/>
        <v>3.2446386720000002</v>
      </c>
      <c r="K264" s="56"/>
    </row>
    <row r="265" spans="1:11">
      <c r="A265" s="65" t="s">
        <v>1274</v>
      </c>
      <c r="B265" s="345" t="s">
        <v>2145</v>
      </c>
      <c r="C265" s="434">
        <v>152.4</v>
      </c>
      <c r="D265" s="434">
        <v>152.4</v>
      </c>
      <c r="E265" s="434">
        <v>152.4</v>
      </c>
      <c r="F265" s="434">
        <v>152.4</v>
      </c>
      <c r="G265" s="17">
        <f t="shared" si="50"/>
        <v>3.5396058240000006</v>
      </c>
      <c r="K265" s="56"/>
    </row>
    <row r="266" spans="1:11">
      <c r="A266" s="371" t="s">
        <v>1287</v>
      </c>
      <c r="B266" s="371" t="s">
        <v>2145</v>
      </c>
      <c r="C266" s="371">
        <v>177.8</v>
      </c>
      <c r="D266" s="371">
        <v>76.2</v>
      </c>
      <c r="E266" s="371">
        <v>76.2</v>
      </c>
      <c r="F266" s="371">
        <v>76.2</v>
      </c>
      <c r="G266" s="17">
        <f t="shared" si="50"/>
        <v>1.0323850320000001</v>
      </c>
      <c r="K266" s="56"/>
    </row>
    <row r="267" spans="1:11">
      <c r="A267" s="371" t="s">
        <v>1285</v>
      </c>
      <c r="B267" s="371" t="s">
        <v>2145</v>
      </c>
      <c r="C267" s="371">
        <v>177.8</v>
      </c>
      <c r="D267" s="371">
        <v>114.3</v>
      </c>
      <c r="E267" s="371">
        <v>76.2</v>
      </c>
      <c r="F267" s="371">
        <v>76.2</v>
      </c>
      <c r="G267" s="17">
        <f t="shared" si="50"/>
        <v>1.5485775480000001</v>
      </c>
      <c r="K267" s="56"/>
    </row>
    <row r="268" spans="1:11">
      <c r="A268" s="371" t="s">
        <v>1288</v>
      </c>
      <c r="B268" s="371" t="s">
        <v>2145</v>
      </c>
      <c r="C268" s="371">
        <v>177.8</v>
      </c>
      <c r="D268" s="371">
        <v>127</v>
      </c>
      <c r="E268" s="371">
        <v>101.6</v>
      </c>
      <c r="F268" s="371">
        <v>101.6</v>
      </c>
      <c r="G268" s="17">
        <f t="shared" si="50"/>
        <v>2.2941889600000001</v>
      </c>
      <c r="K268" s="56"/>
    </row>
    <row r="269" spans="1:11">
      <c r="A269" s="371" t="s">
        <v>1286</v>
      </c>
      <c r="B269" s="371" t="s">
        <v>2145</v>
      </c>
      <c r="C269" s="371">
        <v>177.8</v>
      </c>
      <c r="D269" s="371">
        <v>152.4</v>
      </c>
      <c r="E269" s="371">
        <v>50.8</v>
      </c>
      <c r="F269" s="371">
        <v>50.8</v>
      </c>
      <c r="G269" s="17">
        <f t="shared" si="50"/>
        <v>1.3765133759999999</v>
      </c>
      <c r="K269" s="56"/>
    </row>
    <row r="270" spans="1:11">
      <c r="A270" s="371" t="s">
        <v>1282</v>
      </c>
      <c r="B270" s="371" t="s">
        <v>2145</v>
      </c>
      <c r="C270" s="371">
        <v>177.8</v>
      </c>
      <c r="D270" s="371">
        <v>152.4</v>
      </c>
      <c r="E270" s="371">
        <v>57.2</v>
      </c>
      <c r="F270" s="371">
        <v>57.2</v>
      </c>
      <c r="G270" s="17">
        <f t="shared" si="50"/>
        <v>1.5499323840000001</v>
      </c>
      <c r="K270" s="56"/>
    </row>
    <row r="271" spans="1:11">
      <c r="A271" s="371" t="s">
        <v>1284</v>
      </c>
      <c r="B271" s="371" t="s">
        <v>2145</v>
      </c>
      <c r="C271" s="371">
        <v>177.8</v>
      </c>
      <c r="D271" s="371">
        <v>152.4</v>
      </c>
      <c r="E271" s="371">
        <v>63.5</v>
      </c>
      <c r="F271" s="371">
        <v>63.5</v>
      </c>
      <c r="G271" s="17">
        <f t="shared" si="50"/>
        <v>1.7206417199999999</v>
      </c>
      <c r="K271" s="56"/>
    </row>
    <row r="272" spans="1:11">
      <c r="A272" s="371" t="s">
        <v>1280</v>
      </c>
      <c r="B272" s="371" t="s">
        <v>2145</v>
      </c>
      <c r="C272" s="371">
        <v>177.8</v>
      </c>
      <c r="D272" s="371">
        <v>152.4</v>
      </c>
      <c r="E272" s="371">
        <v>76.2</v>
      </c>
      <c r="F272" s="371">
        <v>76.2</v>
      </c>
      <c r="G272" s="17">
        <f t="shared" si="50"/>
        <v>2.0647700640000002</v>
      </c>
      <c r="K272" s="56"/>
    </row>
    <row r="273" spans="1:11">
      <c r="A273" s="371" t="s">
        <v>1281</v>
      </c>
      <c r="B273" s="371" t="s">
        <v>2145</v>
      </c>
      <c r="C273" s="371">
        <v>177.8</v>
      </c>
      <c r="D273" s="371">
        <v>152.4</v>
      </c>
      <c r="E273" s="371">
        <v>100</v>
      </c>
      <c r="F273" s="371">
        <v>100</v>
      </c>
      <c r="G273" s="17">
        <f t="shared" si="50"/>
        <v>2.7096719999999999</v>
      </c>
      <c r="K273" s="56"/>
    </row>
    <row r="274" spans="1:11">
      <c r="A274" s="371" t="s">
        <v>1279</v>
      </c>
      <c r="B274" s="371" t="s">
        <v>2145</v>
      </c>
      <c r="C274" s="371">
        <v>177.8</v>
      </c>
      <c r="D274" s="371">
        <v>152.4</v>
      </c>
      <c r="E274" s="371">
        <v>101.6</v>
      </c>
      <c r="F274" s="371">
        <v>101.6</v>
      </c>
      <c r="G274" s="17">
        <f t="shared" si="50"/>
        <v>2.7530267519999998</v>
      </c>
      <c r="K274" s="56"/>
    </row>
    <row r="275" spans="1:11">
      <c r="A275" s="371" t="s">
        <v>1283</v>
      </c>
      <c r="B275" s="371" t="s">
        <v>2145</v>
      </c>
      <c r="C275" s="371">
        <v>177.8</v>
      </c>
      <c r="D275" s="371">
        <v>177.8</v>
      </c>
      <c r="E275" s="371">
        <v>57.2</v>
      </c>
      <c r="F275" s="371">
        <v>57.2</v>
      </c>
      <c r="G275" s="17">
        <f t="shared" si="50"/>
        <v>1.8082544480000002</v>
      </c>
      <c r="K275" s="56"/>
    </row>
    <row r="276" spans="1:11">
      <c r="A276" s="379" t="s">
        <v>1290</v>
      </c>
      <c r="B276" s="379" t="s">
        <v>2145</v>
      </c>
      <c r="C276" s="379">
        <v>203.2</v>
      </c>
      <c r="D276" s="379">
        <v>101.6</v>
      </c>
      <c r="E276" s="379">
        <v>60.3</v>
      </c>
      <c r="F276" s="379">
        <v>60.3</v>
      </c>
      <c r="G276" s="17">
        <f t="shared" si="50"/>
        <v>1.2449007359999997</v>
      </c>
      <c r="K276" s="56"/>
    </row>
    <row r="277" spans="1:11">
      <c r="A277" s="379" t="s">
        <v>1291</v>
      </c>
      <c r="B277" s="379" t="s">
        <v>2145</v>
      </c>
      <c r="C277" s="379">
        <v>203.2</v>
      </c>
      <c r="D277" s="379">
        <v>101.6</v>
      </c>
      <c r="E277" s="379">
        <v>76.2</v>
      </c>
      <c r="F277" s="379">
        <v>76.2</v>
      </c>
      <c r="G277" s="17">
        <f t="shared" si="50"/>
        <v>1.573158144</v>
      </c>
      <c r="K277" s="56"/>
    </row>
    <row r="278" spans="1:11">
      <c r="A278" s="379" t="s">
        <v>1292</v>
      </c>
      <c r="B278" s="379" t="s">
        <v>2145</v>
      </c>
      <c r="C278" s="379">
        <v>203.2</v>
      </c>
      <c r="D278" s="379">
        <v>114.3</v>
      </c>
      <c r="E278" s="379">
        <v>69.900000000000006</v>
      </c>
      <c r="F278" s="379">
        <v>69.900000000000006</v>
      </c>
      <c r="G278" s="17">
        <f t="shared" si="50"/>
        <v>1.6234806240000001</v>
      </c>
      <c r="K278" s="56"/>
    </row>
    <row r="279" spans="1:11">
      <c r="A279" s="379" t="s">
        <v>1289</v>
      </c>
      <c r="B279" s="379" t="s">
        <v>2145</v>
      </c>
      <c r="C279" s="379">
        <v>203.2</v>
      </c>
      <c r="D279" s="379">
        <v>152.4</v>
      </c>
      <c r="E279" s="379">
        <v>76.2</v>
      </c>
      <c r="F279" s="379">
        <v>76.2</v>
      </c>
      <c r="G279" s="17">
        <f t="shared" si="50"/>
        <v>2.3597372160000001</v>
      </c>
      <c r="K279" s="56"/>
    </row>
    <row r="280" spans="1:11">
      <c r="A280" s="379" t="s">
        <v>1293</v>
      </c>
      <c r="B280" s="379" t="s">
        <v>2145</v>
      </c>
      <c r="C280" s="379">
        <v>203.2</v>
      </c>
      <c r="D280" s="379">
        <v>171.5</v>
      </c>
      <c r="E280" s="379">
        <v>100</v>
      </c>
      <c r="F280" s="379">
        <v>100</v>
      </c>
      <c r="G280" s="17">
        <f t="shared" si="50"/>
        <v>3.4848799999999995</v>
      </c>
      <c r="K280" s="56"/>
    </row>
    <row r="281" spans="1:11">
      <c r="A281" s="359" t="s">
        <v>1321</v>
      </c>
      <c r="B281" s="359" t="s">
        <v>2145</v>
      </c>
      <c r="C281" s="359">
        <v>228.6</v>
      </c>
      <c r="D281" s="359">
        <v>63.5</v>
      </c>
      <c r="E281" s="359">
        <v>63.5</v>
      </c>
      <c r="F281" s="359">
        <v>63.5</v>
      </c>
      <c r="G281" s="17">
        <f t="shared" si="50"/>
        <v>0.92177235000000002</v>
      </c>
      <c r="K281" s="56"/>
    </row>
    <row r="282" spans="1:11">
      <c r="A282" s="359" t="s">
        <v>1305</v>
      </c>
      <c r="B282" s="359" t="s">
        <v>2145</v>
      </c>
      <c r="C282" s="359">
        <v>228.6</v>
      </c>
      <c r="D282" s="359">
        <v>76.2</v>
      </c>
      <c r="E282" s="359">
        <v>63.5</v>
      </c>
      <c r="F282" s="359">
        <v>63.5</v>
      </c>
      <c r="G282" s="17">
        <f t="shared" si="50"/>
        <v>1.1061268200000001</v>
      </c>
      <c r="K282" s="56"/>
    </row>
    <row r="283" spans="1:11">
      <c r="A283" s="359" t="s">
        <v>1306</v>
      </c>
      <c r="B283" s="359" t="s">
        <v>2145</v>
      </c>
      <c r="C283" s="359">
        <v>228.6</v>
      </c>
      <c r="D283" s="359">
        <v>76.2</v>
      </c>
      <c r="E283" s="359">
        <v>57.2</v>
      </c>
      <c r="F283" s="359">
        <v>57.2</v>
      </c>
      <c r="G283" s="17">
        <f t="shared" si="50"/>
        <v>0.99638510400000002</v>
      </c>
      <c r="K283" s="56"/>
    </row>
    <row r="284" spans="1:11">
      <c r="A284" s="359" t="s">
        <v>1312</v>
      </c>
      <c r="B284" s="359" t="s">
        <v>2145</v>
      </c>
      <c r="C284" s="359">
        <v>228.6</v>
      </c>
      <c r="D284" s="359">
        <v>76.2</v>
      </c>
      <c r="E284" s="359">
        <v>76.2</v>
      </c>
      <c r="F284" s="359">
        <v>76.2</v>
      </c>
      <c r="G284" s="17">
        <f t="shared" si="50"/>
        <v>1.3273521840000002</v>
      </c>
      <c r="K284" s="56"/>
    </row>
    <row r="285" spans="1:11">
      <c r="A285" s="359" t="s">
        <v>1317</v>
      </c>
      <c r="B285" s="359" t="s">
        <v>2145</v>
      </c>
      <c r="C285" s="359">
        <v>228.6</v>
      </c>
      <c r="D285" s="359">
        <v>101.6</v>
      </c>
      <c r="E285" s="359">
        <v>76.2</v>
      </c>
      <c r="F285" s="359">
        <v>76.2</v>
      </c>
      <c r="G285" s="17">
        <f t="shared" si="50"/>
        <v>1.7698029120000001</v>
      </c>
      <c r="K285" s="56"/>
    </row>
    <row r="286" spans="1:11">
      <c r="A286" s="359" t="s">
        <v>1326</v>
      </c>
      <c r="B286" s="359" t="s">
        <v>2145</v>
      </c>
      <c r="C286" s="359">
        <v>228.6</v>
      </c>
      <c r="D286" s="359">
        <v>101.6</v>
      </c>
      <c r="E286" s="359">
        <v>101.6</v>
      </c>
      <c r="F286" s="359">
        <v>101.6</v>
      </c>
      <c r="G286" s="17">
        <f t="shared" si="50"/>
        <v>2.3597372159999996</v>
      </c>
      <c r="K286" s="56"/>
    </row>
    <row r="287" spans="1:11">
      <c r="A287" s="359" t="s">
        <v>1307</v>
      </c>
      <c r="B287" s="359" t="s">
        <v>2145</v>
      </c>
      <c r="C287" s="359">
        <v>228.6</v>
      </c>
      <c r="D287" s="359">
        <v>114.3</v>
      </c>
      <c r="E287" s="359">
        <v>25.4</v>
      </c>
      <c r="F287" s="359">
        <v>25.4</v>
      </c>
      <c r="G287" s="17">
        <f t="shared" si="50"/>
        <v>0.663676092</v>
      </c>
      <c r="K287" s="56"/>
    </row>
    <row r="288" spans="1:11">
      <c r="A288" s="359" t="s">
        <v>1296</v>
      </c>
      <c r="B288" s="359" t="s">
        <v>2145</v>
      </c>
      <c r="C288" s="359">
        <v>228.6</v>
      </c>
      <c r="D288" s="359">
        <v>114.3</v>
      </c>
      <c r="E288" s="359">
        <v>31.8</v>
      </c>
      <c r="F288" s="359">
        <v>31.8</v>
      </c>
      <c r="G288" s="17">
        <f t="shared" si="50"/>
        <v>0.83090156400000004</v>
      </c>
      <c r="K288" s="56"/>
    </row>
    <row r="289" spans="1:11">
      <c r="A289" s="359" t="s">
        <v>1315</v>
      </c>
      <c r="B289" s="359" t="s">
        <v>2145</v>
      </c>
      <c r="C289" s="359">
        <v>228.6</v>
      </c>
      <c r="D289" s="359">
        <v>114.3</v>
      </c>
      <c r="E289" s="359">
        <v>38.1</v>
      </c>
      <c r="F289" s="359">
        <v>38.1</v>
      </c>
      <c r="G289" s="17">
        <f t="shared" si="50"/>
        <v>0.99551413799999999</v>
      </c>
      <c r="K289" s="56"/>
    </row>
    <row r="290" spans="1:11">
      <c r="A290" s="359" t="s">
        <v>1338</v>
      </c>
      <c r="B290" s="359" t="s">
        <v>2145</v>
      </c>
      <c r="C290" s="359">
        <v>228.6</v>
      </c>
      <c r="D290" s="359">
        <v>114.3</v>
      </c>
      <c r="E290" s="359">
        <v>40</v>
      </c>
      <c r="F290" s="359">
        <v>40</v>
      </c>
      <c r="G290" s="17">
        <f t="shared" si="50"/>
        <v>1.0451591999999998</v>
      </c>
      <c r="K290" s="56"/>
    </row>
    <row r="291" spans="1:11">
      <c r="A291" s="359" t="s">
        <v>1297</v>
      </c>
      <c r="B291" s="359" t="s">
        <v>2145</v>
      </c>
      <c r="C291" s="359">
        <v>228.6</v>
      </c>
      <c r="D291" s="359">
        <v>114.3</v>
      </c>
      <c r="E291" s="359">
        <v>50.8</v>
      </c>
      <c r="F291" s="359">
        <v>50.8</v>
      </c>
      <c r="G291" s="17">
        <f t="shared" si="50"/>
        <v>1.327352184</v>
      </c>
      <c r="K291" s="56"/>
    </row>
    <row r="292" spans="1:11">
      <c r="A292" s="359" t="s">
        <v>1295</v>
      </c>
      <c r="B292" s="359" t="s">
        <v>2145</v>
      </c>
      <c r="C292" s="359">
        <v>228.6</v>
      </c>
      <c r="D292" s="359">
        <v>114.3</v>
      </c>
      <c r="E292" s="359">
        <v>63.5</v>
      </c>
      <c r="F292" s="359">
        <v>63.5</v>
      </c>
      <c r="G292" s="17">
        <f t="shared" si="50"/>
        <v>1.6591902299999999</v>
      </c>
      <c r="K292" s="56"/>
    </row>
    <row r="293" spans="1:11">
      <c r="A293" s="359" t="s">
        <v>1339</v>
      </c>
      <c r="B293" s="359" t="s">
        <v>2145</v>
      </c>
      <c r="C293" s="359">
        <v>228.6</v>
      </c>
      <c r="D293" s="359">
        <v>114.3</v>
      </c>
      <c r="E293" s="359">
        <v>64</v>
      </c>
      <c r="F293" s="359">
        <v>64</v>
      </c>
      <c r="G293" s="17">
        <f t="shared" si="50"/>
        <v>1.67225472</v>
      </c>
      <c r="K293" s="56"/>
    </row>
    <row r="294" spans="1:11">
      <c r="A294" s="359" t="s">
        <v>1313</v>
      </c>
      <c r="B294" s="359" t="s">
        <v>2145</v>
      </c>
      <c r="C294" s="359">
        <v>228.6</v>
      </c>
      <c r="D294" s="359">
        <v>114.3</v>
      </c>
      <c r="E294" s="359">
        <v>76.2</v>
      </c>
      <c r="F294" s="359">
        <v>76.2</v>
      </c>
      <c r="G294" s="17">
        <f t="shared" si="50"/>
        <v>1.991028276</v>
      </c>
      <c r="K294" s="56"/>
    </row>
    <row r="295" spans="1:11">
      <c r="A295" s="359" t="s">
        <v>1308</v>
      </c>
      <c r="B295" s="359" t="s">
        <v>2145</v>
      </c>
      <c r="C295" s="359">
        <v>228.6</v>
      </c>
      <c r="D295" s="359">
        <v>114.3</v>
      </c>
      <c r="E295" s="359">
        <v>100</v>
      </c>
      <c r="F295" s="359">
        <v>100</v>
      </c>
      <c r="G295" s="17">
        <f t="shared" si="50"/>
        <v>2.6128979999999999</v>
      </c>
      <c r="K295" s="56"/>
    </row>
    <row r="296" spans="1:11">
      <c r="A296" s="359" t="s">
        <v>1331</v>
      </c>
      <c r="B296" s="359" t="s">
        <v>2145</v>
      </c>
      <c r="C296" s="359">
        <v>228.6</v>
      </c>
      <c r="D296" s="359">
        <v>114.3</v>
      </c>
      <c r="E296" s="359">
        <v>101.6</v>
      </c>
      <c r="F296" s="359">
        <v>101.6</v>
      </c>
      <c r="G296" s="17">
        <f t="shared" si="50"/>
        <v>2.654704368</v>
      </c>
      <c r="K296" s="56"/>
    </row>
    <row r="297" spans="1:11">
      <c r="A297" s="359" t="s">
        <v>1298</v>
      </c>
      <c r="B297" s="359" t="s">
        <v>2145</v>
      </c>
      <c r="C297" s="359">
        <v>228.6</v>
      </c>
      <c r="D297" s="359">
        <v>114.3</v>
      </c>
      <c r="E297" s="359">
        <v>114.3</v>
      </c>
      <c r="F297" s="359">
        <v>114.3</v>
      </c>
      <c r="G297" s="17">
        <f t="shared" si="50"/>
        <v>2.9865424140000001</v>
      </c>
      <c r="K297" s="56"/>
    </row>
    <row r="298" spans="1:11">
      <c r="A298" s="359" t="s">
        <v>1336</v>
      </c>
      <c r="B298" s="359" t="s">
        <v>2145</v>
      </c>
      <c r="C298" s="359">
        <v>228.6</v>
      </c>
      <c r="D298" s="359">
        <v>127</v>
      </c>
      <c r="E298" s="359">
        <v>76.2</v>
      </c>
      <c r="F298" s="359">
        <v>76.2</v>
      </c>
      <c r="G298" s="17">
        <f t="shared" si="50"/>
        <v>2.2122536400000001</v>
      </c>
      <c r="K298" s="56"/>
    </row>
    <row r="299" spans="1:11">
      <c r="A299" s="359" t="s">
        <v>1337</v>
      </c>
      <c r="B299" s="359" t="s">
        <v>2145</v>
      </c>
      <c r="C299" s="359">
        <v>228.6</v>
      </c>
      <c r="D299" s="359">
        <v>152.4</v>
      </c>
      <c r="E299" s="359">
        <v>19.100000000000001</v>
      </c>
      <c r="F299" s="359">
        <v>19.100000000000001</v>
      </c>
      <c r="G299" s="17">
        <f t="shared" si="50"/>
        <v>0.66541802400000005</v>
      </c>
      <c r="K299" s="56"/>
    </row>
    <row r="300" spans="1:11">
      <c r="A300" s="359" t="s">
        <v>1324</v>
      </c>
      <c r="B300" s="359" t="s">
        <v>2145</v>
      </c>
      <c r="C300" s="359">
        <v>228.6</v>
      </c>
      <c r="D300" s="359">
        <v>152.4</v>
      </c>
      <c r="E300" s="359">
        <v>25.4</v>
      </c>
      <c r="F300" s="359">
        <v>25.4</v>
      </c>
      <c r="G300" s="17">
        <f t="shared" si="50"/>
        <v>0.88490145599999992</v>
      </c>
      <c r="K300" s="56"/>
    </row>
    <row r="301" spans="1:11">
      <c r="A301" s="359" t="s">
        <v>1327</v>
      </c>
      <c r="B301" s="359" t="s">
        <v>2145</v>
      </c>
      <c r="C301" s="359">
        <v>228.6</v>
      </c>
      <c r="D301" s="359">
        <v>152.4</v>
      </c>
      <c r="E301" s="359">
        <v>31.8</v>
      </c>
      <c r="F301" s="359">
        <v>31.8</v>
      </c>
      <c r="G301" s="17">
        <f t="shared" si="50"/>
        <v>1.1078687520000001</v>
      </c>
      <c r="K301" s="56"/>
    </row>
    <row r="302" spans="1:11">
      <c r="A302" s="359" t="s">
        <v>1299</v>
      </c>
      <c r="B302" s="359" t="s">
        <v>2145</v>
      </c>
      <c r="C302" s="359">
        <v>228.6</v>
      </c>
      <c r="D302" s="359">
        <v>152.4</v>
      </c>
      <c r="E302" s="359">
        <v>38.1</v>
      </c>
      <c r="F302" s="359">
        <v>38.1</v>
      </c>
      <c r="G302" s="17">
        <f t="shared" si="50"/>
        <v>1.3273521840000002</v>
      </c>
      <c r="K302" s="56"/>
    </row>
    <row r="303" spans="1:11">
      <c r="A303" s="359" t="s">
        <v>1300</v>
      </c>
      <c r="B303" s="359" t="s">
        <v>2145</v>
      </c>
      <c r="C303" s="359">
        <v>228.6</v>
      </c>
      <c r="D303" s="359">
        <v>152.4</v>
      </c>
      <c r="E303" s="359">
        <v>50.8</v>
      </c>
      <c r="F303" s="359">
        <v>50.8</v>
      </c>
      <c r="G303" s="17">
        <f t="shared" si="50"/>
        <v>1.7698029119999998</v>
      </c>
      <c r="K303" s="56"/>
    </row>
    <row r="304" spans="1:11">
      <c r="A304" s="359" t="s">
        <v>1301</v>
      </c>
      <c r="B304" s="359" t="s">
        <v>2145</v>
      </c>
      <c r="C304" s="359">
        <v>228.6</v>
      </c>
      <c r="D304" s="359">
        <v>152.4</v>
      </c>
      <c r="E304" s="359">
        <v>63.5</v>
      </c>
      <c r="F304" s="359">
        <v>63.5</v>
      </c>
      <c r="G304" s="17">
        <f t="shared" si="50"/>
        <v>2.2122536400000001</v>
      </c>
      <c r="K304" s="56"/>
    </row>
    <row r="305" spans="1:11">
      <c r="A305" s="359" t="s">
        <v>1314</v>
      </c>
      <c r="B305" s="359" t="s">
        <v>2145</v>
      </c>
      <c r="C305" s="359">
        <v>228.6</v>
      </c>
      <c r="D305" s="359">
        <v>152.4</v>
      </c>
      <c r="E305" s="359">
        <v>76.2</v>
      </c>
      <c r="F305" s="359">
        <v>76.2</v>
      </c>
      <c r="G305" s="17">
        <f t="shared" si="50"/>
        <v>2.6547043680000004</v>
      </c>
      <c r="K305" s="56"/>
    </row>
    <row r="306" spans="1:11">
      <c r="A306" s="359" t="s">
        <v>1294</v>
      </c>
      <c r="B306" s="359" t="s">
        <v>2145</v>
      </c>
      <c r="C306" s="359">
        <v>228.6</v>
      </c>
      <c r="D306" s="359">
        <v>152.4</v>
      </c>
      <c r="E306" s="359">
        <v>100</v>
      </c>
      <c r="F306" s="359">
        <v>100</v>
      </c>
      <c r="G306" s="17">
        <f t="shared" si="50"/>
        <v>3.4838640000000001</v>
      </c>
      <c r="K306" s="56"/>
    </row>
    <row r="307" spans="1:11">
      <c r="A307" s="359" t="s">
        <v>1320</v>
      </c>
      <c r="B307" s="359" t="s">
        <v>2145</v>
      </c>
      <c r="C307" s="359">
        <v>228.6</v>
      </c>
      <c r="D307" s="359">
        <v>152.4</v>
      </c>
      <c r="E307" s="359">
        <v>101.6</v>
      </c>
      <c r="F307" s="359">
        <v>101.6</v>
      </c>
      <c r="G307" s="17">
        <f t="shared" si="50"/>
        <v>3.5396058239999997</v>
      </c>
      <c r="K307" s="56"/>
    </row>
    <row r="308" spans="1:11">
      <c r="A308" s="359" t="s">
        <v>1302</v>
      </c>
      <c r="B308" s="359" t="s">
        <v>2145</v>
      </c>
      <c r="C308" s="359">
        <v>228.6</v>
      </c>
      <c r="D308" s="359">
        <v>152.4</v>
      </c>
      <c r="E308" s="359">
        <v>114.3</v>
      </c>
      <c r="F308" s="359">
        <v>114.3</v>
      </c>
      <c r="G308" s="17">
        <f t="shared" si="50"/>
        <v>3.9820565519999995</v>
      </c>
      <c r="K308" s="56"/>
    </row>
    <row r="309" spans="1:11">
      <c r="A309" s="359" t="s">
        <v>1330</v>
      </c>
      <c r="B309" s="359" t="s">
        <v>2145</v>
      </c>
      <c r="C309" s="359">
        <v>228.6</v>
      </c>
      <c r="D309" s="359">
        <v>152.4</v>
      </c>
      <c r="E309" s="359">
        <v>152.4</v>
      </c>
      <c r="F309" s="359">
        <v>152.4</v>
      </c>
      <c r="G309" s="17">
        <f t="shared" si="50"/>
        <v>5.3094087360000009</v>
      </c>
      <c r="K309" s="56"/>
    </row>
    <row r="310" spans="1:11">
      <c r="A310" s="359" t="s">
        <v>1322</v>
      </c>
      <c r="B310" s="359" t="s">
        <v>2145</v>
      </c>
      <c r="C310" s="359">
        <v>228.6</v>
      </c>
      <c r="D310" s="359">
        <v>171.5</v>
      </c>
      <c r="E310" s="359">
        <v>38.1</v>
      </c>
      <c r="F310" s="359">
        <v>38.1</v>
      </c>
      <c r="G310" s="17">
        <f t="shared" si="50"/>
        <v>1.4937066900000002</v>
      </c>
      <c r="K310" s="56"/>
    </row>
    <row r="311" spans="1:11">
      <c r="A311" s="359" t="s">
        <v>1323</v>
      </c>
      <c r="B311" s="359" t="s">
        <v>2145</v>
      </c>
      <c r="C311" s="359">
        <v>228.6</v>
      </c>
      <c r="D311" s="359">
        <v>171.5</v>
      </c>
      <c r="E311" s="359">
        <v>50.8</v>
      </c>
      <c r="F311" s="359">
        <v>50.8</v>
      </c>
      <c r="G311" s="17">
        <f t="shared" si="50"/>
        <v>1.99160892</v>
      </c>
      <c r="K311" s="56"/>
    </row>
    <row r="312" spans="1:11">
      <c r="A312" s="359" t="s">
        <v>1328</v>
      </c>
      <c r="B312" s="359" t="s">
        <v>2145</v>
      </c>
      <c r="C312" s="359">
        <v>228.6</v>
      </c>
      <c r="D312" s="359">
        <v>177.8</v>
      </c>
      <c r="E312" s="359">
        <v>76.2</v>
      </c>
      <c r="F312" s="359">
        <v>76.2</v>
      </c>
      <c r="G312" s="17">
        <f t="shared" si="50"/>
        <v>3.0971550960000003</v>
      </c>
      <c r="K312" s="56"/>
    </row>
    <row r="313" spans="1:11">
      <c r="A313" s="359" t="s">
        <v>1334</v>
      </c>
      <c r="B313" s="359" t="s">
        <v>2145</v>
      </c>
      <c r="C313" s="359">
        <v>228.6</v>
      </c>
      <c r="D313" s="359">
        <v>203.2</v>
      </c>
      <c r="E313" s="359">
        <v>63.5</v>
      </c>
      <c r="F313" s="359">
        <v>63.5</v>
      </c>
      <c r="G313" s="17">
        <f t="shared" si="50"/>
        <v>2.9496715199999999</v>
      </c>
      <c r="K313" s="56"/>
    </row>
    <row r="314" spans="1:11">
      <c r="A314" s="359" t="s">
        <v>1310</v>
      </c>
      <c r="B314" s="359" t="s">
        <v>2145</v>
      </c>
      <c r="C314" s="359">
        <v>228.6</v>
      </c>
      <c r="D314" s="359">
        <v>203.2</v>
      </c>
      <c r="E314" s="359">
        <v>76.2</v>
      </c>
      <c r="F314" s="359">
        <v>76.2</v>
      </c>
      <c r="G314" s="17">
        <f t="shared" si="50"/>
        <v>3.5396058240000001</v>
      </c>
      <c r="K314" s="56"/>
    </row>
    <row r="315" spans="1:11">
      <c r="A315" s="359" t="s">
        <v>1333</v>
      </c>
      <c r="B315" s="359" t="s">
        <v>2145</v>
      </c>
      <c r="C315" s="359">
        <v>228.6</v>
      </c>
      <c r="D315" s="359">
        <v>203.2</v>
      </c>
      <c r="E315" s="359">
        <v>152.4</v>
      </c>
      <c r="F315" s="359">
        <v>152.4</v>
      </c>
      <c r="G315" s="17">
        <f t="shared" si="50"/>
        <v>7.0792116480000002</v>
      </c>
      <c r="K315" s="56"/>
    </row>
    <row r="316" spans="1:11">
      <c r="A316" s="359" t="s">
        <v>1335</v>
      </c>
      <c r="B316" s="359" t="s">
        <v>2145</v>
      </c>
      <c r="C316" s="359">
        <v>228.6</v>
      </c>
      <c r="D316" s="359">
        <v>228.6</v>
      </c>
      <c r="E316" s="359">
        <v>25.4</v>
      </c>
      <c r="F316" s="359">
        <v>25.4</v>
      </c>
      <c r="G316" s="17">
        <f t="shared" si="50"/>
        <v>1.327352184</v>
      </c>
      <c r="K316" s="56"/>
    </row>
    <row r="317" spans="1:11">
      <c r="A317" s="359" t="s">
        <v>1329</v>
      </c>
      <c r="B317" s="359" t="s">
        <v>2145</v>
      </c>
      <c r="C317" s="359">
        <v>228.6</v>
      </c>
      <c r="D317" s="359">
        <v>228.6</v>
      </c>
      <c r="E317" s="359">
        <v>31.8</v>
      </c>
      <c r="F317" s="359">
        <v>31.8</v>
      </c>
      <c r="G317" s="17">
        <f t="shared" si="50"/>
        <v>1.6618031280000001</v>
      </c>
      <c r="K317" s="56"/>
    </row>
    <row r="318" spans="1:11">
      <c r="A318" s="359" t="s">
        <v>1325</v>
      </c>
      <c r="B318" s="359" t="s">
        <v>2145</v>
      </c>
      <c r="C318" s="359">
        <v>228.6</v>
      </c>
      <c r="D318" s="359">
        <v>228.6</v>
      </c>
      <c r="E318" s="359">
        <v>38.1</v>
      </c>
      <c r="F318" s="359">
        <v>38.1</v>
      </c>
      <c r="G318" s="17">
        <f t="shared" si="50"/>
        <v>1.991028276</v>
      </c>
      <c r="K318" s="56"/>
    </row>
    <row r="319" spans="1:11">
      <c r="A319" s="359" t="s">
        <v>1318</v>
      </c>
      <c r="B319" s="359" t="s">
        <v>2145</v>
      </c>
      <c r="C319" s="359">
        <v>228.6</v>
      </c>
      <c r="D319" s="359">
        <v>228.6</v>
      </c>
      <c r="E319" s="359">
        <v>50.8</v>
      </c>
      <c r="F319" s="359">
        <v>50.8</v>
      </c>
      <c r="G319" s="17">
        <f t="shared" ref="G319:G381" si="51">C319*D319*E319/10^6</f>
        <v>2.654704368</v>
      </c>
      <c r="K319" s="56"/>
    </row>
    <row r="320" spans="1:11">
      <c r="A320" s="359" t="s">
        <v>1319</v>
      </c>
      <c r="B320" s="359" t="s">
        <v>2145</v>
      </c>
      <c r="C320" s="359">
        <v>228.6</v>
      </c>
      <c r="D320" s="359">
        <v>228.6</v>
      </c>
      <c r="E320" s="359">
        <v>63.5</v>
      </c>
      <c r="F320" s="359">
        <v>63.5</v>
      </c>
      <c r="G320" s="17">
        <f t="shared" si="51"/>
        <v>3.3183804599999998</v>
      </c>
      <c r="K320" s="56"/>
    </row>
    <row r="321" spans="1:11">
      <c r="A321" s="359" t="s">
        <v>1316</v>
      </c>
      <c r="B321" s="359" t="s">
        <v>2145</v>
      </c>
      <c r="C321" s="359">
        <v>228.6</v>
      </c>
      <c r="D321" s="359">
        <v>228.6</v>
      </c>
      <c r="E321" s="359">
        <v>76.2</v>
      </c>
      <c r="F321" s="359">
        <v>76.2</v>
      </c>
      <c r="G321" s="17">
        <f t="shared" si="51"/>
        <v>3.982056552</v>
      </c>
      <c r="K321" s="56"/>
    </row>
    <row r="322" spans="1:11">
      <c r="A322" s="359" t="s">
        <v>1309</v>
      </c>
      <c r="B322" s="359" t="s">
        <v>2145</v>
      </c>
      <c r="C322" s="359">
        <v>228.6</v>
      </c>
      <c r="D322" s="359">
        <v>228.6</v>
      </c>
      <c r="E322" s="359">
        <v>100</v>
      </c>
      <c r="F322" s="359">
        <v>100</v>
      </c>
      <c r="G322" s="17">
        <f t="shared" si="51"/>
        <v>5.2257959999999999</v>
      </c>
      <c r="K322" s="56"/>
    </row>
    <row r="323" spans="1:11">
      <c r="A323" s="359" t="s">
        <v>1303</v>
      </c>
      <c r="B323" s="359" t="s">
        <v>2145</v>
      </c>
      <c r="C323" s="359">
        <v>228.6</v>
      </c>
      <c r="D323" s="359">
        <v>228.6</v>
      </c>
      <c r="E323" s="359">
        <v>101.6</v>
      </c>
      <c r="F323" s="359">
        <v>101.6</v>
      </c>
      <c r="G323" s="17">
        <f t="shared" si="51"/>
        <v>5.309408736</v>
      </c>
      <c r="K323" s="56"/>
    </row>
    <row r="324" spans="1:11">
      <c r="A324" s="359" t="s">
        <v>1311</v>
      </c>
      <c r="B324" s="359" t="s">
        <v>2145</v>
      </c>
      <c r="C324" s="359">
        <v>228.6</v>
      </c>
      <c r="D324" s="359">
        <v>228.6</v>
      </c>
      <c r="E324" s="359">
        <v>114.3</v>
      </c>
      <c r="F324" s="359">
        <v>114.3</v>
      </c>
      <c r="G324" s="17">
        <f t="shared" si="51"/>
        <v>5.9730848280000002</v>
      </c>
      <c r="K324" s="56"/>
    </row>
    <row r="325" spans="1:11">
      <c r="A325" s="359" t="s">
        <v>1304</v>
      </c>
      <c r="B325" s="359" t="s">
        <v>2145</v>
      </c>
      <c r="C325" s="359">
        <v>228.6</v>
      </c>
      <c r="D325" s="359">
        <v>228.6</v>
      </c>
      <c r="E325" s="359">
        <v>152.4</v>
      </c>
      <c r="F325" s="359">
        <v>152.4</v>
      </c>
      <c r="G325" s="17">
        <f t="shared" si="51"/>
        <v>7.9641131039999999</v>
      </c>
      <c r="K325" s="56"/>
    </row>
    <row r="326" spans="1:11">
      <c r="A326" s="359" t="s">
        <v>1332</v>
      </c>
      <c r="B326" s="359" t="s">
        <v>2145</v>
      </c>
      <c r="C326" s="359">
        <v>228.6</v>
      </c>
      <c r="D326" s="359">
        <v>228.6</v>
      </c>
      <c r="E326" s="359">
        <v>228.6</v>
      </c>
      <c r="F326" s="359">
        <v>228.6</v>
      </c>
      <c r="G326" s="17">
        <f t="shared" si="51"/>
        <v>11.946169656</v>
      </c>
      <c r="K326" s="56"/>
    </row>
    <row r="327" spans="1:11">
      <c r="A327" s="430" t="s">
        <v>1352</v>
      </c>
      <c r="B327" s="430" t="s">
        <v>2145</v>
      </c>
      <c r="C327" s="430">
        <v>304.8</v>
      </c>
      <c r="D327" s="430">
        <v>100</v>
      </c>
      <c r="E327" s="430">
        <v>76.2</v>
      </c>
      <c r="F327" s="430">
        <v>76.2</v>
      </c>
      <c r="G327" s="17">
        <f t="shared" si="51"/>
        <v>2.3225760000000002</v>
      </c>
      <c r="K327" s="56"/>
    </row>
    <row r="328" spans="1:11">
      <c r="A328" s="430" t="s">
        <v>1368</v>
      </c>
      <c r="B328" s="430" t="s">
        <v>2145</v>
      </c>
      <c r="C328" s="430">
        <v>304.8</v>
      </c>
      <c r="D328" s="430">
        <v>101.6</v>
      </c>
      <c r="E328" s="430">
        <v>76.2</v>
      </c>
      <c r="F328" s="430">
        <v>76.2</v>
      </c>
      <c r="G328" s="17">
        <f t="shared" si="51"/>
        <v>2.3597372160000001</v>
      </c>
      <c r="K328" s="56"/>
    </row>
    <row r="329" spans="1:11">
      <c r="A329" s="430" t="s">
        <v>1373</v>
      </c>
      <c r="B329" s="430" t="s">
        <v>2145</v>
      </c>
      <c r="C329" s="430">
        <v>304.8</v>
      </c>
      <c r="D329" s="430">
        <v>114.3</v>
      </c>
      <c r="E329" s="430">
        <v>25.4</v>
      </c>
      <c r="F329" s="430">
        <v>25.4</v>
      </c>
      <c r="G329" s="17">
        <f t="shared" si="51"/>
        <v>0.88490145599999992</v>
      </c>
      <c r="K329" s="56"/>
    </row>
    <row r="330" spans="1:11">
      <c r="A330" s="430" t="s">
        <v>1418</v>
      </c>
      <c r="B330" s="430" t="s">
        <v>2145</v>
      </c>
      <c r="C330" s="430">
        <v>304.8</v>
      </c>
      <c r="D330" s="430">
        <v>114.3</v>
      </c>
      <c r="E330" s="430">
        <v>38.1</v>
      </c>
      <c r="F330" s="430">
        <v>38.1</v>
      </c>
      <c r="G330" s="17">
        <f t="shared" si="51"/>
        <v>1.3273521840000002</v>
      </c>
      <c r="K330" s="56"/>
    </row>
    <row r="331" spans="1:11">
      <c r="A331" s="430" t="s">
        <v>1361</v>
      </c>
      <c r="B331" s="430" t="s">
        <v>2145</v>
      </c>
      <c r="C331" s="430">
        <v>304.8</v>
      </c>
      <c r="D331" s="430">
        <v>114.3</v>
      </c>
      <c r="E331" s="430">
        <v>50.8</v>
      </c>
      <c r="F331" s="430">
        <v>50.8</v>
      </c>
      <c r="G331" s="17">
        <f t="shared" si="51"/>
        <v>1.7698029119999998</v>
      </c>
      <c r="K331" s="56"/>
    </row>
    <row r="332" spans="1:11">
      <c r="A332" s="430" t="s">
        <v>1382</v>
      </c>
      <c r="B332" s="430" t="s">
        <v>2145</v>
      </c>
      <c r="C332" s="430">
        <v>304.8</v>
      </c>
      <c r="D332" s="430">
        <v>114.3</v>
      </c>
      <c r="E332" s="430">
        <v>63.5</v>
      </c>
      <c r="F332" s="430">
        <v>63.5</v>
      </c>
      <c r="G332" s="17">
        <f t="shared" si="51"/>
        <v>2.2122536400000001</v>
      </c>
      <c r="K332" s="56"/>
    </row>
    <row r="333" spans="1:11">
      <c r="A333" s="430" t="s">
        <v>1353</v>
      </c>
      <c r="B333" s="430" t="s">
        <v>2145</v>
      </c>
      <c r="C333" s="430">
        <v>304.8</v>
      </c>
      <c r="D333" s="430">
        <v>114.3</v>
      </c>
      <c r="E333" s="430">
        <v>76.2</v>
      </c>
      <c r="F333" s="430">
        <v>76.2</v>
      </c>
      <c r="G333" s="17">
        <f t="shared" si="51"/>
        <v>2.6547043680000004</v>
      </c>
      <c r="K333" s="56"/>
    </row>
    <row r="334" spans="1:11">
      <c r="A334" s="430" t="s">
        <v>1362</v>
      </c>
      <c r="B334" s="430" t="s">
        <v>2145</v>
      </c>
      <c r="C334" s="430">
        <v>304.8</v>
      </c>
      <c r="D334" s="430">
        <v>114.3</v>
      </c>
      <c r="E334" s="430">
        <v>101.6</v>
      </c>
      <c r="F334" s="430">
        <v>101.6</v>
      </c>
      <c r="G334" s="17">
        <f t="shared" si="51"/>
        <v>3.5396058239999997</v>
      </c>
      <c r="K334" s="56"/>
    </row>
    <row r="335" spans="1:11">
      <c r="A335" s="430" t="s">
        <v>1419</v>
      </c>
      <c r="B335" s="430" t="s">
        <v>2145</v>
      </c>
      <c r="C335" s="430">
        <v>304.8</v>
      </c>
      <c r="D335" s="430">
        <v>114.3</v>
      </c>
      <c r="E335" s="430">
        <v>114.3</v>
      </c>
      <c r="F335" s="430">
        <v>114.3</v>
      </c>
      <c r="G335" s="17">
        <f t="shared" si="51"/>
        <v>3.9820565519999995</v>
      </c>
      <c r="K335" s="56"/>
    </row>
    <row r="336" spans="1:11">
      <c r="A336" s="430" t="s">
        <v>1377</v>
      </c>
      <c r="B336" s="430" t="s">
        <v>2145</v>
      </c>
      <c r="C336" s="430">
        <v>304.8</v>
      </c>
      <c r="D336" s="430">
        <v>127</v>
      </c>
      <c r="E336" s="430">
        <v>101.6</v>
      </c>
      <c r="F336" s="430">
        <v>101.6</v>
      </c>
      <c r="G336" s="17">
        <f t="shared" si="51"/>
        <v>3.9328953599999994</v>
      </c>
      <c r="K336" s="56"/>
    </row>
    <row r="337" spans="1:11">
      <c r="A337" s="430" t="s">
        <v>1341</v>
      </c>
      <c r="B337" s="430" t="s">
        <v>2145</v>
      </c>
      <c r="C337" s="430">
        <v>304.8</v>
      </c>
      <c r="D337" s="430">
        <v>152.4</v>
      </c>
      <c r="E337" s="430">
        <v>25.4</v>
      </c>
      <c r="F337" s="430">
        <v>25.4</v>
      </c>
      <c r="G337" s="17">
        <f t="shared" si="51"/>
        <v>1.179868608</v>
      </c>
      <c r="K337" s="56"/>
    </row>
    <row r="338" spans="1:11">
      <c r="A338" s="430" t="s">
        <v>1369</v>
      </c>
      <c r="B338" s="430" t="s">
        <v>2145</v>
      </c>
      <c r="C338" s="430">
        <v>304.8</v>
      </c>
      <c r="D338" s="430">
        <v>152.4</v>
      </c>
      <c r="E338" s="430">
        <v>31.8</v>
      </c>
      <c r="F338" s="430">
        <v>31.8</v>
      </c>
      <c r="G338" s="17">
        <f t="shared" si="51"/>
        <v>1.477158336</v>
      </c>
      <c r="K338" s="56"/>
    </row>
    <row r="339" spans="1:11">
      <c r="A339" s="430" t="s">
        <v>1342</v>
      </c>
      <c r="B339" s="430" t="s">
        <v>2145</v>
      </c>
      <c r="C339" s="430">
        <v>304.8</v>
      </c>
      <c r="D339" s="430">
        <v>152.4</v>
      </c>
      <c r="E339" s="430">
        <v>38.1</v>
      </c>
      <c r="F339" s="430">
        <v>38.1</v>
      </c>
      <c r="G339" s="17">
        <f t="shared" si="51"/>
        <v>1.7698029120000003</v>
      </c>
      <c r="K339" s="56"/>
    </row>
    <row r="340" spans="1:11">
      <c r="A340" s="430" t="s">
        <v>1356</v>
      </c>
      <c r="B340" s="430" t="s">
        <v>2145</v>
      </c>
      <c r="C340" s="430">
        <v>304.8</v>
      </c>
      <c r="D340" s="430">
        <v>152.4</v>
      </c>
      <c r="E340" s="430">
        <v>50.8</v>
      </c>
      <c r="F340" s="430">
        <v>50.8</v>
      </c>
      <c r="G340" s="17">
        <f t="shared" si="51"/>
        <v>2.3597372160000001</v>
      </c>
      <c r="K340" s="56"/>
    </row>
    <row r="341" spans="1:11">
      <c r="A341" s="430" t="s">
        <v>1357</v>
      </c>
      <c r="B341" s="430" t="s">
        <v>2145</v>
      </c>
      <c r="C341" s="430">
        <v>304.8</v>
      </c>
      <c r="D341" s="430">
        <v>152.4</v>
      </c>
      <c r="E341" s="430">
        <v>63.5</v>
      </c>
      <c r="F341" s="430">
        <v>63.5</v>
      </c>
      <c r="G341" s="17">
        <f t="shared" si="51"/>
        <v>2.9496715200000003</v>
      </c>
      <c r="K341" s="56"/>
    </row>
    <row r="342" spans="1:11">
      <c r="A342" s="430" t="s">
        <v>1354</v>
      </c>
      <c r="B342" s="430" t="s">
        <v>2145</v>
      </c>
      <c r="C342" s="430">
        <v>304.8</v>
      </c>
      <c r="D342" s="430">
        <v>152.4</v>
      </c>
      <c r="E342" s="430">
        <v>76.2</v>
      </c>
      <c r="F342" s="430">
        <v>76.2</v>
      </c>
      <c r="G342" s="17">
        <f t="shared" si="51"/>
        <v>3.5396058240000006</v>
      </c>
      <c r="K342" s="56"/>
    </row>
    <row r="343" spans="1:11">
      <c r="A343" s="430" t="s">
        <v>1340</v>
      </c>
      <c r="B343" s="430" t="s">
        <v>2145</v>
      </c>
      <c r="C343" s="430">
        <v>304.8</v>
      </c>
      <c r="D343" s="430">
        <v>152.4</v>
      </c>
      <c r="E343" s="430">
        <v>100</v>
      </c>
      <c r="F343" s="430">
        <v>100</v>
      </c>
      <c r="G343" s="17">
        <f t="shared" si="51"/>
        <v>4.6451520000000004</v>
      </c>
      <c r="K343" s="56"/>
    </row>
    <row r="344" spans="1:11">
      <c r="A344" s="430" t="s">
        <v>1349</v>
      </c>
      <c r="B344" s="430" t="s">
        <v>2145</v>
      </c>
      <c r="C344" s="430">
        <v>304.8</v>
      </c>
      <c r="D344" s="430">
        <v>152.4</v>
      </c>
      <c r="E344" s="430">
        <v>101.6</v>
      </c>
      <c r="F344" s="430">
        <v>101.6</v>
      </c>
      <c r="G344" s="17">
        <f t="shared" si="51"/>
        <v>4.7194744320000002</v>
      </c>
      <c r="K344" s="56"/>
    </row>
    <row r="345" spans="1:11">
      <c r="A345" s="430" t="s">
        <v>1343</v>
      </c>
      <c r="B345" s="430" t="s">
        <v>2145</v>
      </c>
      <c r="C345" s="430">
        <v>304.8</v>
      </c>
      <c r="D345" s="430">
        <v>152.4</v>
      </c>
      <c r="E345" s="430">
        <v>114.3</v>
      </c>
      <c r="F345" s="430">
        <v>114.3</v>
      </c>
      <c r="G345" s="17">
        <f t="shared" si="51"/>
        <v>5.3094087360000009</v>
      </c>
      <c r="K345" s="56"/>
    </row>
    <row r="346" spans="1:11">
      <c r="A346" s="430" t="s">
        <v>1370</v>
      </c>
      <c r="B346" s="430" t="s">
        <v>2145</v>
      </c>
      <c r="C346" s="430">
        <v>304.8</v>
      </c>
      <c r="D346" s="430">
        <v>152.4</v>
      </c>
      <c r="E346" s="430">
        <v>127</v>
      </c>
      <c r="F346" s="430">
        <v>127</v>
      </c>
      <c r="G346" s="17">
        <f t="shared" si="51"/>
        <v>5.8993430400000006</v>
      </c>
      <c r="K346" s="56"/>
    </row>
    <row r="347" spans="1:11">
      <c r="A347" s="430" t="s">
        <v>1350</v>
      </c>
      <c r="B347" s="430" t="s">
        <v>2145</v>
      </c>
      <c r="C347" s="430">
        <v>304.8</v>
      </c>
      <c r="D347" s="430">
        <v>203.2</v>
      </c>
      <c r="E347" s="430">
        <v>76.2</v>
      </c>
      <c r="F347" s="430">
        <v>76.2</v>
      </c>
      <c r="G347" s="17">
        <f t="shared" si="51"/>
        <v>4.7194744320000002</v>
      </c>
      <c r="K347" s="56"/>
    </row>
    <row r="348" spans="1:11">
      <c r="A348" s="430" t="s">
        <v>1367</v>
      </c>
      <c r="B348" s="430" t="s">
        <v>2145</v>
      </c>
      <c r="C348" s="430">
        <v>304.8</v>
      </c>
      <c r="D348" s="430">
        <v>203.2</v>
      </c>
      <c r="E348" s="430">
        <v>101.6</v>
      </c>
      <c r="F348" s="430">
        <v>101.6</v>
      </c>
      <c r="G348" s="17">
        <f t="shared" si="51"/>
        <v>6.292632575999999</v>
      </c>
      <c r="K348" s="56"/>
    </row>
    <row r="349" spans="1:11">
      <c r="A349" s="430" t="s">
        <v>1378</v>
      </c>
      <c r="B349" s="430" t="s">
        <v>2145</v>
      </c>
      <c r="C349" s="430">
        <v>304.8</v>
      </c>
      <c r="D349" s="430">
        <v>228.6</v>
      </c>
      <c r="E349" s="430">
        <v>25.4</v>
      </c>
      <c r="F349" s="430">
        <v>25.4</v>
      </c>
      <c r="G349" s="17">
        <f t="shared" si="51"/>
        <v>1.7698029119999998</v>
      </c>
      <c r="K349" s="56"/>
    </row>
    <row r="350" spans="1:11">
      <c r="A350" s="430" t="s">
        <v>1371</v>
      </c>
      <c r="B350" s="430" t="s">
        <v>2145</v>
      </c>
      <c r="C350" s="430">
        <v>304.8</v>
      </c>
      <c r="D350" s="430">
        <v>228.6</v>
      </c>
      <c r="E350" s="430">
        <v>31.8</v>
      </c>
      <c r="F350" s="430">
        <v>31.8</v>
      </c>
      <c r="G350" s="17">
        <f t="shared" si="51"/>
        <v>2.2157375040000002</v>
      </c>
      <c r="K350" s="56"/>
    </row>
    <row r="351" spans="1:11">
      <c r="A351" s="430" t="s">
        <v>1360</v>
      </c>
      <c r="B351" s="430" t="s">
        <v>2145</v>
      </c>
      <c r="C351" s="430">
        <v>304.8</v>
      </c>
      <c r="D351" s="430">
        <v>228.6</v>
      </c>
      <c r="E351" s="430">
        <v>38.1</v>
      </c>
      <c r="F351" s="430">
        <v>38.1</v>
      </c>
      <c r="G351" s="17">
        <f t="shared" si="51"/>
        <v>2.6547043680000004</v>
      </c>
      <c r="K351" s="56"/>
    </row>
    <row r="352" spans="1:11">
      <c r="A352" s="430" t="s">
        <v>1344</v>
      </c>
      <c r="B352" s="430" t="s">
        <v>2145</v>
      </c>
      <c r="C352" s="430">
        <v>304.8</v>
      </c>
      <c r="D352" s="430">
        <v>228.6</v>
      </c>
      <c r="E352" s="430">
        <v>50.8</v>
      </c>
      <c r="F352" s="430">
        <v>50.8</v>
      </c>
      <c r="G352" s="17">
        <f t="shared" si="51"/>
        <v>3.5396058239999997</v>
      </c>
      <c r="K352" s="56"/>
    </row>
    <row r="353" spans="1:11">
      <c r="A353" s="430" t="s">
        <v>1345</v>
      </c>
      <c r="B353" s="430" t="s">
        <v>2145</v>
      </c>
      <c r="C353" s="430">
        <v>304.8</v>
      </c>
      <c r="D353" s="430">
        <v>228.6</v>
      </c>
      <c r="E353" s="430">
        <v>63.5</v>
      </c>
      <c r="F353" s="430">
        <v>63.5</v>
      </c>
      <c r="G353" s="17">
        <f t="shared" si="51"/>
        <v>4.4245072800000003</v>
      </c>
      <c r="K353" s="56"/>
    </row>
    <row r="354" spans="1:11">
      <c r="A354" s="430" t="s">
        <v>1355</v>
      </c>
      <c r="B354" s="430" t="s">
        <v>2145</v>
      </c>
      <c r="C354" s="430">
        <v>304.8</v>
      </c>
      <c r="D354" s="430">
        <v>228.6</v>
      </c>
      <c r="E354" s="430">
        <v>76.2</v>
      </c>
      <c r="F354" s="430">
        <v>76.2</v>
      </c>
      <c r="G354" s="17">
        <f t="shared" si="51"/>
        <v>5.3094087360000009</v>
      </c>
      <c r="K354" s="56"/>
    </row>
    <row r="355" spans="1:11">
      <c r="A355" s="430" t="s">
        <v>1346</v>
      </c>
      <c r="B355" s="430" t="s">
        <v>2145</v>
      </c>
      <c r="C355" s="430">
        <v>304.8</v>
      </c>
      <c r="D355" s="430">
        <v>228.6</v>
      </c>
      <c r="E355" s="430">
        <v>100</v>
      </c>
      <c r="F355" s="430">
        <v>100</v>
      </c>
      <c r="G355" s="17">
        <f t="shared" si="51"/>
        <v>6.9677280000000001</v>
      </c>
      <c r="K355" s="56"/>
    </row>
    <row r="356" spans="1:11">
      <c r="A356" s="430" t="s">
        <v>1351</v>
      </c>
      <c r="B356" s="430" t="s">
        <v>2145</v>
      </c>
      <c r="C356" s="430">
        <v>304.8</v>
      </c>
      <c r="D356" s="430">
        <v>228.6</v>
      </c>
      <c r="E356" s="430">
        <v>101.6</v>
      </c>
      <c r="F356" s="430">
        <v>101.6</v>
      </c>
      <c r="G356" s="17">
        <f t="shared" si="51"/>
        <v>7.0792116479999994</v>
      </c>
      <c r="K356" s="56"/>
    </row>
    <row r="357" spans="1:11">
      <c r="A357" s="430" t="s">
        <v>1347</v>
      </c>
      <c r="B357" s="430" t="s">
        <v>2145</v>
      </c>
      <c r="C357" s="430">
        <v>304.8</v>
      </c>
      <c r="D357" s="430">
        <v>228.6</v>
      </c>
      <c r="E357" s="430">
        <v>114.3</v>
      </c>
      <c r="F357" s="430">
        <v>114.3</v>
      </c>
      <c r="G357" s="17">
        <f t="shared" si="51"/>
        <v>7.9641131039999991</v>
      </c>
      <c r="K357" s="56"/>
    </row>
    <row r="358" spans="1:11">
      <c r="A358" s="430" t="s">
        <v>1379</v>
      </c>
      <c r="B358" s="430" t="s">
        <v>2145</v>
      </c>
      <c r="C358" s="430">
        <v>304.8</v>
      </c>
      <c r="D358" s="430">
        <v>228.6</v>
      </c>
      <c r="E358" s="430">
        <v>127</v>
      </c>
      <c r="F358" s="430">
        <v>127</v>
      </c>
      <c r="G358" s="17">
        <f t="shared" si="51"/>
        <v>8.8490145600000005</v>
      </c>
      <c r="K358" s="56"/>
    </row>
    <row r="359" spans="1:11">
      <c r="A359" s="430" t="s">
        <v>1366</v>
      </c>
      <c r="B359" s="430" t="s">
        <v>2145</v>
      </c>
      <c r="C359" s="430">
        <v>304.8</v>
      </c>
      <c r="D359" s="430">
        <v>228.6</v>
      </c>
      <c r="E359" s="430">
        <v>152.4</v>
      </c>
      <c r="F359" s="430">
        <v>152.4</v>
      </c>
      <c r="G359" s="17">
        <f t="shared" si="51"/>
        <v>10.618817472000002</v>
      </c>
      <c r="K359" s="56"/>
    </row>
    <row r="360" spans="1:11">
      <c r="A360" s="430" t="s">
        <v>1376</v>
      </c>
      <c r="B360" s="430" t="s">
        <v>2145</v>
      </c>
      <c r="C360" s="430">
        <v>304.8</v>
      </c>
      <c r="D360" s="430">
        <v>228.6</v>
      </c>
      <c r="E360" s="430">
        <v>203.2</v>
      </c>
      <c r="F360" s="430">
        <v>203.2</v>
      </c>
      <c r="G360" s="17">
        <f t="shared" si="51"/>
        <v>14.158423295999999</v>
      </c>
      <c r="K360" s="56"/>
    </row>
    <row r="361" spans="1:11">
      <c r="A361" s="430" t="s">
        <v>1358</v>
      </c>
      <c r="B361" s="430" t="s">
        <v>2145</v>
      </c>
      <c r="C361" s="430">
        <v>304.8</v>
      </c>
      <c r="D361" s="430">
        <v>304.8</v>
      </c>
      <c r="E361" s="430">
        <v>25.4</v>
      </c>
      <c r="F361" s="430">
        <v>25.4</v>
      </c>
      <c r="G361" s="17">
        <f t="shared" si="51"/>
        <v>2.3597372160000001</v>
      </c>
      <c r="K361" s="56"/>
    </row>
    <row r="362" spans="1:11">
      <c r="A362" s="430" t="s">
        <v>1374</v>
      </c>
      <c r="B362" s="430" t="s">
        <v>2145</v>
      </c>
      <c r="C362" s="430">
        <v>304.8</v>
      </c>
      <c r="D362" s="430">
        <v>304.8</v>
      </c>
      <c r="E362" s="430">
        <v>31.8</v>
      </c>
      <c r="F362" s="430">
        <v>31.8</v>
      </c>
      <c r="G362" s="17">
        <f t="shared" si="51"/>
        <v>2.954316672</v>
      </c>
      <c r="K362" s="56"/>
    </row>
    <row r="363" spans="1:11">
      <c r="A363" s="430" t="s">
        <v>1375</v>
      </c>
      <c r="B363" s="430" t="s">
        <v>2145</v>
      </c>
      <c r="C363" s="430">
        <v>304.8</v>
      </c>
      <c r="D363" s="430">
        <v>304.8</v>
      </c>
      <c r="E363" s="430">
        <v>38.1</v>
      </c>
      <c r="F363" s="430">
        <v>38.1</v>
      </c>
      <c r="G363" s="17">
        <f t="shared" si="51"/>
        <v>3.5396058240000006</v>
      </c>
      <c r="K363" s="56"/>
    </row>
    <row r="364" spans="1:11">
      <c r="A364" s="430" t="s">
        <v>1348</v>
      </c>
      <c r="B364" s="430" t="s">
        <v>2145</v>
      </c>
      <c r="C364" s="430">
        <v>304.8</v>
      </c>
      <c r="D364" s="430">
        <v>304.8</v>
      </c>
      <c r="E364" s="430">
        <v>50.8</v>
      </c>
      <c r="F364" s="430">
        <v>50.8</v>
      </c>
      <c r="G364" s="17">
        <f t="shared" si="51"/>
        <v>4.7194744320000002</v>
      </c>
      <c r="K364" s="56"/>
    </row>
    <row r="365" spans="1:11">
      <c r="A365" s="430" t="s">
        <v>1381</v>
      </c>
      <c r="B365" s="430" t="s">
        <v>2145</v>
      </c>
      <c r="C365" s="430">
        <v>304.8</v>
      </c>
      <c r="D365" s="430">
        <v>304.8</v>
      </c>
      <c r="E365" s="430">
        <v>63.5</v>
      </c>
      <c r="F365" s="430">
        <v>63.5</v>
      </c>
      <c r="G365" s="17">
        <f t="shared" si="51"/>
        <v>5.8993430400000006</v>
      </c>
      <c r="K365" s="56"/>
    </row>
    <row r="366" spans="1:11">
      <c r="A366" s="430" t="s">
        <v>1359</v>
      </c>
      <c r="B366" s="430" t="s">
        <v>2145</v>
      </c>
      <c r="C366" s="430">
        <v>304.8</v>
      </c>
      <c r="D366" s="430">
        <v>304.8</v>
      </c>
      <c r="E366" s="430">
        <v>76.2</v>
      </c>
      <c r="F366" s="430">
        <v>76.2</v>
      </c>
      <c r="G366" s="17">
        <f t="shared" si="51"/>
        <v>7.0792116480000011</v>
      </c>
      <c r="K366" s="56"/>
    </row>
    <row r="367" spans="1:11">
      <c r="A367" s="430" t="s">
        <v>1380</v>
      </c>
      <c r="B367" s="430" t="s">
        <v>2145</v>
      </c>
      <c r="C367" s="430">
        <v>304.8</v>
      </c>
      <c r="D367" s="430">
        <v>304.8</v>
      </c>
      <c r="E367" s="430">
        <v>100</v>
      </c>
      <c r="F367" s="430">
        <v>100</v>
      </c>
      <c r="G367" s="17">
        <f t="shared" si="51"/>
        <v>9.2903040000000008</v>
      </c>
      <c r="K367" s="56"/>
    </row>
    <row r="368" spans="1:11">
      <c r="A368" s="430" t="s">
        <v>1365</v>
      </c>
      <c r="B368" s="430" t="s">
        <v>2145</v>
      </c>
      <c r="C368" s="430">
        <v>304.8</v>
      </c>
      <c r="D368" s="430">
        <v>304.8</v>
      </c>
      <c r="E368" s="430">
        <v>101.6</v>
      </c>
      <c r="F368" s="430">
        <v>101.6</v>
      </c>
      <c r="G368" s="17">
        <f t="shared" si="51"/>
        <v>9.4389488640000003</v>
      </c>
      <c r="K368" s="56"/>
    </row>
    <row r="369" spans="1:11">
      <c r="A369" s="430" t="s">
        <v>1372</v>
      </c>
      <c r="B369" s="430" t="s">
        <v>2145</v>
      </c>
      <c r="C369" s="430">
        <v>304.8</v>
      </c>
      <c r="D369" s="430">
        <v>304.8</v>
      </c>
      <c r="E369" s="430">
        <v>114.3</v>
      </c>
      <c r="F369" s="430">
        <v>114.3</v>
      </c>
      <c r="G369" s="17">
        <f t="shared" si="51"/>
        <v>10.618817472000002</v>
      </c>
      <c r="K369" s="56"/>
    </row>
    <row r="370" spans="1:11">
      <c r="A370" s="430" t="s">
        <v>1364</v>
      </c>
      <c r="B370" s="430" t="s">
        <v>2145</v>
      </c>
      <c r="C370" s="430">
        <v>304.8</v>
      </c>
      <c r="D370" s="430">
        <v>304.8</v>
      </c>
      <c r="E370" s="430">
        <v>127</v>
      </c>
      <c r="F370" s="430">
        <v>127</v>
      </c>
      <c r="G370" s="17">
        <f t="shared" si="51"/>
        <v>11.798686080000001</v>
      </c>
      <c r="K370" s="56"/>
    </row>
    <row r="371" spans="1:11">
      <c r="A371" s="430" t="s">
        <v>1363</v>
      </c>
      <c r="B371" s="430" t="s">
        <v>2145</v>
      </c>
      <c r="C371" s="430">
        <v>304.8</v>
      </c>
      <c r="D371" s="430">
        <v>304.8</v>
      </c>
      <c r="E371" s="430">
        <v>152.4</v>
      </c>
      <c r="F371" s="430">
        <v>152.4</v>
      </c>
      <c r="G371" s="17">
        <f t="shared" si="51"/>
        <v>14.158423296000002</v>
      </c>
      <c r="K371" s="56"/>
    </row>
    <row r="372" spans="1:11">
      <c r="A372" s="432" t="s">
        <v>1383</v>
      </c>
      <c r="B372" s="432" t="s">
        <v>2145</v>
      </c>
      <c r="C372" s="432">
        <v>381</v>
      </c>
      <c r="D372" s="432">
        <v>76.2</v>
      </c>
      <c r="E372" s="432">
        <v>76.2</v>
      </c>
      <c r="F372" s="432">
        <v>76.2</v>
      </c>
      <c r="G372" s="17">
        <f t="shared" si="51"/>
        <v>2.2122536400000001</v>
      </c>
      <c r="K372" s="56"/>
    </row>
    <row r="373" spans="1:11">
      <c r="A373" s="432" t="s">
        <v>1389</v>
      </c>
      <c r="B373" s="432" t="s">
        <v>2145</v>
      </c>
      <c r="C373" s="432">
        <v>381</v>
      </c>
      <c r="D373" s="432">
        <v>100</v>
      </c>
      <c r="E373" s="432">
        <v>76.2</v>
      </c>
      <c r="F373" s="432">
        <v>76.2</v>
      </c>
      <c r="G373" s="17">
        <f t="shared" si="51"/>
        <v>2.9032200000000001</v>
      </c>
      <c r="K373" s="56"/>
    </row>
    <row r="374" spans="1:11">
      <c r="A374" s="432" t="s">
        <v>1398</v>
      </c>
      <c r="B374" s="432" t="s">
        <v>2145</v>
      </c>
      <c r="C374" s="432">
        <v>381</v>
      </c>
      <c r="D374" s="432">
        <v>101.6</v>
      </c>
      <c r="E374" s="432">
        <v>101.6</v>
      </c>
      <c r="F374" s="432">
        <v>101.6</v>
      </c>
      <c r="G374" s="17">
        <f t="shared" si="51"/>
        <v>3.9328953599999994</v>
      </c>
      <c r="K374" s="56"/>
    </row>
    <row r="375" spans="1:11">
      <c r="A375" s="432" t="s">
        <v>1411</v>
      </c>
      <c r="B375" s="432" t="s">
        <v>2145</v>
      </c>
      <c r="C375" s="432">
        <v>381</v>
      </c>
      <c r="D375" s="432">
        <v>114.3</v>
      </c>
      <c r="E375" s="432">
        <v>25.4</v>
      </c>
      <c r="F375" s="432">
        <v>25.4</v>
      </c>
      <c r="G375" s="17">
        <f t="shared" si="51"/>
        <v>1.1061268199999998</v>
      </c>
      <c r="K375" s="56"/>
    </row>
    <row r="376" spans="1:11">
      <c r="A376" s="432" t="s">
        <v>1417</v>
      </c>
      <c r="B376" s="432" t="s">
        <v>2145</v>
      </c>
      <c r="C376" s="432">
        <v>381</v>
      </c>
      <c r="D376" s="432">
        <v>114.3</v>
      </c>
      <c r="E376" s="432">
        <v>63.5</v>
      </c>
      <c r="F376" s="432">
        <v>63.5</v>
      </c>
      <c r="G376" s="17">
        <f t="shared" si="51"/>
        <v>2.7653170499999997</v>
      </c>
      <c r="K376" s="56"/>
    </row>
    <row r="377" spans="1:11">
      <c r="A377" s="432" t="s">
        <v>1392</v>
      </c>
      <c r="B377" s="432" t="s">
        <v>2145</v>
      </c>
      <c r="C377" s="432">
        <v>381</v>
      </c>
      <c r="D377" s="432">
        <v>114.3</v>
      </c>
      <c r="E377" s="432">
        <v>76.2</v>
      </c>
      <c r="F377" s="432">
        <v>76.2</v>
      </c>
      <c r="G377" s="17">
        <f t="shared" si="51"/>
        <v>3.3183804599999998</v>
      </c>
      <c r="K377" s="56"/>
    </row>
    <row r="378" spans="1:11">
      <c r="A378" s="432" t="s">
        <v>1420</v>
      </c>
      <c r="B378" s="432" t="s">
        <v>2145</v>
      </c>
      <c r="C378" s="432">
        <v>381</v>
      </c>
      <c r="D378" s="432">
        <v>114.3</v>
      </c>
      <c r="E378" s="432">
        <v>114.3</v>
      </c>
      <c r="F378" s="432">
        <v>114.3</v>
      </c>
      <c r="G378" s="17">
        <f t="shared" si="51"/>
        <v>4.9775706899999994</v>
      </c>
      <c r="K378" s="56"/>
    </row>
    <row r="379" spans="1:11">
      <c r="A379" s="432" t="s">
        <v>1415</v>
      </c>
      <c r="B379" s="432" t="s">
        <v>2145</v>
      </c>
      <c r="C379" s="432">
        <v>381</v>
      </c>
      <c r="D379" s="432">
        <v>127</v>
      </c>
      <c r="E379" s="432">
        <v>76.2</v>
      </c>
      <c r="F379" s="432">
        <v>76.2</v>
      </c>
      <c r="G379" s="17">
        <f t="shared" si="51"/>
        <v>3.6870894000000001</v>
      </c>
      <c r="K379" s="56"/>
    </row>
    <row r="380" spans="1:11">
      <c r="A380" s="432" t="s">
        <v>1391</v>
      </c>
      <c r="B380" s="432" t="s">
        <v>2145</v>
      </c>
      <c r="C380" s="432">
        <v>381</v>
      </c>
      <c r="D380" s="432">
        <v>152.4</v>
      </c>
      <c r="E380" s="432">
        <v>31.8</v>
      </c>
      <c r="F380" s="432">
        <v>31.8</v>
      </c>
      <c r="G380" s="17">
        <f t="shared" si="51"/>
        <v>1.8464479200000001</v>
      </c>
      <c r="K380" s="56"/>
    </row>
    <row r="381" spans="1:11">
      <c r="A381" s="432" t="s">
        <v>1384</v>
      </c>
      <c r="B381" s="432" t="s">
        <v>2145</v>
      </c>
      <c r="C381" s="432">
        <v>381</v>
      </c>
      <c r="D381" s="432">
        <v>152.4</v>
      </c>
      <c r="E381" s="432">
        <v>38.1</v>
      </c>
      <c r="F381" s="432">
        <v>38.1</v>
      </c>
      <c r="G381" s="17">
        <f t="shared" si="51"/>
        <v>2.2122536400000001</v>
      </c>
      <c r="K381" s="56"/>
    </row>
    <row r="382" spans="1:11">
      <c r="A382" s="432" t="s">
        <v>1385</v>
      </c>
      <c r="B382" s="432" t="s">
        <v>2145</v>
      </c>
      <c r="C382" s="432">
        <v>381</v>
      </c>
      <c r="D382" s="432">
        <v>152.4</v>
      </c>
      <c r="E382" s="432">
        <v>50.8</v>
      </c>
      <c r="F382" s="432">
        <v>50.8</v>
      </c>
      <c r="G382" s="17">
        <f t="shared" ref="G382:G445" si="52">C382*D382*E382/10^6</f>
        <v>2.9496715199999999</v>
      </c>
      <c r="K382" s="56"/>
    </row>
    <row r="383" spans="1:11">
      <c r="A383" s="432" t="s">
        <v>1386</v>
      </c>
      <c r="B383" s="432" t="s">
        <v>2145</v>
      </c>
      <c r="C383" s="432">
        <v>381</v>
      </c>
      <c r="D383" s="432">
        <v>152.4</v>
      </c>
      <c r="E383" s="432">
        <v>63.5</v>
      </c>
      <c r="F383" s="432">
        <v>63.5</v>
      </c>
      <c r="G383" s="17">
        <f t="shared" si="52"/>
        <v>3.6870894000000001</v>
      </c>
      <c r="K383" s="56"/>
    </row>
    <row r="384" spans="1:11">
      <c r="A384" s="432" t="s">
        <v>1393</v>
      </c>
      <c r="B384" s="432" t="s">
        <v>2145</v>
      </c>
      <c r="C384" s="432">
        <v>381</v>
      </c>
      <c r="D384" s="432">
        <v>152.4</v>
      </c>
      <c r="E384" s="432">
        <v>76.2</v>
      </c>
      <c r="F384" s="432">
        <v>76.2</v>
      </c>
      <c r="G384" s="17">
        <f t="shared" si="52"/>
        <v>4.4245072800000003</v>
      </c>
      <c r="K384" s="56"/>
    </row>
    <row r="385" spans="1:11">
      <c r="A385" s="432" t="s">
        <v>1399</v>
      </c>
      <c r="B385" s="432" t="s">
        <v>2145</v>
      </c>
      <c r="C385" s="432">
        <v>381</v>
      </c>
      <c r="D385" s="432">
        <v>152.4</v>
      </c>
      <c r="E385" s="432">
        <v>100</v>
      </c>
      <c r="F385" s="432">
        <v>100</v>
      </c>
      <c r="G385" s="17">
        <f t="shared" si="52"/>
        <v>5.8064400000000003</v>
      </c>
      <c r="K385" s="56"/>
    </row>
    <row r="386" spans="1:11">
      <c r="A386" s="432" t="s">
        <v>1387</v>
      </c>
      <c r="B386" s="432" t="s">
        <v>2145</v>
      </c>
      <c r="C386" s="432">
        <v>381</v>
      </c>
      <c r="D386" s="432">
        <v>152.4</v>
      </c>
      <c r="E386" s="432">
        <v>101.6</v>
      </c>
      <c r="F386" s="432">
        <v>101.6</v>
      </c>
      <c r="G386" s="17">
        <f t="shared" si="52"/>
        <v>5.8993430399999998</v>
      </c>
      <c r="K386" s="56"/>
    </row>
    <row r="387" spans="1:11">
      <c r="A387" s="432" t="s">
        <v>1388</v>
      </c>
      <c r="B387" s="432" t="s">
        <v>2145</v>
      </c>
      <c r="C387" s="432">
        <v>381</v>
      </c>
      <c r="D387" s="432">
        <v>152.4</v>
      </c>
      <c r="E387" s="432">
        <v>114.3</v>
      </c>
      <c r="F387" s="432">
        <v>114.3</v>
      </c>
      <c r="G387" s="17">
        <f t="shared" si="52"/>
        <v>6.6367609199999995</v>
      </c>
      <c r="K387" s="56"/>
    </row>
    <row r="388" spans="1:11">
      <c r="A388" s="432" t="s">
        <v>1394</v>
      </c>
      <c r="B388" s="432" t="s">
        <v>2145</v>
      </c>
      <c r="C388" s="432">
        <v>381</v>
      </c>
      <c r="D388" s="432">
        <v>152.4</v>
      </c>
      <c r="E388" s="432">
        <v>152.4</v>
      </c>
      <c r="F388" s="432">
        <v>152.4</v>
      </c>
      <c r="G388" s="17">
        <f t="shared" si="52"/>
        <v>8.8490145600000005</v>
      </c>
      <c r="K388" s="56"/>
    </row>
    <row r="389" spans="1:11">
      <c r="A389" s="432" t="s">
        <v>1416</v>
      </c>
      <c r="B389" s="436" t="s">
        <v>2145</v>
      </c>
      <c r="C389" s="436">
        <v>381</v>
      </c>
      <c r="D389" s="437">
        <v>177.8</v>
      </c>
      <c r="E389" s="437">
        <v>76.2</v>
      </c>
      <c r="F389" s="437">
        <v>76.2</v>
      </c>
      <c r="G389" s="17">
        <f t="shared" si="52"/>
        <v>5.16192516</v>
      </c>
      <c r="K389" s="56"/>
    </row>
    <row r="390" spans="1:11">
      <c r="A390" s="432" t="s">
        <v>1390</v>
      </c>
      <c r="B390" s="432" t="s">
        <v>2145</v>
      </c>
      <c r="C390" s="432">
        <v>381</v>
      </c>
      <c r="D390" s="432">
        <v>203.2</v>
      </c>
      <c r="E390" s="432">
        <v>76.2</v>
      </c>
      <c r="F390" s="432">
        <v>76.2</v>
      </c>
      <c r="G390" s="17">
        <f t="shared" si="52"/>
        <v>5.8993430399999998</v>
      </c>
      <c r="K390" s="56"/>
    </row>
    <row r="391" spans="1:11">
      <c r="A391" s="432" t="s">
        <v>1395</v>
      </c>
      <c r="B391" s="432" t="s">
        <v>2145</v>
      </c>
      <c r="C391" s="432">
        <v>381</v>
      </c>
      <c r="D391" s="432">
        <v>203.2</v>
      </c>
      <c r="E391" s="432">
        <v>152.4</v>
      </c>
      <c r="F391" s="432">
        <v>152.4</v>
      </c>
      <c r="G391" s="17">
        <f t="shared" si="52"/>
        <v>11.79868608</v>
      </c>
      <c r="K391" s="56"/>
    </row>
    <row r="392" spans="1:11">
      <c r="A392" s="432" t="s">
        <v>1400</v>
      </c>
      <c r="B392" s="432" t="s">
        <v>2145</v>
      </c>
      <c r="C392" s="432">
        <v>381</v>
      </c>
      <c r="D392" s="432">
        <v>228.6</v>
      </c>
      <c r="E392" s="432">
        <v>50.8</v>
      </c>
      <c r="F392" s="432">
        <v>50.8</v>
      </c>
      <c r="G392" s="17">
        <f t="shared" si="52"/>
        <v>4.4245072799999994</v>
      </c>
      <c r="K392" s="56"/>
    </row>
    <row r="393" spans="1:11">
      <c r="A393" s="432" t="s">
        <v>1404</v>
      </c>
      <c r="B393" s="432" t="s">
        <v>2145</v>
      </c>
      <c r="C393" s="432">
        <v>381</v>
      </c>
      <c r="D393" s="432">
        <v>228.6</v>
      </c>
      <c r="E393" s="432">
        <v>63.5</v>
      </c>
      <c r="F393" s="432">
        <v>63.5</v>
      </c>
      <c r="G393" s="17">
        <f t="shared" si="52"/>
        <v>5.5306340999999994</v>
      </c>
      <c r="K393" s="56"/>
    </row>
    <row r="394" spans="1:11">
      <c r="A394" s="432" t="s">
        <v>1397</v>
      </c>
      <c r="B394" s="432" t="s">
        <v>2145</v>
      </c>
      <c r="C394" s="432">
        <v>381</v>
      </c>
      <c r="D394" s="432">
        <v>228.6</v>
      </c>
      <c r="E394" s="432">
        <v>76.2</v>
      </c>
      <c r="F394" s="432">
        <v>76.2</v>
      </c>
      <c r="G394" s="17">
        <f t="shared" si="52"/>
        <v>6.6367609199999995</v>
      </c>
      <c r="K394" s="56"/>
    </row>
    <row r="395" spans="1:11">
      <c r="A395" s="432" t="s">
        <v>1413</v>
      </c>
      <c r="B395" s="432" t="s">
        <v>2145</v>
      </c>
      <c r="C395" s="432">
        <v>381</v>
      </c>
      <c r="D395" s="432">
        <v>228.6</v>
      </c>
      <c r="E395" s="432">
        <v>100</v>
      </c>
      <c r="F395" s="432">
        <v>100</v>
      </c>
      <c r="G395" s="17">
        <f t="shared" si="52"/>
        <v>8.7096599999999995</v>
      </c>
      <c r="K395" s="56"/>
    </row>
    <row r="396" spans="1:11">
      <c r="A396" s="432" t="s">
        <v>1406</v>
      </c>
      <c r="B396" s="432" t="s">
        <v>2145</v>
      </c>
      <c r="C396" s="432">
        <v>381</v>
      </c>
      <c r="D396" s="432">
        <v>228.6</v>
      </c>
      <c r="E396" s="432">
        <v>101.6</v>
      </c>
      <c r="F396" s="432">
        <v>101.6</v>
      </c>
      <c r="G396" s="17">
        <f t="shared" si="52"/>
        <v>8.8490145599999988</v>
      </c>
      <c r="K396" s="56"/>
    </row>
    <row r="397" spans="1:11">
      <c r="A397" s="432" t="s">
        <v>1403</v>
      </c>
      <c r="B397" s="432" t="s">
        <v>2145</v>
      </c>
      <c r="C397" s="432">
        <v>381</v>
      </c>
      <c r="D397" s="432">
        <v>228.6</v>
      </c>
      <c r="E397" s="432">
        <v>114.3</v>
      </c>
      <c r="F397" s="432">
        <v>114.3</v>
      </c>
      <c r="G397" s="17">
        <f t="shared" si="52"/>
        <v>9.9551413799999988</v>
      </c>
      <c r="K397" s="56"/>
    </row>
    <row r="398" spans="1:11">
      <c r="A398" s="432" t="s">
        <v>1410</v>
      </c>
      <c r="B398" s="432" t="s">
        <v>2145</v>
      </c>
      <c r="C398" s="432">
        <v>381</v>
      </c>
      <c r="D398" s="432">
        <v>228.6</v>
      </c>
      <c r="E398" s="432">
        <v>152.4</v>
      </c>
      <c r="F398" s="432">
        <v>152.4</v>
      </c>
      <c r="G398" s="17">
        <f t="shared" si="52"/>
        <v>13.273521839999999</v>
      </c>
      <c r="K398" s="56"/>
    </row>
    <row r="399" spans="1:11">
      <c r="A399" s="432" t="s">
        <v>1401</v>
      </c>
      <c r="B399" s="432" t="s">
        <v>2145</v>
      </c>
      <c r="C399" s="432">
        <v>381</v>
      </c>
      <c r="D399" s="432">
        <v>304.8</v>
      </c>
      <c r="E399" s="432">
        <v>38.1</v>
      </c>
      <c r="F399" s="432">
        <v>38.1</v>
      </c>
      <c r="G399" s="17">
        <f t="shared" si="52"/>
        <v>4.4245072800000003</v>
      </c>
      <c r="K399" s="56"/>
    </row>
    <row r="400" spans="1:11">
      <c r="A400" s="432" t="s">
        <v>1402</v>
      </c>
      <c r="B400" s="432" t="s">
        <v>2145</v>
      </c>
      <c r="C400" s="432">
        <v>381</v>
      </c>
      <c r="D400" s="432">
        <v>304.8</v>
      </c>
      <c r="E400" s="432">
        <v>50.8</v>
      </c>
      <c r="F400" s="432">
        <v>50.8</v>
      </c>
      <c r="G400" s="17">
        <f t="shared" si="52"/>
        <v>5.8993430399999998</v>
      </c>
      <c r="K400" s="56"/>
    </row>
    <row r="401" spans="1:25">
      <c r="A401" s="432" t="s">
        <v>1414</v>
      </c>
      <c r="B401" s="432" t="s">
        <v>2145</v>
      </c>
      <c r="C401" s="432">
        <v>381</v>
      </c>
      <c r="D401" s="432">
        <v>304.8</v>
      </c>
      <c r="E401" s="432">
        <v>63.5</v>
      </c>
      <c r="F401" s="432">
        <v>63.5</v>
      </c>
      <c r="G401" s="17">
        <f t="shared" si="52"/>
        <v>7.3741788000000001</v>
      </c>
      <c r="K401" s="56"/>
    </row>
    <row r="402" spans="1:25">
      <c r="A402" s="432" t="s">
        <v>1396</v>
      </c>
      <c r="B402" s="432" t="s">
        <v>2145</v>
      </c>
      <c r="C402" s="432">
        <v>381</v>
      </c>
      <c r="D402" s="432">
        <v>304.8</v>
      </c>
      <c r="E402" s="432">
        <v>76.2</v>
      </c>
      <c r="F402" s="432">
        <v>76.2</v>
      </c>
      <c r="G402" s="17">
        <f t="shared" si="52"/>
        <v>8.8490145600000005</v>
      </c>
      <c r="K402" s="56"/>
    </row>
    <row r="403" spans="1:25">
      <c r="A403" s="432" t="s">
        <v>1412</v>
      </c>
      <c r="B403" s="432" t="s">
        <v>2145</v>
      </c>
      <c r="C403" s="432">
        <v>381</v>
      </c>
      <c r="D403" s="432">
        <v>304.8</v>
      </c>
      <c r="E403" s="432">
        <v>100</v>
      </c>
      <c r="F403" s="432">
        <v>100</v>
      </c>
      <c r="G403" s="17">
        <f t="shared" si="52"/>
        <v>11.612880000000001</v>
      </c>
      <c r="K403" s="56"/>
    </row>
    <row r="404" spans="1:25">
      <c r="A404" s="432" t="s">
        <v>1407</v>
      </c>
      <c r="B404" s="432" t="s">
        <v>2145</v>
      </c>
      <c r="C404" s="432">
        <v>381</v>
      </c>
      <c r="D404" s="432">
        <v>304.8</v>
      </c>
      <c r="E404" s="432">
        <v>101.6</v>
      </c>
      <c r="F404" s="432">
        <v>101.6</v>
      </c>
      <c r="G404" s="17">
        <f t="shared" si="52"/>
        <v>11.79868608</v>
      </c>
      <c r="K404" s="56"/>
    </row>
    <row r="405" spans="1:25">
      <c r="A405" s="432" t="s">
        <v>1408</v>
      </c>
      <c r="B405" s="432" t="s">
        <v>2145</v>
      </c>
      <c r="C405" s="432">
        <v>381</v>
      </c>
      <c r="D405" s="432">
        <v>304.8</v>
      </c>
      <c r="E405" s="432">
        <v>152.4</v>
      </c>
      <c r="F405" s="432">
        <v>152.4</v>
      </c>
      <c r="G405" s="17">
        <f t="shared" si="52"/>
        <v>17.698029120000001</v>
      </c>
      <c r="K405" s="56"/>
    </row>
    <row r="406" spans="1:25">
      <c r="A406" s="432" t="s">
        <v>1405</v>
      </c>
      <c r="B406" s="432" t="s">
        <v>2145</v>
      </c>
      <c r="C406" s="432">
        <v>381</v>
      </c>
      <c r="D406" s="432">
        <v>381</v>
      </c>
      <c r="E406" s="432">
        <v>50.8</v>
      </c>
      <c r="F406" s="432">
        <v>50.8</v>
      </c>
      <c r="G406" s="17">
        <f t="shared" si="52"/>
        <v>7.3741788000000001</v>
      </c>
      <c r="K406" s="56"/>
    </row>
    <row r="407" spans="1:25">
      <c r="A407" s="432" t="s">
        <v>1409</v>
      </c>
      <c r="B407" s="432" t="s">
        <v>2145</v>
      </c>
      <c r="C407" s="432">
        <v>381</v>
      </c>
      <c r="D407" s="432">
        <v>381</v>
      </c>
      <c r="E407" s="432">
        <v>76.2</v>
      </c>
      <c r="F407" s="432">
        <v>76.2</v>
      </c>
      <c r="G407" s="17">
        <f t="shared" si="52"/>
        <v>11.061268200000001</v>
      </c>
      <c r="K407" s="56"/>
    </row>
    <row r="408" spans="1:25" customFormat="1">
      <c r="A408" s="435" t="s">
        <v>1422</v>
      </c>
      <c r="B408" s="438" t="s">
        <v>2145</v>
      </c>
      <c r="C408" s="439">
        <v>457.2</v>
      </c>
      <c r="D408" s="439">
        <v>152.4</v>
      </c>
      <c r="E408" s="439">
        <v>50.8</v>
      </c>
      <c r="F408" s="439">
        <v>50.8</v>
      </c>
      <c r="G408" s="17">
        <f t="shared" si="52"/>
        <v>3.5396058239999997</v>
      </c>
      <c r="H408" s="3"/>
      <c r="I408" s="3"/>
      <c r="J408" s="3"/>
      <c r="K408" s="56"/>
      <c r="T408" s="348"/>
      <c r="Y408" s="348"/>
    </row>
    <row r="409" spans="1:25" customFormat="1">
      <c r="A409" s="435" t="s">
        <v>1423</v>
      </c>
      <c r="B409" s="438" t="s">
        <v>2145</v>
      </c>
      <c r="C409" s="439">
        <v>457.2</v>
      </c>
      <c r="D409" s="439">
        <v>152.4</v>
      </c>
      <c r="E409" s="439">
        <v>63.5</v>
      </c>
      <c r="F409" s="439">
        <v>63.5</v>
      </c>
      <c r="G409" s="17">
        <f t="shared" si="52"/>
        <v>4.4245072800000003</v>
      </c>
      <c r="H409" s="3"/>
      <c r="I409" s="3"/>
      <c r="J409" s="3"/>
      <c r="K409" s="56"/>
      <c r="T409" s="348"/>
      <c r="Y409" s="348"/>
    </row>
    <row r="410" spans="1:25" customFormat="1">
      <c r="A410" s="435" t="s">
        <v>1434</v>
      </c>
      <c r="B410" s="438" t="s">
        <v>2145</v>
      </c>
      <c r="C410" s="439">
        <v>457.2</v>
      </c>
      <c r="D410" s="439">
        <v>152.4</v>
      </c>
      <c r="E410" s="439">
        <v>76.2</v>
      </c>
      <c r="F410" s="439">
        <v>76.2</v>
      </c>
      <c r="G410" s="17">
        <f t="shared" si="52"/>
        <v>5.3094087360000009</v>
      </c>
      <c r="H410" s="3"/>
      <c r="I410" s="3"/>
      <c r="J410" s="3"/>
      <c r="K410" s="56"/>
      <c r="T410" s="348"/>
      <c r="Y410" s="348"/>
    </row>
    <row r="411" spans="1:25" customFormat="1">
      <c r="A411" s="435" t="s">
        <v>1421</v>
      </c>
      <c r="B411" s="438" t="s">
        <v>2145</v>
      </c>
      <c r="C411" s="439">
        <v>457.2</v>
      </c>
      <c r="D411" s="439">
        <v>152.4</v>
      </c>
      <c r="E411" s="439">
        <v>100</v>
      </c>
      <c r="F411" s="439">
        <v>100</v>
      </c>
      <c r="G411" s="17">
        <f t="shared" si="52"/>
        <v>6.9677280000000001</v>
      </c>
      <c r="H411" s="3"/>
      <c r="I411" s="3"/>
      <c r="J411" s="3"/>
      <c r="K411" s="56"/>
      <c r="T411" s="348"/>
      <c r="Y411" s="348"/>
    </row>
    <row r="412" spans="1:25" customFormat="1">
      <c r="A412" s="435" t="s">
        <v>1424</v>
      </c>
      <c r="B412" s="438" t="s">
        <v>2145</v>
      </c>
      <c r="C412" s="439">
        <v>457.2</v>
      </c>
      <c r="D412" s="439">
        <v>152.4</v>
      </c>
      <c r="E412" s="439">
        <v>101.6</v>
      </c>
      <c r="F412" s="439">
        <v>101.6</v>
      </c>
      <c r="G412" s="17">
        <f t="shared" si="52"/>
        <v>7.0792116479999994</v>
      </c>
      <c r="H412" s="3"/>
      <c r="I412" s="3"/>
      <c r="J412" s="3"/>
      <c r="K412" s="56"/>
      <c r="T412" s="348"/>
      <c r="Y412" s="348"/>
    </row>
    <row r="413" spans="1:25" customFormat="1">
      <c r="A413" s="435" t="s">
        <v>1425</v>
      </c>
      <c r="B413" s="438" t="s">
        <v>2145</v>
      </c>
      <c r="C413" s="439">
        <v>457.2</v>
      </c>
      <c r="D413" s="439">
        <v>152.4</v>
      </c>
      <c r="E413" s="439">
        <v>114.3</v>
      </c>
      <c r="F413" s="439">
        <v>114.3</v>
      </c>
      <c r="G413" s="17">
        <f t="shared" si="52"/>
        <v>7.9641131039999991</v>
      </c>
      <c r="H413" s="3"/>
      <c r="I413" s="3"/>
      <c r="J413" s="3"/>
      <c r="K413" s="56"/>
      <c r="T413" s="348"/>
      <c r="Y413" s="348"/>
    </row>
    <row r="414" spans="1:25" customFormat="1">
      <c r="A414" s="435" t="s">
        <v>1440</v>
      </c>
      <c r="B414" s="438" t="s">
        <v>2145</v>
      </c>
      <c r="C414" s="439">
        <v>457.2</v>
      </c>
      <c r="D414" s="439">
        <v>152.4</v>
      </c>
      <c r="E414" s="439">
        <v>152.4</v>
      </c>
      <c r="F414" s="439">
        <v>152.4</v>
      </c>
      <c r="G414" s="17">
        <f t="shared" si="52"/>
        <v>10.618817472000002</v>
      </c>
      <c r="H414" s="3"/>
      <c r="I414" s="3"/>
      <c r="J414" s="3"/>
      <c r="K414" s="56"/>
      <c r="T414" s="348"/>
      <c r="Y414" s="348"/>
    </row>
    <row r="415" spans="1:25" customFormat="1">
      <c r="A415" s="435" t="s">
        <v>1444</v>
      </c>
      <c r="B415" s="438" t="s">
        <v>2145</v>
      </c>
      <c r="C415" s="439">
        <v>457.2</v>
      </c>
      <c r="D415" s="439">
        <v>203.2</v>
      </c>
      <c r="E415" s="439">
        <v>76.2</v>
      </c>
      <c r="F415" s="439">
        <v>76.2</v>
      </c>
      <c r="G415" s="17">
        <f t="shared" si="52"/>
        <v>7.0792116480000002</v>
      </c>
      <c r="H415" s="3"/>
      <c r="I415" s="3"/>
      <c r="J415" s="3"/>
      <c r="K415" s="56"/>
      <c r="T415" s="348"/>
      <c r="Y415" s="348"/>
    </row>
    <row r="416" spans="1:25" customFormat="1">
      <c r="A416" s="435" t="s">
        <v>1458</v>
      </c>
      <c r="B416" s="438" t="s">
        <v>2145</v>
      </c>
      <c r="C416" s="439">
        <v>457.2</v>
      </c>
      <c r="D416" s="439">
        <v>203.2</v>
      </c>
      <c r="E416" s="439">
        <v>101.6</v>
      </c>
      <c r="F416" s="439">
        <v>101.6</v>
      </c>
      <c r="G416" s="17">
        <f t="shared" si="52"/>
        <v>9.4389488639999986</v>
      </c>
      <c r="H416" s="3"/>
      <c r="I416" s="3"/>
      <c r="J416" s="3"/>
      <c r="K416" s="56"/>
      <c r="T416" s="348"/>
      <c r="Y416" s="348"/>
    </row>
    <row r="417" spans="1:25" customFormat="1">
      <c r="A417" s="435" t="s">
        <v>1445</v>
      </c>
      <c r="B417" s="438" t="s">
        <v>2145</v>
      </c>
      <c r="C417" s="439">
        <v>457.2</v>
      </c>
      <c r="D417" s="439">
        <v>203.2</v>
      </c>
      <c r="E417" s="439">
        <v>114.3</v>
      </c>
      <c r="F417" s="439">
        <v>114.3</v>
      </c>
      <c r="G417" s="17">
        <f t="shared" si="52"/>
        <v>10.618817472</v>
      </c>
      <c r="H417" s="3"/>
      <c r="I417" s="3"/>
      <c r="J417" s="3"/>
      <c r="K417" s="56"/>
      <c r="T417" s="348"/>
      <c r="Y417" s="348"/>
    </row>
    <row r="418" spans="1:25" customFormat="1">
      <c r="A418" s="435" t="s">
        <v>1448</v>
      </c>
      <c r="B418" s="438" t="s">
        <v>2145</v>
      </c>
      <c r="C418" s="439">
        <v>457.2</v>
      </c>
      <c r="D418" s="439">
        <v>203.2</v>
      </c>
      <c r="E418" s="439">
        <v>203.2</v>
      </c>
      <c r="F418" s="439">
        <v>203.2</v>
      </c>
      <c r="G418" s="17">
        <f t="shared" si="52"/>
        <v>18.877897727999997</v>
      </c>
      <c r="H418" s="3"/>
      <c r="I418" s="3"/>
      <c r="J418" s="3"/>
      <c r="K418" s="56"/>
      <c r="T418" s="348"/>
      <c r="Y418" s="348"/>
    </row>
    <row r="419" spans="1:25" customFormat="1">
      <c r="A419" s="435" t="s">
        <v>1453</v>
      </c>
      <c r="B419" s="438" t="s">
        <v>2145</v>
      </c>
      <c r="C419" s="439">
        <v>457.2</v>
      </c>
      <c r="D419" s="439">
        <v>228.6</v>
      </c>
      <c r="E419" s="439">
        <v>50.8</v>
      </c>
      <c r="F419" s="439">
        <v>50.8</v>
      </c>
      <c r="G419" s="17">
        <f t="shared" si="52"/>
        <v>5.309408736</v>
      </c>
      <c r="H419" s="3"/>
      <c r="I419" s="3"/>
      <c r="J419" s="3"/>
      <c r="K419" s="56"/>
      <c r="T419" s="348"/>
      <c r="Y419" s="348"/>
    </row>
    <row r="420" spans="1:25" customFormat="1">
      <c r="A420" s="435" t="s">
        <v>1426</v>
      </c>
      <c r="B420" s="438" t="s">
        <v>2145</v>
      </c>
      <c r="C420" s="439">
        <v>457.2</v>
      </c>
      <c r="D420" s="439">
        <v>228.6</v>
      </c>
      <c r="E420" s="439">
        <v>63.5</v>
      </c>
      <c r="F420" s="439">
        <v>63.5</v>
      </c>
      <c r="G420" s="17">
        <f t="shared" si="52"/>
        <v>6.6367609199999995</v>
      </c>
      <c r="H420" s="3"/>
      <c r="I420" s="3"/>
      <c r="J420" s="3"/>
      <c r="K420" s="56"/>
      <c r="T420" s="348"/>
      <c r="Y420" s="348"/>
    </row>
    <row r="421" spans="1:25" customFormat="1">
      <c r="A421" s="435" t="s">
        <v>1435</v>
      </c>
      <c r="B421" s="438" t="s">
        <v>2145</v>
      </c>
      <c r="C421" s="439">
        <v>457.2</v>
      </c>
      <c r="D421" s="439">
        <v>228.6</v>
      </c>
      <c r="E421" s="439">
        <v>76.2</v>
      </c>
      <c r="F421" s="439">
        <v>76.2</v>
      </c>
      <c r="G421" s="17">
        <f t="shared" si="52"/>
        <v>7.9641131039999999</v>
      </c>
      <c r="H421" s="3"/>
      <c r="I421" s="3"/>
      <c r="J421" s="3"/>
      <c r="K421" s="56"/>
      <c r="T421" s="348"/>
      <c r="Y421" s="348"/>
    </row>
    <row r="422" spans="1:25" customFormat="1">
      <c r="A422" s="435" t="s">
        <v>1430</v>
      </c>
      <c r="B422" s="438" t="s">
        <v>2145</v>
      </c>
      <c r="C422" s="439">
        <v>457.2</v>
      </c>
      <c r="D422" s="439">
        <v>228.6</v>
      </c>
      <c r="E422" s="439">
        <v>100</v>
      </c>
      <c r="F422" s="439">
        <v>100</v>
      </c>
      <c r="G422" s="17">
        <f t="shared" si="52"/>
        <v>10.451592</v>
      </c>
      <c r="H422" s="3"/>
      <c r="I422" s="3"/>
      <c r="J422" s="3"/>
      <c r="K422" s="56"/>
      <c r="T422" s="348"/>
      <c r="Y422" s="348"/>
    </row>
    <row r="423" spans="1:25" customFormat="1">
      <c r="A423" s="435" t="s">
        <v>1427</v>
      </c>
      <c r="B423" s="438" t="s">
        <v>2145</v>
      </c>
      <c r="C423" s="439">
        <v>457.2</v>
      </c>
      <c r="D423" s="439">
        <v>228.6</v>
      </c>
      <c r="E423" s="439">
        <v>101.6</v>
      </c>
      <c r="F423" s="439">
        <v>101.6</v>
      </c>
      <c r="G423" s="17">
        <f t="shared" si="52"/>
        <v>10.618817472</v>
      </c>
      <c r="H423" s="3"/>
      <c r="I423" s="3"/>
      <c r="J423" s="3"/>
      <c r="K423" s="56"/>
      <c r="T423" s="348"/>
      <c r="Y423" s="348"/>
    </row>
    <row r="424" spans="1:25" customFormat="1">
      <c r="A424" s="435" t="s">
        <v>1428</v>
      </c>
      <c r="B424" s="438" t="s">
        <v>2145</v>
      </c>
      <c r="C424" s="439">
        <v>457.2</v>
      </c>
      <c r="D424" s="439">
        <v>228.6</v>
      </c>
      <c r="E424" s="439">
        <v>114.3</v>
      </c>
      <c r="F424" s="439">
        <v>114.3</v>
      </c>
      <c r="G424" s="17">
        <f t="shared" si="52"/>
        <v>11.946169656</v>
      </c>
      <c r="H424" s="3"/>
      <c r="I424" s="3"/>
      <c r="J424" s="3"/>
      <c r="K424" s="56"/>
      <c r="T424" s="348"/>
      <c r="Y424" s="348"/>
    </row>
    <row r="425" spans="1:25" customFormat="1">
      <c r="A425" s="435" t="s">
        <v>1429</v>
      </c>
      <c r="B425" s="438" t="s">
        <v>2145</v>
      </c>
      <c r="C425" s="439">
        <v>457.2</v>
      </c>
      <c r="D425" s="439">
        <v>228.6</v>
      </c>
      <c r="E425" s="439">
        <v>152.6</v>
      </c>
      <c r="F425" s="439">
        <v>152.6</v>
      </c>
      <c r="G425" s="17">
        <f t="shared" si="52"/>
        <v>15.949129392</v>
      </c>
      <c r="H425" s="3"/>
      <c r="I425" s="3"/>
      <c r="J425" s="3"/>
      <c r="K425" s="56"/>
      <c r="T425" s="348"/>
      <c r="Y425" s="348"/>
    </row>
    <row r="426" spans="1:25" customFormat="1">
      <c r="A426" s="435" t="s">
        <v>1431</v>
      </c>
      <c r="B426" s="438" t="s">
        <v>2145</v>
      </c>
      <c r="C426" s="439">
        <v>457.2</v>
      </c>
      <c r="D426" s="439">
        <v>304.8</v>
      </c>
      <c r="E426" s="439">
        <v>50.8</v>
      </c>
      <c r="F426" s="439">
        <v>50.8</v>
      </c>
      <c r="G426" s="17">
        <f t="shared" si="52"/>
        <v>7.0792116479999994</v>
      </c>
      <c r="H426" s="3"/>
      <c r="I426" s="3"/>
      <c r="J426" s="3"/>
      <c r="K426" s="56"/>
      <c r="T426" s="348"/>
      <c r="Y426" s="348"/>
    </row>
    <row r="427" spans="1:25" customFormat="1">
      <c r="A427" s="435" t="s">
        <v>1454</v>
      </c>
      <c r="B427" s="438" t="s">
        <v>2145</v>
      </c>
      <c r="C427" s="439">
        <v>457.2</v>
      </c>
      <c r="D427" s="439">
        <v>304.8</v>
      </c>
      <c r="E427" s="439">
        <v>63.5</v>
      </c>
      <c r="F427" s="439">
        <v>63.5</v>
      </c>
      <c r="G427" s="17">
        <f t="shared" si="52"/>
        <v>8.8490145600000005</v>
      </c>
      <c r="H427" s="3"/>
      <c r="I427" s="3"/>
      <c r="J427" s="3"/>
      <c r="K427" s="56"/>
      <c r="T427" s="348"/>
      <c r="Y427" s="348"/>
    </row>
    <row r="428" spans="1:25" customFormat="1">
      <c r="A428" s="435" t="s">
        <v>1436</v>
      </c>
      <c r="B428" s="438" t="s">
        <v>2145</v>
      </c>
      <c r="C428" s="439">
        <v>457.2</v>
      </c>
      <c r="D428" s="439">
        <v>304.8</v>
      </c>
      <c r="E428" s="439">
        <v>76.2</v>
      </c>
      <c r="F428" s="439">
        <v>76.2</v>
      </c>
      <c r="G428" s="17">
        <f t="shared" si="52"/>
        <v>10.618817472000002</v>
      </c>
      <c r="H428" s="3"/>
      <c r="I428" s="3"/>
      <c r="J428" s="3"/>
      <c r="K428" s="56"/>
      <c r="T428" s="348"/>
      <c r="Y428" s="348"/>
    </row>
    <row r="429" spans="1:25" customFormat="1">
      <c r="A429" s="435" t="s">
        <v>1457</v>
      </c>
      <c r="B429" s="438" t="s">
        <v>2145</v>
      </c>
      <c r="C429" s="439">
        <v>457.2</v>
      </c>
      <c r="D429" s="439">
        <v>304.8</v>
      </c>
      <c r="E429" s="439">
        <v>100</v>
      </c>
      <c r="F429" s="439">
        <v>100</v>
      </c>
      <c r="G429" s="17">
        <f t="shared" si="52"/>
        <v>13.935456</v>
      </c>
      <c r="H429" s="3"/>
      <c r="I429" s="3"/>
      <c r="J429" s="3"/>
      <c r="K429" s="56"/>
      <c r="T429" s="348"/>
      <c r="Y429" s="348"/>
    </row>
    <row r="430" spans="1:25" customFormat="1">
      <c r="A430" s="435" t="s">
        <v>1446</v>
      </c>
      <c r="B430" s="438" t="s">
        <v>2145</v>
      </c>
      <c r="C430" s="439">
        <v>457.2</v>
      </c>
      <c r="D430" s="439">
        <v>304.8</v>
      </c>
      <c r="E430" s="439">
        <v>101.6</v>
      </c>
      <c r="F430" s="439">
        <v>101.6</v>
      </c>
      <c r="G430" s="17">
        <f t="shared" si="52"/>
        <v>14.158423295999999</v>
      </c>
      <c r="H430" s="3"/>
      <c r="I430" s="3"/>
      <c r="J430" s="3"/>
      <c r="K430" s="56"/>
      <c r="T430" s="348"/>
      <c r="Y430" s="348"/>
    </row>
    <row r="431" spans="1:25" customFormat="1">
      <c r="A431" s="435" t="s">
        <v>1437</v>
      </c>
      <c r="B431" s="438" t="s">
        <v>2145</v>
      </c>
      <c r="C431" s="439">
        <v>457.2</v>
      </c>
      <c r="D431" s="439">
        <v>304.8</v>
      </c>
      <c r="E431" s="439">
        <v>152.4</v>
      </c>
      <c r="F431" s="439">
        <v>152.4</v>
      </c>
      <c r="G431" s="17">
        <f t="shared" si="52"/>
        <v>21.237634944000003</v>
      </c>
      <c r="H431" s="3"/>
      <c r="I431" s="3"/>
      <c r="J431" s="3"/>
      <c r="K431" s="56"/>
      <c r="T431" s="348"/>
      <c r="Y431" s="348"/>
    </row>
    <row r="432" spans="1:25" customFormat="1">
      <c r="A432" s="435" t="s">
        <v>1438</v>
      </c>
      <c r="B432" s="438" t="s">
        <v>2145</v>
      </c>
      <c r="C432" s="439">
        <v>457.2</v>
      </c>
      <c r="D432" s="439">
        <v>304.8</v>
      </c>
      <c r="E432" s="439">
        <v>203.2</v>
      </c>
      <c r="F432" s="439">
        <v>203.2</v>
      </c>
      <c r="G432" s="17">
        <f t="shared" si="52"/>
        <v>28.316846591999997</v>
      </c>
      <c r="H432" s="3"/>
      <c r="I432" s="3"/>
      <c r="J432" s="3"/>
      <c r="K432" s="56"/>
      <c r="T432" s="348"/>
      <c r="Y432" s="348"/>
    </row>
    <row r="433" spans="1:25" customFormat="1">
      <c r="A433" s="435" t="s">
        <v>1452</v>
      </c>
      <c r="B433" s="438" t="s">
        <v>2145</v>
      </c>
      <c r="C433" s="439">
        <v>457.2</v>
      </c>
      <c r="D433" s="439">
        <v>304.8</v>
      </c>
      <c r="E433" s="439">
        <v>228.6</v>
      </c>
      <c r="F433" s="439">
        <v>228.6</v>
      </c>
      <c r="G433" s="17">
        <f t="shared" si="52"/>
        <v>31.856452415999996</v>
      </c>
      <c r="H433" s="3"/>
      <c r="I433" s="3"/>
      <c r="J433" s="3"/>
      <c r="K433" s="56"/>
      <c r="T433" s="348"/>
      <c r="Y433" s="348"/>
    </row>
    <row r="434" spans="1:25" customFormat="1">
      <c r="A434" s="435" t="s">
        <v>1451</v>
      </c>
      <c r="B434" s="438" t="s">
        <v>2145</v>
      </c>
      <c r="C434" s="439">
        <v>457.2</v>
      </c>
      <c r="D434" s="439">
        <v>304.8</v>
      </c>
      <c r="E434" s="439">
        <v>304.8</v>
      </c>
      <c r="F434" s="439">
        <v>304.8</v>
      </c>
      <c r="G434" s="17">
        <f t="shared" si="52"/>
        <v>42.475269888000007</v>
      </c>
      <c r="H434" s="3"/>
      <c r="I434" s="3"/>
      <c r="J434" s="3"/>
      <c r="K434" s="56"/>
      <c r="T434" s="348"/>
      <c r="Y434" s="348"/>
    </row>
    <row r="435" spans="1:25" customFormat="1">
      <c r="A435" s="435" t="s">
        <v>1455</v>
      </c>
      <c r="B435" s="438" t="s">
        <v>2145</v>
      </c>
      <c r="C435" s="439">
        <v>457.2</v>
      </c>
      <c r="D435" s="439">
        <v>381</v>
      </c>
      <c r="E435" s="439">
        <v>50.8</v>
      </c>
      <c r="F435" s="439">
        <v>50.8</v>
      </c>
      <c r="G435" s="17">
        <f t="shared" si="52"/>
        <v>8.8490145599999988</v>
      </c>
      <c r="H435" s="3"/>
      <c r="I435" s="3"/>
      <c r="J435" s="3"/>
      <c r="K435" s="56"/>
      <c r="T435" s="348"/>
      <c r="Y435" s="348"/>
    </row>
    <row r="436" spans="1:25" customFormat="1">
      <c r="A436" s="435" t="s">
        <v>1432</v>
      </c>
      <c r="B436" s="438" t="s">
        <v>2145</v>
      </c>
      <c r="C436" s="439">
        <v>457.2</v>
      </c>
      <c r="D436" s="439">
        <v>381</v>
      </c>
      <c r="E436" s="439">
        <v>63.5</v>
      </c>
      <c r="F436" s="439">
        <v>63.5</v>
      </c>
      <c r="G436" s="17">
        <f t="shared" si="52"/>
        <v>11.061268199999999</v>
      </c>
      <c r="H436" s="3"/>
      <c r="I436" s="3"/>
      <c r="J436" s="3"/>
      <c r="K436" s="56"/>
      <c r="T436" s="348"/>
      <c r="Y436" s="348"/>
    </row>
    <row r="437" spans="1:25" customFormat="1">
      <c r="A437" s="435" t="s">
        <v>1441</v>
      </c>
      <c r="B437" s="438" t="s">
        <v>2145</v>
      </c>
      <c r="C437" s="439">
        <v>457.2</v>
      </c>
      <c r="D437" s="439">
        <v>381</v>
      </c>
      <c r="E437" s="439">
        <v>76.2</v>
      </c>
      <c r="F437" s="439">
        <v>76.2</v>
      </c>
      <c r="G437" s="17">
        <f t="shared" si="52"/>
        <v>13.273521839999999</v>
      </c>
      <c r="H437" s="3"/>
      <c r="I437" s="3"/>
      <c r="J437" s="3"/>
      <c r="K437" s="56"/>
      <c r="T437" s="348"/>
      <c r="Y437" s="348"/>
    </row>
    <row r="438" spans="1:25" customFormat="1">
      <c r="A438" s="435" t="s">
        <v>1447</v>
      </c>
      <c r="B438" s="438" t="s">
        <v>2145</v>
      </c>
      <c r="C438" s="439">
        <v>457.2</v>
      </c>
      <c r="D438" s="439">
        <v>381</v>
      </c>
      <c r="E438" s="439">
        <v>101.6</v>
      </c>
      <c r="F438" s="439">
        <v>101.6</v>
      </c>
      <c r="G438" s="17">
        <f t="shared" si="52"/>
        <v>17.698029119999998</v>
      </c>
      <c r="H438" s="3"/>
      <c r="I438" s="3"/>
      <c r="J438" s="3"/>
      <c r="K438" s="56"/>
      <c r="T438" s="348"/>
      <c r="Y438" s="348"/>
    </row>
    <row r="439" spans="1:25" customFormat="1">
      <c r="A439" s="435" t="s">
        <v>1449</v>
      </c>
      <c r="B439" s="438" t="s">
        <v>2145</v>
      </c>
      <c r="C439" s="439">
        <v>457.2</v>
      </c>
      <c r="D439" s="439">
        <v>381</v>
      </c>
      <c r="E439" s="439">
        <v>127</v>
      </c>
      <c r="F439" s="439">
        <v>127</v>
      </c>
      <c r="G439" s="17">
        <f t="shared" si="52"/>
        <v>22.122536399999998</v>
      </c>
      <c r="H439" s="3"/>
      <c r="I439" s="3"/>
      <c r="J439" s="3"/>
      <c r="K439" s="56"/>
      <c r="T439" s="348"/>
      <c r="Y439" s="348"/>
    </row>
    <row r="440" spans="1:25" customFormat="1">
      <c r="A440" s="435" t="s">
        <v>1442</v>
      </c>
      <c r="B440" s="438" t="s">
        <v>2145</v>
      </c>
      <c r="C440" s="439">
        <v>457.2</v>
      </c>
      <c r="D440" s="439">
        <v>457.2</v>
      </c>
      <c r="E440" s="439">
        <v>63.5</v>
      </c>
      <c r="F440" s="439">
        <v>63.5</v>
      </c>
      <c r="G440" s="17">
        <f t="shared" si="52"/>
        <v>13.273521839999999</v>
      </c>
      <c r="H440" s="3"/>
      <c r="I440" s="3"/>
      <c r="J440" s="3"/>
      <c r="K440" s="56"/>
      <c r="T440" s="348"/>
      <c r="Y440" s="348"/>
    </row>
    <row r="441" spans="1:25" customFormat="1">
      <c r="A441" s="435" t="s">
        <v>1443</v>
      </c>
      <c r="B441" s="438" t="s">
        <v>2145</v>
      </c>
      <c r="C441" s="439">
        <v>457.2</v>
      </c>
      <c r="D441" s="439">
        <v>457.2</v>
      </c>
      <c r="E441" s="439">
        <v>76.2</v>
      </c>
      <c r="F441" s="439">
        <v>76.2</v>
      </c>
      <c r="G441" s="17">
        <f t="shared" si="52"/>
        <v>15.928226208</v>
      </c>
      <c r="H441" s="3"/>
      <c r="I441" s="3"/>
      <c r="J441" s="3"/>
      <c r="K441" s="56"/>
      <c r="T441" s="348"/>
      <c r="Y441" s="348"/>
    </row>
    <row r="442" spans="1:25" customFormat="1">
      <c r="A442" s="435" t="s">
        <v>1439</v>
      </c>
      <c r="B442" s="438" t="s">
        <v>2145</v>
      </c>
      <c r="C442" s="439">
        <v>457.2</v>
      </c>
      <c r="D442" s="439">
        <v>457.2</v>
      </c>
      <c r="E442" s="439">
        <v>101.6</v>
      </c>
      <c r="F442" s="439">
        <v>101.6</v>
      </c>
      <c r="G442" s="17">
        <f t="shared" si="52"/>
        <v>21.237634944</v>
      </c>
      <c r="H442" s="3"/>
      <c r="I442" s="3"/>
      <c r="J442" s="3"/>
      <c r="K442" s="56"/>
      <c r="T442" s="348"/>
      <c r="Y442" s="348"/>
    </row>
    <row r="443" spans="1:25" customFormat="1">
      <c r="A443" s="435" t="s">
        <v>1433</v>
      </c>
      <c r="B443" s="438" t="s">
        <v>2145</v>
      </c>
      <c r="C443" s="439">
        <v>457.2</v>
      </c>
      <c r="D443" s="439">
        <v>457.2</v>
      </c>
      <c r="E443" s="439">
        <v>114.3</v>
      </c>
      <c r="F443" s="439">
        <v>114.3</v>
      </c>
      <c r="G443" s="17">
        <f t="shared" si="52"/>
        <v>23.892339312000001</v>
      </c>
      <c r="H443" s="3"/>
      <c r="I443" s="3"/>
      <c r="J443" s="3"/>
      <c r="K443" s="56"/>
      <c r="T443" s="348"/>
      <c r="Y443" s="348"/>
    </row>
    <row r="444" spans="1:25" customFormat="1">
      <c r="A444" s="435" t="s">
        <v>1456</v>
      </c>
      <c r="B444" s="438" t="s">
        <v>2145</v>
      </c>
      <c r="C444" s="439">
        <v>457.2</v>
      </c>
      <c r="D444" s="439">
        <v>457.2</v>
      </c>
      <c r="E444" s="439">
        <v>152.4</v>
      </c>
      <c r="F444" s="439">
        <v>152.4</v>
      </c>
      <c r="G444" s="17">
        <f t="shared" si="52"/>
        <v>31.856452416</v>
      </c>
      <c r="H444" s="3"/>
      <c r="I444" s="3"/>
      <c r="J444" s="3"/>
      <c r="K444" s="56"/>
      <c r="T444" s="348"/>
      <c r="Y444" s="348"/>
    </row>
    <row r="445" spans="1:25" customFormat="1">
      <c r="A445" s="435" t="s">
        <v>1450</v>
      </c>
      <c r="B445" s="438" t="s">
        <v>2145</v>
      </c>
      <c r="C445" s="439">
        <v>457.2</v>
      </c>
      <c r="D445" s="439">
        <v>457.2</v>
      </c>
      <c r="E445" s="439">
        <v>228.6</v>
      </c>
      <c r="F445" s="439">
        <v>228.6</v>
      </c>
      <c r="G445" s="17">
        <f t="shared" si="52"/>
        <v>47.784678624000001</v>
      </c>
      <c r="H445" s="3"/>
      <c r="I445" s="3"/>
      <c r="J445" s="3"/>
      <c r="K445" s="56"/>
      <c r="T445" s="348"/>
      <c r="Y445" s="348"/>
    </row>
    <row r="446" spans="1:25">
      <c r="A446" s="366" t="s">
        <v>1465</v>
      </c>
      <c r="B446" s="601" t="s">
        <v>2145</v>
      </c>
      <c r="C446" s="440">
        <v>533.4</v>
      </c>
      <c r="D446" s="440">
        <v>152.4</v>
      </c>
      <c r="E446" s="440">
        <v>63.5</v>
      </c>
      <c r="F446" s="440">
        <v>63.5</v>
      </c>
      <c r="G446" s="17">
        <f t="shared" ref="G446:G459" si="53">C446*D446*E446/10^6</f>
        <v>5.16192516</v>
      </c>
      <c r="K446" s="56"/>
    </row>
    <row r="447" spans="1:25">
      <c r="A447" s="366" t="s">
        <v>1461</v>
      </c>
      <c r="B447" s="601" t="s">
        <v>2145</v>
      </c>
      <c r="C447" s="440">
        <v>533.4</v>
      </c>
      <c r="D447" s="440">
        <v>152.4</v>
      </c>
      <c r="E447" s="440">
        <v>76.2</v>
      </c>
      <c r="F447" s="440">
        <v>76.2</v>
      </c>
      <c r="G447" s="17">
        <f t="shared" si="53"/>
        <v>6.1943101920000005</v>
      </c>
      <c r="K447" s="56"/>
    </row>
    <row r="448" spans="1:25">
      <c r="A448" s="366" t="s">
        <v>1459</v>
      </c>
      <c r="B448" s="601" t="s">
        <v>2145</v>
      </c>
      <c r="C448" s="440">
        <v>533.4</v>
      </c>
      <c r="D448" s="440">
        <v>152.4</v>
      </c>
      <c r="E448" s="440">
        <v>100</v>
      </c>
      <c r="F448" s="440">
        <v>100</v>
      </c>
      <c r="G448" s="17">
        <f t="shared" si="53"/>
        <v>8.129016</v>
      </c>
      <c r="K448" s="56"/>
    </row>
    <row r="449" spans="1:22">
      <c r="A449" s="366" t="s">
        <v>1463</v>
      </c>
      <c r="B449" s="601" t="s">
        <v>2145</v>
      </c>
      <c r="C449" s="440">
        <v>533.4</v>
      </c>
      <c r="D449" s="440">
        <v>152.4</v>
      </c>
      <c r="E449" s="440">
        <v>101.6</v>
      </c>
      <c r="F449" s="440">
        <v>101.6</v>
      </c>
      <c r="G449" s="17">
        <f t="shared" si="53"/>
        <v>8.2590802560000007</v>
      </c>
      <c r="K449" s="56"/>
    </row>
    <row r="450" spans="1:22">
      <c r="A450" s="366" t="s">
        <v>1472</v>
      </c>
      <c r="B450" s="601" t="s">
        <v>2145</v>
      </c>
      <c r="C450" s="440">
        <v>533.4</v>
      </c>
      <c r="D450" s="440">
        <v>152.4</v>
      </c>
      <c r="E450" s="440">
        <v>114.3</v>
      </c>
      <c r="F450" s="440">
        <v>114.3</v>
      </c>
      <c r="G450" s="17">
        <f t="shared" si="53"/>
        <v>9.2914652880000013</v>
      </c>
      <c r="K450" s="56"/>
    </row>
    <row r="451" spans="1:22">
      <c r="A451" s="366" t="s">
        <v>1462</v>
      </c>
      <c r="B451" s="601" t="s">
        <v>2145</v>
      </c>
      <c r="C451" s="440">
        <v>533.4</v>
      </c>
      <c r="D451" s="440">
        <v>152.4</v>
      </c>
      <c r="E451" s="440">
        <v>152.4</v>
      </c>
      <c r="F451" s="440">
        <v>152.4</v>
      </c>
      <c r="G451" s="17">
        <f t="shared" si="53"/>
        <v>12.388620384000001</v>
      </c>
      <c r="K451" s="56"/>
    </row>
    <row r="452" spans="1:22" ht="12" customHeight="1">
      <c r="A452" s="366" t="s">
        <v>1471</v>
      </c>
      <c r="B452" s="601" t="s">
        <v>2145</v>
      </c>
      <c r="C452" s="440">
        <v>533.4</v>
      </c>
      <c r="D452" s="440">
        <v>228.6</v>
      </c>
      <c r="E452" s="440">
        <v>63.5</v>
      </c>
      <c r="F452" s="440">
        <v>63.5</v>
      </c>
      <c r="G452" s="17">
        <f t="shared" si="53"/>
        <v>7.7428877399999996</v>
      </c>
      <c r="K452" s="56"/>
    </row>
    <row r="453" spans="1:22">
      <c r="A453" s="366" t="s">
        <v>1460</v>
      </c>
      <c r="B453" s="601" t="s">
        <v>2145</v>
      </c>
      <c r="C453" s="440">
        <v>533.4</v>
      </c>
      <c r="D453" s="440">
        <v>228.6</v>
      </c>
      <c r="E453" s="440">
        <v>76.2</v>
      </c>
      <c r="F453" s="440">
        <v>76.2</v>
      </c>
      <c r="G453" s="17">
        <f t="shared" si="53"/>
        <v>9.2914652879999995</v>
      </c>
      <c r="K453" s="56"/>
    </row>
    <row r="454" spans="1:22">
      <c r="A454" s="366" t="s">
        <v>1464</v>
      </c>
      <c r="B454" s="601" t="s">
        <v>2145</v>
      </c>
      <c r="C454" s="440">
        <v>533.4</v>
      </c>
      <c r="D454" s="440">
        <v>304.8</v>
      </c>
      <c r="E454" s="440">
        <v>76.2</v>
      </c>
      <c r="F454" s="440">
        <v>76.2</v>
      </c>
      <c r="G454" s="17">
        <f t="shared" si="53"/>
        <v>12.388620384000001</v>
      </c>
      <c r="K454" s="56"/>
    </row>
    <row r="455" spans="1:22">
      <c r="A455" s="366" t="s">
        <v>1469</v>
      </c>
      <c r="B455" s="601" t="s">
        <v>2145</v>
      </c>
      <c r="C455" s="440">
        <v>533.4</v>
      </c>
      <c r="D455" s="440">
        <v>304.8</v>
      </c>
      <c r="E455" s="440">
        <v>304.8</v>
      </c>
      <c r="F455" s="440">
        <v>304.8</v>
      </c>
      <c r="G455" s="17">
        <f t="shared" si="53"/>
        <v>49.554481536000004</v>
      </c>
      <c r="K455" s="56"/>
    </row>
    <row r="456" spans="1:22">
      <c r="A456" s="366" t="s">
        <v>1468</v>
      </c>
      <c r="B456" s="601" t="s">
        <v>2145</v>
      </c>
      <c r="C456" s="440">
        <v>533.4</v>
      </c>
      <c r="D456" s="440">
        <v>457.2</v>
      </c>
      <c r="E456" s="440">
        <v>63.5</v>
      </c>
      <c r="F456" s="440">
        <v>63.5</v>
      </c>
      <c r="G456" s="17">
        <f t="shared" si="53"/>
        <v>15.485775479999999</v>
      </c>
      <c r="K456" s="56"/>
    </row>
    <row r="457" spans="1:22">
      <c r="A457" s="366" t="s">
        <v>1467</v>
      </c>
      <c r="B457" s="601" t="s">
        <v>2145</v>
      </c>
      <c r="C457" s="440">
        <v>533.4</v>
      </c>
      <c r="D457" s="440">
        <v>457.2</v>
      </c>
      <c r="E457" s="440">
        <v>76.2</v>
      </c>
      <c r="F457" s="440">
        <v>76.2</v>
      </c>
      <c r="G457" s="17">
        <f t="shared" si="53"/>
        <v>18.582930575999999</v>
      </c>
      <c r="K457" s="56"/>
    </row>
    <row r="458" spans="1:22">
      <c r="A458" s="366" t="s">
        <v>1466</v>
      </c>
      <c r="B458" s="601" t="s">
        <v>2145</v>
      </c>
      <c r="C458" s="440">
        <v>533.4</v>
      </c>
      <c r="D458" s="440">
        <v>457.2</v>
      </c>
      <c r="E458" s="440">
        <v>228.6</v>
      </c>
      <c r="F458" s="440">
        <v>228.6</v>
      </c>
      <c r="G458" s="17">
        <f t="shared" si="53"/>
        <v>55.748791727999993</v>
      </c>
      <c r="K458" s="56"/>
    </row>
    <row r="459" spans="1:22" ht="13.8" thickBot="1">
      <c r="A459" s="366" t="s">
        <v>1470</v>
      </c>
      <c r="B459" s="601" t="s">
        <v>2145</v>
      </c>
      <c r="C459" s="440">
        <v>533.4</v>
      </c>
      <c r="D459" s="440">
        <v>533.4</v>
      </c>
      <c r="E459" s="440">
        <v>304.8</v>
      </c>
      <c r="F459" s="440">
        <v>304.8</v>
      </c>
      <c r="G459" s="17">
        <f t="shared" si="53"/>
        <v>86.720342688000002</v>
      </c>
      <c r="K459" s="56"/>
    </row>
    <row r="460" spans="1:22" ht="25.2" thickBot="1">
      <c r="A460" s="441" t="s">
        <v>1506</v>
      </c>
      <c r="B460" s="353"/>
      <c r="C460" s="353"/>
      <c r="D460" s="353"/>
      <c r="E460" s="353"/>
      <c r="F460" s="353"/>
      <c r="G460" s="99"/>
      <c r="H460" s="99"/>
      <c r="I460" s="99"/>
      <c r="J460" s="99"/>
      <c r="K460" s="99"/>
      <c r="L460" s="20"/>
      <c r="M460" s="20"/>
      <c r="N460" s="20"/>
      <c r="O460" s="20"/>
      <c r="P460" s="20"/>
      <c r="Q460" s="23"/>
      <c r="R460" s="22"/>
      <c r="S460" s="22"/>
      <c r="T460" s="20"/>
      <c r="U460" s="22"/>
      <c r="V460" s="20"/>
    </row>
    <row r="461" spans="1:22">
      <c r="A461" s="65" t="s">
        <v>1473</v>
      </c>
      <c r="B461" s="345" t="s">
        <v>22</v>
      </c>
      <c r="C461" s="434">
        <v>152.4</v>
      </c>
      <c r="D461" s="434">
        <v>114.3</v>
      </c>
      <c r="E461" s="434">
        <v>76.2</v>
      </c>
      <c r="F461" s="434">
        <v>25.4</v>
      </c>
      <c r="G461" s="17">
        <f>((E461+F461)/2)*D461*C461/10^6</f>
        <v>0.88490145600000003</v>
      </c>
      <c r="K461" s="56"/>
      <c r="L461" s="20"/>
      <c r="M461" s="20"/>
      <c r="N461" s="20"/>
      <c r="O461" s="20"/>
      <c r="P461" s="20"/>
      <c r="Q461" s="23"/>
      <c r="R461" s="22" t="s">
        <v>16</v>
      </c>
      <c r="S461" s="22" t="s">
        <v>16</v>
      </c>
      <c r="T461" s="753">
        <f t="shared" ref="T461:T524" si="54">IF(E461=F461,"-",(E461/(E461-F461))*SQRT((D461^2)+((E461-F461)/2)^2))</f>
        <v>175.6323219114295</v>
      </c>
      <c r="U461" s="22">
        <v>1</v>
      </c>
    </row>
    <row r="462" spans="1:22">
      <c r="A462" s="371" t="s">
        <v>1131</v>
      </c>
      <c r="B462" s="371" t="s">
        <v>22</v>
      </c>
      <c r="C462" s="371">
        <v>203.2</v>
      </c>
      <c r="D462" s="371">
        <v>171.5</v>
      </c>
      <c r="E462" s="371">
        <v>76.2</v>
      </c>
      <c r="F462" s="371">
        <v>69.900000000000006</v>
      </c>
      <c r="G462" s="17">
        <f t="shared" ref="G462:G464" si="55">((E462+F462)/2)*D462*C462/10^6</f>
        <v>2.5457048400000004</v>
      </c>
      <c r="K462" s="56"/>
      <c r="L462" s="20"/>
      <c r="M462" s="20"/>
      <c r="N462" s="20"/>
      <c r="O462" s="20"/>
      <c r="P462" s="20"/>
      <c r="Q462" s="23"/>
      <c r="R462" s="22" t="s">
        <v>16</v>
      </c>
      <c r="S462" s="22" t="s">
        <v>16</v>
      </c>
      <c r="T462" s="753">
        <f t="shared" si="54"/>
        <v>2074.6832017871507</v>
      </c>
      <c r="U462" s="22">
        <v>1</v>
      </c>
    </row>
    <row r="463" spans="1:22">
      <c r="A463" s="371" t="s">
        <v>1136</v>
      </c>
      <c r="B463" s="371" t="s">
        <v>22</v>
      </c>
      <c r="C463" s="371">
        <v>203.2</v>
      </c>
      <c r="D463" s="371">
        <v>171.5</v>
      </c>
      <c r="E463" s="371">
        <v>76.2</v>
      </c>
      <c r="F463" s="371">
        <v>63.5</v>
      </c>
      <c r="G463" s="17">
        <f t="shared" si="55"/>
        <v>2.4341886799999997</v>
      </c>
      <c r="K463" s="56"/>
      <c r="L463" s="20"/>
      <c r="M463" s="20"/>
      <c r="N463" s="20"/>
      <c r="O463" s="20"/>
      <c r="P463" s="20"/>
      <c r="Q463" s="23"/>
      <c r="R463" s="22" t="s">
        <v>16</v>
      </c>
      <c r="S463" s="22" t="s">
        <v>16</v>
      </c>
      <c r="T463" s="753">
        <f t="shared" si="54"/>
        <v>1029.7051082712951</v>
      </c>
      <c r="U463" s="22">
        <v>1</v>
      </c>
    </row>
    <row r="464" spans="1:22">
      <c r="A464" s="371" t="s">
        <v>1474</v>
      </c>
      <c r="B464" s="483" t="s">
        <v>22</v>
      </c>
      <c r="C464" s="371">
        <v>203.2</v>
      </c>
      <c r="D464" s="371">
        <v>171.5</v>
      </c>
      <c r="E464" s="371">
        <v>57.2</v>
      </c>
      <c r="F464" s="371">
        <v>50.8</v>
      </c>
      <c r="G464" s="17">
        <f t="shared" si="55"/>
        <v>1.8818352</v>
      </c>
      <c r="K464" s="56"/>
      <c r="L464" s="20"/>
      <c r="M464" s="20"/>
      <c r="N464" s="20"/>
      <c r="O464" s="20"/>
      <c r="P464" s="20"/>
      <c r="Q464" s="23"/>
      <c r="R464" s="22" t="s">
        <v>16</v>
      </c>
      <c r="S464" s="22" t="s">
        <v>16</v>
      </c>
      <c r="T464" s="753">
        <f t="shared" si="54"/>
        <v>1533.0480489376578</v>
      </c>
      <c r="U464" s="22">
        <v>1</v>
      </c>
    </row>
    <row r="465" spans="1:21">
      <c r="A465" s="379" t="s">
        <v>1135</v>
      </c>
      <c r="B465" s="443" t="s">
        <v>22</v>
      </c>
      <c r="C465" s="375">
        <v>228.6</v>
      </c>
      <c r="D465" s="375">
        <v>50.8</v>
      </c>
      <c r="E465" s="375">
        <v>76.2</v>
      </c>
      <c r="F465" s="375">
        <v>69.900000000000006</v>
      </c>
      <c r="G465" s="17">
        <f t="shared" ref="G465:G512" si="56">((E465+F465)/2)*D465*C465/10^6</f>
        <v>0.84832088400000005</v>
      </c>
      <c r="K465" s="56"/>
      <c r="L465" s="20"/>
      <c r="M465" s="20"/>
      <c r="N465" s="20"/>
      <c r="O465" s="20"/>
      <c r="P465" s="20"/>
      <c r="Q465" s="23"/>
      <c r="R465" s="22" t="s">
        <v>16</v>
      </c>
      <c r="S465" s="22" t="s">
        <v>16</v>
      </c>
      <c r="T465" s="753">
        <f t="shared" si="54"/>
        <v>615.61821194618585</v>
      </c>
      <c r="U465" s="22">
        <v>1</v>
      </c>
    </row>
    <row r="466" spans="1:21">
      <c r="A466" s="379" t="s">
        <v>1479</v>
      </c>
      <c r="B466" s="443" t="s">
        <v>22</v>
      </c>
      <c r="C466" s="375">
        <v>228.6</v>
      </c>
      <c r="D466" s="375">
        <v>50.8</v>
      </c>
      <c r="E466" s="375">
        <v>76.2</v>
      </c>
      <c r="F466" s="375">
        <v>63.5</v>
      </c>
      <c r="G466" s="17">
        <f t="shared" si="56"/>
        <v>0.81115966799999994</v>
      </c>
      <c r="K466" s="56"/>
      <c r="L466" s="20"/>
      <c r="M466" s="20"/>
      <c r="N466" s="20"/>
      <c r="O466" s="20"/>
      <c r="P466" s="20"/>
      <c r="Q466" s="23"/>
      <c r="R466" s="22" t="s">
        <v>16</v>
      </c>
      <c r="S466" s="22" t="s">
        <v>16</v>
      </c>
      <c r="T466" s="753">
        <f t="shared" si="54"/>
        <v>307.17202021017471</v>
      </c>
      <c r="U466" s="22">
        <v>1</v>
      </c>
    </row>
    <row r="467" spans="1:21">
      <c r="A467" s="379" t="s">
        <v>1128</v>
      </c>
      <c r="B467" s="443" t="s">
        <v>22</v>
      </c>
      <c r="C467" s="375">
        <v>228.6</v>
      </c>
      <c r="D467" s="375">
        <v>63.5</v>
      </c>
      <c r="E467" s="375">
        <v>76.2</v>
      </c>
      <c r="F467" s="375">
        <v>69.900000000000006</v>
      </c>
      <c r="G467" s="17">
        <f t="shared" si="56"/>
        <v>1.0604011050000002</v>
      </c>
      <c r="K467" s="56"/>
      <c r="L467" s="20"/>
      <c r="M467" s="20"/>
      <c r="N467" s="20"/>
      <c r="O467" s="20"/>
      <c r="P467" s="20"/>
      <c r="Q467" s="23"/>
      <c r="R467" s="22" t="s">
        <v>16</v>
      </c>
      <c r="S467" s="22" t="s">
        <v>16</v>
      </c>
      <c r="T467" s="753">
        <f t="shared" si="54"/>
        <v>768.992038401385</v>
      </c>
      <c r="U467" s="22">
        <v>1</v>
      </c>
    </row>
    <row r="468" spans="1:21">
      <c r="A468" s="379" t="s">
        <v>1145</v>
      </c>
      <c r="B468" s="443" t="s">
        <v>22</v>
      </c>
      <c r="C468" s="375">
        <v>228.6</v>
      </c>
      <c r="D468" s="375">
        <v>63.5</v>
      </c>
      <c r="E468" s="375">
        <v>76.2</v>
      </c>
      <c r="F468" s="375">
        <v>63.5</v>
      </c>
      <c r="G468" s="17">
        <f t="shared" si="56"/>
        <v>1.0139495849999998</v>
      </c>
      <c r="K468" s="56"/>
      <c r="L468" s="20"/>
      <c r="M468" s="20"/>
      <c r="N468" s="20"/>
      <c r="O468" s="20"/>
      <c r="P468" s="20"/>
      <c r="Q468" s="23"/>
      <c r="R468" s="22" t="s">
        <v>16</v>
      </c>
      <c r="S468" s="22" t="s">
        <v>16</v>
      </c>
      <c r="T468" s="753">
        <f t="shared" si="54"/>
        <v>382.90026116470585</v>
      </c>
      <c r="U468" s="22">
        <v>1</v>
      </c>
    </row>
    <row r="469" spans="1:21">
      <c r="A469" s="379" t="s">
        <v>1111</v>
      </c>
      <c r="B469" s="443" t="s">
        <v>22</v>
      </c>
      <c r="C469" s="375">
        <v>228.6</v>
      </c>
      <c r="D469" s="375">
        <v>76.2</v>
      </c>
      <c r="E469" s="375">
        <v>76.2</v>
      </c>
      <c r="F469" s="375">
        <v>69.900000000000006</v>
      </c>
      <c r="G469" s="17">
        <f t="shared" si="56"/>
        <v>1.2724813260000001</v>
      </c>
      <c r="K469" s="56"/>
      <c r="L469" s="20"/>
      <c r="M469" s="20"/>
      <c r="N469" s="20"/>
      <c r="O469" s="20"/>
      <c r="P469" s="20"/>
      <c r="Q469" s="23"/>
      <c r="R469" s="22" t="s">
        <v>16</v>
      </c>
      <c r="S469" s="22" t="s">
        <v>16</v>
      </c>
      <c r="T469" s="753">
        <f t="shared" si="54"/>
        <v>922.44430670886186</v>
      </c>
      <c r="U469" s="22">
        <v>1</v>
      </c>
    </row>
    <row r="470" spans="1:21">
      <c r="A470" s="379" t="s">
        <v>1110</v>
      </c>
      <c r="B470" s="443" t="s">
        <v>22</v>
      </c>
      <c r="C470" s="375">
        <v>228.6</v>
      </c>
      <c r="D470" s="375">
        <v>76.2</v>
      </c>
      <c r="E470" s="375">
        <v>76.2</v>
      </c>
      <c r="F470" s="375">
        <v>63.5</v>
      </c>
      <c r="G470" s="17">
        <f t="shared" si="56"/>
        <v>1.2167395019999998</v>
      </c>
      <c r="K470" s="56"/>
      <c r="L470" s="20"/>
      <c r="M470" s="20"/>
      <c r="N470" s="20"/>
      <c r="O470" s="20"/>
      <c r="P470" s="20"/>
      <c r="Q470" s="23"/>
      <c r="R470" s="22" t="s">
        <v>16</v>
      </c>
      <c r="S470" s="22" t="s">
        <v>16</v>
      </c>
      <c r="T470" s="753">
        <f t="shared" si="54"/>
        <v>458.78475345198643</v>
      </c>
      <c r="U470" s="22">
        <v>1</v>
      </c>
    </row>
    <row r="471" spans="1:21">
      <c r="A471" s="379" t="s">
        <v>1477</v>
      </c>
      <c r="B471" s="443" t="s">
        <v>22</v>
      </c>
      <c r="C471" s="375">
        <v>228.6</v>
      </c>
      <c r="D471" s="375">
        <v>76.2</v>
      </c>
      <c r="E471" s="375">
        <v>76.2</v>
      </c>
      <c r="F471" s="375">
        <v>57.2</v>
      </c>
      <c r="G471" s="17">
        <f t="shared" si="56"/>
        <v>1.1618686439999999</v>
      </c>
      <c r="K471" s="56"/>
      <c r="L471" s="20"/>
      <c r="M471" s="20"/>
      <c r="N471" s="20"/>
      <c r="O471" s="20"/>
      <c r="P471" s="20"/>
      <c r="Q471" s="23"/>
      <c r="R471" s="22" t="s">
        <v>16</v>
      </c>
      <c r="S471" s="22" t="s">
        <v>16</v>
      </c>
      <c r="T471" s="753">
        <f t="shared" si="54"/>
        <v>307.96794758752776</v>
      </c>
      <c r="U471" s="22">
        <v>1</v>
      </c>
    </row>
    <row r="472" spans="1:21">
      <c r="A472" s="379" t="s">
        <v>1476</v>
      </c>
      <c r="B472" s="443" t="s">
        <v>22</v>
      </c>
      <c r="C472" s="375">
        <v>228.6</v>
      </c>
      <c r="D472" s="375">
        <v>76.2</v>
      </c>
      <c r="E472" s="375">
        <v>76.2</v>
      </c>
      <c r="F472" s="375">
        <v>50.8</v>
      </c>
      <c r="G472" s="17">
        <f t="shared" si="56"/>
        <v>1.1061268199999998</v>
      </c>
      <c r="K472" s="56"/>
      <c r="L472" s="20"/>
      <c r="M472" s="20"/>
      <c r="N472" s="20"/>
      <c r="O472" s="20"/>
      <c r="P472" s="20"/>
      <c r="Q472" s="23"/>
      <c r="R472" s="22" t="s">
        <v>16</v>
      </c>
      <c r="S472" s="22" t="s">
        <v>16</v>
      </c>
      <c r="T472" s="753">
        <f t="shared" si="54"/>
        <v>231.75325240436214</v>
      </c>
      <c r="U472" s="22">
        <v>1</v>
      </c>
    </row>
    <row r="473" spans="1:21">
      <c r="A473" s="379" t="s">
        <v>1480</v>
      </c>
      <c r="B473" s="443" t="s">
        <v>22</v>
      </c>
      <c r="C473" s="375">
        <v>228.6</v>
      </c>
      <c r="D473" s="375">
        <v>76.2</v>
      </c>
      <c r="E473" s="375">
        <v>101.6</v>
      </c>
      <c r="F473" s="375">
        <v>95.3</v>
      </c>
      <c r="G473" s="17">
        <f t="shared" si="56"/>
        <v>1.7149320539999997</v>
      </c>
      <c r="K473" s="56"/>
      <c r="L473" s="20"/>
      <c r="M473" s="20"/>
      <c r="N473" s="20"/>
      <c r="O473" s="20"/>
      <c r="P473" s="20"/>
      <c r="Q473" s="23"/>
      <c r="R473" s="22" t="s">
        <v>16</v>
      </c>
      <c r="S473" s="22" t="s">
        <v>16</v>
      </c>
      <c r="T473" s="753">
        <f t="shared" si="54"/>
        <v>1229.9257422784822</v>
      </c>
      <c r="U473" s="22">
        <v>1</v>
      </c>
    </row>
    <row r="474" spans="1:21">
      <c r="A474" s="379" t="s">
        <v>1475</v>
      </c>
      <c r="B474" s="443" t="s">
        <v>22</v>
      </c>
      <c r="C474" s="375">
        <v>228.6</v>
      </c>
      <c r="D474" s="375">
        <v>76.2</v>
      </c>
      <c r="E474" s="375">
        <v>114.3</v>
      </c>
      <c r="F474" s="375">
        <v>101.6</v>
      </c>
      <c r="G474" s="17">
        <f t="shared" si="56"/>
        <v>1.8804155939999998</v>
      </c>
      <c r="K474" s="56"/>
      <c r="L474" s="20"/>
      <c r="M474" s="20"/>
      <c r="N474" s="20"/>
      <c r="O474" s="20"/>
      <c r="P474" s="20"/>
      <c r="Q474" s="23"/>
      <c r="R474" s="22" t="s">
        <v>16</v>
      </c>
      <c r="S474" s="22" t="s">
        <v>16</v>
      </c>
      <c r="T474" s="753">
        <f t="shared" si="54"/>
        <v>688.17713017797962</v>
      </c>
      <c r="U474" s="22">
        <v>1</v>
      </c>
    </row>
    <row r="475" spans="1:21">
      <c r="A475" s="379" t="s">
        <v>1478</v>
      </c>
      <c r="B475" s="443" t="s">
        <v>22</v>
      </c>
      <c r="C475" s="375">
        <v>228.6</v>
      </c>
      <c r="D475" s="375">
        <v>101.6</v>
      </c>
      <c r="E475" s="375">
        <v>76.2</v>
      </c>
      <c r="F475" s="375">
        <v>69.900000000000006</v>
      </c>
      <c r="G475" s="17">
        <f t="shared" si="56"/>
        <v>1.6966417680000001</v>
      </c>
      <c r="K475" s="56"/>
      <c r="L475" s="20"/>
      <c r="M475" s="20"/>
      <c r="N475" s="20"/>
      <c r="O475" s="20"/>
      <c r="P475" s="20"/>
      <c r="Q475" s="23"/>
      <c r="R475" s="22" t="s">
        <v>16</v>
      </c>
      <c r="S475" s="22" t="s">
        <v>16</v>
      </c>
      <c r="T475" s="753">
        <f t="shared" si="54"/>
        <v>1229.466673610666</v>
      </c>
      <c r="U475" s="22">
        <v>1</v>
      </c>
    </row>
    <row r="476" spans="1:21">
      <c r="A476" s="379" t="s">
        <v>1115</v>
      </c>
      <c r="B476" s="443" t="s">
        <v>22</v>
      </c>
      <c r="C476" s="375">
        <v>228.6</v>
      </c>
      <c r="D476" s="375">
        <v>114.3</v>
      </c>
      <c r="E476" s="375">
        <v>76.2</v>
      </c>
      <c r="F476" s="375">
        <v>73</v>
      </c>
      <c r="G476" s="17">
        <f t="shared" si="56"/>
        <v>1.9492219079999995</v>
      </c>
      <c r="K476" s="56"/>
      <c r="L476" s="20"/>
      <c r="M476" s="20"/>
      <c r="N476" s="20"/>
      <c r="O476" s="20"/>
      <c r="P476" s="20"/>
      <c r="Q476" s="23"/>
      <c r="R476" s="22" t="s">
        <v>16</v>
      </c>
      <c r="S476" s="22" t="s">
        <v>16</v>
      </c>
      <c r="T476" s="753">
        <f t="shared" si="54"/>
        <v>2722.0354036045433</v>
      </c>
      <c r="U476" s="22">
        <v>1</v>
      </c>
    </row>
    <row r="477" spans="1:21">
      <c r="A477" s="379" t="s">
        <v>1122</v>
      </c>
      <c r="B477" s="443" t="s">
        <v>22</v>
      </c>
      <c r="C477" s="375">
        <v>228.6</v>
      </c>
      <c r="D477" s="375">
        <v>114.3</v>
      </c>
      <c r="E477" s="375">
        <v>76.2</v>
      </c>
      <c r="F477" s="375">
        <v>69.900000000000006</v>
      </c>
      <c r="G477" s="17">
        <f t="shared" si="56"/>
        <v>1.9087219890000002</v>
      </c>
      <c r="K477" s="56"/>
      <c r="L477" s="20"/>
      <c r="M477" s="20"/>
      <c r="N477" s="20"/>
      <c r="O477" s="20"/>
      <c r="P477" s="20"/>
      <c r="Q477" s="23"/>
      <c r="R477" s="22" t="s">
        <v>16</v>
      </c>
      <c r="S477" s="22" t="s">
        <v>16</v>
      </c>
      <c r="T477" s="753">
        <f t="shared" si="54"/>
        <v>1383.010614638978</v>
      </c>
      <c r="U477" s="22">
        <v>1</v>
      </c>
    </row>
    <row r="478" spans="1:21">
      <c r="A478" s="379" t="s">
        <v>1119</v>
      </c>
      <c r="B478" s="443" t="s">
        <v>22</v>
      </c>
      <c r="C478" s="375">
        <v>228.6</v>
      </c>
      <c r="D478" s="375">
        <v>114.3</v>
      </c>
      <c r="E478" s="375">
        <v>76.2</v>
      </c>
      <c r="F478" s="375">
        <v>63.5</v>
      </c>
      <c r="G478" s="17">
        <f t="shared" si="56"/>
        <v>1.8251092529999997</v>
      </c>
      <c r="K478" s="56"/>
      <c r="L478" s="20"/>
      <c r="M478" s="20"/>
      <c r="N478" s="20"/>
      <c r="O478" s="20"/>
      <c r="P478" s="20"/>
      <c r="Q478" s="23"/>
      <c r="R478" s="22" t="s">
        <v>16</v>
      </c>
      <c r="S478" s="22" t="s">
        <v>16</v>
      </c>
      <c r="T478" s="753">
        <f t="shared" si="54"/>
        <v>686.85751797588978</v>
      </c>
      <c r="U478" s="22">
        <v>1</v>
      </c>
    </row>
    <row r="479" spans="1:21">
      <c r="A479" s="379" t="s">
        <v>1489</v>
      </c>
      <c r="B479" s="443" t="s">
        <v>22</v>
      </c>
      <c r="C479" s="375">
        <v>228.6</v>
      </c>
      <c r="D479" s="375">
        <v>114.3</v>
      </c>
      <c r="E479" s="375">
        <v>76.2</v>
      </c>
      <c r="F479" s="375">
        <v>57.2</v>
      </c>
      <c r="G479" s="17">
        <f t="shared" si="56"/>
        <v>1.742802966</v>
      </c>
      <c r="K479" s="56"/>
      <c r="L479" s="20"/>
      <c r="M479" s="20"/>
      <c r="N479" s="20"/>
      <c r="O479" s="20"/>
      <c r="P479" s="20"/>
      <c r="Q479" s="23"/>
      <c r="R479" s="22" t="s">
        <v>16</v>
      </c>
      <c r="S479" s="22" t="s">
        <v>16</v>
      </c>
      <c r="T479" s="753">
        <f t="shared" si="54"/>
        <v>459.98376620035958</v>
      </c>
      <c r="U479" s="22">
        <v>1</v>
      </c>
    </row>
    <row r="480" spans="1:21">
      <c r="A480" s="379" t="s">
        <v>1120</v>
      </c>
      <c r="B480" s="443" t="s">
        <v>22</v>
      </c>
      <c r="C480" s="375">
        <v>228.6</v>
      </c>
      <c r="D480" s="375">
        <v>114.3</v>
      </c>
      <c r="E480" s="375">
        <v>76.2</v>
      </c>
      <c r="F480" s="375">
        <v>50.8</v>
      </c>
      <c r="G480" s="17">
        <f t="shared" si="56"/>
        <v>1.6591902299999999</v>
      </c>
      <c r="K480" s="56"/>
      <c r="L480" s="20"/>
      <c r="M480" s="20"/>
      <c r="N480" s="20"/>
      <c r="O480" s="20"/>
      <c r="P480" s="20"/>
      <c r="Q480" s="23"/>
      <c r="R480" s="22" t="s">
        <v>16</v>
      </c>
      <c r="S480" s="22" t="s">
        <v>16</v>
      </c>
      <c r="T480" s="753">
        <f t="shared" si="54"/>
        <v>345.01017376303554</v>
      </c>
      <c r="U480" s="22">
        <v>1</v>
      </c>
    </row>
    <row r="481" spans="1:21">
      <c r="A481" s="379" t="s">
        <v>1141</v>
      </c>
      <c r="B481" s="443" t="s">
        <v>22</v>
      </c>
      <c r="C481" s="375">
        <v>228.6</v>
      </c>
      <c r="D481" s="375">
        <v>114.3</v>
      </c>
      <c r="E481" s="375">
        <v>76.2</v>
      </c>
      <c r="F481" s="375">
        <v>38.1</v>
      </c>
      <c r="G481" s="17">
        <f t="shared" si="56"/>
        <v>1.4932712070000003</v>
      </c>
      <c r="K481" s="56"/>
      <c r="L481" s="20"/>
      <c r="M481" s="20"/>
      <c r="N481" s="20"/>
      <c r="O481" s="20"/>
      <c r="P481" s="20"/>
      <c r="Q481" s="23"/>
      <c r="R481" s="22" t="s">
        <v>16</v>
      </c>
      <c r="S481" s="22" t="s">
        <v>16</v>
      </c>
      <c r="T481" s="753">
        <f t="shared" si="54"/>
        <v>231.75325240436217</v>
      </c>
      <c r="U481" s="22">
        <v>1</v>
      </c>
    </row>
    <row r="482" spans="1:21">
      <c r="A482" s="379" t="s">
        <v>1488</v>
      </c>
      <c r="B482" s="443" t="s">
        <v>22</v>
      </c>
      <c r="C482" s="375">
        <v>228.6</v>
      </c>
      <c r="D482" s="375">
        <v>114.3</v>
      </c>
      <c r="E482" s="375">
        <v>101.6</v>
      </c>
      <c r="F482" s="375">
        <v>69.900000000000006</v>
      </c>
      <c r="G482" s="17">
        <f t="shared" si="56"/>
        <v>2.2405600350000001</v>
      </c>
      <c r="K482" s="56"/>
      <c r="L482" s="20"/>
      <c r="M482" s="20"/>
      <c r="N482" s="20"/>
      <c r="O482" s="20"/>
      <c r="P482" s="20"/>
      <c r="Q482" s="23"/>
      <c r="R482" s="22" t="s">
        <v>16</v>
      </c>
      <c r="S482" s="22" t="s">
        <v>16</v>
      </c>
      <c r="T482" s="753">
        <f t="shared" si="54"/>
        <v>369.84235904240262</v>
      </c>
      <c r="U482" s="22">
        <v>1</v>
      </c>
    </row>
    <row r="483" spans="1:21">
      <c r="A483" s="379" t="s">
        <v>1487</v>
      </c>
      <c r="B483" s="443" t="s">
        <v>22</v>
      </c>
      <c r="C483" s="375">
        <v>228.6</v>
      </c>
      <c r="D483" s="375">
        <v>114.3</v>
      </c>
      <c r="E483" s="375">
        <v>101.6</v>
      </c>
      <c r="F483" s="375">
        <v>63.5</v>
      </c>
      <c r="G483" s="17">
        <f t="shared" si="56"/>
        <v>2.156947299</v>
      </c>
      <c r="K483" s="56"/>
      <c r="L483" s="20"/>
      <c r="M483" s="20"/>
      <c r="N483" s="20"/>
      <c r="O483" s="20"/>
      <c r="P483" s="20"/>
      <c r="Q483" s="23"/>
      <c r="R483" s="22" t="s">
        <v>16</v>
      </c>
      <c r="S483" s="22" t="s">
        <v>16</v>
      </c>
      <c r="T483" s="753">
        <f t="shared" si="54"/>
        <v>309.00433653914962</v>
      </c>
      <c r="U483" s="22">
        <v>1</v>
      </c>
    </row>
    <row r="484" spans="1:21">
      <c r="A484" s="379" t="s">
        <v>1132</v>
      </c>
      <c r="B484" s="443" t="s">
        <v>22</v>
      </c>
      <c r="C484" s="375">
        <v>228.6</v>
      </c>
      <c r="D484" s="375">
        <v>114.3</v>
      </c>
      <c r="E484" s="375">
        <v>100</v>
      </c>
      <c r="F484" s="375">
        <v>95</v>
      </c>
      <c r="G484" s="17">
        <f t="shared" si="56"/>
        <v>2.5475755499999999</v>
      </c>
      <c r="K484" s="56"/>
      <c r="L484" s="20"/>
      <c r="M484" s="20"/>
      <c r="N484" s="20"/>
      <c r="O484" s="20"/>
      <c r="P484" s="20"/>
      <c r="Q484" s="23"/>
      <c r="R484" s="22" t="s">
        <v>16</v>
      </c>
      <c r="S484" s="22" t="s">
        <v>16</v>
      </c>
      <c r="T484" s="753">
        <f t="shared" si="54"/>
        <v>2286.546741267276</v>
      </c>
      <c r="U484" s="22">
        <v>1</v>
      </c>
    </row>
    <row r="485" spans="1:21">
      <c r="A485" s="379" t="s">
        <v>1134</v>
      </c>
      <c r="B485" s="443" t="s">
        <v>22</v>
      </c>
      <c r="C485" s="375">
        <v>228.6</v>
      </c>
      <c r="D485" s="375">
        <v>127</v>
      </c>
      <c r="E485" s="375">
        <v>76.2</v>
      </c>
      <c r="F485" s="375">
        <v>69.900000000000006</v>
      </c>
      <c r="G485" s="17">
        <f t="shared" si="56"/>
        <v>2.1208022100000004</v>
      </c>
      <c r="K485" s="56"/>
      <c r="L485" s="20"/>
      <c r="M485" s="20"/>
      <c r="N485" s="20"/>
      <c r="O485" s="20"/>
      <c r="P485" s="20"/>
      <c r="Q485" s="23"/>
      <c r="R485" s="22" t="s">
        <v>16</v>
      </c>
      <c r="S485" s="22" t="s">
        <v>16</v>
      </c>
      <c r="T485" s="753">
        <f t="shared" si="54"/>
        <v>1536.567665447529</v>
      </c>
      <c r="U485" s="22">
        <v>1</v>
      </c>
    </row>
    <row r="486" spans="1:21">
      <c r="A486" s="379" t="s">
        <v>1138</v>
      </c>
      <c r="B486" s="443" t="s">
        <v>22</v>
      </c>
      <c r="C486" s="375">
        <v>228.6</v>
      </c>
      <c r="D486" s="375">
        <v>127</v>
      </c>
      <c r="E486" s="375">
        <v>76.2</v>
      </c>
      <c r="F486" s="375">
        <v>63.5</v>
      </c>
      <c r="G486" s="17">
        <f t="shared" si="56"/>
        <v>2.0278991699999995</v>
      </c>
      <c r="K486" s="56"/>
      <c r="L486" s="20"/>
      <c r="M486" s="20"/>
      <c r="N486" s="20"/>
      <c r="O486" s="20"/>
      <c r="P486" s="20"/>
      <c r="Q486" s="23"/>
      <c r="R486" s="22" t="s">
        <v>16</v>
      </c>
      <c r="S486" s="22" t="s">
        <v>16</v>
      </c>
      <c r="T486" s="753">
        <f t="shared" si="54"/>
        <v>762.95190543047988</v>
      </c>
      <c r="U486" s="22">
        <v>1</v>
      </c>
    </row>
    <row r="487" spans="1:21">
      <c r="A487" s="379" t="s">
        <v>1139</v>
      </c>
      <c r="B487" s="443" t="s">
        <v>22</v>
      </c>
      <c r="C487" s="375">
        <v>228.6</v>
      </c>
      <c r="D487" s="375">
        <v>127</v>
      </c>
      <c r="E487" s="375">
        <v>76.2</v>
      </c>
      <c r="F487" s="375">
        <v>50.8</v>
      </c>
      <c r="G487" s="17">
        <f t="shared" si="56"/>
        <v>1.8435447</v>
      </c>
      <c r="K487" s="56"/>
      <c r="L487" s="20"/>
      <c r="M487" s="20"/>
      <c r="N487" s="20"/>
      <c r="O487" s="20"/>
      <c r="P487" s="20"/>
      <c r="Q487" s="23"/>
      <c r="R487" s="22" t="s">
        <v>16</v>
      </c>
      <c r="S487" s="22" t="s">
        <v>16</v>
      </c>
      <c r="T487" s="753">
        <f t="shared" si="54"/>
        <v>382.90026116470585</v>
      </c>
      <c r="U487" s="22">
        <v>1</v>
      </c>
    </row>
    <row r="488" spans="1:21">
      <c r="A488" s="379" t="s">
        <v>1133</v>
      </c>
      <c r="B488" s="443" t="s">
        <v>22</v>
      </c>
      <c r="C488" s="375">
        <v>228.6</v>
      </c>
      <c r="D488" s="375">
        <v>127</v>
      </c>
      <c r="E488" s="375">
        <v>100</v>
      </c>
      <c r="F488" s="375">
        <v>95</v>
      </c>
      <c r="G488" s="17">
        <f t="shared" si="56"/>
        <v>2.8306395000000002</v>
      </c>
      <c r="K488" s="56"/>
      <c r="L488" s="20"/>
      <c r="M488" s="20"/>
      <c r="N488" s="20"/>
      <c r="O488" s="20"/>
      <c r="P488" s="20"/>
      <c r="Q488" s="23"/>
      <c r="R488" s="22" t="s">
        <v>16</v>
      </c>
      <c r="S488" s="22" t="s">
        <v>16</v>
      </c>
      <c r="T488" s="753">
        <f t="shared" si="54"/>
        <v>2540.4920783186867</v>
      </c>
      <c r="U488" s="22">
        <v>1</v>
      </c>
    </row>
    <row r="489" spans="1:21">
      <c r="A489" s="379" t="s">
        <v>1137</v>
      </c>
      <c r="B489" s="443" t="s">
        <v>22</v>
      </c>
      <c r="C489" s="375">
        <v>228.6</v>
      </c>
      <c r="D489" s="375">
        <v>127</v>
      </c>
      <c r="E489" s="375">
        <v>100</v>
      </c>
      <c r="F489" s="375">
        <v>90</v>
      </c>
      <c r="G489" s="17">
        <f t="shared" si="56"/>
        <v>2.7580589999999998</v>
      </c>
      <c r="K489" s="56"/>
      <c r="L489" s="20"/>
      <c r="M489" s="20"/>
      <c r="N489" s="20"/>
      <c r="O489" s="20"/>
      <c r="P489" s="20"/>
      <c r="Q489" s="23"/>
      <c r="R489" s="22" t="s">
        <v>16</v>
      </c>
      <c r="S489" s="22" t="s">
        <v>16</v>
      </c>
      <c r="T489" s="753">
        <f t="shared" si="54"/>
        <v>1270.9838708654017</v>
      </c>
      <c r="U489" s="22">
        <v>1</v>
      </c>
    </row>
    <row r="490" spans="1:21">
      <c r="A490" s="379" t="s">
        <v>1113</v>
      </c>
      <c r="B490" s="443" t="s">
        <v>22</v>
      </c>
      <c r="C490" s="375">
        <v>228.6</v>
      </c>
      <c r="D490" s="375">
        <v>152.4</v>
      </c>
      <c r="E490" s="375">
        <v>76.2</v>
      </c>
      <c r="F490" s="375">
        <v>69.900000000000006</v>
      </c>
      <c r="G490" s="17">
        <f t="shared" si="56"/>
        <v>2.5449626520000002</v>
      </c>
      <c r="K490" s="56"/>
      <c r="L490" s="20"/>
      <c r="M490" s="20"/>
      <c r="N490" s="20"/>
      <c r="O490" s="20"/>
      <c r="P490" s="20"/>
      <c r="Q490" s="23"/>
      <c r="R490" s="22" t="s">
        <v>16</v>
      </c>
      <c r="S490" s="22" t="s">
        <v>16</v>
      </c>
      <c r="T490" s="753">
        <f t="shared" si="54"/>
        <v>1843.7079936688378</v>
      </c>
      <c r="U490" s="22">
        <v>1</v>
      </c>
    </row>
    <row r="491" spans="1:21">
      <c r="A491" s="379" t="s">
        <v>1114</v>
      </c>
      <c r="B491" s="443" t="s">
        <v>22</v>
      </c>
      <c r="C491" s="375">
        <v>228.6</v>
      </c>
      <c r="D491" s="375">
        <v>152.4</v>
      </c>
      <c r="E491" s="375">
        <v>76.2</v>
      </c>
      <c r="F491" s="375">
        <v>63.5</v>
      </c>
      <c r="G491" s="17">
        <f t="shared" si="56"/>
        <v>2.4334790039999996</v>
      </c>
      <c r="K491" s="56"/>
      <c r="L491" s="20"/>
      <c r="M491" s="20"/>
      <c r="N491" s="20"/>
      <c r="O491" s="20"/>
      <c r="P491" s="20"/>
      <c r="Q491" s="23"/>
      <c r="R491" s="22" t="s">
        <v>16</v>
      </c>
      <c r="S491" s="22" t="s">
        <v>16</v>
      </c>
      <c r="T491" s="753">
        <f t="shared" si="54"/>
        <v>915.19340578918059</v>
      </c>
      <c r="U491" s="22">
        <v>1</v>
      </c>
    </row>
    <row r="492" spans="1:21">
      <c r="A492" s="379" t="s">
        <v>1121</v>
      </c>
      <c r="B492" s="443" t="s">
        <v>22</v>
      </c>
      <c r="C492" s="375">
        <v>228.6</v>
      </c>
      <c r="D492" s="375">
        <v>152.4</v>
      </c>
      <c r="E492" s="375">
        <v>76.2</v>
      </c>
      <c r="F492" s="375">
        <v>50.8</v>
      </c>
      <c r="G492" s="17">
        <f t="shared" si="56"/>
        <v>2.2122536399999997</v>
      </c>
      <c r="K492" s="56"/>
      <c r="L492" s="20"/>
      <c r="M492" s="20"/>
      <c r="N492" s="20"/>
      <c r="O492" s="20"/>
      <c r="P492" s="20"/>
      <c r="Q492" s="23"/>
      <c r="R492" s="22" t="s">
        <v>16</v>
      </c>
      <c r="S492" s="22" t="s">
        <v>16</v>
      </c>
      <c r="T492" s="753">
        <f t="shared" si="54"/>
        <v>458.78475345198643</v>
      </c>
      <c r="U492" s="22">
        <v>1</v>
      </c>
    </row>
    <row r="493" spans="1:21">
      <c r="A493" s="379" t="s">
        <v>1142</v>
      </c>
      <c r="B493" s="443" t="s">
        <v>22</v>
      </c>
      <c r="C493" s="375">
        <v>228.6</v>
      </c>
      <c r="D493" s="375">
        <v>152.4</v>
      </c>
      <c r="E493" s="375">
        <v>76.2</v>
      </c>
      <c r="F493" s="375">
        <v>38.1</v>
      </c>
      <c r="G493" s="17">
        <f t="shared" si="56"/>
        <v>1.9910282760000002</v>
      </c>
      <c r="K493" s="56"/>
      <c r="L493" s="20"/>
      <c r="M493" s="20"/>
      <c r="N493" s="20"/>
      <c r="O493" s="20"/>
      <c r="P493" s="20"/>
      <c r="Q493" s="23"/>
      <c r="R493" s="22" t="s">
        <v>16</v>
      </c>
      <c r="S493" s="22" t="s">
        <v>16</v>
      </c>
      <c r="T493" s="753">
        <f t="shared" si="54"/>
        <v>307.17202021017476</v>
      </c>
      <c r="U493" s="22">
        <v>1</v>
      </c>
    </row>
    <row r="494" spans="1:21">
      <c r="A494" s="379" t="s">
        <v>1112</v>
      </c>
      <c r="B494" s="443" t="s">
        <v>22</v>
      </c>
      <c r="C494" s="375">
        <v>228.6</v>
      </c>
      <c r="D494" s="375">
        <v>171.5</v>
      </c>
      <c r="E494" s="375">
        <v>76.2</v>
      </c>
      <c r="F494" s="375">
        <v>69.900000000000006</v>
      </c>
      <c r="G494" s="17">
        <f t="shared" si="56"/>
        <v>2.8639179450000003</v>
      </c>
      <c r="K494" s="56"/>
      <c r="L494" s="20"/>
      <c r="M494" s="20"/>
      <c r="N494" s="20"/>
      <c r="O494" s="20"/>
      <c r="P494" s="20"/>
      <c r="Q494" s="23"/>
      <c r="R494" s="22" t="s">
        <v>16</v>
      </c>
      <c r="S494" s="22" t="s">
        <v>16</v>
      </c>
      <c r="T494" s="753">
        <f t="shared" si="54"/>
        <v>2074.6832017871507</v>
      </c>
      <c r="U494" s="22">
        <v>1</v>
      </c>
    </row>
    <row r="495" spans="1:21">
      <c r="A495" s="379" t="s">
        <v>1126</v>
      </c>
      <c r="B495" s="443" t="s">
        <v>22</v>
      </c>
      <c r="C495" s="375">
        <v>228.6</v>
      </c>
      <c r="D495" s="375">
        <v>171.5</v>
      </c>
      <c r="E495" s="375">
        <v>76.2</v>
      </c>
      <c r="F495" s="375">
        <v>50.8</v>
      </c>
      <c r="G495" s="17">
        <f t="shared" si="56"/>
        <v>2.4895111499999998</v>
      </c>
      <c r="K495" s="56"/>
      <c r="L495" s="20"/>
      <c r="M495" s="20"/>
      <c r="N495" s="20"/>
      <c r="O495" s="20"/>
      <c r="P495" s="20"/>
      <c r="Q495" s="23"/>
      <c r="R495" s="22" t="s">
        <v>16</v>
      </c>
      <c r="S495" s="22" t="s">
        <v>16</v>
      </c>
      <c r="T495" s="753">
        <f t="shared" si="54"/>
        <v>515.90877100510704</v>
      </c>
      <c r="U495" s="22">
        <v>1</v>
      </c>
    </row>
    <row r="496" spans="1:21">
      <c r="A496" s="379" t="s">
        <v>1143</v>
      </c>
      <c r="B496" s="443" t="s">
        <v>22</v>
      </c>
      <c r="C496" s="375">
        <v>228.6</v>
      </c>
      <c r="D496" s="375">
        <v>171.5</v>
      </c>
      <c r="E496" s="375">
        <v>76.2</v>
      </c>
      <c r="F496" s="375">
        <v>38.1</v>
      </c>
      <c r="G496" s="17">
        <f t="shared" si="56"/>
        <v>2.2405600350000001</v>
      </c>
      <c r="K496" s="56"/>
      <c r="L496" s="20"/>
      <c r="M496" s="20"/>
      <c r="N496" s="20"/>
      <c r="O496" s="20"/>
      <c r="P496" s="20"/>
      <c r="Q496" s="23"/>
      <c r="R496" s="22" t="s">
        <v>16</v>
      </c>
      <c r="S496" s="22" t="s">
        <v>16</v>
      </c>
      <c r="T496" s="753">
        <f t="shared" si="54"/>
        <v>345.10956231318772</v>
      </c>
      <c r="U496" s="22">
        <v>1</v>
      </c>
    </row>
    <row r="497" spans="1:21">
      <c r="A497" s="359" t="s">
        <v>1805</v>
      </c>
      <c r="B497" s="444" t="s">
        <v>22</v>
      </c>
      <c r="C497" s="378">
        <v>304.8</v>
      </c>
      <c r="D497" s="378">
        <v>114.3</v>
      </c>
      <c r="E497" s="378">
        <v>76.2</v>
      </c>
      <c r="F497" s="378">
        <v>73</v>
      </c>
      <c r="G497" s="17">
        <f t="shared" si="56"/>
        <v>2.5989625439999999</v>
      </c>
      <c r="K497" s="56"/>
      <c r="L497" s="20"/>
      <c r="M497" s="20"/>
      <c r="N497" s="20"/>
      <c r="O497" s="20"/>
      <c r="P497" s="20"/>
      <c r="Q497" s="23"/>
      <c r="R497" s="22" t="s">
        <v>16</v>
      </c>
      <c r="S497" s="22" t="s">
        <v>16</v>
      </c>
      <c r="T497" s="753">
        <f t="shared" si="54"/>
        <v>2722.0354036045433</v>
      </c>
      <c r="U497" s="22">
        <v>1</v>
      </c>
    </row>
    <row r="498" spans="1:21">
      <c r="A498" s="359" t="s">
        <v>1100</v>
      </c>
      <c r="B498" s="444" t="s">
        <v>22</v>
      </c>
      <c r="C498" s="378">
        <v>304.8</v>
      </c>
      <c r="D498" s="378">
        <v>114.3</v>
      </c>
      <c r="E498" s="378">
        <v>76.2</v>
      </c>
      <c r="F498" s="378">
        <v>69.900000000000006</v>
      </c>
      <c r="G498" s="17">
        <f t="shared" si="56"/>
        <v>2.5449626520000006</v>
      </c>
      <c r="K498" s="56"/>
      <c r="L498" s="20"/>
      <c r="M498" s="20"/>
      <c r="N498" s="20"/>
      <c r="O498" s="20"/>
      <c r="P498" s="20"/>
      <c r="Q498" s="23"/>
      <c r="R498" s="22" t="s">
        <v>16</v>
      </c>
      <c r="S498" s="22" t="s">
        <v>16</v>
      </c>
      <c r="T498" s="753">
        <f t="shared" si="54"/>
        <v>1383.010614638978</v>
      </c>
      <c r="U498" s="22">
        <v>1</v>
      </c>
    </row>
    <row r="499" spans="1:21">
      <c r="A499" s="359" t="s">
        <v>1101</v>
      </c>
      <c r="B499" s="444" t="s">
        <v>22</v>
      </c>
      <c r="C499" s="378">
        <v>304.8</v>
      </c>
      <c r="D499" s="378">
        <v>114.3</v>
      </c>
      <c r="E499" s="378">
        <v>76.2</v>
      </c>
      <c r="F499" s="378">
        <v>63.5</v>
      </c>
      <c r="G499" s="17">
        <f t="shared" si="56"/>
        <v>2.4334790040000001</v>
      </c>
      <c r="K499" s="56"/>
      <c r="L499" s="20"/>
      <c r="M499" s="20"/>
      <c r="N499" s="20"/>
      <c r="O499" s="20"/>
      <c r="P499" s="20"/>
      <c r="Q499" s="23"/>
      <c r="R499" s="22" t="s">
        <v>16</v>
      </c>
      <c r="S499" s="22" t="s">
        <v>16</v>
      </c>
      <c r="T499" s="753">
        <f t="shared" si="54"/>
        <v>686.85751797588978</v>
      </c>
      <c r="U499" s="22">
        <v>1</v>
      </c>
    </row>
    <row r="500" spans="1:21">
      <c r="A500" s="359" t="s">
        <v>1102</v>
      </c>
      <c r="B500" s="444" t="s">
        <v>22</v>
      </c>
      <c r="C500" s="378">
        <v>304.8</v>
      </c>
      <c r="D500" s="378">
        <v>114.3</v>
      </c>
      <c r="E500" s="378">
        <v>76.2</v>
      </c>
      <c r="F500" s="378">
        <v>50.8</v>
      </c>
      <c r="G500" s="17">
        <f t="shared" si="56"/>
        <v>2.2122536400000001</v>
      </c>
      <c r="K500" s="56"/>
      <c r="L500" s="20"/>
      <c r="M500" s="20"/>
      <c r="N500" s="20"/>
      <c r="O500" s="20"/>
      <c r="P500" s="20"/>
      <c r="Q500" s="23"/>
      <c r="R500" s="22" t="s">
        <v>16</v>
      </c>
      <c r="S500" s="22" t="s">
        <v>16</v>
      </c>
      <c r="T500" s="753">
        <f t="shared" si="54"/>
        <v>345.01017376303554</v>
      </c>
      <c r="U500" s="22">
        <v>1</v>
      </c>
    </row>
    <row r="501" spans="1:21">
      <c r="A501" s="359" t="s">
        <v>1481</v>
      </c>
      <c r="B501" s="444" t="s">
        <v>22</v>
      </c>
      <c r="C501" s="378">
        <v>304.8</v>
      </c>
      <c r="D501" s="378">
        <v>114.3</v>
      </c>
      <c r="E501" s="378">
        <v>76.2</v>
      </c>
      <c r="F501" s="378">
        <v>25.4</v>
      </c>
      <c r="G501" s="17">
        <f t="shared" si="56"/>
        <v>1.7698029120000001</v>
      </c>
      <c r="K501" s="56"/>
      <c r="L501" s="20"/>
      <c r="M501" s="20"/>
      <c r="N501" s="20"/>
      <c r="O501" s="20"/>
      <c r="P501" s="20"/>
      <c r="Q501" s="23"/>
      <c r="R501" s="22" t="s">
        <v>16</v>
      </c>
      <c r="S501" s="22" t="s">
        <v>16</v>
      </c>
      <c r="T501" s="753">
        <f t="shared" si="54"/>
        <v>175.6323219114295</v>
      </c>
      <c r="U501" s="22">
        <v>1</v>
      </c>
    </row>
    <row r="502" spans="1:21">
      <c r="A502" s="359" t="s">
        <v>1483</v>
      </c>
      <c r="B502" s="444" t="s">
        <v>22</v>
      </c>
      <c r="C502" s="378">
        <v>304.8</v>
      </c>
      <c r="D502" s="378">
        <v>152.4</v>
      </c>
      <c r="E502" s="378">
        <v>76.2</v>
      </c>
      <c r="F502" s="378">
        <v>73</v>
      </c>
      <c r="G502" s="17">
        <f t="shared" si="56"/>
        <v>3.4652833919999999</v>
      </c>
      <c r="K502" s="56"/>
      <c r="L502" s="20"/>
      <c r="M502" s="20"/>
      <c r="N502" s="20"/>
      <c r="O502" s="20"/>
      <c r="P502" s="20"/>
      <c r="Q502" s="23"/>
      <c r="R502" s="22" t="s">
        <v>16</v>
      </c>
      <c r="S502" s="22" t="s">
        <v>16</v>
      </c>
      <c r="T502" s="753">
        <f t="shared" si="54"/>
        <v>3629.2249944891787</v>
      </c>
      <c r="U502" s="22">
        <v>1</v>
      </c>
    </row>
    <row r="503" spans="1:21">
      <c r="A503" s="359" t="s">
        <v>1103</v>
      </c>
      <c r="B503" s="444" t="s">
        <v>22</v>
      </c>
      <c r="C503" s="378">
        <v>304.8</v>
      </c>
      <c r="D503" s="378">
        <v>152.4</v>
      </c>
      <c r="E503" s="378">
        <v>76.2</v>
      </c>
      <c r="F503" s="378">
        <v>69.900000000000006</v>
      </c>
      <c r="G503" s="17">
        <f t="shared" si="56"/>
        <v>3.3932835360000007</v>
      </c>
      <c r="K503" s="56"/>
      <c r="L503" s="20"/>
      <c r="M503" s="20"/>
      <c r="N503" s="20"/>
      <c r="O503" s="20"/>
      <c r="P503" s="20"/>
      <c r="Q503" s="23"/>
      <c r="R503" s="22" t="s">
        <v>16</v>
      </c>
      <c r="S503" s="22" t="s">
        <v>16</v>
      </c>
      <c r="T503" s="753">
        <f t="shared" si="54"/>
        <v>1843.7079936688378</v>
      </c>
      <c r="U503" s="22">
        <v>1</v>
      </c>
    </row>
    <row r="504" spans="1:21">
      <c r="A504" s="359" t="s">
        <v>1118</v>
      </c>
      <c r="B504" s="444" t="s">
        <v>22</v>
      </c>
      <c r="C504" s="378">
        <v>304.8</v>
      </c>
      <c r="D504" s="378">
        <v>152.4</v>
      </c>
      <c r="E504" s="378">
        <v>76.2</v>
      </c>
      <c r="F504" s="378">
        <v>63.5</v>
      </c>
      <c r="G504" s="17">
        <f t="shared" si="56"/>
        <v>3.2446386719999998</v>
      </c>
      <c r="K504" s="56"/>
      <c r="L504" s="20"/>
      <c r="M504" s="20"/>
      <c r="N504" s="20"/>
      <c r="O504" s="20"/>
      <c r="P504" s="20"/>
      <c r="Q504" s="23"/>
      <c r="R504" s="22" t="s">
        <v>16</v>
      </c>
      <c r="S504" s="22" t="s">
        <v>16</v>
      </c>
      <c r="T504" s="753">
        <f t="shared" si="54"/>
        <v>915.19340578918059</v>
      </c>
      <c r="U504" s="22">
        <v>1</v>
      </c>
    </row>
    <row r="505" spans="1:21">
      <c r="A505" s="359" t="s">
        <v>1123</v>
      </c>
      <c r="B505" s="444" t="s">
        <v>22</v>
      </c>
      <c r="C505" s="378">
        <v>304.8</v>
      </c>
      <c r="D505" s="378">
        <v>152.4</v>
      </c>
      <c r="E505" s="378">
        <v>76.2</v>
      </c>
      <c r="F505" s="378">
        <v>50.8</v>
      </c>
      <c r="G505" s="17">
        <f t="shared" si="56"/>
        <v>2.9496715199999999</v>
      </c>
      <c r="K505" s="56"/>
      <c r="L505" s="20"/>
      <c r="M505" s="20"/>
      <c r="N505" s="20"/>
      <c r="O505" s="20"/>
      <c r="P505" s="20"/>
      <c r="Q505" s="23"/>
      <c r="R505" s="22" t="s">
        <v>16</v>
      </c>
      <c r="S505" s="22" t="s">
        <v>16</v>
      </c>
      <c r="T505" s="753">
        <f t="shared" si="54"/>
        <v>458.78475345198643</v>
      </c>
      <c r="U505" s="22">
        <v>1</v>
      </c>
    </row>
    <row r="506" spans="1:21">
      <c r="A506" s="359" t="s">
        <v>1482</v>
      </c>
      <c r="B506" s="444" t="s">
        <v>22</v>
      </c>
      <c r="C506" s="378">
        <v>304.8</v>
      </c>
      <c r="D506" s="378">
        <v>152.4</v>
      </c>
      <c r="E506" s="378">
        <v>76.2</v>
      </c>
      <c r="F506" s="378">
        <v>38.1</v>
      </c>
      <c r="G506" s="17">
        <f t="shared" si="56"/>
        <v>2.6547043680000009</v>
      </c>
      <c r="K506" s="56"/>
      <c r="L506" s="20"/>
      <c r="M506" s="20"/>
      <c r="N506" s="20"/>
      <c r="O506" s="20"/>
      <c r="P506" s="20"/>
      <c r="Q506" s="23"/>
      <c r="R506" s="22" t="s">
        <v>16</v>
      </c>
      <c r="S506" s="22" t="s">
        <v>16</v>
      </c>
      <c r="T506" s="753">
        <f t="shared" si="54"/>
        <v>307.17202021017476</v>
      </c>
      <c r="U506" s="22">
        <v>1</v>
      </c>
    </row>
    <row r="507" spans="1:21">
      <c r="A507" s="359" t="s">
        <v>1485</v>
      </c>
      <c r="B507" s="444" t="s">
        <v>22</v>
      </c>
      <c r="C507" s="378">
        <v>304.8</v>
      </c>
      <c r="D507" s="378">
        <v>152.4</v>
      </c>
      <c r="E507" s="378">
        <v>76.2</v>
      </c>
      <c r="F507" s="378">
        <v>25.4</v>
      </c>
      <c r="G507" s="17">
        <f t="shared" si="56"/>
        <v>2.3597372160000001</v>
      </c>
      <c r="K507" s="56"/>
      <c r="L507" s="20"/>
      <c r="M507" s="20"/>
      <c r="N507" s="20"/>
      <c r="O507" s="20"/>
      <c r="P507" s="20"/>
      <c r="Q507" s="23"/>
      <c r="R507" s="22" t="s">
        <v>16</v>
      </c>
      <c r="S507" s="22" t="s">
        <v>16</v>
      </c>
      <c r="T507" s="753">
        <f t="shared" si="54"/>
        <v>231.75325240436217</v>
      </c>
      <c r="U507" s="22">
        <v>1</v>
      </c>
    </row>
    <row r="508" spans="1:21">
      <c r="A508" s="359" t="s">
        <v>1140</v>
      </c>
      <c r="B508" s="444" t="s">
        <v>22</v>
      </c>
      <c r="C508" s="378">
        <v>304.8</v>
      </c>
      <c r="D508" s="378">
        <v>171.5</v>
      </c>
      <c r="E508" s="378">
        <v>76.2</v>
      </c>
      <c r="F508" s="378">
        <v>50.8</v>
      </c>
      <c r="G508" s="17">
        <f t="shared" si="56"/>
        <v>3.3193482000000003</v>
      </c>
      <c r="K508" s="56"/>
      <c r="L508" s="20"/>
      <c r="M508" s="20"/>
      <c r="N508" s="20"/>
      <c r="O508" s="20"/>
      <c r="P508" s="20"/>
      <c r="Q508" s="23"/>
      <c r="R508" s="22" t="s">
        <v>16</v>
      </c>
      <c r="S508" s="22" t="s">
        <v>16</v>
      </c>
      <c r="T508" s="753">
        <f t="shared" si="54"/>
        <v>515.90877100510704</v>
      </c>
      <c r="U508" s="22">
        <v>1</v>
      </c>
    </row>
    <row r="509" spans="1:21">
      <c r="A509" s="359" t="s">
        <v>1486</v>
      </c>
      <c r="B509" s="444" t="s">
        <v>22</v>
      </c>
      <c r="C509" s="378">
        <v>304.8</v>
      </c>
      <c r="D509" s="378">
        <v>171.5</v>
      </c>
      <c r="E509" s="378">
        <v>76.2</v>
      </c>
      <c r="F509" s="378">
        <v>38.1</v>
      </c>
      <c r="G509" s="17">
        <f t="shared" si="56"/>
        <v>2.9874133800000005</v>
      </c>
      <c r="K509" s="56"/>
      <c r="L509" s="20"/>
      <c r="M509" s="20"/>
      <c r="N509" s="20"/>
      <c r="O509" s="20"/>
      <c r="P509" s="20"/>
      <c r="Q509" s="23"/>
      <c r="R509" s="22" t="s">
        <v>16</v>
      </c>
      <c r="S509" s="22" t="s">
        <v>16</v>
      </c>
      <c r="T509" s="753">
        <f t="shared" si="54"/>
        <v>345.10956231318772</v>
      </c>
      <c r="U509" s="22">
        <v>1</v>
      </c>
    </row>
    <row r="510" spans="1:21">
      <c r="A510" s="359" t="s">
        <v>1484</v>
      </c>
      <c r="B510" s="444" t="s">
        <v>22</v>
      </c>
      <c r="C510" s="378">
        <v>304.8</v>
      </c>
      <c r="D510" s="378">
        <v>228.6</v>
      </c>
      <c r="E510" s="378">
        <v>76.2</v>
      </c>
      <c r="F510" s="378">
        <v>73</v>
      </c>
      <c r="G510" s="17">
        <f t="shared" si="56"/>
        <v>5.1979250879999999</v>
      </c>
      <c r="K510" s="56"/>
      <c r="L510" s="20"/>
      <c r="M510" s="20"/>
      <c r="N510" s="20"/>
      <c r="O510" s="20"/>
      <c r="P510" s="20"/>
      <c r="Q510" s="23"/>
      <c r="R510" s="22" t="s">
        <v>16</v>
      </c>
      <c r="S510" s="22" t="s">
        <v>16</v>
      </c>
      <c r="T510" s="753">
        <f t="shared" si="54"/>
        <v>5443.6708317004432</v>
      </c>
      <c r="U510" s="22">
        <v>1</v>
      </c>
    </row>
    <row r="511" spans="1:21">
      <c r="A511" s="359" t="s">
        <v>1117</v>
      </c>
      <c r="B511" s="444" t="s">
        <v>22</v>
      </c>
      <c r="C511" s="378">
        <v>304.8</v>
      </c>
      <c r="D511" s="378">
        <v>228.6</v>
      </c>
      <c r="E511" s="378">
        <v>76.2</v>
      </c>
      <c r="F511" s="378">
        <v>69.900000000000006</v>
      </c>
      <c r="G511" s="17">
        <f t="shared" si="56"/>
        <v>5.0899253040000012</v>
      </c>
      <c r="K511" s="56"/>
      <c r="L511" s="20"/>
      <c r="M511" s="20"/>
      <c r="N511" s="20"/>
      <c r="O511" s="20"/>
      <c r="P511" s="20"/>
      <c r="Q511" s="23"/>
      <c r="R511" s="22" t="s">
        <v>16</v>
      </c>
      <c r="S511" s="22" t="s">
        <v>16</v>
      </c>
      <c r="T511" s="753">
        <f t="shared" si="54"/>
        <v>2765.2339161120412</v>
      </c>
      <c r="U511" s="22">
        <v>1</v>
      </c>
    </row>
    <row r="512" spans="1:21">
      <c r="A512" s="359" t="s">
        <v>1116</v>
      </c>
      <c r="B512" s="444" t="s">
        <v>22</v>
      </c>
      <c r="C512" s="378">
        <v>304.8</v>
      </c>
      <c r="D512" s="378">
        <v>228.6</v>
      </c>
      <c r="E512" s="378">
        <v>76.2</v>
      </c>
      <c r="F512" s="378">
        <v>63.5</v>
      </c>
      <c r="G512" s="17">
        <f t="shared" si="56"/>
        <v>4.8669580080000001</v>
      </c>
      <c r="K512" s="56"/>
      <c r="L512" s="20"/>
      <c r="M512" s="20"/>
      <c r="N512" s="20"/>
      <c r="O512" s="20"/>
      <c r="P512" s="20"/>
      <c r="Q512" s="23"/>
      <c r="R512" s="22" t="s">
        <v>16</v>
      </c>
      <c r="S512" s="22" t="s">
        <v>16</v>
      </c>
      <c r="T512" s="753">
        <f t="shared" si="54"/>
        <v>1372.1290646291259</v>
      </c>
      <c r="U512" s="22">
        <v>1</v>
      </c>
    </row>
    <row r="513" spans="1:21">
      <c r="A513" s="430" t="s">
        <v>1497</v>
      </c>
      <c r="B513" s="445" t="s">
        <v>22</v>
      </c>
      <c r="C513" s="431">
        <v>381</v>
      </c>
      <c r="D513" s="431">
        <v>114.3</v>
      </c>
      <c r="E513" s="431">
        <v>76.2</v>
      </c>
      <c r="F513" s="431">
        <v>69.900000000000006</v>
      </c>
      <c r="G513" s="17">
        <f t="shared" ref="G513:G537" si="57">((E513+F513)/2)*D513*C513/10^6</f>
        <v>3.1812033150000003</v>
      </c>
      <c r="K513" s="56"/>
      <c r="L513" s="20"/>
      <c r="M513" s="20"/>
      <c r="N513" s="20"/>
      <c r="O513" s="20"/>
      <c r="P513" s="20"/>
      <c r="Q513" s="23"/>
      <c r="R513" s="22" t="s">
        <v>16</v>
      </c>
      <c r="S513" s="22" t="s">
        <v>16</v>
      </c>
      <c r="T513" s="753">
        <f t="shared" si="54"/>
        <v>1383.010614638978</v>
      </c>
      <c r="U513" s="22">
        <v>1</v>
      </c>
    </row>
    <row r="514" spans="1:21">
      <c r="A514" s="430" t="s">
        <v>1490</v>
      </c>
      <c r="B514" s="445" t="s">
        <v>22</v>
      </c>
      <c r="C514" s="431">
        <v>381</v>
      </c>
      <c r="D514" s="431">
        <v>114.3</v>
      </c>
      <c r="E514" s="431">
        <v>76.2</v>
      </c>
      <c r="F514" s="431">
        <v>50.8</v>
      </c>
      <c r="G514" s="17">
        <f t="shared" si="57"/>
        <v>2.7653170500000002</v>
      </c>
      <c r="K514" s="56"/>
      <c r="L514" s="20"/>
      <c r="M514" s="20"/>
      <c r="N514" s="20"/>
      <c r="O514" s="20"/>
      <c r="P514" s="20"/>
      <c r="Q514" s="23"/>
      <c r="R514" s="22" t="s">
        <v>16</v>
      </c>
      <c r="S514" s="22" t="s">
        <v>16</v>
      </c>
      <c r="T514" s="753">
        <f t="shared" si="54"/>
        <v>345.01017376303554</v>
      </c>
      <c r="U514" s="22">
        <v>1</v>
      </c>
    </row>
    <row r="515" spans="1:21">
      <c r="A515" s="430" t="s">
        <v>1491</v>
      </c>
      <c r="B515" s="445" t="s">
        <v>22</v>
      </c>
      <c r="C515" s="431">
        <v>381</v>
      </c>
      <c r="D515" s="431">
        <v>152.4</v>
      </c>
      <c r="E515" s="431">
        <v>76.2</v>
      </c>
      <c r="F515" s="431">
        <v>69.900000000000006</v>
      </c>
      <c r="G515" s="17">
        <f t="shared" si="57"/>
        <v>4.2416044200000007</v>
      </c>
      <c r="K515" s="56"/>
      <c r="L515" s="20"/>
      <c r="M515" s="20"/>
      <c r="N515" s="20"/>
      <c r="O515" s="20"/>
      <c r="P515" s="20"/>
      <c r="Q515" s="23"/>
      <c r="R515" s="22" t="s">
        <v>16</v>
      </c>
      <c r="S515" s="22" t="s">
        <v>16</v>
      </c>
      <c r="T515" s="753">
        <f t="shared" si="54"/>
        <v>1843.7079936688378</v>
      </c>
      <c r="U515" s="22">
        <v>1</v>
      </c>
    </row>
    <row r="516" spans="1:21">
      <c r="A516" s="430" t="s">
        <v>1125</v>
      </c>
      <c r="B516" s="445" t="s">
        <v>22</v>
      </c>
      <c r="C516" s="431">
        <v>381</v>
      </c>
      <c r="D516" s="431">
        <v>152.4</v>
      </c>
      <c r="E516" s="431">
        <v>76.2</v>
      </c>
      <c r="F516" s="431">
        <v>50.8</v>
      </c>
      <c r="G516" s="17">
        <f t="shared" si="57"/>
        <v>3.6870894000000001</v>
      </c>
      <c r="K516" s="56"/>
      <c r="L516" s="20"/>
      <c r="M516" s="20"/>
      <c r="N516" s="20"/>
      <c r="O516" s="20"/>
      <c r="P516" s="20"/>
      <c r="Q516" s="23"/>
      <c r="R516" s="22" t="s">
        <v>16</v>
      </c>
      <c r="S516" s="22" t="s">
        <v>16</v>
      </c>
      <c r="T516" s="753">
        <f t="shared" si="54"/>
        <v>458.78475345198643</v>
      </c>
      <c r="U516" s="22">
        <v>1</v>
      </c>
    </row>
    <row r="517" spans="1:21">
      <c r="A517" s="430" t="s">
        <v>1495</v>
      </c>
      <c r="B517" s="445" t="s">
        <v>22</v>
      </c>
      <c r="C517" s="431">
        <v>381</v>
      </c>
      <c r="D517" s="431">
        <v>152.4</v>
      </c>
      <c r="E517" s="431">
        <v>76.2</v>
      </c>
      <c r="F517" s="431">
        <v>38.1</v>
      </c>
      <c r="G517" s="17">
        <f t="shared" si="57"/>
        <v>3.3183804600000006</v>
      </c>
      <c r="K517" s="56"/>
      <c r="L517" s="20"/>
      <c r="M517" s="20"/>
      <c r="N517" s="20"/>
      <c r="O517" s="20"/>
      <c r="P517" s="20"/>
      <c r="Q517" s="23"/>
      <c r="R517" s="22" t="s">
        <v>16</v>
      </c>
      <c r="S517" s="22" t="s">
        <v>16</v>
      </c>
      <c r="T517" s="753">
        <f t="shared" si="54"/>
        <v>307.17202021017476</v>
      </c>
      <c r="U517" s="22">
        <v>1</v>
      </c>
    </row>
    <row r="518" spans="1:21">
      <c r="A518" s="430" t="s">
        <v>1127</v>
      </c>
      <c r="B518" s="445" t="s">
        <v>22</v>
      </c>
      <c r="C518" s="431">
        <v>381</v>
      </c>
      <c r="D518" s="431">
        <v>152.4</v>
      </c>
      <c r="E518" s="431">
        <v>76.2</v>
      </c>
      <c r="F518" s="431">
        <v>63.5</v>
      </c>
      <c r="G518" s="17">
        <f>((E518+F518)/2)*D518*C518/10^6</f>
        <v>4.0557983399999999</v>
      </c>
      <c r="K518" s="56"/>
      <c r="L518" s="20"/>
      <c r="M518" s="20"/>
      <c r="N518" s="20"/>
      <c r="O518" s="20"/>
      <c r="P518" s="20"/>
      <c r="Q518" s="23"/>
      <c r="R518" s="22" t="s">
        <v>16</v>
      </c>
      <c r="S518" s="22" t="s">
        <v>16</v>
      </c>
      <c r="T518" s="753">
        <f t="shared" si="54"/>
        <v>915.19340578918059</v>
      </c>
      <c r="U518" s="22">
        <v>1</v>
      </c>
    </row>
    <row r="519" spans="1:21">
      <c r="A519" s="430" t="s">
        <v>1496</v>
      </c>
      <c r="B519" s="445" t="s">
        <v>22</v>
      </c>
      <c r="C519" s="431">
        <v>381</v>
      </c>
      <c r="D519" s="431">
        <v>228.6</v>
      </c>
      <c r="E519" s="431">
        <v>76.2</v>
      </c>
      <c r="F519" s="431">
        <v>73</v>
      </c>
      <c r="G519" s="17">
        <f>((E519+F519)/2)*D519*C519/10^6</f>
        <v>6.4974063599999994</v>
      </c>
      <c r="K519" s="56"/>
      <c r="L519" s="20"/>
      <c r="M519" s="20"/>
      <c r="N519" s="20"/>
      <c r="O519" s="20"/>
      <c r="P519" s="20"/>
      <c r="Q519" s="23"/>
      <c r="R519" s="22" t="s">
        <v>16</v>
      </c>
      <c r="S519" s="22" t="s">
        <v>16</v>
      </c>
      <c r="T519" s="753">
        <f t="shared" si="54"/>
        <v>5443.6708317004432</v>
      </c>
      <c r="U519" s="22">
        <v>1</v>
      </c>
    </row>
    <row r="520" spans="1:21">
      <c r="A520" s="430" t="s">
        <v>1493</v>
      </c>
      <c r="B520" s="445" t="s">
        <v>22</v>
      </c>
      <c r="C520" s="431">
        <v>381</v>
      </c>
      <c r="D520" s="431">
        <v>228.6</v>
      </c>
      <c r="E520" s="431">
        <v>76.2</v>
      </c>
      <c r="F520" s="431">
        <v>69.900000000000006</v>
      </c>
      <c r="G520" s="17">
        <f>((E520+F520)/2)*D520*C520/10^6</f>
        <v>6.3624066300000006</v>
      </c>
      <c r="K520" s="56"/>
      <c r="L520" s="20"/>
      <c r="M520" s="20"/>
      <c r="N520" s="20"/>
      <c r="O520" s="20"/>
      <c r="P520" s="20"/>
      <c r="Q520" s="23"/>
      <c r="R520" s="22" t="s">
        <v>16</v>
      </c>
      <c r="S520" s="22" t="s">
        <v>16</v>
      </c>
      <c r="T520" s="753">
        <f t="shared" si="54"/>
        <v>2765.2339161120412</v>
      </c>
      <c r="U520" s="22">
        <v>1</v>
      </c>
    </row>
    <row r="521" spans="1:21">
      <c r="A521" s="430" t="s">
        <v>1492</v>
      </c>
      <c r="B521" s="445" t="s">
        <v>22</v>
      </c>
      <c r="C521" s="431">
        <v>381</v>
      </c>
      <c r="D521" s="431">
        <v>228.6</v>
      </c>
      <c r="E521" s="431">
        <v>76.2</v>
      </c>
      <c r="F521" s="431">
        <v>63.5</v>
      </c>
      <c r="G521" s="17">
        <f>((E521+F521)/2)*D521*C521/10^6</f>
        <v>6.0836975099999995</v>
      </c>
      <c r="K521" s="56"/>
      <c r="L521" s="20"/>
      <c r="M521" s="20"/>
      <c r="N521" s="20"/>
      <c r="O521" s="20"/>
      <c r="P521" s="20"/>
      <c r="Q521" s="23"/>
      <c r="R521" s="22" t="s">
        <v>16</v>
      </c>
      <c r="S521" s="22" t="s">
        <v>16</v>
      </c>
      <c r="T521" s="753">
        <f t="shared" si="54"/>
        <v>1372.1290646291259</v>
      </c>
      <c r="U521" s="22">
        <v>1</v>
      </c>
    </row>
    <row r="522" spans="1:21">
      <c r="A522" s="430" t="s">
        <v>1494</v>
      </c>
      <c r="B522" s="445" t="s">
        <v>22</v>
      </c>
      <c r="C522" s="431">
        <v>381</v>
      </c>
      <c r="D522" s="431">
        <v>228.6</v>
      </c>
      <c r="E522" s="431">
        <v>76.2</v>
      </c>
      <c r="F522" s="431">
        <v>50.8</v>
      </c>
      <c r="G522" s="17">
        <f>((E522+F522)/2)*D522*C522/10^6</f>
        <v>5.5306341000000003</v>
      </c>
      <c r="K522" s="56"/>
      <c r="L522" s="20"/>
      <c r="M522" s="20"/>
      <c r="N522" s="20"/>
      <c r="O522" s="20"/>
      <c r="P522" s="20"/>
      <c r="Q522" s="23"/>
      <c r="R522" s="22" t="s">
        <v>16</v>
      </c>
      <c r="S522" s="22" t="s">
        <v>16</v>
      </c>
      <c r="T522" s="753">
        <f t="shared" si="54"/>
        <v>686.85751797588978</v>
      </c>
      <c r="U522" s="22">
        <v>1</v>
      </c>
    </row>
    <row r="523" spans="1:21">
      <c r="A523" s="432" t="s">
        <v>1104</v>
      </c>
      <c r="B523" s="446" t="s">
        <v>22</v>
      </c>
      <c r="C523" s="433">
        <v>457.2</v>
      </c>
      <c r="D523" s="433">
        <v>114.3</v>
      </c>
      <c r="E523" s="433">
        <v>76.2</v>
      </c>
      <c r="F523" s="433">
        <v>63.5</v>
      </c>
      <c r="G523" s="17">
        <f t="shared" si="57"/>
        <v>3.6502185059999994</v>
      </c>
      <c r="K523" s="56"/>
      <c r="L523" s="20"/>
      <c r="M523" s="20"/>
      <c r="N523" s="20"/>
      <c r="O523" s="20"/>
      <c r="P523" s="20"/>
      <c r="Q523" s="23"/>
      <c r="R523" s="22" t="s">
        <v>16</v>
      </c>
      <c r="S523" s="22" t="s">
        <v>16</v>
      </c>
      <c r="T523" s="753">
        <f t="shared" si="54"/>
        <v>686.85751797588978</v>
      </c>
      <c r="U523" s="22">
        <v>1</v>
      </c>
    </row>
    <row r="524" spans="1:21">
      <c r="A524" s="432" t="s">
        <v>1105</v>
      </c>
      <c r="B524" s="446" t="s">
        <v>22</v>
      </c>
      <c r="C524" s="433">
        <v>457.2</v>
      </c>
      <c r="D524" s="433">
        <v>114.3</v>
      </c>
      <c r="E524" s="433">
        <v>76.2</v>
      </c>
      <c r="F524" s="433">
        <v>50.8</v>
      </c>
      <c r="G524" s="17">
        <f t="shared" si="57"/>
        <v>3.3183804599999998</v>
      </c>
      <c r="K524" s="56"/>
      <c r="L524" s="20"/>
      <c r="M524" s="20"/>
      <c r="N524" s="20"/>
      <c r="O524" s="20"/>
      <c r="P524" s="20"/>
      <c r="Q524" s="23"/>
      <c r="R524" s="22" t="s">
        <v>16</v>
      </c>
      <c r="S524" s="22" t="s">
        <v>16</v>
      </c>
      <c r="T524" s="753">
        <f t="shared" si="54"/>
        <v>345.01017376303554</v>
      </c>
      <c r="U524" s="22">
        <v>1</v>
      </c>
    </row>
    <row r="525" spans="1:21">
      <c r="A525" s="432" t="s">
        <v>1501</v>
      </c>
      <c r="B525" s="446" t="s">
        <v>22</v>
      </c>
      <c r="C525" s="433">
        <v>457.2</v>
      </c>
      <c r="D525" s="433">
        <v>114.3</v>
      </c>
      <c r="E525" s="433">
        <v>76.2</v>
      </c>
      <c r="F525" s="433">
        <v>25.4</v>
      </c>
      <c r="G525" s="17">
        <f t="shared" si="57"/>
        <v>2.654704368</v>
      </c>
      <c r="K525" s="56"/>
      <c r="L525" s="20"/>
      <c r="M525" s="20"/>
      <c r="N525" s="20"/>
      <c r="O525" s="20"/>
      <c r="P525" s="20"/>
      <c r="Q525" s="23"/>
      <c r="R525" s="22" t="s">
        <v>16</v>
      </c>
      <c r="S525" s="22" t="s">
        <v>16</v>
      </c>
      <c r="T525" s="753">
        <f t="shared" ref="T525:T539" si="58">IF(E525=F525,"-",(E525/(E525-F525))*SQRT((D525^2)+((E525-F525)/2)^2))</f>
        <v>175.6323219114295</v>
      </c>
      <c r="U525" s="22">
        <v>1</v>
      </c>
    </row>
    <row r="526" spans="1:21">
      <c r="A526" s="432" t="s">
        <v>1500</v>
      </c>
      <c r="B526" s="446" t="s">
        <v>22</v>
      </c>
      <c r="C526" s="433">
        <v>457.2</v>
      </c>
      <c r="D526" s="433">
        <v>152.4</v>
      </c>
      <c r="E526" s="433">
        <v>76.2</v>
      </c>
      <c r="F526" s="433">
        <v>73</v>
      </c>
      <c r="G526" s="17">
        <f>((E526+F526)/2)*D526*C526/10^6</f>
        <v>5.1979250879999999</v>
      </c>
      <c r="K526" s="56"/>
      <c r="L526" s="20"/>
      <c r="M526" s="20"/>
      <c r="N526" s="20"/>
      <c r="O526" s="20"/>
      <c r="P526" s="20"/>
      <c r="Q526" s="23"/>
      <c r="R526" s="22" t="s">
        <v>16</v>
      </c>
      <c r="S526" s="22" t="s">
        <v>16</v>
      </c>
      <c r="T526" s="753">
        <f t="shared" si="58"/>
        <v>3629.2249944891787</v>
      </c>
      <c r="U526" s="22">
        <v>1</v>
      </c>
    </row>
    <row r="527" spans="1:21">
      <c r="A527" s="432" t="s">
        <v>1106</v>
      </c>
      <c r="B527" s="446" t="s">
        <v>22</v>
      </c>
      <c r="C527" s="433">
        <v>457.2</v>
      </c>
      <c r="D527" s="433">
        <v>152.4</v>
      </c>
      <c r="E527" s="433">
        <v>76.2</v>
      </c>
      <c r="F527" s="433">
        <v>69.900000000000006</v>
      </c>
      <c r="G527" s="17">
        <f t="shared" si="57"/>
        <v>5.0899253040000003</v>
      </c>
      <c r="K527" s="56"/>
      <c r="L527" s="20"/>
      <c r="M527" s="20"/>
      <c r="N527" s="20"/>
      <c r="O527" s="20"/>
      <c r="P527" s="20"/>
      <c r="Q527" s="23"/>
      <c r="R527" s="22" t="s">
        <v>16</v>
      </c>
      <c r="S527" s="22" t="s">
        <v>16</v>
      </c>
      <c r="T527" s="753">
        <f t="shared" si="58"/>
        <v>1843.7079936688378</v>
      </c>
      <c r="U527" s="22">
        <v>1</v>
      </c>
    </row>
    <row r="528" spans="1:21">
      <c r="A528" s="432" t="s">
        <v>1107</v>
      </c>
      <c r="B528" s="446" t="s">
        <v>22</v>
      </c>
      <c r="C528" s="433">
        <v>457.2</v>
      </c>
      <c r="D528" s="433">
        <v>152.4</v>
      </c>
      <c r="E528" s="433">
        <v>76.2</v>
      </c>
      <c r="F528" s="433">
        <v>63.5</v>
      </c>
      <c r="G528" s="17">
        <f t="shared" si="57"/>
        <v>4.8669580079999992</v>
      </c>
      <c r="K528" s="56"/>
      <c r="L528" s="20"/>
      <c r="M528" s="20"/>
      <c r="N528" s="20"/>
      <c r="O528" s="20"/>
      <c r="P528" s="20"/>
      <c r="Q528" s="23"/>
      <c r="R528" s="22" t="s">
        <v>16</v>
      </c>
      <c r="S528" s="22" t="s">
        <v>16</v>
      </c>
      <c r="T528" s="753">
        <f t="shared" si="58"/>
        <v>915.19340578918059</v>
      </c>
      <c r="U528" s="22">
        <v>1</v>
      </c>
    </row>
    <row r="529" spans="1:16380">
      <c r="A529" s="432" t="s">
        <v>1108</v>
      </c>
      <c r="B529" s="446" t="s">
        <v>22</v>
      </c>
      <c r="C529" s="433">
        <v>457.2</v>
      </c>
      <c r="D529" s="433">
        <v>152.4</v>
      </c>
      <c r="E529" s="433">
        <v>76.2</v>
      </c>
      <c r="F529" s="433">
        <v>50.8</v>
      </c>
      <c r="G529" s="17">
        <f t="shared" si="57"/>
        <v>4.4245072799999994</v>
      </c>
      <c r="K529" s="56"/>
      <c r="L529" s="20"/>
      <c r="M529" s="20"/>
      <c r="N529" s="20"/>
      <c r="O529" s="20"/>
      <c r="P529" s="20"/>
      <c r="Q529" s="23"/>
      <c r="R529" s="22" t="s">
        <v>16</v>
      </c>
      <c r="S529" s="22" t="s">
        <v>16</v>
      </c>
      <c r="T529" s="753">
        <f t="shared" si="58"/>
        <v>458.78475345198643</v>
      </c>
      <c r="U529" s="22">
        <v>1</v>
      </c>
    </row>
    <row r="530" spans="1:16380">
      <c r="A530" s="432" t="s">
        <v>1130</v>
      </c>
      <c r="B530" s="446" t="s">
        <v>22</v>
      </c>
      <c r="C530" s="433">
        <v>457.2</v>
      </c>
      <c r="D530" s="433">
        <v>152.4</v>
      </c>
      <c r="E530" s="433">
        <v>76.2</v>
      </c>
      <c r="F530" s="433">
        <v>38.1</v>
      </c>
      <c r="G530" s="17">
        <f t="shared" si="57"/>
        <v>3.9820565520000004</v>
      </c>
      <c r="K530" s="56"/>
      <c r="L530" s="20"/>
      <c r="M530" s="20"/>
      <c r="N530" s="20"/>
      <c r="O530" s="20"/>
      <c r="P530" s="20"/>
      <c r="Q530" s="23"/>
      <c r="R530" s="22" t="s">
        <v>16</v>
      </c>
      <c r="S530" s="22" t="s">
        <v>16</v>
      </c>
      <c r="T530" s="753">
        <f t="shared" si="58"/>
        <v>307.17202021017476</v>
      </c>
      <c r="U530" s="22">
        <v>1</v>
      </c>
    </row>
    <row r="531" spans="1:16380">
      <c r="A531" s="432" t="s">
        <v>1129</v>
      </c>
      <c r="B531" s="446" t="s">
        <v>22</v>
      </c>
      <c r="C531" s="433">
        <v>457.2</v>
      </c>
      <c r="D531" s="433">
        <v>152.4</v>
      </c>
      <c r="E531" s="433">
        <v>76.2</v>
      </c>
      <c r="F531" s="433">
        <v>25.4</v>
      </c>
      <c r="G531" s="17">
        <f>((E531+F531)/2)*D531*C531/10^6</f>
        <v>3.5396058240000001</v>
      </c>
      <c r="K531" s="56"/>
      <c r="L531" s="20"/>
      <c r="M531" s="20"/>
      <c r="N531" s="20"/>
      <c r="O531" s="20"/>
      <c r="P531" s="20"/>
      <c r="Q531" s="23"/>
      <c r="R531" s="22" t="s">
        <v>16</v>
      </c>
      <c r="S531" s="22" t="s">
        <v>16</v>
      </c>
      <c r="T531" s="753">
        <f t="shared" si="58"/>
        <v>231.75325240436217</v>
      </c>
      <c r="U531" s="22">
        <v>1</v>
      </c>
    </row>
    <row r="532" spans="1:16380">
      <c r="A532" s="432" t="s">
        <v>1503</v>
      </c>
      <c r="B532" s="446" t="s">
        <v>22</v>
      </c>
      <c r="C532" s="433">
        <v>457.2</v>
      </c>
      <c r="D532" s="433">
        <v>171.5</v>
      </c>
      <c r="E532" s="433">
        <v>76.2</v>
      </c>
      <c r="F532" s="433">
        <v>50.8</v>
      </c>
      <c r="G532" s="17">
        <f t="shared" si="57"/>
        <v>4.9790222999999996</v>
      </c>
      <c r="K532" s="56"/>
      <c r="L532" s="20"/>
      <c r="M532" s="20"/>
      <c r="N532" s="20"/>
      <c r="O532" s="20"/>
      <c r="P532" s="20"/>
      <c r="Q532" s="23"/>
      <c r="R532" s="22" t="s">
        <v>16</v>
      </c>
      <c r="S532" s="22" t="s">
        <v>16</v>
      </c>
      <c r="T532" s="753">
        <f t="shared" si="58"/>
        <v>515.90877100510704</v>
      </c>
      <c r="U532" s="22">
        <v>1</v>
      </c>
    </row>
    <row r="533" spans="1:16380">
      <c r="A533" s="432" t="s">
        <v>1498</v>
      </c>
      <c r="B533" s="446" t="s">
        <v>22</v>
      </c>
      <c r="C533" s="433">
        <v>457.2</v>
      </c>
      <c r="D533" s="433">
        <v>228.6</v>
      </c>
      <c r="E533" s="433">
        <v>76.2</v>
      </c>
      <c r="F533" s="433">
        <v>73</v>
      </c>
      <c r="G533" s="17">
        <f t="shared" si="57"/>
        <v>7.796887631999998</v>
      </c>
      <c r="K533" s="56"/>
      <c r="L533" s="20"/>
      <c r="M533" s="20"/>
      <c r="N533" s="20"/>
      <c r="O533" s="20"/>
      <c r="P533" s="20"/>
      <c r="Q533" s="23"/>
      <c r="R533" s="22" t="s">
        <v>16</v>
      </c>
      <c r="S533" s="22" t="s">
        <v>16</v>
      </c>
      <c r="T533" s="753">
        <f t="shared" si="58"/>
        <v>5443.6708317004432</v>
      </c>
      <c r="U533" s="22">
        <v>1</v>
      </c>
    </row>
    <row r="534" spans="1:16380">
      <c r="A534" s="432" t="s">
        <v>1109</v>
      </c>
      <c r="B534" s="446" t="s">
        <v>22</v>
      </c>
      <c r="C534" s="433">
        <v>457.2</v>
      </c>
      <c r="D534" s="433">
        <v>228.6</v>
      </c>
      <c r="E534" s="433">
        <v>76.2</v>
      </c>
      <c r="F534" s="433">
        <v>69.8</v>
      </c>
      <c r="G534" s="17">
        <f>((E534+F534)/2)*D534*C534/10^6</f>
        <v>7.6296621599999996</v>
      </c>
      <c r="K534" s="56"/>
      <c r="L534" s="20"/>
      <c r="M534" s="20"/>
      <c r="N534" s="20"/>
      <c r="O534" s="20"/>
      <c r="P534" s="20"/>
      <c r="Q534" s="23"/>
      <c r="R534" s="22" t="s">
        <v>16</v>
      </c>
      <c r="S534" s="22" t="s">
        <v>16</v>
      </c>
      <c r="T534" s="753">
        <f t="shared" si="58"/>
        <v>2722.0354036045433</v>
      </c>
      <c r="U534" s="22">
        <v>1</v>
      </c>
    </row>
    <row r="535" spans="1:16380">
      <c r="A535" s="432" t="s">
        <v>1504</v>
      </c>
      <c r="B535" s="446" t="s">
        <v>22</v>
      </c>
      <c r="C535" s="433">
        <v>457.2</v>
      </c>
      <c r="D535" s="433">
        <v>304.8</v>
      </c>
      <c r="E535" s="433">
        <v>76.2</v>
      </c>
      <c r="F535" s="433">
        <v>63.5</v>
      </c>
      <c r="G535" s="17">
        <f>((E535+F535)/2)*D535*C535/10^6</f>
        <v>9.7339160159999985</v>
      </c>
      <c r="K535" s="56"/>
      <c r="L535" s="20"/>
      <c r="M535" s="20"/>
      <c r="N535" s="20"/>
      <c r="O535" s="20"/>
      <c r="P535" s="20"/>
      <c r="Q535" s="23"/>
      <c r="R535" s="22" t="s">
        <v>16</v>
      </c>
      <c r="S535" s="22" t="s">
        <v>16</v>
      </c>
      <c r="T535" s="753">
        <f t="shared" si="58"/>
        <v>1829.1968319456491</v>
      </c>
      <c r="U535" s="22">
        <v>1</v>
      </c>
    </row>
    <row r="536" spans="1:16380">
      <c r="A536" s="432" t="s">
        <v>1124</v>
      </c>
      <c r="B536" s="446" t="s">
        <v>22</v>
      </c>
      <c r="C536" s="433">
        <v>457.2</v>
      </c>
      <c r="D536" s="433">
        <v>228.6</v>
      </c>
      <c r="E536" s="433">
        <v>76.2</v>
      </c>
      <c r="F536" s="433">
        <v>50.8</v>
      </c>
      <c r="G536" s="17">
        <f t="shared" si="57"/>
        <v>6.6367609199999995</v>
      </c>
      <c r="K536" s="56"/>
      <c r="L536" s="20"/>
      <c r="M536" s="20"/>
      <c r="N536" s="20"/>
      <c r="O536" s="20"/>
      <c r="P536" s="20"/>
      <c r="Q536" s="23"/>
      <c r="R536" s="22" t="s">
        <v>16</v>
      </c>
      <c r="S536" s="22" t="s">
        <v>16</v>
      </c>
      <c r="T536" s="753">
        <f t="shared" si="58"/>
        <v>686.85751797588978</v>
      </c>
      <c r="U536" s="22">
        <v>1</v>
      </c>
    </row>
    <row r="537" spans="1:16380">
      <c r="A537" s="432" t="s">
        <v>1144</v>
      </c>
      <c r="B537" s="446" t="s">
        <v>22</v>
      </c>
      <c r="C537" s="433">
        <v>457.2</v>
      </c>
      <c r="D537" s="433">
        <v>228.6</v>
      </c>
      <c r="E537" s="433">
        <v>76.2</v>
      </c>
      <c r="F537" s="433">
        <v>38.1</v>
      </c>
      <c r="G537" s="17">
        <f t="shared" si="57"/>
        <v>5.9730848280000011</v>
      </c>
      <c r="K537" s="56"/>
      <c r="L537" s="20"/>
      <c r="M537" s="20"/>
      <c r="N537" s="20"/>
      <c r="O537" s="20"/>
      <c r="P537" s="20"/>
      <c r="Q537" s="23"/>
      <c r="R537" s="22" t="s">
        <v>16</v>
      </c>
      <c r="S537" s="22" t="s">
        <v>16</v>
      </c>
      <c r="T537" s="753">
        <f t="shared" si="58"/>
        <v>458.78475345198643</v>
      </c>
      <c r="U537" s="22">
        <v>1</v>
      </c>
    </row>
    <row r="538" spans="1:16380">
      <c r="A538" s="432" t="s">
        <v>1499</v>
      </c>
      <c r="B538" s="446" t="s">
        <v>22</v>
      </c>
      <c r="C538" s="433">
        <v>457.2</v>
      </c>
      <c r="D538" s="433">
        <v>228.6</v>
      </c>
      <c r="E538" s="433">
        <v>76.2</v>
      </c>
      <c r="F538" s="433">
        <v>25.4</v>
      </c>
      <c r="G538" s="17">
        <f>((E538+F538)/2)*D538*C538/10^6</f>
        <v>5.309408736</v>
      </c>
      <c r="K538" s="56"/>
      <c r="L538" s="20"/>
      <c r="M538" s="20"/>
      <c r="N538" s="20"/>
      <c r="O538" s="20"/>
      <c r="P538" s="20"/>
      <c r="Q538" s="23"/>
      <c r="R538" s="22" t="s">
        <v>16</v>
      </c>
      <c r="S538" s="22" t="s">
        <v>16</v>
      </c>
      <c r="T538" s="753">
        <f t="shared" si="58"/>
        <v>345.0101737630356</v>
      </c>
      <c r="U538" s="22">
        <v>1</v>
      </c>
    </row>
    <row r="539" spans="1:16380" ht="13.8" thickBot="1">
      <c r="A539" s="432" t="s">
        <v>1502</v>
      </c>
      <c r="B539" s="446" t="s">
        <v>22</v>
      </c>
      <c r="C539" s="433">
        <v>457.2</v>
      </c>
      <c r="D539" s="433">
        <v>228.6</v>
      </c>
      <c r="E539" s="433">
        <v>101.6</v>
      </c>
      <c r="F539" s="433">
        <v>76.2</v>
      </c>
      <c r="G539" s="17">
        <f>((E539+F539)/2)*D539*C539/10^6</f>
        <v>9.2914652880000013</v>
      </c>
      <c r="K539" s="56"/>
      <c r="L539" s="20"/>
      <c r="M539" s="20"/>
      <c r="N539" s="20"/>
      <c r="O539" s="20"/>
      <c r="P539" s="20"/>
      <c r="Q539" s="23"/>
      <c r="R539" s="22" t="s">
        <v>16</v>
      </c>
      <c r="S539" s="22" t="s">
        <v>16</v>
      </c>
      <c r="T539" s="753">
        <f t="shared" si="58"/>
        <v>915.81002396785345</v>
      </c>
      <c r="U539" s="22">
        <v>1</v>
      </c>
    </row>
    <row r="540" spans="1:16380" ht="25.2" thickBot="1">
      <c r="A540" s="442" t="s">
        <v>1507</v>
      </c>
      <c r="B540" s="70"/>
      <c r="C540" s="70"/>
      <c r="D540" s="70"/>
      <c r="E540" s="70"/>
      <c r="F540" s="70"/>
      <c r="G540" s="99"/>
      <c r="H540" s="99"/>
      <c r="I540" s="99"/>
      <c r="J540" s="99"/>
      <c r="K540" s="99"/>
      <c r="L540" s="20"/>
      <c r="M540" s="20"/>
      <c r="N540" s="20"/>
      <c r="O540" s="20"/>
      <c r="P540" s="20"/>
      <c r="Q540" s="23"/>
      <c r="R540" s="22"/>
      <c r="S540" s="22"/>
      <c r="T540" s="20"/>
      <c r="U540" s="22"/>
      <c r="V540" s="20"/>
    </row>
    <row r="541" spans="1:16380">
      <c r="A541" s="65" t="s">
        <v>1509</v>
      </c>
      <c r="B541" s="345" t="s">
        <v>2146</v>
      </c>
      <c r="C541" s="355">
        <v>152.4</v>
      </c>
      <c r="D541" s="355">
        <v>152.4</v>
      </c>
      <c r="E541" s="355">
        <v>76.2</v>
      </c>
      <c r="F541" s="355">
        <v>69.900000000000006</v>
      </c>
      <c r="G541" s="17">
        <f>((E541+F541)/2)*D541*C541/10^6</f>
        <v>1.6966417680000003</v>
      </c>
      <c r="K541" s="56"/>
      <c r="L541" s="20"/>
      <c r="M541" s="20"/>
      <c r="N541" s="20"/>
      <c r="O541" s="20"/>
      <c r="P541" s="20"/>
      <c r="Q541" s="23"/>
      <c r="R541" s="22" t="s">
        <v>16</v>
      </c>
      <c r="S541" s="22" t="s">
        <v>16</v>
      </c>
      <c r="T541" s="753">
        <f t="shared" ref="T541:T604" si="59">IF(E541=F541,"-",(E541/(E541-F541))*SQRT((C541^2)+((E541-F541)/2)^2))</f>
        <v>1843.7079936688378</v>
      </c>
      <c r="U541" s="22">
        <v>1</v>
      </c>
      <c r="V541"/>
      <c r="W541"/>
      <c r="X541" s="348"/>
      <c r="Y541"/>
      <c r="Z541"/>
      <c r="AA541"/>
      <c r="AB541"/>
      <c r="AC541"/>
      <c r="AD541"/>
      <c r="AE541"/>
      <c r="AF541"/>
      <c r="AG541"/>
      <c r="AH541"/>
      <c r="AI541"/>
      <c r="AJ541" s="348"/>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c r="KT541"/>
      <c r="KU541"/>
      <c r="KV541"/>
      <c r="KW541"/>
      <c r="KX541"/>
      <c r="KY541"/>
      <c r="KZ541"/>
      <c r="LA541"/>
      <c r="LB541"/>
      <c r="LC541"/>
      <c r="LD541"/>
      <c r="LE541"/>
      <c r="LF541"/>
      <c r="LG541"/>
      <c r="LH541"/>
      <c r="LI541"/>
      <c r="LJ541"/>
      <c r="LK541"/>
      <c r="LL541"/>
      <c r="LM541"/>
      <c r="LN541"/>
      <c r="LO541"/>
      <c r="LP541"/>
      <c r="LQ541"/>
      <c r="LR541"/>
      <c r="LS541"/>
      <c r="LT541"/>
      <c r="LU541"/>
      <c r="LV541"/>
      <c r="LW541"/>
      <c r="LX541"/>
      <c r="LY541"/>
      <c r="LZ541"/>
      <c r="MA541"/>
      <c r="MB541"/>
      <c r="MC541"/>
      <c r="MD541"/>
      <c r="ME541"/>
      <c r="MF541"/>
      <c r="MG541"/>
      <c r="MH541"/>
      <c r="MI541"/>
      <c r="MJ541"/>
      <c r="MK541"/>
      <c r="ML541"/>
      <c r="MM541"/>
      <c r="MN541"/>
      <c r="MO541"/>
      <c r="MP541"/>
      <c r="MQ541"/>
      <c r="MR541"/>
      <c r="MS541"/>
      <c r="MT541"/>
      <c r="MU541"/>
      <c r="MV541"/>
      <c r="MW541"/>
      <c r="MX541"/>
      <c r="MY541"/>
      <c r="MZ541"/>
      <c r="NA541"/>
      <c r="NB541"/>
      <c r="NC541"/>
      <c r="ND541"/>
      <c r="NE541"/>
      <c r="NF541"/>
      <c r="NG541"/>
      <c r="NH541"/>
      <c r="NI541"/>
      <c r="NJ541"/>
      <c r="NK541"/>
      <c r="NL541"/>
      <c r="NM541"/>
      <c r="NN541"/>
      <c r="NO541"/>
      <c r="NP541"/>
      <c r="NQ541"/>
      <c r="NR541"/>
      <c r="NS541"/>
      <c r="NT541"/>
      <c r="NU541"/>
      <c r="NV541"/>
      <c r="NW541"/>
      <c r="NX541"/>
      <c r="NY541"/>
      <c r="NZ541"/>
      <c r="OA541"/>
      <c r="OB541"/>
      <c r="OC541"/>
      <c r="OD541"/>
      <c r="OE541"/>
      <c r="OF541"/>
      <c r="OG541"/>
      <c r="OH541"/>
      <c r="OI541"/>
      <c r="OJ541"/>
      <c r="OK541"/>
      <c r="OL541"/>
      <c r="OM541"/>
      <c r="ON541"/>
      <c r="OO541"/>
      <c r="OP541"/>
      <c r="OQ541"/>
      <c r="OR541"/>
      <c r="OS541"/>
      <c r="OT541"/>
      <c r="OU541"/>
      <c r="OV541"/>
      <c r="OW541"/>
      <c r="OX541"/>
      <c r="OY541"/>
      <c r="OZ541"/>
      <c r="PA541"/>
      <c r="PB541"/>
      <c r="PC541"/>
      <c r="PD541"/>
      <c r="PE541"/>
      <c r="PF541"/>
      <c r="PG541"/>
      <c r="PH541"/>
      <c r="PI541"/>
      <c r="PJ541"/>
      <c r="PK541"/>
      <c r="PL541"/>
      <c r="PM541"/>
      <c r="PN541"/>
      <c r="PO541"/>
      <c r="PP541"/>
      <c r="PQ541"/>
      <c r="PR541"/>
      <c r="PS541"/>
      <c r="PT541"/>
      <c r="PU541"/>
      <c r="PV541"/>
      <c r="PW541"/>
      <c r="PX541"/>
      <c r="PY541"/>
      <c r="PZ541"/>
      <c r="QA541"/>
      <c r="QB541"/>
      <c r="QC541"/>
      <c r="QD541"/>
      <c r="QE541"/>
      <c r="QF541"/>
      <c r="QG541"/>
      <c r="QH541"/>
      <c r="QI541"/>
      <c r="QJ541"/>
      <c r="QK541"/>
      <c r="QL541"/>
      <c r="QM541"/>
      <c r="QN541"/>
      <c r="QO541"/>
      <c r="QP541"/>
      <c r="QQ541"/>
      <c r="QR541"/>
      <c r="QS541"/>
      <c r="QT541"/>
      <c r="QU541"/>
      <c r="QV541"/>
      <c r="QW541"/>
      <c r="QX541"/>
      <c r="QY541"/>
      <c r="QZ541"/>
      <c r="RA541"/>
      <c r="RB541"/>
      <c r="RC541"/>
      <c r="RD541"/>
      <c r="RE541"/>
      <c r="RF541"/>
      <c r="RG541"/>
      <c r="RH541"/>
      <c r="RI541"/>
      <c r="RJ541"/>
      <c r="RK541"/>
      <c r="RL541"/>
      <c r="RM541"/>
      <c r="RN541"/>
      <c r="RO541"/>
      <c r="RP541"/>
      <c r="RQ541"/>
      <c r="RR541"/>
      <c r="RS541"/>
      <c r="RT541"/>
      <c r="RU541"/>
      <c r="RV541"/>
      <c r="RW541"/>
      <c r="RX541"/>
      <c r="RY541"/>
      <c r="RZ541"/>
      <c r="SA541"/>
      <c r="SB541"/>
      <c r="SC541"/>
      <c r="SD541"/>
      <c r="SE541"/>
      <c r="SF541"/>
      <c r="SG541"/>
      <c r="SH541"/>
      <c r="SI541"/>
      <c r="SJ541"/>
      <c r="SK541"/>
      <c r="SL541"/>
      <c r="SM541"/>
      <c r="SN541"/>
      <c r="SO541"/>
      <c r="SP541"/>
      <c r="SQ541"/>
      <c r="SR541"/>
      <c r="SS541"/>
      <c r="ST541"/>
      <c r="SU541"/>
      <c r="SV541"/>
      <c r="SW541"/>
      <c r="SX541"/>
      <c r="SY541"/>
      <c r="SZ541"/>
      <c r="TA541"/>
      <c r="TB541"/>
      <c r="TC541"/>
      <c r="TD541"/>
      <c r="TE541"/>
      <c r="TF541"/>
      <c r="TG541"/>
      <c r="TH541"/>
      <c r="TI541"/>
      <c r="TJ541"/>
      <c r="TK541"/>
      <c r="TL541"/>
      <c r="TM541"/>
      <c r="TN541"/>
      <c r="TO541"/>
      <c r="TP541"/>
      <c r="TQ541"/>
      <c r="TR541"/>
      <c r="TS541"/>
      <c r="TT541"/>
      <c r="TU541"/>
      <c r="TV541"/>
      <c r="TW541"/>
      <c r="TX541"/>
      <c r="TY541"/>
      <c r="TZ541"/>
      <c r="UA541"/>
      <c r="UB541"/>
      <c r="UC541"/>
      <c r="UD541"/>
      <c r="UE541"/>
      <c r="UF541"/>
      <c r="UG541"/>
      <c r="UH541"/>
      <c r="UI541"/>
      <c r="UJ541"/>
      <c r="UK541"/>
      <c r="UL541"/>
      <c r="UM541"/>
      <c r="UN541"/>
      <c r="UO541"/>
      <c r="UP541"/>
      <c r="UQ541"/>
      <c r="UR541"/>
      <c r="US541"/>
      <c r="UT541"/>
      <c r="UU541"/>
      <c r="UV541"/>
      <c r="UW541"/>
      <c r="UX541"/>
      <c r="UY541"/>
      <c r="UZ541"/>
      <c r="VA541"/>
      <c r="VB541"/>
      <c r="VC541"/>
      <c r="VD541"/>
      <c r="VE541"/>
      <c r="VF541"/>
      <c r="VG541"/>
      <c r="VH541"/>
      <c r="VI541"/>
      <c r="VJ541"/>
      <c r="VK541"/>
      <c r="VL541"/>
      <c r="VM541"/>
      <c r="VN541"/>
      <c r="VO541"/>
      <c r="VP541"/>
      <c r="VQ541"/>
      <c r="VR541"/>
      <c r="VS541"/>
      <c r="VT541"/>
      <c r="VU541"/>
      <c r="VV541"/>
      <c r="VW541"/>
      <c r="VX541"/>
      <c r="VY541"/>
      <c r="VZ541"/>
      <c r="WA541"/>
      <c r="WB541"/>
      <c r="WC541"/>
      <c r="WD541"/>
      <c r="WE541"/>
      <c r="WF541"/>
      <c r="WG541"/>
      <c r="WH541"/>
      <c r="WI541"/>
      <c r="WJ541"/>
      <c r="WK541"/>
      <c r="WL541"/>
      <c r="WM541"/>
      <c r="WN541"/>
      <c r="WO541"/>
      <c r="WP541"/>
      <c r="WQ541"/>
      <c r="WR541"/>
      <c r="WS541"/>
      <c r="WT541"/>
      <c r="WU541"/>
      <c r="WV541"/>
      <c r="WW541"/>
      <c r="WX541"/>
      <c r="WY541"/>
      <c r="WZ541"/>
      <c r="XA541"/>
      <c r="XB541"/>
      <c r="XC541"/>
      <c r="XD541"/>
      <c r="XE541"/>
      <c r="XF541"/>
      <c r="XG541"/>
      <c r="XH541"/>
      <c r="XI541"/>
      <c r="XJ541"/>
      <c r="XK541"/>
      <c r="XL541"/>
      <c r="XM541"/>
      <c r="XN541"/>
      <c r="XO541"/>
      <c r="XP541"/>
      <c r="XQ541"/>
      <c r="XR541"/>
      <c r="XS541"/>
      <c r="XT541"/>
      <c r="XU541"/>
      <c r="XV541"/>
      <c r="XW541"/>
      <c r="XX541"/>
      <c r="XY541"/>
      <c r="XZ541"/>
      <c r="YA541"/>
      <c r="YB541"/>
      <c r="YC541"/>
      <c r="YD541"/>
      <c r="YE541"/>
      <c r="YF541"/>
      <c r="YG541"/>
      <c r="YH541"/>
      <c r="YI541"/>
      <c r="YJ541"/>
      <c r="YK541"/>
      <c r="YL541"/>
      <c r="YM541"/>
      <c r="YN541"/>
      <c r="YO541"/>
      <c r="YP541"/>
      <c r="YQ541"/>
      <c r="YR541"/>
      <c r="YS541"/>
      <c r="YT541"/>
      <c r="YU541"/>
      <c r="YV541"/>
      <c r="YW541"/>
      <c r="YX541"/>
      <c r="YY541"/>
      <c r="YZ541"/>
      <c r="ZA541"/>
      <c r="ZB541"/>
      <c r="ZC541"/>
      <c r="ZD541"/>
      <c r="ZE541"/>
      <c r="ZF541"/>
      <c r="ZG541"/>
      <c r="ZH541"/>
      <c r="ZI541"/>
      <c r="ZJ541"/>
      <c r="ZK541"/>
      <c r="ZL541"/>
      <c r="ZM541"/>
      <c r="ZN541"/>
      <c r="ZO541"/>
      <c r="ZP541"/>
      <c r="ZQ541"/>
      <c r="ZR541"/>
      <c r="ZS541"/>
      <c r="ZT541"/>
      <c r="ZU541"/>
      <c r="ZV541"/>
      <c r="ZW541"/>
      <c r="ZX541"/>
      <c r="ZY541"/>
      <c r="ZZ541"/>
      <c r="AAA541"/>
      <c r="AAB541"/>
      <c r="AAC541"/>
      <c r="AAD541"/>
      <c r="AAE541"/>
      <c r="AAF541"/>
      <c r="AAG541"/>
      <c r="AAH541"/>
      <c r="AAI541"/>
      <c r="AAJ541"/>
      <c r="AAK541"/>
      <c r="AAL541"/>
      <c r="AAM541"/>
      <c r="AAN541"/>
      <c r="AAO541"/>
      <c r="AAP541"/>
      <c r="AAQ541"/>
      <c r="AAR541"/>
      <c r="AAS541"/>
      <c r="AAT541"/>
      <c r="AAU541"/>
      <c r="AAV541"/>
      <c r="AAW541"/>
      <c r="AAX541"/>
      <c r="AAY541"/>
      <c r="AAZ541"/>
      <c r="ABA541"/>
      <c r="ABB541"/>
      <c r="ABC541"/>
      <c r="ABD541"/>
      <c r="ABE541"/>
      <c r="ABF541"/>
      <c r="ABG541"/>
      <c r="ABH541"/>
      <c r="ABI541"/>
      <c r="ABJ541"/>
      <c r="ABK541"/>
      <c r="ABL541"/>
      <c r="ABM541"/>
      <c r="ABN541"/>
      <c r="ABO541"/>
      <c r="ABP541"/>
      <c r="ABQ541"/>
      <c r="ABR541"/>
      <c r="ABS541"/>
      <c r="ABT541"/>
      <c r="ABU541"/>
      <c r="ABV541"/>
      <c r="ABW541"/>
      <c r="ABX541"/>
      <c r="ABY541"/>
      <c r="ABZ541"/>
      <c r="ACA541"/>
      <c r="ACB541"/>
      <c r="ACC541"/>
      <c r="ACD541"/>
      <c r="ACE541"/>
      <c r="ACF541"/>
      <c r="ACG541"/>
      <c r="ACH541"/>
      <c r="ACI541"/>
      <c r="ACJ541"/>
      <c r="ACK541"/>
      <c r="ACL541"/>
      <c r="ACM541"/>
      <c r="ACN541"/>
      <c r="ACO541"/>
      <c r="ACP541"/>
      <c r="ACQ541"/>
      <c r="ACR541"/>
      <c r="ACS541"/>
      <c r="ACT541"/>
      <c r="ACU541"/>
      <c r="ACV541"/>
      <c r="ACW541"/>
      <c r="ACX541"/>
      <c r="ACY541"/>
      <c r="ACZ541"/>
      <c r="ADA541"/>
      <c r="ADB541"/>
      <c r="ADC541"/>
      <c r="ADD541"/>
      <c r="ADE541"/>
      <c r="ADF541"/>
      <c r="ADG541"/>
      <c r="ADH541"/>
      <c r="ADI541"/>
      <c r="ADJ541"/>
      <c r="ADK541"/>
      <c r="ADL541"/>
      <c r="ADM541"/>
      <c r="ADN541"/>
      <c r="ADO541"/>
      <c r="ADP541"/>
      <c r="ADQ541"/>
      <c r="ADR541"/>
      <c r="ADS541"/>
      <c r="ADT541"/>
      <c r="ADU541"/>
      <c r="ADV541"/>
      <c r="ADW541"/>
      <c r="ADX541"/>
      <c r="ADY541"/>
      <c r="ADZ541"/>
      <c r="AEA541"/>
      <c r="AEB541"/>
      <c r="AEC541"/>
      <c r="AED541"/>
      <c r="AEE541"/>
      <c r="AEF541"/>
      <c r="AEG541"/>
      <c r="AEH541"/>
      <c r="AEI541"/>
      <c r="AEJ541"/>
      <c r="AEK541"/>
      <c r="AEL541"/>
      <c r="AEM541"/>
      <c r="AEN541"/>
      <c r="AEO541"/>
      <c r="AEP541"/>
      <c r="AEQ541"/>
      <c r="AER541"/>
      <c r="AES541"/>
      <c r="AET541"/>
      <c r="AEU541"/>
      <c r="AEV541"/>
      <c r="AEW541"/>
      <c r="AEX541"/>
      <c r="AEY541"/>
      <c r="AEZ541"/>
      <c r="AFA541"/>
      <c r="AFB541"/>
      <c r="AFC541"/>
      <c r="AFD541"/>
      <c r="AFE541"/>
      <c r="AFF541"/>
      <c r="AFG541"/>
      <c r="AFH541"/>
      <c r="AFI541"/>
      <c r="AFJ541"/>
      <c r="AFK541"/>
      <c r="AFL541"/>
      <c r="AFM541"/>
      <c r="AFN541"/>
      <c r="AFO541"/>
      <c r="AFP541"/>
      <c r="AFQ541"/>
      <c r="AFR541"/>
      <c r="AFS541"/>
      <c r="AFT541"/>
      <c r="AFU541"/>
      <c r="AFV541"/>
      <c r="AFW541"/>
      <c r="AFX541"/>
      <c r="AFY541"/>
      <c r="AFZ541"/>
      <c r="AGA541"/>
      <c r="AGB541"/>
      <c r="AGC541"/>
      <c r="AGD541"/>
      <c r="AGE541"/>
      <c r="AGF541"/>
      <c r="AGG541"/>
      <c r="AGH541"/>
      <c r="AGI541"/>
      <c r="AGJ541"/>
      <c r="AGK541"/>
      <c r="AGL541"/>
      <c r="AGM541"/>
      <c r="AGN541"/>
      <c r="AGO541"/>
      <c r="AGP541"/>
      <c r="AGQ541"/>
      <c r="AGR541"/>
      <c r="AGS541"/>
      <c r="AGT541"/>
      <c r="AGU541"/>
      <c r="AGV541"/>
      <c r="AGW541"/>
      <c r="AGX541"/>
      <c r="AGY541"/>
      <c r="AGZ541"/>
      <c r="AHA541"/>
      <c r="AHB541"/>
      <c r="AHC541"/>
      <c r="AHD541"/>
      <c r="AHE541"/>
      <c r="AHF541"/>
      <c r="AHG541"/>
      <c r="AHH541"/>
      <c r="AHI541"/>
      <c r="AHJ541"/>
      <c r="AHK541"/>
      <c r="AHL541"/>
      <c r="AHM541"/>
      <c r="AHN541"/>
      <c r="AHO541"/>
      <c r="AHP541"/>
      <c r="AHQ541"/>
      <c r="AHR541"/>
      <c r="AHS541"/>
      <c r="AHT541"/>
      <c r="AHU541"/>
      <c r="AHV541"/>
      <c r="AHW541"/>
      <c r="AHX541"/>
      <c r="AHY541"/>
      <c r="AHZ541"/>
      <c r="AIA541"/>
      <c r="AIB541"/>
      <c r="AIC541"/>
      <c r="AID541"/>
      <c r="AIE541"/>
      <c r="AIF541"/>
      <c r="AIG541"/>
      <c r="AIH541"/>
      <c r="AII541"/>
      <c r="AIJ541"/>
      <c r="AIK541"/>
      <c r="AIL541"/>
      <c r="AIM541"/>
      <c r="AIN541"/>
      <c r="AIO541"/>
      <c r="AIP541"/>
      <c r="AIQ541"/>
      <c r="AIR541"/>
      <c r="AIS541"/>
      <c r="AIT541"/>
      <c r="AIU541"/>
      <c r="AIV541"/>
      <c r="AIW541"/>
      <c r="AIX541"/>
      <c r="AIY541"/>
      <c r="AIZ541"/>
      <c r="AJA541"/>
      <c r="AJB541"/>
      <c r="AJC541"/>
      <c r="AJD541"/>
      <c r="AJE541"/>
      <c r="AJF541"/>
      <c r="AJG541"/>
      <c r="AJH541"/>
      <c r="AJI541"/>
      <c r="AJJ541"/>
      <c r="AJK541"/>
      <c r="AJL541"/>
      <c r="AJM541"/>
      <c r="AJN541"/>
      <c r="AJO541"/>
      <c r="AJP541"/>
      <c r="AJQ541"/>
      <c r="AJR541"/>
      <c r="AJS541"/>
      <c r="AJT541"/>
      <c r="AJU541"/>
      <c r="AJV541"/>
      <c r="AJW541"/>
      <c r="AJX541"/>
      <c r="AJY541"/>
      <c r="AJZ541"/>
      <c r="AKA541"/>
      <c r="AKB541"/>
      <c r="AKC541"/>
      <c r="AKD541"/>
      <c r="AKE541"/>
      <c r="AKF541"/>
      <c r="AKG541"/>
      <c r="AKH541"/>
      <c r="AKI541"/>
      <c r="AKJ541"/>
      <c r="AKK541"/>
      <c r="AKL541"/>
      <c r="AKM541"/>
      <c r="AKN541"/>
      <c r="AKO541"/>
      <c r="AKP541"/>
      <c r="AKQ541"/>
      <c r="AKR541"/>
      <c r="AKS541"/>
      <c r="AKT541"/>
      <c r="AKU541"/>
      <c r="AKV541"/>
      <c r="AKW541"/>
      <c r="AKX541"/>
      <c r="AKY541"/>
      <c r="AKZ541"/>
      <c r="ALA541"/>
      <c r="ALB541"/>
      <c r="ALC541"/>
      <c r="ALD541"/>
      <c r="ALE541"/>
      <c r="ALF541"/>
      <c r="ALG541"/>
      <c r="ALH541"/>
      <c r="ALI541"/>
      <c r="ALJ541"/>
      <c r="ALK541"/>
      <c r="ALL541"/>
      <c r="ALM541"/>
      <c r="ALN541"/>
      <c r="ALO541"/>
      <c r="ALP541"/>
      <c r="ALQ541"/>
      <c r="ALR541"/>
      <c r="ALS541"/>
      <c r="ALT541"/>
      <c r="ALU541"/>
      <c r="ALV541"/>
      <c r="ALW541"/>
      <c r="ALX541"/>
      <c r="ALY541"/>
      <c r="ALZ541"/>
      <c r="AMA541"/>
      <c r="AMB541"/>
      <c r="AMC541"/>
      <c r="AMD541"/>
      <c r="AME541"/>
      <c r="AMF541"/>
      <c r="AMG541"/>
      <c r="AMH541"/>
      <c r="AMI541"/>
      <c r="AMJ541"/>
      <c r="AMK541"/>
      <c r="AML541"/>
      <c r="AMM541"/>
      <c r="AMN541"/>
      <c r="AMO541"/>
      <c r="AMP541"/>
      <c r="AMQ541"/>
      <c r="AMR541"/>
      <c r="AMS541"/>
      <c r="AMT541"/>
      <c r="AMU541"/>
      <c r="AMV541"/>
      <c r="AMW541"/>
      <c r="AMX541"/>
      <c r="AMY541"/>
      <c r="AMZ541"/>
      <c r="ANA541"/>
      <c r="ANB541"/>
      <c r="ANC541"/>
      <c r="AND541"/>
      <c r="ANE541"/>
      <c r="ANF541"/>
      <c r="ANG541"/>
      <c r="ANH541"/>
      <c r="ANI541"/>
      <c r="ANJ541"/>
      <c r="ANK541"/>
      <c r="ANL541"/>
      <c r="ANM541"/>
      <c r="ANN541"/>
      <c r="ANO541"/>
      <c r="ANP541"/>
      <c r="ANQ541"/>
      <c r="ANR541"/>
      <c r="ANS541"/>
      <c r="ANT541"/>
      <c r="ANU541"/>
      <c r="ANV541"/>
      <c r="ANW541"/>
      <c r="ANX541"/>
      <c r="ANY541"/>
      <c r="ANZ541"/>
      <c r="AOA541"/>
      <c r="AOB541"/>
      <c r="AOC541"/>
      <c r="AOD541"/>
      <c r="AOE541"/>
      <c r="AOF541"/>
      <c r="AOG541"/>
      <c r="AOH541"/>
      <c r="AOI541"/>
      <c r="AOJ541"/>
      <c r="AOK541"/>
      <c r="AOL541"/>
      <c r="AOM541"/>
      <c r="AON541"/>
      <c r="AOO541"/>
      <c r="AOP541"/>
      <c r="AOQ541"/>
      <c r="AOR541"/>
      <c r="AOS541"/>
      <c r="AOT541"/>
      <c r="AOU541"/>
      <c r="AOV541"/>
      <c r="AOW541"/>
      <c r="AOX541"/>
      <c r="AOY541"/>
      <c r="AOZ541"/>
      <c r="APA541"/>
      <c r="APB541"/>
      <c r="APC541"/>
      <c r="APD541"/>
      <c r="APE541"/>
      <c r="APF541"/>
      <c r="APG541"/>
      <c r="APH541"/>
      <c r="API541"/>
      <c r="APJ541"/>
      <c r="APK541"/>
      <c r="APL541"/>
      <c r="APM541"/>
      <c r="APN541"/>
      <c r="APO541"/>
      <c r="APP541"/>
      <c r="APQ541"/>
      <c r="APR541"/>
      <c r="APS541"/>
      <c r="APT541"/>
      <c r="APU541"/>
      <c r="APV541"/>
      <c r="APW541"/>
      <c r="APX541"/>
      <c r="APY541"/>
      <c r="APZ541"/>
      <c r="AQA541"/>
      <c r="AQB541"/>
      <c r="AQC541"/>
      <c r="AQD541"/>
      <c r="AQE541"/>
      <c r="AQF541"/>
      <c r="AQG541"/>
      <c r="AQH541"/>
      <c r="AQI541"/>
      <c r="AQJ541"/>
      <c r="AQK541"/>
      <c r="AQL541"/>
      <c r="AQM541"/>
      <c r="AQN541"/>
      <c r="AQO541"/>
      <c r="AQP541"/>
      <c r="AQQ541"/>
      <c r="AQR541"/>
      <c r="AQS541"/>
      <c r="AQT541"/>
      <c r="AQU541"/>
      <c r="AQV541"/>
      <c r="AQW541"/>
      <c r="AQX541"/>
      <c r="AQY541"/>
      <c r="AQZ541"/>
      <c r="ARA541"/>
      <c r="ARB541"/>
      <c r="ARC541"/>
      <c r="ARD541"/>
      <c r="ARE541"/>
      <c r="ARF541"/>
      <c r="ARG541"/>
      <c r="ARH541"/>
      <c r="ARI541"/>
      <c r="ARJ541"/>
      <c r="ARK541"/>
      <c r="ARL541"/>
      <c r="ARM541"/>
      <c r="ARN541"/>
      <c r="ARO541"/>
      <c r="ARP541"/>
      <c r="ARQ541"/>
      <c r="ARR541"/>
      <c r="ARS541"/>
      <c r="ART541"/>
      <c r="ARU541"/>
      <c r="ARV541"/>
      <c r="ARW541"/>
      <c r="ARX541"/>
      <c r="ARY541"/>
      <c r="ARZ541"/>
      <c r="ASA541"/>
      <c r="ASB541"/>
      <c r="ASC541"/>
      <c r="ASD541"/>
      <c r="ASE541"/>
      <c r="ASF541"/>
      <c r="ASG541"/>
      <c r="ASH541"/>
      <c r="ASI541"/>
      <c r="ASJ541"/>
      <c r="ASK541"/>
      <c r="ASL541"/>
      <c r="ASM541"/>
      <c r="ASN541"/>
      <c r="ASO541"/>
      <c r="ASP541"/>
      <c r="ASQ541"/>
      <c r="ASR541"/>
      <c r="ASS541"/>
      <c r="AST541"/>
      <c r="ASU541"/>
      <c r="ASV541"/>
      <c r="ASW541"/>
      <c r="ASX541"/>
      <c r="ASY541"/>
      <c r="ASZ541"/>
      <c r="ATA541"/>
      <c r="ATB541"/>
      <c r="ATC541"/>
      <c r="ATD541"/>
      <c r="ATE541"/>
      <c r="ATF541"/>
      <c r="ATG541"/>
      <c r="ATH541"/>
      <c r="ATI541"/>
      <c r="ATJ541"/>
      <c r="ATK541"/>
      <c r="ATL541"/>
      <c r="ATM541"/>
      <c r="ATN541"/>
      <c r="ATO541"/>
      <c r="ATP541"/>
      <c r="ATQ541"/>
      <c r="ATR541"/>
      <c r="ATS541"/>
      <c r="ATT541"/>
      <c r="ATU541"/>
      <c r="ATV541"/>
      <c r="ATW541"/>
      <c r="ATX541"/>
      <c r="ATY541"/>
      <c r="ATZ541"/>
      <c r="AUA541"/>
      <c r="AUB541"/>
      <c r="AUC541"/>
      <c r="AUD541"/>
      <c r="AUE541"/>
      <c r="AUF541"/>
      <c r="AUG541"/>
      <c r="AUH541"/>
      <c r="AUI541"/>
      <c r="AUJ541"/>
      <c r="AUK541"/>
      <c r="AUL541"/>
      <c r="AUM541"/>
      <c r="AUN541"/>
      <c r="AUO541"/>
      <c r="AUP541"/>
      <c r="AUQ541"/>
      <c r="AUR541"/>
      <c r="AUS541"/>
      <c r="AUT541"/>
      <c r="AUU541"/>
      <c r="AUV541"/>
      <c r="AUW541"/>
      <c r="AUX541"/>
      <c r="AUY541"/>
      <c r="AUZ541"/>
      <c r="AVA541"/>
      <c r="AVB541"/>
      <c r="AVC541"/>
      <c r="AVD541"/>
      <c r="AVE541"/>
      <c r="AVF541"/>
      <c r="AVG541"/>
      <c r="AVH541"/>
      <c r="AVI541"/>
      <c r="AVJ541"/>
      <c r="AVK541"/>
      <c r="AVL541"/>
      <c r="AVM541"/>
      <c r="AVN541"/>
      <c r="AVO541"/>
      <c r="AVP541"/>
      <c r="AVQ541"/>
      <c r="AVR541"/>
      <c r="AVS541"/>
      <c r="AVT541"/>
      <c r="AVU541"/>
      <c r="AVV541"/>
      <c r="AVW541"/>
      <c r="AVX541"/>
      <c r="AVY541"/>
      <c r="AVZ541"/>
      <c r="AWA541"/>
      <c r="AWB541"/>
      <c r="AWC541"/>
      <c r="AWD541"/>
      <c r="AWE541"/>
      <c r="AWF541"/>
      <c r="AWG541"/>
      <c r="AWH541"/>
      <c r="AWI541"/>
      <c r="AWJ541"/>
      <c r="AWK541"/>
      <c r="AWL541"/>
      <c r="AWM541"/>
      <c r="AWN541"/>
      <c r="AWO541"/>
      <c r="AWP541"/>
      <c r="AWQ541"/>
      <c r="AWR541"/>
      <c r="AWS541"/>
      <c r="AWT541"/>
      <c r="AWU541"/>
      <c r="AWV541"/>
      <c r="AWW541"/>
      <c r="AWX541"/>
      <c r="AWY541"/>
      <c r="AWZ541"/>
      <c r="AXA541"/>
      <c r="AXB541"/>
      <c r="AXC541"/>
      <c r="AXD541"/>
      <c r="AXE541"/>
      <c r="AXF541"/>
      <c r="AXG541"/>
      <c r="AXH541"/>
      <c r="AXI541"/>
      <c r="AXJ541"/>
      <c r="AXK541"/>
      <c r="AXL541"/>
      <c r="AXM541"/>
      <c r="AXN541"/>
      <c r="AXO541"/>
      <c r="AXP541"/>
      <c r="AXQ541"/>
      <c r="AXR541"/>
      <c r="AXS541"/>
      <c r="AXT541"/>
      <c r="AXU541"/>
      <c r="AXV541"/>
      <c r="AXW541"/>
      <c r="AXX541"/>
      <c r="AXY541"/>
      <c r="AXZ541"/>
      <c r="AYA541"/>
      <c r="AYB541"/>
      <c r="AYC541"/>
      <c r="AYD541"/>
      <c r="AYE541"/>
      <c r="AYF541"/>
      <c r="AYG541"/>
      <c r="AYH541"/>
      <c r="AYI541"/>
      <c r="AYJ541"/>
      <c r="AYK541"/>
      <c r="AYL541"/>
      <c r="AYM541"/>
      <c r="AYN541"/>
      <c r="AYO541"/>
      <c r="AYP541"/>
      <c r="AYQ541"/>
      <c r="AYR541"/>
      <c r="AYS541"/>
      <c r="AYT541"/>
      <c r="AYU541"/>
      <c r="AYV541"/>
      <c r="AYW541"/>
      <c r="AYX541"/>
      <c r="AYY541"/>
      <c r="AYZ541"/>
      <c r="AZA541"/>
      <c r="AZB541"/>
      <c r="AZC541"/>
      <c r="AZD541"/>
      <c r="AZE541"/>
      <c r="AZF541"/>
      <c r="AZG541"/>
      <c r="AZH541"/>
      <c r="AZI541"/>
      <c r="AZJ541"/>
      <c r="AZK541"/>
      <c r="AZL541"/>
      <c r="AZM541"/>
      <c r="AZN541"/>
      <c r="AZO541"/>
      <c r="AZP541"/>
      <c r="AZQ541"/>
      <c r="AZR541"/>
      <c r="AZS541"/>
      <c r="AZT541"/>
      <c r="AZU541"/>
      <c r="AZV541"/>
      <c r="AZW541"/>
      <c r="AZX541"/>
      <c r="AZY541"/>
      <c r="AZZ541"/>
      <c r="BAA541"/>
      <c r="BAB541"/>
      <c r="BAC541"/>
      <c r="BAD541"/>
      <c r="BAE541"/>
      <c r="BAF541"/>
      <c r="BAG541"/>
      <c r="BAH541"/>
      <c r="BAI541"/>
      <c r="BAJ541"/>
      <c r="BAK541"/>
      <c r="BAL541"/>
      <c r="BAM541"/>
      <c r="BAN541"/>
      <c r="BAO541"/>
      <c r="BAP541"/>
      <c r="BAQ541"/>
      <c r="BAR541"/>
      <c r="BAS541"/>
      <c r="BAT541"/>
      <c r="BAU541"/>
      <c r="BAV541"/>
      <c r="BAW541"/>
      <c r="BAX541"/>
      <c r="BAY541"/>
      <c r="BAZ541"/>
      <c r="BBA541"/>
      <c r="BBB541"/>
      <c r="BBC541"/>
      <c r="BBD541"/>
      <c r="BBE541"/>
      <c r="BBF541"/>
      <c r="BBG541"/>
      <c r="BBH541"/>
      <c r="BBI541"/>
      <c r="BBJ541"/>
      <c r="BBK541"/>
      <c r="BBL541"/>
      <c r="BBM541"/>
      <c r="BBN541"/>
      <c r="BBO541"/>
      <c r="BBP541"/>
      <c r="BBQ541"/>
      <c r="BBR541"/>
      <c r="BBS541"/>
      <c r="BBT541"/>
      <c r="BBU541"/>
      <c r="BBV541"/>
      <c r="BBW541"/>
      <c r="BBX541"/>
      <c r="BBY541"/>
      <c r="BBZ541"/>
      <c r="BCA541"/>
      <c r="BCB541"/>
      <c r="BCC541"/>
      <c r="BCD541"/>
      <c r="BCE541"/>
      <c r="BCF541"/>
      <c r="BCG541"/>
      <c r="BCH541"/>
      <c r="BCI541"/>
      <c r="BCJ541"/>
      <c r="BCK541"/>
      <c r="BCL541"/>
      <c r="BCM541"/>
      <c r="BCN541"/>
      <c r="BCO541"/>
      <c r="BCP541"/>
      <c r="BCQ541"/>
      <c r="BCR541"/>
      <c r="BCS541"/>
      <c r="BCT541"/>
      <c r="BCU541"/>
      <c r="BCV541"/>
      <c r="BCW541"/>
      <c r="BCX541"/>
      <c r="BCY541"/>
      <c r="BCZ541"/>
      <c r="BDA541"/>
      <c r="BDB541"/>
      <c r="BDC541"/>
      <c r="BDD541"/>
      <c r="BDE541"/>
      <c r="BDF541"/>
      <c r="BDG541"/>
      <c r="BDH541"/>
      <c r="BDI541"/>
      <c r="BDJ541"/>
      <c r="BDK541"/>
      <c r="BDL541"/>
      <c r="BDM541"/>
      <c r="BDN541"/>
      <c r="BDO541"/>
      <c r="BDP541"/>
      <c r="BDQ541"/>
      <c r="BDR541"/>
      <c r="BDS541"/>
      <c r="BDT541"/>
      <c r="BDU541"/>
      <c r="BDV541"/>
      <c r="BDW541"/>
      <c r="BDX541"/>
      <c r="BDY541"/>
      <c r="BDZ541"/>
      <c r="BEA541"/>
      <c r="BEB541"/>
      <c r="BEC541"/>
      <c r="BED541"/>
      <c r="BEE541"/>
      <c r="BEF541"/>
      <c r="BEG541"/>
      <c r="BEH541"/>
      <c r="BEI541"/>
      <c r="BEJ541"/>
      <c r="BEK541"/>
      <c r="BEL541"/>
      <c r="BEM541"/>
      <c r="BEN541"/>
      <c r="BEO541"/>
      <c r="BEP541"/>
      <c r="BEQ541"/>
      <c r="BER541"/>
      <c r="BES541"/>
      <c r="BET541"/>
      <c r="BEU541"/>
      <c r="BEV541"/>
      <c r="BEW541"/>
      <c r="BEX541"/>
      <c r="BEY541"/>
      <c r="BEZ541"/>
      <c r="BFA541"/>
      <c r="BFB541"/>
      <c r="BFC541"/>
      <c r="BFD541"/>
      <c r="BFE541"/>
      <c r="BFF541"/>
      <c r="BFG541"/>
      <c r="BFH541"/>
      <c r="BFI541"/>
      <c r="BFJ541"/>
      <c r="BFK541"/>
      <c r="BFL541"/>
      <c r="BFM541"/>
      <c r="BFN541"/>
      <c r="BFO541"/>
      <c r="BFP541"/>
      <c r="BFQ541"/>
      <c r="BFR541"/>
      <c r="BFS541"/>
      <c r="BFT541"/>
      <c r="BFU541"/>
      <c r="BFV541"/>
      <c r="BFW541"/>
      <c r="BFX541"/>
      <c r="BFY541"/>
      <c r="BFZ541"/>
      <c r="BGA541"/>
      <c r="BGB541"/>
      <c r="BGC541"/>
      <c r="BGD541"/>
      <c r="BGE541"/>
      <c r="BGF541"/>
      <c r="BGG541"/>
      <c r="BGH541"/>
      <c r="BGI541"/>
      <c r="BGJ541"/>
      <c r="BGK541"/>
      <c r="BGL541"/>
      <c r="BGM541"/>
      <c r="BGN541"/>
      <c r="BGO541"/>
      <c r="BGP541"/>
      <c r="BGQ541"/>
      <c r="BGR541"/>
      <c r="BGS541"/>
      <c r="BGT541"/>
      <c r="BGU541"/>
      <c r="BGV541"/>
      <c r="BGW541"/>
      <c r="BGX541"/>
      <c r="BGY541"/>
      <c r="BGZ541"/>
      <c r="BHA541"/>
      <c r="BHB541"/>
      <c r="BHC541"/>
      <c r="BHD541"/>
      <c r="BHE541"/>
      <c r="BHF541"/>
      <c r="BHG541"/>
      <c r="BHH541"/>
      <c r="BHI541"/>
      <c r="BHJ541"/>
      <c r="BHK541"/>
      <c r="BHL541"/>
      <c r="BHM541"/>
      <c r="BHN541"/>
      <c r="BHO541"/>
      <c r="BHP541"/>
      <c r="BHQ541"/>
      <c r="BHR541"/>
      <c r="BHS541"/>
      <c r="BHT541"/>
      <c r="BHU541"/>
      <c r="BHV541"/>
      <c r="BHW541"/>
      <c r="BHX541"/>
      <c r="BHY541"/>
      <c r="BHZ541"/>
      <c r="BIA541"/>
      <c r="BIB541"/>
      <c r="BIC541"/>
      <c r="BID541"/>
      <c r="BIE541"/>
      <c r="BIF541"/>
      <c r="BIG541"/>
      <c r="BIH541"/>
      <c r="BII541"/>
      <c r="BIJ541"/>
      <c r="BIK541"/>
      <c r="BIL541"/>
      <c r="BIM541"/>
      <c r="BIN541"/>
      <c r="BIO541"/>
      <c r="BIP541"/>
      <c r="BIQ541"/>
      <c r="BIR541"/>
      <c r="BIS541"/>
      <c r="BIT541"/>
      <c r="BIU541"/>
      <c r="BIV541"/>
      <c r="BIW541"/>
      <c r="BIX541"/>
      <c r="BIY541"/>
      <c r="BIZ541"/>
      <c r="BJA541"/>
      <c r="BJB541"/>
      <c r="BJC541"/>
      <c r="BJD541"/>
      <c r="BJE541"/>
      <c r="BJF541"/>
      <c r="BJG541"/>
      <c r="BJH541"/>
      <c r="BJI541"/>
      <c r="BJJ541"/>
      <c r="BJK541"/>
      <c r="BJL541"/>
      <c r="BJM541"/>
      <c r="BJN541"/>
      <c r="BJO541"/>
      <c r="BJP541"/>
      <c r="BJQ541"/>
      <c r="BJR541"/>
      <c r="BJS541"/>
      <c r="BJT541"/>
      <c r="BJU541"/>
      <c r="BJV541"/>
      <c r="BJW541"/>
      <c r="BJX541"/>
      <c r="BJY541"/>
      <c r="BJZ541"/>
      <c r="BKA541"/>
      <c r="BKB541"/>
      <c r="BKC541"/>
      <c r="BKD541"/>
      <c r="BKE541"/>
      <c r="BKF541"/>
      <c r="BKG541"/>
      <c r="BKH541"/>
      <c r="BKI541"/>
      <c r="BKJ541"/>
      <c r="BKK541"/>
      <c r="BKL541"/>
      <c r="BKM541"/>
      <c r="BKN541"/>
      <c r="BKO541"/>
      <c r="BKP541"/>
      <c r="BKQ541"/>
      <c r="BKR541"/>
      <c r="BKS541"/>
      <c r="BKT541"/>
      <c r="BKU541"/>
      <c r="BKV541"/>
      <c r="BKW541"/>
      <c r="BKX541"/>
      <c r="BKY541"/>
      <c r="BKZ541"/>
      <c r="BLA541"/>
      <c r="BLB541"/>
      <c r="BLC541"/>
      <c r="BLD541"/>
      <c r="BLE541"/>
      <c r="BLF541"/>
      <c r="BLG541"/>
      <c r="BLH541"/>
      <c r="BLI541"/>
      <c r="BLJ541"/>
      <c r="BLK541"/>
      <c r="BLL541"/>
      <c r="BLM541"/>
      <c r="BLN541"/>
      <c r="BLO541"/>
      <c r="BLP541"/>
      <c r="BLQ541"/>
      <c r="BLR541"/>
      <c r="BLS541"/>
      <c r="BLT541"/>
      <c r="BLU541"/>
      <c r="BLV541"/>
      <c r="BLW541"/>
      <c r="BLX541"/>
      <c r="BLY541"/>
      <c r="BLZ541"/>
      <c r="BMA541"/>
      <c r="BMB541"/>
      <c r="BMC541"/>
      <c r="BMD541"/>
      <c r="BME541"/>
      <c r="BMF541"/>
      <c r="BMG541"/>
      <c r="BMH541"/>
      <c r="BMI541"/>
      <c r="BMJ541"/>
      <c r="BMK541"/>
      <c r="BML541"/>
      <c r="BMM541"/>
      <c r="BMN541"/>
      <c r="BMO541"/>
      <c r="BMP541"/>
      <c r="BMQ541"/>
      <c r="BMR541"/>
      <c r="BMS541"/>
      <c r="BMT541"/>
      <c r="BMU541"/>
      <c r="BMV541"/>
      <c r="BMW541"/>
      <c r="BMX541"/>
      <c r="BMY541"/>
      <c r="BMZ541"/>
      <c r="BNA541"/>
      <c r="BNB541"/>
      <c r="BNC541"/>
      <c r="BND541"/>
      <c r="BNE541"/>
      <c r="BNF541"/>
      <c r="BNG541"/>
      <c r="BNH541"/>
      <c r="BNI541"/>
      <c r="BNJ541"/>
      <c r="BNK541"/>
      <c r="BNL541"/>
      <c r="BNM541"/>
      <c r="BNN541"/>
      <c r="BNO541"/>
      <c r="BNP541"/>
      <c r="BNQ541"/>
      <c r="BNR541"/>
      <c r="BNS541"/>
      <c r="BNT541"/>
      <c r="BNU541"/>
      <c r="BNV541"/>
      <c r="BNW541"/>
      <c r="BNX541"/>
      <c r="BNY541"/>
      <c r="BNZ541"/>
      <c r="BOA541"/>
      <c r="BOB541"/>
      <c r="BOC541"/>
      <c r="BOD541"/>
      <c r="BOE541"/>
      <c r="BOF541"/>
      <c r="BOG541"/>
      <c r="BOH541"/>
      <c r="BOI541"/>
      <c r="BOJ541"/>
      <c r="BOK541"/>
      <c r="BOL541"/>
      <c r="BOM541"/>
      <c r="BON541"/>
      <c r="BOO541"/>
      <c r="BOP541"/>
      <c r="BOQ541"/>
      <c r="BOR541"/>
      <c r="BOS541"/>
      <c r="BOT541"/>
      <c r="BOU541"/>
      <c r="BOV541"/>
      <c r="BOW541"/>
      <c r="BOX541"/>
      <c r="BOY541"/>
      <c r="BOZ541"/>
      <c r="BPA541"/>
      <c r="BPB541"/>
      <c r="BPC541"/>
      <c r="BPD541"/>
      <c r="BPE541"/>
      <c r="BPF541"/>
      <c r="BPG541"/>
      <c r="BPH541"/>
      <c r="BPI541"/>
      <c r="BPJ541"/>
      <c r="BPK541"/>
      <c r="BPL541"/>
      <c r="BPM541"/>
      <c r="BPN541"/>
      <c r="BPO541"/>
      <c r="BPP541"/>
      <c r="BPQ541"/>
      <c r="BPR541"/>
      <c r="BPS541"/>
      <c r="BPT541"/>
      <c r="BPU541"/>
      <c r="BPV541"/>
      <c r="BPW541"/>
      <c r="BPX541"/>
      <c r="BPY541"/>
      <c r="BPZ541"/>
      <c r="BQA541"/>
      <c r="BQB541"/>
      <c r="BQC541"/>
      <c r="BQD541"/>
      <c r="BQE541"/>
      <c r="BQF541"/>
      <c r="BQG541"/>
      <c r="BQH541"/>
      <c r="BQI541"/>
      <c r="BQJ541"/>
      <c r="BQK541"/>
      <c r="BQL541"/>
      <c r="BQM541"/>
      <c r="BQN541"/>
      <c r="BQO541"/>
      <c r="BQP541"/>
      <c r="BQQ541"/>
      <c r="BQR541"/>
      <c r="BQS541"/>
      <c r="BQT541"/>
      <c r="BQU541"/>
      <c r="BQV541"/>
      <c r="BQW541"/>
      <c r="BQX541"/>
      <c r="BQY541"/>
      <c r="BQZ541"/>
      <c r="BRA541"/>
      <c r="BRB541"/>
      <c r="BRC541"/>
      <c r="BRD541"/>
      <c r="BRE541"/>
      <c r="BRF541"/>
      <c r="BRG541"/>
      <c r="BRH541"/>
      <c r="BRI541"/>
      <c r="BRJ541"/>
      <c r="BRK541"/>
      <c r="BRL541"/>
      <c r="BRM541"/>
      <c r="BRN541"/>
      <c r="BRO541"/>
      <c r="BRP541"/>
      <c r="BRQ541"/>
      <c r="BRR541"/>
      <c r="BRS541"/>
      <c r="BRT541"/>
      <c r="BRU541"/>
      <c r="BRV541"/>
      <c r="BRW541"/>
      <c r="BRX541"/>
      <c r="BRY541"/>
      <c r="BRZ541"/>
      <c r="BSA541"/>
      <c r="BSB541"/>
      <c r="BSC541"/>
      <c r="BSD541"/>
      <c r="BSE541"/>
      <c r="BSF541"/>
      <c r="BSG541"/>
      <c r="BSH541"/>
      <c r="BSI541"/>
      <c r="BSJ541"/>
      <c r="BSK541"/>
      <c r="BSL541"/>
      <c r="BSM541"/>
      <c r="BSN541"/>
      <c r="BSO541"/>
      <c r="BSP541"/>
      <c r="BSQ541"/>
      <c r="BSR541"/>
      <c r="BSS541"/>
      <c r="BST541"/>
      <c r="BSU541"/>
      <c r="BSV541"/>
      <c r="BSW541"/>
      <c r="BSX541"/>
      <c r="BSY541"/>
      <c r="BSZ541"/>
      <c r="BTA541"/>
      <c r="BTB541"/>
      <c r="BTC541"/>
      <c r="BTD541"/>
      <c r="BTE541"/>
      <c r="BTF541"/>
      <c r="BTG541"/>
      <c r="BTH541"/>
      <c r="BTI541"/>
      <c r="BTJ541"/>
      <c r="BTK541"/>
      <c r="BTL541"/>
      <c r="BTM541"/>
      <c r="BTN541"/>
      <c r="BTO541"/>
      <c r="BTP541"/>
      <c r="BTQ541"/>
      <c r="BTR541"/>
      <c r="BTS541"/>
      <c r="BTT541"/>
      <c r="BTU541"/>
      <c r="BTV541"/>
      <c r="BTW541"/>
      <c r="BTX541"/>
      <c r="BTY541"/>
      <c r="BTZ541"/>
      <c r="BUA541"/>
      <c r="BUB541"/>
      <c r="BUC541"/>
      <c r="BUD541"/>
      <c r="BUE541"/>
      <c r="BUF541"/>
      <c r="BUG541"/>
      <c r="BUH541"/>
      <c r="BUI541"/>
      <c r="BUJ541"/>
      <c r="BUK541"/>
      <c r="BUL541"/>
      <c r="BUM541"/>
      <c r="BUN541"/>
      <c r="BUO541"/>
      <c r="BUP541"/>
      <c r="BUQ541"/>
      <c r="BUR541"/>
      <c r="BUS541"/>
      <c r="BUT541"/>
      <c r="BUU541"/>
      <c r="BUV541"/>
      <c r="BUW541"/>
      <c r="BUX541"/>
      <c r="BUY541"/>
      <c r="BUZ541"/>
      <c r="BVA541"/>
      <c r="BVB541"/>
      <c r="BVC541"/>
      <c r="BVD541"/>
      <c r="BVE541"/>
      <c r="BVF541"/>
      <c r="BVG541"/>
      <c r="BVH541"/>
      <c r="BVI541"/>
      <c r="BVJ541"/>
      <c r="BVK541"/>
      <c r="BVL541"/>
      <c r="BVM541"/>
      <c r="BVN541"/>
      <c r="BVO541"/>
      <c r="BVP541"/>
      <c r="BVQ541"/>
      <c r="BVR541"/>
      <c r="BVS541"/>
      <c r="BVT541"/>
      <c r="BVU541"/>
      <c r="BVV541"/>
      <c r="BVW541"/>
      <c r="BVX541"/>
      <c r="BVY541"/>
      <c r="BVZ541"/>
      <c r="BWA541"/>
      <c r="BWB541"/>
      <c r="BWC541"/>
      <c r="BWD541"/>
      <c r="BWE541"/>
      <c r="BWF541"/>
      <c r="BWG541"/>
      <c r="BWH541"/>
      <c r="BWI541"/>
      <c r="BWJ541"/>
      <c r="BWK541"/>
      <c r="BWL541"/>
      <c r="BWM541"/>
      <c r="BWN541"/>
      <c r="BWO541"/>
      <c r="BWP541"/>
      <c r="BWQ541"/>
      <c r="BWR541"/>
      <c r="BWS541"/>
      <c r="BWT541"/>
      <c r="BWU541"/>
      <c r="BWV541"/>
      <c r="BWW541"/>
      <c r="BWX541"/>
      <c r="BWY541"/>
      <c r="BWZ541"/>
      <c r="BXA541"/>
      <c r="BXB541"/>
      <c r="BXC541"/>
      <c r="BXD541"/>
      <c r="BXE541"/>
      <c r="BXF541"/>
      <c r="BXG541"/>
      <c r="BXH541"/>
      <c r="BXI541"/>
      <c r="BXJ541"/>
      <c r="BXK541"/>
      <c r="BXL541"/>
      <c r="BXM541"/>
      <c r="BXN541"/>
      <c r="BXO541"/>
      <c r="BXP541"/>
      <c r="BXQ541"/>
      <c r="BXR541"/>
      <c r="BXS541"/>
      <c r="BXT541"/>
      <c r="BXU541"/>
      <c r="BXV541"/>
      <c r="BXW541"/>
      <c r="BXX541"/>
      <c r="BXY541"/>
      <c r="BXZ541"/>
      <c r="BYA541"/>
      <c r="BYB541"/>
      <c r="BYC541"/>
      <c r="BYD541"/>
      <c r="BYE541"/>
      <c r="BYF541"/>
      <c r="BYG541"/>
      <c r="BYH541"/>
      <c r="BYI541"/>
      <c r="BYJ541"/>
      <c r="BYK541"/>
      <c r="BYL541"/>
      <c r="BYM541"/>
      <c r="BYN541"/>
      <c r="BYO541"/>
      <c r="BYP541"/>
      <c r="BYQ541"/>
      <c r="BYR541"/>
      <c r="BYS541"/>
      <c r="BYT541"/>
      <c r="BYU541"/>
      <c r="BYV541"/>
      <c r="BYW541"/>
      <c r="BYX541"/>
      <c r="BYY541"/>
      <c r="BYZ541"/>
      <c r="BZA541"/>
      <c r="BZB541"/>
      <c r="BZC541"/>
      <c r="BZD541"/>
      <c r="BZE541"/>
      <c r="BZF541"/>
      <c r="BZG541"/>
      <c r="BZH541"/>
      <c r="BZI541"/>
      <c r="BZJ541"/>
      <c r="BZK541"/>
      <c r="BZL541"/>
      <c r="BZM541"/>
      <c r="BZN541"/>
      <c r="BZO541"/>
      <c r="BZP541"/>
      <c r="BZQ541"/>
      <c r="BZR541"/>
      <c r="BZS541"/>
      <c r="BZT541"/>
      <c r="BZU541"/>
      <c r="BZV541"/>
      <c r="BZW541"/>
      <c r="BZX541"/>
      <c r="BZY541"/>
      <c r="BZZ541"/>
      <c r="CAA541"/>
      <c r="CAB541"/>
      <c r="CAC541"/>
      <c r="CAD541"/>
      <c r="CAE541"/>
      <c r="CAF541"/>
      <c r="CAG541"/>
      <c r="CAH541"/>
      <c r="CAI541"/>
      <c r="CAJ541"/>
      <c r="CAK541"/>
      <c r="CAL541"/>
      <c r="CAM541"/>
      <c r="CAN541"/>
      <c r="CAO541"/>
      <c r="CAP541"/>
      <c r="CAQ541"/>
      <c r="CAR541"/>
      <c r="CAS541"/>
      <c r="CAT541"/>
      <c r="CAU541"/>
      <c r="CAV541"/>
      <c r="CAW541"/>
      <c r="CAX541"/>
      <c r="CAY541"/>
      <c r="CAZ541"/>
      <c r="CBA541"/>
      <c r="CBB541"/>
      <c r="CBC541"/>
      <c r="CBD541"/>
      <c r="CBE541"/>
      <c r="CBF541"/>
      <c r="CBG541"/>
      <c r="CBH541"/>
      <c r="CBI541"/>
      <c r="CBJ541"/>
      <c r="CBK541"/>
      <c r="CBL541"/>
      <c r="CBM541"/>
      <c r="CBN541"/>
      <c r="CBO541"/>
      <c r="CBP541"/>
      <c r="CBQ541"/>
      <c r="CBR541"/>
      <c r="CBS541"/>
      <c r="CBT541"/>
      <c r="CBU541"/>
      <c r="CBV541"/>
      <c r="CBW541"/>
      <c r="CBX541"/>
      <c r="CBY541"/>
      <c r="CBZ541"/>
      <c r="CCA541"/>
      <c r="CCB541"/>
      <c r="CCC541"/>
      <c r="CCD541"/>
      <c r="CCE541"/>
      <c r="CCF541"/>
      <c r="CCG541"/>
      <c r="CCH541"/>
      <c r="CCI541"/>
      <c r="CCJ541"/>
      <c r="CCK541"/>
      <c r="CCL541"/>
      <c r="CCM541"/>
      <c r="CCN541"/>
      <c r="CCO541"/>
      <c r="CCP541"/>
      <c r="CCQ541"/>
      <c r="CCR541"/>
      <c r="CCS541"/>
      <c r="CCT541"/>
      <c r="CCU541"/>
      <c r="CCV541"/>
      <c r="CCW541"/>
      <c r="CCX541"/>
      <c r="CCY541"/>
      <c r="CCZ541"/>
      <c r="CDA541"/>
      <c r="CDB541"/>
      <c r="CDC541"/>
      <c r="CDD541"/>
      <c r="CDE541"/>
      <c r="CDF541"/>
      <c r="CDG541"/>
      <c r="CDH541"/>
      <c r="CDI541"/>
      <c r="CDJ541"/>
      <c r="CDK541"/>
      <c r="CDL541"/>
      <c r="CDM541"/>
      <c r="CDN541"/>
      <c r="CDO541"/>
      <c r="CDP541"/>
      <c r="CDQ541"/>
      <c r="CDR541"/>
      <c r="CDS541"/>
      <c r="CDT541"/>
      <c r="CDU541"/>
      <c r="CDV541"/>
      <c r="CDW541"/>
      <c r="CDX541"/>
      <c r="CDY541"/>
      <c r="CDZ541"/>
      <c r="CEA541"/>
      <c r="CEB541"/>
      <c r="CEC541"/>
      <c r="CED541"/>
      <c r="CEE541"/>
      <c r="CEF541"/>
      <c r="CEG541"/>
      <c r="CEH541"/>
      <c r="CEI541"/>
      <c r="CEJ541"/>
      <c r="CEK541"/>
      <c r="CEL541"/>
      <c r="CEM541"/>
      <c r="CEN541"/>
      <c r="CEO541"/>
      <c r="CEP541"/>
      <c r="CEQ541"/>
      <c r="CER541"/>
      <c r="CES541"/>
      <c r="CET541"/>
      <c r="CEU541"/>
      <c r="CEV541"/>
      <c r="CEW541"/>
      <c r="CEX541"/>
      <c r="CEY541"/>
      <c r="CEZ541"/>
      <c r="CFA541"/>
      <c r="CFB541"/>
      <c r="CFC541"/>
      <c r="CFD541"/>
      <c r="CFE541"/>
      <c r="CFF541"/>
      <c r="CFG541"/>
      <c r="CFH541"/>
      <c r="CFI541"/>
      <c r="CFJ541"/>
      <c r="CFK541"/>
      <c r="CFL541"/>
      <c r="CFM541"/>
      <c r="CFN541"/>
      <c r="CFO541"/>
      <c r="CFP541"/>
      <c r="CFQ541"/>
      <c r="CFR541"/>
      <c r="CFS541"/>
      <c r="CFT541"/>
      <c r="CFU541"/>
      <c r="CFV541"/>
      <c r="CFW541"/>
      <c r="CFX541"/>
      <c r="CFY541"/>
      <c r="CFZ541"/>
      <c r="CGA541"/>
      <c r="CGB541"/>
      <c r="CGC541"/>
      <c r="CGD541"/>
      <c r="CGE541"/>
      <c r="CGF541"/>
      <c r="CGG541"/>
      <c r="CGH541"/>
      <c r="CGI541"/>
      <c r="CGJ541"/>
      <c r="CGK541"/>
      <c r="CGL541"/>
      <c r="CGM541"/>
      <c r="CGN541"/>
      <c r="CGO541"/>
      <c r="CGP541"/>
      <c r="CGQ541"/>
      <c r="CGR541"/>
      <c r="CGS541"/>
      <c r="CGT541"/>
      <c r="CGU541"/>
      <c r="CGV541"/>
      <c r="CGW541"/>
      <c r="CGX541"/>
      <c r="CGY541"/>
      <c r="CGZ541"/>
      <c r="CHA541"/>
      <c r="CHB541"/>
      <c r="CHC541"/>
      <c r="CHD541"/>
      <c r="CHE541"/>
      <c r="CHF541"/>
      <c r="CHG541"/>
      <c r="CHH541"/>
      <c r="CHI541"/>
      <c r="CHJ541"/>
      <c r="CHK541"/>
      <c r="CHL541"/>
      <c r="CHM541"/>
      <c r="CHN541"/>
      <c r="CHO541"/>
      <c r="CHP541"/>
      <c r="CHQ541"/>
      <c r="CHR541"/>
      <c r="CHS541"/>
      <c r="CHT541"/>
      <c r="CHU541"/>
      <c r="CHV541"/>
      <c r="CHW541"/>
      <c r="CHX541"/>
      <c r="CHY541"/>
      <c r="CHZ541"/>
      <c r="CIA541"/>
      <c r="CIB541"/>
      <c r="CIC541"/>
      <c r="CID541"/>
      <c r="CIE541"/>
      <c r="CIF541"/>
      <c r="CIG541"/>
      <c r="CIH541"/>
      <c r="CII541"/>
      <c r="CIJ541"/>
      <c r="CIK541"/>
      <c r="CIL541"/>
      <c r="CIM541"/>
      <c r="CIN541"/>
      <c r="CIO541"/>
      <c r="CIP541"/>
      <c r="CIQ541"/>
      <c r="CIR541"/>
      <c r="CIS541"/>
      <c r="CIT541"/>
      <c r="CIU541"/>
      <c r="CIV541"/>
      <c r="CIW541"/>
      <c r="CIX541"/>
      <c r="CIY541"/>
      <c r="CIZ541"/>
      <c r="CJA541"/>
      <c r="CJB541"/>
      <c r="CJC541"/>
      <c r="CJD541"/>
      <c r="CJE541"/>
      <c r="CJF541"/>
      <c r="CJG541"/>
      <c r="CJH541"/>
      <c r="CJI541"/>
      <c r="CJJ541"/>
      <c r="CJK541"/>
      <c r="CJL541"/>
      <c r="CJM541"/>
      <c r="CJN541"/>
      <c r="CJO541"/>
      <c r="CJP541"/>
      <c r="CJQ541"/>
      <c r="CJR541"/>
      <c r="CJS541"/>
      <c r="CJT541"/>
      <c r="CJU541"/>
      <c r="CJV541"/>
      <c r="CJW541"/>
      <c r="CJX541"/>
      <c r="CJY541"/>
      <c r="CJZ541"/>
      <c r="CKA541"/>
      <c r="CKB541"/>
      <c r="CKC541"/>
      <c r="CKD541"/>
      <c r="CKE541"/>
      <c r="CKF541"/>
      <c r="CKG541"/>
      <c r="CKH541"/>
      <c r="CKI541"/>
      <c r="CKJ541"/>
      <c r="CKK541"/>
      <c r="CKL541"/>
      <c r="CKM541"/>
      <c r="CKN541"/>
      <c r="CKO541"/>
      <c r="CKP541"/>
      <c r="CKQ541"/>
      <c r="CKR541"/>
      <c r="CKS541"/>
      <c r="CKT541"/>
      <c r="CKU541"/>
      <c r="CKV541"/>
      <c r="CKW541"/>
      <c r="CKX541"/>
      <c r="CKY541"/>
      <c r="CKZ541"/>
      <c r="CLA541"/>
      <c r="CLB541"/>
      <c r="CLC541"/>
      <c r="CLD541"/>
      <c r="CLE541"/>
      <c r="CLF541"/>
      <c r="CLG541"/>
      <c r="CLH541"/>
      <c r="CLI541"/>
      <c r="CLJ541"/>
      <c r="CLK541"/>
      <c r="CLL541"/>
      <c r="CLM541"/>
      <c r="CLN541"/>
      <c r="CLO541"/>
      <c r="CLP541"/>
      <c r="CLQ541"/>
      <c r="CLR541"/>
      <c r="CLS541"/>
      <c r="CLT541"/>
      <c r="CLU541"/>
      <c r="CLV541"/>
      <c r="CLW541"/>
      <c r="CLX541"/>
      <c r="CLY541"/>
      <c r="CLZ541"/>
      <c r="CMA541"/>
      <c r="CMB541"/>
      <c r="CMC541"/>
      <c r="CMD541"/>
      <c r="CME541"/>
      <c r="CMF541"/>
      <c r="CMG541"/>
      <c r="CMH541"/>
      <c r="CMI541"/>
      <c r="CMJ541"/>
      <c r="CMK541"/>
      <c r="CML541"/>
      <c r="CMM541"/>
      <c r="CMN541"/>
      <c r="CMO541"/>
      <c r="CMP541"/>
      <c r="CMQ541"/>
      <c r="CMR541"/>
      <c r="CMS541"/>
      <c r="CMT541"/>
      <c r="CMU541"/>
      <c r="CMV541"/>
      <c r="CMW541"/>
      <c r="CMX541"/>
      <c r="CMY541"/>
      <c r="CMZ541"/>
      <c r="CNA541"/>
      <c r="CNB541"/>
      <c r="CNC541"/>
      <c r="CND541"/>
      <c r="CNE541"/>
      <c r="CNF541"/>
      <c r="CNG541"/>
      <c r="CNH541"/>
      <c r="CNI541"/>
      <c r="CNJ541"/>
      <c r="CNK541"/>
      <c r="CNL541"/>
      <c r="CNM541"/>
      <c r="CNN541"/>
      <c r="CNO541"/>
      <c r="CNP541"/>
      <c r="CNQ541"/>
      <c r="CNR541"/>
      <c r="CNS541"/>
      <c r="CNT541"/>
      <c r="CNU541"/>
      <c r="CNV541"/>
      <c r="CNW541"/>
      <c r="CNX541"/>
      <c r="CNY541"/>
      <c r="CNZ541"/>
      <c r="COA541"/>
      <c r="COB541"/>
      <c r="COC541"/>
      <c r="COD541"/>
      <c r="COE541"/>
      <c r="COF541"/>
      <c r="COG541"/>
      <c r="COH541"/>
      <c r="COI541"/>
      <c r="COJ541"/>
      <c r="COK541"/>
      <c r="COL541"/>
      <c r="COM541"/>
      <c r="CON541"/>
      <c r="COO541"/>
      <c r="COP541"/>
      <c r="COQ541"/>
      <c r="COR541"/>
      <c r="COS541"/>
      <c r="COT541"/>
      <c r="COU541"/>
      <c r="COV541"/>
      <c r="COW541"/>
      <c r="COX541"/>
      <c r="COY541"/>
      <c r="COZ541"/>
      <c r="CPA541"/>
      <c r="CPB541"/>
      <c r="CPC541"/>
      <c r="CPD541"/>
      <c r="CPE541"/>
      <c r="CPF541"/>
      <c r="CPG541"/>
      <c r="CPH541"/>
      <c r="CPI541"/>
      <c r="CPJ541"/>
      <c r="CPK541"/>
      <c r="CPL541"/>
      <c r="CPM541"/>
      <c r="CPN541"/>
      <c r="CPO541"/>
      <c r="CPP541"/>
      <c r="CPQ541"/>
      <c r="CPR541"/>
      <c r="CPS541"/>
      <c r="CPT541"/>
      <c r="CPU541"/>
      <c r="CPV541"/>
      <c r="CPW541"/>
      <c r="CPX541"/>
      <c r="CPY541"/>
      <c r="CPZ541"/>
      <c r="CQA541"/>
      <c r="CQB541"/>
      <c r="CQC541"/>
      <c r="CQD541"/>
      <c r="CQE541"/>
      <c r="CQF541"/>
      <c r="CQG541"/>
      <c r="CQH541"/>
      <c r="CQI541"/>
      <c r="CQJ541"/>
      <c r="CQK541"/>
      <c r="CQL541"/>
      <c r="CQM541"/>
      <c r="CQN541"/>
      <c r="CQO541"/>
      <c r="CQP541"/>
      <c r="CQQ541"/>
      <c r="CQR541"/>
      <c r="CQS541"/>
      <c r="CQT541"/>
      <c r="CQU541"/>
      <c r="CQV541"/>
      <c r="CQW541"/>
      <c r="CQX541"/>
      <c r="CQY541"/>
      <c r="CQZ541"/>
      <c r="CRA541"/>
      <c r="CRB541"/>
      <c r="CRC541"/>
      <c r="CRD541"/>
      <c r="CRE541"/>
      <c r="CRF541"/>
      <c r="CRG541"/>
      <c r="CRH541"/>
      <c r="CRI541"/>
      <c r="CRJ541"/>
      <c r="CRK541"/>
      <c r="CRL541"/>
      <c r="CRM541"/>
      <c r="CRN541"/>
      <c r="CRO541"/>
      <c r="CRP541"/>
      <c r="CRQ541"/>
      <c r="CRR541"/>
      <c r="CRS541"/>
      <c r="CRT541"/>
      <c r="CRU541"/>
      <c r="CRV541"/>
      <c r="CRW541"/>
      <c r="CRX541"/>
      <c r="CRY541"/>
      <c r="CRZ541"/>
      <c r="CSA541"/>
      <c r="CSB541"/>
      <c r="CSC541"/>
      <c r="CSD541"/>
      <c r="CSE541"/>
      <c r="CSF541"/>
      <c r="CSG541"/>
      <c r="CSH541"/>
      <c r="CSI541"/>
      <c r="CSJ541"/>
      <c r="CSK541"/>
      <c r="CSL541"/>
      <c r="CSM541"/>
      <c r="CSN541"/>
      <c r="CSO541"/>
      <c r="CSP541"/>
      <c r="CSQ541"/>
      <c r="CSR541"/>
      <c r="CSS541"/>
      <c r="CST541"/>
      <c r="CSU541"/>
      <c r="CSV541"/>
      <c r="CSW541"/>
      <c r="CSX541"/>
      <c r="CSY541"/>
      <c r="CSZ541"/>
      <c r="CTA541"/>
      <c r="CTB541"/>
      <c r="CTC541"/>
      <c r="CTD541"/>
      <c r="CTE541"/>
      <c r="CTF541"/>
      <c r="CTG541"/>
      <c r="CTH541"/>
      <c r="CTI541"/>
      <c r="CTJ541"/>
      <c r="CTK541"/>
      <c r="CTL541"/>
      <c r="CTM541"/>
      <c r="CTN541"/>
      <c r="CTO541"/>
      <c r="CTP541"/>
      <c r="CTQ541"/>
      <c r="CTR541"/>
      <c r="CTS541"/>
      <c r="CTT541"/>
      <c r="CTU541"/>
      <c r="CTV541"/>
      <c r="CTW541"/>
      <c r="CTX541"/>
      <c r="CTY541"/>
      <c r="CTZ541"/>
      <c r="CUA541"/>
      <c r="CUB541"/>
      <c r="CUC541"/>
      <c r="CUD541"/>
      <c r="CUE541"/>
      <c r="CUF541"/>
      <c r="CUG541"/>
      <c r="CUH541"/>
      <c r="CUI541"/>
      <c r="CUJ541"/>
      <c r="CUK541"/>
      <c r="CUL541"/>
      <c r="CUM541"/>
      <c r="CUN541"/>
      <c r="CUO541"/>
      <c r="CUP541"/>
      <c r="CUQ541"/>
      <c r="CUR541"/>
      <c r="CUS541"/>
      <c r="CUT541"/>
      <c r="CUU541"/>
      <c r="CUV541"/>
      <c r="CUW541"/>
      <c r="CUX541"/>
      <c r="CUY541"/>
      <c r="CUZ541"/>
      <c r="CVA541"/>
      <c r="CVB541"/>
      <c r="CVC541"/>
      <c r="CVD541"/>
      <c r="CVE541"/>
      <c r="CVF541"/>
      <c r="CVG541"/>
      <c r="CVH541"/>
      <c r="CVI541"/>
      <c r="CVJ541"/>
      <c r="CVK541"/>
      <c r="CVL541"/>
      <c r="CVM541"/>
      <c r="CVN541"/>
      <c r="CVO541"/>
      <c r="CVP541"/>
      <c r="CVQ541"/>
      <c r="CVR541"/>
      <c r="CVS541"/>
      <c r="CVT541"/>
      <c r="CVU541"/>
      <c r="CVV541"/>
      <c r="CVW541"/>
      <c r="CVX541"/>
      <c r="CVY541"/>
      <c r="CVZ541"/>
      <c r="CWA541"/>
      <c r="CWB541"/>
      <c r="CWC541"/>
      <c r="CWD541"/>
      <c r="CWE541"/>
      <c r="CWF541"/>
      <c r="CWG541"/>
      <c r="CWH541"/>
      <c r="CWI541"/>
      <c r="CWJ541"/>
      <c r="CWK541"/>
      <c r="CWL541"/>
      <c r="CWM541"/>
      <c r="CWN541"/>
      <c r="CWO541"/>
      <c r="CWP541"/>
      <c r="CWQ541"/>
      <c r="CWR541"/>
      <c r="CWS541"/>
      <c r="CWT541"/>
      <c r="CWU541"/>
      <c r="CWV541"/>
      <c r="CWW541"/>
      <c r="CWX541"/>
      <c r="CWY541"/>
      <c r="CWZ541"/>
      <c r="CXA541"/>
      <c r="CXB541"/>
      <c r="CXC541"/>
      <c r="CXD541"/>
      <c r="CXE541"/>
      <c r="CXF541"/>
      <c r="CXG541"/>
      <c r="CXH541"/>
      <c r="CXI541"/>
      <c r="CXJ541"/>
      <c r="CXK541"/>
      <c r="CXL541"/>
      <c r="CXM541"/>
      <c r="CXN541"/>
      <c r="CXO541"/>
      <c r="CXP541"/>
      <c r="CXQ541"/>
      <c r="CXR541"/>
      <c r="CXS541"/>
      <c r="CXT541"/>
      <c r="CXU541"/>
      <c r="CXV541"/>
      <c r="CXW541"/>
      <c r="CXX541"/>
      <c r="CXY541"/>
      <c r="CXZ541"/>
      <c r="CYA541"/>
      <c r="CYB541"/>
      <c r="CYC541"/>
      <c r="CYD541"/>
      <c r="CYE541"/>
      <c r="CYF541"/>
      <c r="CYG541"/>
      <c r="CYH541"/>
      <c r="CYI541"/>
      <c r="CYJ541"/>
      <c r="CYK541"/>
      <c r="CYL541"/>
      <c r="CYM541"/>
      <c r="CYN541"/>
      <c r="CYO541"/>
      <c r="CYP541"/>
      <c r="CYQ541"/>
      <c r="CYR541"/>
      <c r="CYS541"/>
      <c r="CYT541"/>
      <c r="CYU541"/>
      <c r="CYV541"/>
      <c r="CYW541"/>
      <c r="CYX541"/>
      <c r="CYY541"/>
      <c r="CYZ541"/>
      <c r="CZA541"/>
      <c r="CZB541"/>
      <c r="CZC541"/>
      <c r="CZD541"/>
      <c r="CZE541"/>
      <c r="CZF541"/>
      <c r="CZG541"/>
      <c r="CZH541"/>
      <c r="CZI541"/>
      <c r="CZJ541"/>
      <c r="CZK541"/>
      <c r="CZL541"/>
      <c r="CZM541"/>
      <c r="CZN541"/>
      <c r="CZO541"/>
      <c r="CZP541"/>
      <c r="CZQ541"/>
      <c r="CZR541"/>
      <c r="CZS541"/>
      <c r="CZT541"/>
      <c r="CZU541"/>
      <c r="CZV541"/>
      <c r="CZW541"/>
      <c r="CZX541"/>
      <c r="CZY541"/>
      <c r="CZZ541"/>
      <c r="DAA541"/>
      <c r="DAB541"/>
      <c r="DAC541"/>
      <c r="DAD541"/>
      <c r="DAE541"/>
      <c r="DAF541"/>
      <c r="DAG541"/>
      <c r="DAH541"/>
      <c r="DAI541"/>
      <c r="DAJ541"/>
      <c r="DAK541"/>
      <c r="DAL541"/>
      <c r="DAM541"/>
      <c r="DAN541"/>
      <c r="DAO541"/>
      <c r="DAP541"/>
      <c r="DAQ541"/>
      <c r="DAR541"/>
      <c r="DAS541"/>
      <c r="DAT541"/>
      <c r="DAU541"/>
      <c r="DAV541"/>
      <c r="DAW541"/>
      <c r="DAX541"/>
      <c r="DAY541"/>
      <c r="DAZ541"/>
      <c r="DBA541"/>
      <c r="DBB541"/>
      <c r="DBC541"/>
      <c r="DBD541"/>
      <c r="DBE541"/>
      <c r="DBF541"/>
      <c r="DBG541"/>
      <c r="DBH541"/>
      <c r="DBI541"/>
      <c r="DBJ541"/>
      <c r="DBK541"/>
      <c r="DBL541"/>
      <c r="DBM541"/>
      <c r="DBN541"/>
      <c r="DBO541"/>
      <c r="DBP541"/>
      <c r="DBQ541"/>
      <c r="DBR541"/>
      <c r="DBS541"/>
      <c r="DBT541"/>
      <c r="DBU541"/>
      <c r="DBV541"/>
      <c r="DBW541"/>
      <c r="DBX541"/>
      <c r="DBY541"/>
      <c r="DBZ541"/>
      <c r="DCA541"/>
      <c r="DCB541"/>
      <c r="DCC541"/>
      <c r="DCD541"/>
      <c r="DCE541"/>
      <c r="DCF541"/>
      <c r="DCG541"/>
      <c r="DCH541"/>
      <c r="DCI541"/>
      <c r="DCJ541"/>
      <c r="DCK541"/>
      <c r="DCL541"/>
      <c r="DCM541"/>
      <c r="DCN541"/>
      <c r="DCO541"/>
      <c r="DCP541"/>
      <c r="DCQ541"/>
      <c r="DCR541"/>
      <c r="DCS541"/>
      <c r="DCT541"/>
      <c r="DCU541"/>
      <c r="DCV541"/>
      <c r="DCW541"/>
      <c r="DCX541"/>
      <c r="DCY541"/>
      <c r="DCZ541"/>
      <c r="DDA541"/>
      <c r="DDB541"/>
      <c r="DDC541"/>
      <c r="DDD541"/>
      <c r="DDE541"/>
      <c r="DDF541"/>
      <c r="DDG541"/>
      <c r="DDH541"/>
      <c r="DDI541"/>
      <c r="DDJ541"/>
      <c r="DDK541"/>
      <c r="DDL541"/>
      <c r="DDM541"/>
      <c r="DDN541"/>
      <c r="DDO541"/>
      <c r="DDP541"/>
      <c r="DDQ541"/>
      <c r="DDR541"/>
      <c r="DDS541"/>
      <c r="DDT541"/>
      <c r="DDU541"/>
      <c r="DDV541"/>
      <c r="DDW541"/>
      <c r="DDX541"/>
      <c r="DDY541"/>
      <c r="DDZ541"/>
      <c r="DEA541"/>
      <c r="DEB541"/>
      <c r="DEC541"/>
      <c r="DED541"/>
      <c r="DEE541"/>
      <c r="DEF541"/>
      <c r="DEG541"/>
      <c r="DEH541"/>
      <c r="DEI541"/>
      <c r="DEJ541"/>
      <c r="DEK541"/>
      <c r="DEL541"/>
      <c r="DEM541"/>
      <c r="DEN541"/>
      <c r="DEO541"/>
      <c r="DEP541"/>
      <c r="DEQ541"/>
      <c r="DER541"/>
      <c r="DES541"/>
      <c r="DET541"/>
      <c r="DEU541"/>
      <c r="DEV541"/>
      <c r="DEW541"/>
      <c r="DEX541"/>
      <c r="DEY541"/>
      <c r="DEZ541"/>
      <c r="DFA541"/>
      <c r="DFB541"/>
      <c r="DFC541"/>
      <c r="DFD541"/>
      <c r="DFE541"/>
      <c r="DFF541"/>
      <c r="DFG541"/>
      <c r="DFH541"/>
      <c r="DFI541"/>
      <c r="DFJ541"/>
      <c r="DFK541"/>
      <c r="DFL541"/>
      <c r="DFM541"/>
      <c r="DFN541"/>
      <c r="DFO541"/>
      <c r="DFP541"/>
      <c r="DFQ541"/>
      <c r="DFR541"/>
      <c r="DFS541"/>
      <c r="DFT541"/>
      <c r="DFU541"/>
      <c r="DFV541"/>
      <c r="DFW541"/>
      <c r="DFX541"/>
      <c r="DFY541"/>
      <c r="DFZ541"/>
      <c r="DGA541"/>
      <c r="DGB541"/>
      <c r="DGC541"/>
      <c r="DGD541"/>
      <c r="DGE541"/>
      <c r="DGF541"/>
      <c r="DGG541"/>
      <c r="DGH541"/>
      <c r="DGI541"/>
      <c r="DGJ541"/>
      <c r="DGK541"/>
      <c r="DGL541"/>
      <c r="DGM541"/>
      <c r="DGN541"/>
      <c r="DGO541"/>
      <c r="DGP541"/>
      <c r="DGQ541"/>
      <c r="DGR541"/>
      <c r="DGS541"/>
      <c r="DGT541"/>
      <c r="DGU541"/>
      <c r="DGV541"/>
      <c r="DGW541"/>
      <c r="DGX541"/>
      <c r="DGY541"/>
      <c r="DGZ541"/>
      <c r="DHA541"/>
      <c r="DHB541"/>
      <c r="DHC541"/>
      <c r="DHD541"/>
      <c r="DHE541"/>
      <c r="DHF541"/>
      <c r="DHG541"/>
      <c r="DHH541"/>
      <c r="DHI541"/>
      <c r="DHJ541"/>
      <c r="DHK541"/>
      <c r="DHL541"/>
      <c r="DHM541"/>
      <c r="DHN541"/>
      <c r="DHO541"/>
      <c r="DHP541"/>
      <c r="DHQ541"/>
      <c r="DHR541"/>
      <c r="DHS541"/>
      <c r="DHT541"/>
      <c r="DHU541"/>
      <c r="DHV541"/>
      <c r="DHW541"/>
      <c r="DHX541"/>
      <c r="DHY541"/>
      <c r="DHZ541"/>
      <c r="DIA541"/>
      <c r="DIB541"/>
      <c r="DIC541"/>
      <c r="DID541"/>
      <c r="DIE541"/>
      <c r="DIF541"/>
      <c r="DIG541"/>
      <c r="DIH541"/>
      <c r="DII541"/>
      <c r="DIJ541"/>
      <c r="DIK541"/>
      <c r="DIL541"/>
      <c r="DIM541"/>
      <c r="DIN541"/>
      <c r="DIO541"/>
      <c r="DIP541"/>
      <c r="DIQ541"/>
      <c r="DIR541"/>
      <c r="DIS541"/>
      <c r="DIT541"/>
      <c r="DIU541"/>
      <c r="DIV541"/>
      <c r="DIW541"/>
      <c r="DIX541"/>
      <c r="DIY541"/>
      <c r="DIZ541"/>
      <c r="DJA541"/>
      <c r="DJB541"/>
      <c r="DJC541"/>
      <c r="DJD541"/>
      <c r="DJE541"/>
      <c r="DJF541"/>
      <c r="DJG541"/>
      <c r="DJH541"/>
      <c r="DJI541"/>
      <c r="DJJ541"/>
      <c r="DJK541"/>
      <c r="DJL541"/>
      <c r="DJM541"/>
      <c r="DJN541"/>
      <c r="DJO541"/>
      <c r="DJP541"/>
      <c r="DJQ541"/>
      <c r="DJR541"/>
      <c r="DJS541"/>
      <c r="DJT541"/>
      <c r="DJU541"/>
      <c r="DJV541"/>
      <c r="DJW541"/>
      <c r="DJX541"/>
      <c r="DJY541"/>
      <c r="DJZ541"/>
      <c r="DKA541"/>
      <c r="DKB541"/>
      <c r="DKC541"/>
      <c r="DKD541"/>
      <c r="DKE541"/>
      <c r="DKF541"/>
      <c r="DKG541"/>
      <c r="DKH541"/>
      <c r="DKI541"/>
      <c r="DKJ541"/>
      <c r="DKK541"/>
      <c r="DKL541"/>
      <c r="DKM541"/>
      <c r="DKN541"/>
      <c r="DKO541"/>
      <c r="DKP541"/>
      <c r="DKQ541"/>
      <c r="DKR541"/>
      <c r="DKS541"/>
      <c r="DKT541"/>
      <c r="DKU541"/>
      <c r="DKV541"/>
      <c r="DKW541"/>
      <c r="DKX541"/>
      <c r="DKY541"/>
      <c r="DKZ541"/>
      <c r="DLA541"/>
      <c r="DLB541"/>
      <c r="DLC541"/>
      <c r="DLD541"/>
      <c r="DLE541"/>
      <c r="DLF541"/>
      <c r="DLG541"/>
      <c r="DLH541"/>
      <c r="DLI541"/>
      <c r="DLJ541"/>
      <c r="DLK541"/>
      <c r="DLL541"/>
      <c r="DLM541"/>
      <c r="DLN541"/>
      <c r="DLO541"/>
      <c r="DLP541"/>
      <c r="DLQ541"/>
      <c r="DLR541"/>
      <c r="DLS541"/>
      <c r="DLT541"/>
      <c r="DLU541"/>
      <c r="DLV541"/>
      <c r="DLW541"/>
      <c r="DLX541"/>
      <c r="DLY541"/>
      <c r="DLZ541"/>
      <c r="DMA541"/>
      <c r="DMB541"/>
      <c r="DMC541"/>
      <c r="DMD541"/>
      <c r="DME541"/>
      <c r="DMF541"/>
      <c r="DMG541"/>
      <c r="DMH541"/>
      <c r="DMI541"/>
      <c r="DMJ541"/>
      <c r="DMK541"/>
      <c r="DML541"/>
      <c r="DMM541"/>
      <c r="DMN541"/>
      <c r="DMO541"/>
      <c r="DMP541"/>
      <c r="DMQ541"/>
      <c r="DMR541"/>
      <c r="DMS541"/>
      <c r="DMT541"/>
      <c r="DMU541"/>
      <c r="DMV541"/>
      <c r="DMW541"/>
      <c r="DMX541"/>
      <c r="DMY541"/>
      <c r="DMZ541"/>
      <c r="DNA541"/>
      <c r="DNB541"/>
      <c r="DNC541"/>
      <c r="DND541"/>
      <c r="DNE541"/>
      <c r="DNF541"/>
      <c r="DNG541"/>
      <c r="DNH541"/>
      <c r="DNI541"/>
      <c r="DNJ541"/>
      <c r="DNK541"/>
      <c r="DNL541"/>
      <c r="DNM541"/>
      <c r="DNN541"/>
      <c r="DNO541"/>
      <c r="DNP541"/>
      <c r="DNQ541"/>
      <c r="DNR541"/>
      <c r="DNS541"/>
      <c r="DNT541"/>
      <c r="DNU541"/>
      <c r="DNV541"/>
      <c r="DNW541"/>
      <c r="DNX541"/>
      <c r="DNY541"/>
      <c r="DNZ541"/>
      <c r="DOA541"/>
      <c r="DOB541"/>
      <c r="DOC541"/>
      <c r="DOD541"/>
      <c r="DOE541"/>
      <c r="DOF541"/>
      <c r="DOG541"/>
      <c r="DOH541"/>
      <c r="DOI541"/>
      <c r="DOJ541"/>
      <c r="DOK541"/>
      <c r="DOL541"/>
      <c r="DOM541"/>
      <c r="DON541"/>
      <c r="DOO541"/>
      <c r="DOP541"/>
      <c r="DOQ541"/>
      <c r="DOR541"/>
      <c r="DOS541"/>
      <c r="DOT541"/>
      <c r="DOU541"/>
      <c r="DOV541"/>
      <c r="DOW541"/>
      <c r="DOX541"/>
      <c r="DOY541"/>
      <c r="DOZ541"/>
      <c r="DPA541"/>
      <c r="DPB541"/>
      <c r="DPC541"/>
      <c r="DPD541"/>
      <c r="DPE541"/>
      <c r="DPF541"/>
      <c r="DPG541"/>
      <c r="DPH541"/>
      <c r="DPI541"/>
      <c r="DPJ541"/>
      <c r="DPK541"/>
      <c r="DPL541"/>
      <c r="DPM541"/>
      <c r="DPN541"/>
      <c r="DPO541"/>
      <c r="DPP541"/>
      <c r="DPQ541"/>
      <c r="DPR541"/>
      <c r="DPS541"/>
      <c r="DPT541"/>
      <c r="DPU541"/>
      <c r="DPV541"/>
      <c r="DPW541"/>
      <c r="DPX541"/>
      <c r="DPY541"/>
      <c r="DPZ541"/>
      <c r="DQA541"/>
      <c r="DQB541"/>
      <c r="DQC541"/>
      <c r="DQD541"/>
      <c r="DQE541"/>
      <c r="DQF541"/>
      <c r="DQG541"/>
      <c r="DQH541"/>
      <c r="DQI541"/>
      <c r="DQJ541"/>
      <c r="DQK541"/>
      <c r="DQL541"/>
      <c r="DQM541"/>
      <c r="DQN541"/>
      <c r="DQO541"/>
      <c r="DQP541"/>
      <c r="DQQ541"/>
      <c r="DQR541"/>
      <c r="DQS541"/>
      <c r="DQT541"/>
      <c r="DQU541"/>
      <c r="DQV541"/>
      <c r="DQW541"/>
      <c r="DQX541"/>
      <c r="DQY541"/>
      <c r="DQZ541"/>
      <c r="DRA541"/>
      <c r="DRB541"/>
      <c r="DRC541"/>
      <c r="DRD541"/>
      <c r="DRE541"/>
      <c r="DRF541"/>
      <c r="DRG541"/>
      <c r="DRH541"/>
      <c r="DRI541"/>
      <c r="DRJ541"/>
      <c r="DRK541"/>
      <c r="DRL541"/>
      <c r="DRM541"/>
      <c r="DRN541"/>
      <c r="DRO541"/>
      <c r="DRP541"/>
      <c r="DRQ541"/>
      <c r="DRR541"/>
      <c r="DRS541"/>
      <c r="DRT541"/>
      <c r="DRU541"/>
      <c r="DRV541"/>
      <c r="DRW541"/>
      <c r="DRX541"/>
      <c r="DRY541"/>
      <c r="DRZ541"/>
      <c r="DSA541"/>
      <c r="DSB541"/>
      <c r="DSC541"/>
      <c r="DSD541"/>
      <c r="DSE541"/>
      <c r="DSF541"/>
      <c r="DSG541"/>
      <c r="DSH541"/>
      <c r="DSI541"/>
      <c r="DSJ541"/>
      <c r="DSK541"/>
      <c r="DSL541"/>
      <c r="DSM541"/>
      <c r="DSN541"/>
      <c r="DSO541"/>
      <c r="DSP541"/>
      <c r="DSQ541"/>
      <c r="DSR541"/>
      <c r="DSS541"/>
      <c r="DST541"/>
      <c r="DSU541"/>
      <c r="DSV541"/>
      <c r="DSW541"/>
      <c r="DSX541"/>
      <c r="DSY541"/>
      <c r="DSZ541"/>
      <c r="DTA541"/>
      <c r="DTB541"/>
      <c r="DTC541"/>
      <c r="DTD541"/>
      <c r="DTE541"/>
      <c r="DTF541"/>
      <c r="DTG541"/>
      <c r="DTH541"/>
      <c r="DTI541"/>
      <c r="DTJ541"/>
      <c r="DTK541"/>
      <c r="DTL541"/>
      <c r="DTM541"/>
      <c r="DTN541"/>
      <c r="DTO541"/>
      <c r="DTP541"/>
      <c r="DTQ541"/>
      <c r="DTR541"/>
      <c r="DTS541"/>
      <c r="DTT541"/>
      <c r="DTU541"/>
      <c r="DTV541"/>
      <c r="DTW541"/>
      <c r="DTX541"/>
      <c r="DTY541"/>
      <c r="DTZ541"/>
      <c r="DUA541"/>
      <c r="DUB541"/>
      <c r="DUC541"/>
      <c r="DUD541"/>
      <c r="DUE541"/>
      <c r="DUF541"/>
      <c r="DUG541"/>
      <c r="DUH541"/>
      <c r="DUI541"/>
      <c r="DUJ541"/>
      <c r="DUK541"/>
      <c r="DUL541"/>
      <c r="DUM541"/>
      <c r="DUN541"/>
      <c r="DUO541"/>
      <c r="DUP541"/>
      <c r="DUQ541"/>
      <c r="DUR541"/>
      <c r="DUS541"/>
      <c r="DUT541"/>
      <c r="DUU541"/>
      <c r="DUV541"/>
      <c r="DUW541"/>
      <c r="DUX541"/>
      <c r="DUY541"/>
      <c r="DUZ541"/>
      <c r="DVA541"/>
      <c r="DVB541"/>
      <c r="DVC541"/>
      <c r="DVD541"/>
      <c r="DVE541"/>
      <c r="DVF541"/>
      <c r="DVG541"/>
      <c r="DVH541"/>
      <c r="DVI541"/>
      <c r="DVJ541"/>
      <c r="DVK541"/>
      <c r="DVL541"/>
      <c r="DVM541"/>
      <c r="DVN541"/>
      <c r="DVO541"/>
      <c r="DVP541"/>
      <c r="DVQ541"/>
      <c r="DVR541"/>
      <c r="DVS541"/>
      <c r="DVT541"/>
      <c r="DVU541"/>
      <c r="DVV541"/>
      <c r="DVW541"/>
      <c r="DVX541"/>
      <c r="DVY541"/>
      <c r="DVZ541"/>
      <c r="DWA541"/>
      <c r="DWB541"/>
      <c r="DWC541"/>
      <c r="DWD541"/>
      <c r="DWE541"/>
      <c r="DWF541"/>
      <c r="DWG541"/>
      <c r="DWH541"/>
      <c r="DWI541"/>
      <c r="DWJ541"/>
      <c r="DWK541"/>
      <c r="DWL541"/>
      <c r="DWM541"/>
      <c r="DWN541"/>
      <c r="DWO541"/>
      <c r="DWP541"/>
      <c r="DWQ541"/>
      <c r="DWR541"/>
      <c r="DWS541"/>
      <c r="DWT541"/>
      <c r="DWU541"/>
      <c r="DWV541"/>
      <c r="DWW541"/>
      <c r="DWX541"/>
      <c r="DWY541"/>
      <c r="DWZ541"/>
      <c r="DXA541"/>
      <c r="DXB541"/>
      <c r="DXC541"/>
      <c r="DXD541"/>
      <c r="DXE541"/>
      <c r="DXF541"/>
      <c r="DXG541"/>
      <c r="DXH541"/>
      <c r="DXI541"/>
      <c r="DXJ541"/>
      <c r="DXK541"/>
      <c r="DXL541"/>
      <c r="DXM541"/>
      <c r="DXN541"/>
      <c r="DXO541"/>
      <c r="DXP541"/>
      <c r="DXQ541"/>
      <c r="DXR541"/>
      <c r="DXS541"/>
      <c r="DXT541"/>
      <c r="DXU541"/>
      <c r="DXV541"/>
      <c r="DXW541"/>
      <c r="DXX541"/>
      <c r="DXY541"/>
      <c r="DXZ541"/>
      <c r="DYA541"/>
      <c r="DYB541"/>
      <c r="DYC541"/>
      <c r="DYD541"/>
      <c r="DYE541"/>
      <c r="DYF541"/>
      <c r="DYG541"/>
      <c r="DYH541"/>
      <c r="DYI541"/>
      <c r="DYJ541"/>
      <c r="DYK541"/>
      <c r="DYL541"/>
      <c r="DYM541"/>
      <c r="DYN541"/>
      <c r="DYO541"/>
      <c r="DYP541"/>
      <c r="DYQ541"/>
      <c r="DYR541"/>
      <c r="DYS541"/>
      <c r="DYT541"/>
      <c r="DYU541"/>
      <c r="DYV541"/>
      <c r="DYW541"/>
      <c r="DYX541"/>
      <c r="DYY541"/>
      <c r="DYZ541"/>
      <c r="DZA541"/>
      <c r="DZB541"/>
      <c r="DZC541"/>
      <c r="DZD541"/>
      <c r="DZE541"/>
      <c r="DZF541"/>
      <c r="DZG541"/>
      <c r="DZH541"/>
      <c r="DZI541"/>
      <c r="DZJ541"/>
      <c r="DZK541"/>
      <c r="DZL541"/>
      <c r="DZM541"/>
      <c r="DZN541"/>
      <c r="DZO541"/>
      <c r="DZP541"/>
      <c r="DZQ541"/>
      <c r="DZR541"/>
      <c r="DZS541"/>
      <c r="DZT541"/>
      <c r="DZU541"/>
      <c r="DZV541"/>
      <c r="DZW541"/>
      <c r="DZX541"/>
      <c r="DZY541"/>
      <c r="DZZ541"/>
      <c r="EAA541"/>
      <c r="EAB541"/>
      <c r="EAC541"/>
      <c r="EAD541"/>
      <c r="EAE541"/>
      <c r="EAF541"/>
      <c r="EAG541"/>
      <c r="EAH541"/>
      <c r="EAI541"/>
      <c r="EAJ541"/>
      <c r="EAK541"/>
      <c r="EAL541"/>
      <c r="EAM541"/>
      <c r="EAN541"/>
      <c r="EAO541"/>
      <c r="EAP541"/>
      <c r="EAQ541"/>
      <c r="EAR541"/>
      <c r="EAS541"/>
      <c r="EAT541"/>
      <c r="EAU541"/>
      <c r="EAV541"/>
      <c r="EAW541"/>
      <c r="EAX541"/>
      <c r="EAY541"/>
      <c r="EAZ541"/>
      <c r="EBA541"/>
      <c r="EBB541"/>
      <c r="EBC541"/>
      <c r="EBD541"/>
      <c r="EBE541"/>
      <c r="EBF541"/>
      <c r="EBG541"/>
      <c r="EBH541"/>
      <c r="EBI541"/>
      <c r="EBJ541"/>
      <c r="EBK541"/>
      <c r="EBL541"/>
      <c r="EBM541"/>
      <c r="EBN541"/>
      <c r="EBO541"/>
      <c r="EBP541"/>
      <c r="EBQ541"/>
      <c r="EBR541"/>
      <c r="EBS541"/>
      <c r="EBT541"/>
      <c r="EBU541"/>
      <c r="EBV541"/>
      <c r="EBW541"/>
      <c r="EBX541"/>
      <c r="EBY541"/>
      <c r="EBZ541"/>
      <c r="ECA541"/>
      <c r="ECB541"/>
      <c r="ECC541"/>
      <c r="ECD541"/>
      <c r="ECE541"/>
      <c r="ECF541"/>
      <c r="ECG541"/>
      <c r="ECH541"/>
      <c r="ECI541"/>
      <c r="ECJ541"/>
      <c r="ECK541"/>
      <c r="ECL541"/>
      <c r="ECM541"/>
      <c r="ECN541"/>
      <c r="ECO541"/>
      <c r="ECP541"/>
      <c r="ECQ541"/>
      <c r="ECR541"/>
      <c r="ECS541"/>
      <c r="ECT541"/>
      <c r="ECU541"/>
      <c r="ECV541"/>
      <c r="ECW541"/>
      <c r="ECX541"/>
      <c r="ECY541"/>
      <c r="ECZ541"/>
      <c r="EDA541"/>
      <c r="EDB541"/>
      <c r="EDC541"/>
      <c r="EDD541"/>
      <c r="EDE541"/>
      <c r="EDF541"/>
      <c r="EDG541"/>
      <c r="EDH541"/>
      <c r="EDI541"/>
      <c r="EDJ541"/>
      <c r="EDK541"/>
      <c r="EDL541"/>
      <c r="EDM541"/>
      <c r="EDN541"/>
      <c r="EDO541"/>
      <c r="EDP541"/>
      <c r="EDQ541"/>
      <c r="EDR541"/>
      <c r="EDS541"/>
      <c r="EDT541"/>
      <c r="EDU541"/>
      <c r="EDV541"/>
      <c r="EDW541"/>
      <c r="EDX541"/>
      <c r="EDY541"/>
      <c r="EDZ541"/>
      <c r="EEA541"/>
      <c r="EEB541"/>
      <c r="EEC541"/>
      <c r="EED541"/>
      <c r="EEE541"/>
      <c r="EEF541"/>
      <c r="EEG541"/>
      <c r="EEH541"/>
      <c r="EEI541"/>
      <c r="EEJ541"/>
      <c r="EEK541"/>
      <c r="EEL541"/>
      <c r="EEM541"/>
      <c r="EEN541"/>
      <c r="EEO541"/>
      <c r="EEP541"/>
      <c r="EEQ541"/>
      <c r="EER541"/>
      <c r="EES541"/>
      <c r="EET541"/>
      <c r="EEU541"/>
      <c r="EEV541"/>
      <c r="EEW541"/>
      <c r="EEX541"/>
      <c r="EEY541"/>
      <c r="EEZ541"/>
      <c r="EFA541"/>
      <c r="EFB541"/>
      <c r="EFC541"/>
      <c r="EFD541"/>
      <c r="EFE541"/>
      <c r="EFF541"/>
      <c r="EFG541"/>
      <c r="EFH541"/>
      <c r="EFI541"/>
      <c r="EFJ541"/>
      <c r="EFK541"/>
      <c r="EFL541"/>
      <c r="EFM541"/>
      <c r="EFN541"/>
      <c r="EFO541"/>
      <c r="EFP541"/>
      <c r="EFQ541"/>
      <c r="EFR541"/>
      <c r="EFS541"/>
      <c r="EFT541"/>
      <c r="EFU541"/>
      <c r="EFV541"/>
      <c r="EFW541"/>
      <c r="EFX541"/>
      <c r="EFY541"/>
      <c r="EFZ541"/>
      <c r="EGA541"/>
      <c r="EGB541"/>
      <c r="EGC541"/>
      <c r="EGD541"/>
      <c r="EGE541"/>
      <c r="EGF541"/>
      <c r="EGG541"/>
      <c r="EGH541"/>
      <c r="EGI541"/>
      <c r="EGJ541"/>
      <c r="EGK541"/>
      <c r="EGL541"/>
      <c r="EGM541"/>
      <c r="EGN541"/>
      <c r="EGO541"/>
      <c r="EGP541"/>
      <c r="EGQ541"/>
      <c r="EGR541"/>
      <c r="EGS541"/>
      <c r="EGT541"/>
      <c r="EGU541"/>
      <c r="EGV541"/>
      <c r="EGW541"/>
      <c r="EGX541"/>
      <c r="EGY541"/>
      <c r="EGZ541"/>
      <c r="EHA541"/>
      <c r="EHB541"/>
      <c r="EHC541"/>
      <c r="EHD541"/>
      <c r="EHE541"/>
      <c r="EHF541"/>
      <c r="EHG541"/>
      <c r="EHH541"/>
      <c r="EHI541"/>
      <c r="EHJ541"/>
      <c r="EHK541"/>
      <c r="EHL541"/>
      <c r="EHM541"/>
      <c r="EHN541"/>
      <c r="EHO541"/>
      <c r="EHP541"/>
      <c r="EHQ541"/>
      <c r="EHR541"/>
      <c r="EHS541"/>
      <c r="EHT541"/>
      <c r="EHU541"/>
      <c r="EHV541"/>
      <c r="EHW541"/>
      <c r="EHX541"/>
      <c r="EHY541"/>
      <c r="EHZ541"/>
      <c r="EIA541"/>
      <c r="EIB541"/>
      <c r="EIC541"/>
      <c r="EID541"/>
      <c r="EIE541"/>
      <c r="EIF541"/>
      <c r="EIG541"/>
      <c r="EIH541"/>
      <c r="EII541"/>
      <c r="EIJ541"/>
      <c r="EIK541"/>
      <c r="EIL541"/>
      <c r="EIM541"/>
      <c r="EIN541"/>
      <c r="EIO541"/>
      <c r="EIP541"/>
      <c r="EIQ541"/>
      <c r="EIR541"/>
      <c r="EIS541"/>
      <c r="EIT541"/>
      <c r="EIU541"/>
      <c r="EIV541"/>
      <c r="EIW541"/>
      <c r="EIX541"/>
      <c r="EIY541"/>
      <c r="EIZ541"/>
      <c r="EJA541"/>
      <c r="EJB541"/>
      <c r="EJC541"/>
      <c r="EJD541"/>
      <c r="EJE541"/>
      <c r="EJF541"/>
      <c r="EJG541"/>
      <c r="EJH541"/>
      <c r="EJI541"/>
      <c r="EJJ541"/>
      <c r="EJK541"/>
      <c r="EJL541"/>
      <c r="EJM541"/>
      <c r="EJN541"/>
      <c r="EJO541"/>
      <c r="EJP541"/>
      <c r="EJQ541"/>
      <c r="EJR541"/>
      <c r="EJS541"/>
      <c r="EJT541"/>
      <c r="EJU541"/>
      <c r="EJV541"/>
      <c r="EJW541"/>
      <c r="EJX541"/>
      <c r="EJY541"/>
      <c r="EJZ541"/>
      <c r="EKA541"/>
      <c r="EKB541"/>
      <c r="EKC541"/>
      <c r="EKD541"/>
      <c r="EKE541"/>
      <c r="EKF541"/>
      <c r="EKG541"/>
      <c r="EKH541"/>
      <c r="EKI541"/>
      <c r="EKJ541"/>
      <c r="EKK541"/>
      <c r="EKL541"/>
      <c r="EKM541"/>
      <c r="EKN541"/>
      <c r="EKO541"/>
      <c r="EKP541"/>
      <c r="EKQ541"/>
      <c r="EKR541"/>
      <c r="EKS541"/>
      <c r="EKT541"/>
      <c r="EKU541"/>
      <c r="EKV541"/>
      <c r="EKW541"/>
      <c r="EKX541"/>
      <c r="EKY541"/>
      <c r="EKZ541"/>
      <c r="ELA541"/>
      <c r="ELB541"/>
      <c r="ELC541"/>
      <c r="ELD541"/>
      <c r="ELE541"/>
      <c r="ELF541"/>
      <c r="ELG541"/>
      <c r="ELH541"/>
      <c r="ELI541"/>
      <c r="ELJ541"/>
      <c r="ELK541"/>
      <c r="ELL541"/>
      <c r="ELM541"/>
      <c r="ELN541"/>
      <c r="ELO541"/>
      <c r="ELP541"/>
      <c r="ELQ541"/>
      <c r="ELR541"/>
      <c r="ELS541"/>
      <c r="ELT541"/>
      <c r="ELU541"/>
      <c r="ELV541"/>
      <c r="ELW541"/>
      <c r="ELX541"/>
      <c r="ELY541"/>
      <c r="ELZ541"/>
      <c r="EMA541"/>
      <c r="EMB541"/>
      <c r="EMC541"/>
      <c r="EMD541"/>
      <c r="EME541"/>
      <c r="EMF541"/>
      <c r="EMG541"/>
      <c r="EMH541"/>
      <c r="EMI541"/>
      <c r="EMJ541"/>
      <c r="EMK541"/>
      <c r="EML541"/>
      <c r="EMM541"/>
      <c r="EMN541"/>
      <c r="EMO541"/>
      <c r="EMP541"/>
      <c r="EMQ541"/>
      <c r="EMR541"/>
      <c r="EMS541"/>
      <c r="EMT541"/>
      <c r="EMU541"/>
      <c r="EMV541"/>
      <c r="EMW541"/>
      <c r="EMX541"/>
      <c r="EMY541"/>
      <c r="EMZ541"/>
      <c r="ENA541"/>
      <c r="ENB541"/>
      <c r="ENC541"/>
      <c r="END541"/>
      <c r="ENE541"/>
      <c r="ENF541"/>
      <c r="ENG541"/>
      <c r="ENH541"/>
      <c r="ENI541"/>
      <c r="ENJ541"/>
      <c r="ENK541"/>
      <c r="ENL541"/>
      <c r="ENM541"/>
      <c r="ENN541"/>
      <c r="ENO541"/>
      <c r="ENP541"/>
      <c r="ENQ541"/>
      <c r="ENR541"/>
      <c r="ENS541"/>
      <c r="ENT541"/>
      <c r="ENU541"/>
      <c r="ENV541"/>
      <c r="ENW541"/>
      <c r="ENX541"/>
      <c r="ENY541"/>
      <c r="ENZ541"/>
      <c r="EOA541"/>
      <c r="EOB541"/>
      <c r="EOC541"/>
      <c r="EOD541"/>
      <c r="EOE541"/>
      <c r="EOF541"/>
      <c r="EOG541"/>
      <c r="EOH541"/>
      <c r="EOI541"/>
      <c r="EOJ541"/>
      <c r="EOK541"/>
      <c r="EOL541"/>
      <c r="EOM541"/>
      <c r="EON541"/>
      <c r="EOO541"/>
      <c r="EOP541"/>
      <c r="EOQ541"/>
      <c r="EOR541"/>
      <c r="EOS541"/>
      <c r="EOT541"/>
      <c r="EOU541"/>
      <c r="EOV541"/>
      <c r="EOW541"/>
      <c r="EOX541"/>
      <c r="EOY541"/>
      <c r="EOZ541"/>
      <c r="EPA541"/>
      <c r="EPB541"/>
      <c r="EPC541"/>
      <c r="EPD541"/>
      <c r="EPE541"/>
      <c r="EPF541"/>
      <c r="EPG541"/>
      <c r="EPH541"/>
      <c r="EPI541"/>
      <c r="EPJ541"/>
      <c r="EPK541"/>
      <c r="EPL541"/>
      <c r="EPM541"/>
      <c r="EPN541"/>
      <c r="EPO541"/>
      <c r="EPP541"/>
      <c r="EPQ541"/>
      <c r="EPR541"/>
      <c r="EPS541"/>
      <c r="EPT541"/>
      <c r="EPU541"/>
      <c r="EPV541"/>
      <c r="EPW541"/>
      <c r="EPX541"/>
      <c r="EPY541"/>
      <c r="EPZ541"/>
      <c r="EQA541"/>
      <c r="EQB541"/>
      <c r="EQC541"/>
      <c r="EQD541"/>
      <c r="EQE541"/>
      <c r="EQF541"/>
      <c r="EQG541"/>
      <c r="EQH541"/>
      <c r="EQI541"/>
      <c r="EQJ541"/>
      <c r="EQK541"/>
      <c r="EQL541"/>
      <c r="EQM541"/>
      <c r="EQN541"/>
      <c r="EQO541"/>
      <c r="EQP541"/>
      <c r="EQQ541"/>
      <c r="EQR541"/>
      <c r="EQS541"/>
      <c r="EQT541"/>
      <c r="EQU541"/>
      <c r="EQV541"/>
      <c r="EQW541"/>
      <c r="EQX541"/>
      <c r="EQY541"/>
      <c r="EQZ541"/>
      <c r="ERA541"/>
      <c r="ERB541"/>
      <c r="ERC541"/>
      <c r="ERD541"/>
      <c r="ERE541"/>
      <c r="ERF541"/>
      <c r="ERG541"/>
      <c r="ERH541"/>
      <c r="ERI541"/>
      <c r="ERJ541"/>
      <c r="ERK541"/>
      <c r="ERL541"/>
      <c r="ERM541"/>
      <c r="ERN541"/>
      <c r="ERO541"/>
      <c r="ERP541"/>
      <c r="ERQ541"/>
      <c r="ERR541"/>
      <c r="ERS541"/>
      <c r="ERT541"/>
      <c r="ERU541"/>
      <c r="ERV541"/>
      <c r="ERW541"/>
      <c r="ERX541"/>
      <c r="ERY541"/>
      <c r="ERZ541"/>
      <c r="ESA541"/>
      <c r="ESB541"/>
      <c r="ESC541"/>
      <c r="ESD541"/>
      <c r="ESE541"/>
      <c r="ESF541"/>
      <c r="ESG541"/>
      <c r="ESH541"/>
      <c r="ESI541"/>
      <c r="ESJ541"/>
      <c r="ESK541"/>
      <c r="ESL541"/>
      <c r="ESM541"/>
      <c r="ESN541"/>
      <c r="ESO541"/>
      <c r="ESP541"/>
      <c r="ESQ541"/>
      <c r="ESR541"/>
      <c r="ESS541"/>
      <c r="EST541"/>
      <c r="ESU541"/>
      <c r="ESV541"/>
      <c r="ESW541"/>
      <c r="ESX541"/>
      <c r="ESY541"/>
      <c r="ESZ541"/>
      <c r="ETA541"/>
      <c r="ETB541"/>
      <c r="ETC541"/>
      <c r="ETD541"/>
      <c r="ETE541"/>
      <c r="ETF541"/>
      <c r="ETG541"/>
      <c r="ETH541"/>
      <c r="ETI541"/>
      <c r="ETJ541"/>
      <c r="ETK541"/>
      <c r="ETL541"/>
      <c r="ETM541"/>
      <c r="ETN541"/>
      <c r="ETO541"/>
      <c r="ETP541"/>
      <c r="ETQ541"/>
      <c r="ETR541"/>
      <c r="ETS541"/>
      <c r="ETT541"/>
      <c r="ETU541"/>
      <c r="ETV541"/>
      <c r="ETW541"/>
      <c r="ETX541"/>
      <c r="ETY541"/>
      <c r="ETZ541"/>
      <c r="EUA541"/>
      <c r="EUB541"/>
      <c r="EUC541"/>
      <c r="EUD541"/>
      <c r="EUE541"/>
      <c r="EUF541"/>
      <c r="EUG541"/>
      <c r="EUH541"/>
      <c r="EUI541"/>
      <c r="EUJ541"/>
      <c r="EUK541"/>
      <c r="EUL541"/>
      <c r="EUM541"/>
      <c r="EUN541"/>
      <c r="EUO541"/>
      <c r="EUP541"/>
      <c r="EUQ541"/>
      <c r="EUR541"/>
      <c r="EUS541"/>
      <c r="EUT541"/>
      <c r="EUU541"/>
      <c r="EUV541"/>
      <c r="EUW541"/>
      <c r="EUX541"/>
      <c r="EUY541"/>
      <c r="EUZ541"/>
      <c r="EVA541"/>
      <c r="EVB541"/>
      <c r="EVC541"/>
      <c r="EVD541"/>
      <c r="EVE541"/>
      <c r="EVF541"/>
      <c r="EVG541"/>
      <c r="EVH541"/>
      <c r="EVI541"/>
      <c r="EVJ541"/>
      <c r="EVK541"/>
      <c r="EVL541"/>
      <c r="EVM541"/>
      <c r="EVN541"/>
      <c r="EVO541"/>
      <c r="EVP541"/>
      <c r="EVQ541"/>
      <c r="EVR541"/>
      <c r="EVS541"/>
      <c r="EVT541"/>
      <c r="EVU541"/>
      <c r="EVV541"/>
      <c r="EVW541"/>
      <c r="EVX541"/>
      <c r="EVY541"/>
      <c r="EVZ541"/>
      <c r="EWA541"/>
      <c r="EWB541"/>
      <c r="EWC541"/>
      <c r="EWD541"/>
      <c r="EWE541"/>
      <c r="EWF541"/>
      <c r="EWG541"/>
      <c r="EWH541"/>
      <c r="EWI541"/>
      <c r="EWJ541"/>
      <c r="EWK541"/>
      <c r="EWL541"/>
      <c r="EWM541"/>
      <c r="EWN541"/>
      <c r="EWO541"/>
      <c r="EWP541"/>
      <c r="EWQ541"/>
      <c r="EWR541"/>
      <c r="EWS541"/>
      <c r="EWT541"/>
      <c r="EWU541"/>
      <c r="EWV541"/>
      <c r="EWW541"/>
      <c r="EWX541"/>
      <c r="EWY541"/>
      <c r="EWZ541"/>
      <c r="EXA541"/>
      <c r="EXB541"/>
      <c r="EXC541"/>
      <c r="EXD541"/>
      <c r="EXE541"/>
      <c r="EXF541"/>
      <c r="EXG541"/>
      <c r="EXH541"/>
      <c r="EXI541"/>
      <c r="EXJ541"/>
      <c r="EXK541"/>
      <c r="EXL541"/>
      <c r="EXM541"/>
      <c r="EXN541"/>
      <c r="EXO541"/>
      <c r="EXP541"/>
      <c r="EXQ541"/>
      <c r="EXR541"/>
      <c r="EXS541"/>
      <c r="EXT541"/>
      <c r="EXU541"/>
      <c r="EXV541"/>
      <c r="EXW541"/>
      <c r="EXX541"/>
      <c r="EXY541"/>
      <c r="EXZ541"/>
      <c r="EYA541"/>
      <c r="EYB541"/>
      <c r="EYC541"/>
      <c r="EYD541"/>
      <c r="EYE541"/>
      <c r="EYF541"/>
      <c r="EYG541"/>
      <c r="EYH541"/>
      <c r="EYI541"/>
      <c r="EYJ541"/>
      <c r="EYK541"/>
      <c r="EYL541"/>
      <c r="EYM541"/>
      <c r="EYN541"/>
      <c r="EYO541"/>
      <c r="EYP541"/>
      <c r="EYQ541"/>
      <c r="EYR541"/>
      <c r="EYS541"/>
      <c r="EYT541"/>
      <c r="EYU541"/>
      <c r="EYV541"/>
      <c r="EYW541"/>
      <c r="EYX541"/>
      <c r="EYY541"/>
      <c r="EYZ541"/>
      <c r="EZA541"/>
      <c r="EZB541"/>
      <c r="EZC541"/>
      <c r="EZD541"/>
      <c r="EZE541"/>
      <c r="EZF541"/>
      <c r="EZG541"/>
      <c r="EZH541"/>
      <c r="EZI541"/>
      <c r="EZJ541"/>
      <c r="EZK541"/>
      <c r="EZL541"/>
      <c r="EZM541"/>
      <c r="EZN541"/>
      <c r="EZO541"/>
      <c r="EZP541"/>
      <c r="EZQ541"/>
      <c r="EZR541"/>
      <c r="EZS541"/>
      <c r="EZT541"/>
      <c r="EZU541"/>
      <c r="EZV541"/>
      <c r="EZW541"/>
      <c r="EZX541"/>
      <c r="EZY541"/>
      <c r="EZZ541"/>
      <c r="FAA541"/>
      <c r="FAB541"/>
      <c r="FAC541"/>
      <c r="FAD541"/>
      <c r="FAE541"/>
      <c r="FAF541"/>
      <c r="FAG541"/>
      <c r="FAH541"/>
      <c r="FAI541"/>
      <c r="FAJ541"/>
      <c r="FAK541"/>
      <c r="FAL541"/>
      <c r="FAM541"/>
      <c r="FAN541"/>
      <c r="FAO541"/>
      <c r="FAP541"/>
      <c r="FAQ541"/>
      <c r="FAR541"/>
      <c r="FAS541"/>
      <c r="FAT541"/>
      <c r="FAU541"/>
      <c r="FAV541"/>
      <c r="FAW541"/>
      <c r="FAX541"/>
      <c r="FAY541"/>
      <c r="FAZ541"/>
      <c r="FBA541"/>
      <c r="FBB541"/>
      <c r="FBC541"/>
      <c r="FBD541"/>
      <c r="FBE541"/>
      <c r="FBF541"/>
      <c r="FBG541"/>
      <c r="FBH541"/>
      <c r="FBI541"/>
      <c r="FBJ541"/>
      <c r="FBK541"/>
      <c r="FBL541"/>
      <c r="FBM541"/>
      <c r="FBN541"/>
      <c r="FBO541"/>
      <c r="FBP541"/>
      <c r="FBQ541"/>
      <c r="FBR541"/>
      <c r="FBS541"/>
      <c r="FBT541"/>
      <c r="FBU541"/>
      <c r="FBV541"/>
      <c r="FBW541"/>
      <c r="FBX541"/>
      <c r="FBY541"/>
      <c r="FBZ541"/>
      <c r="FCA541"/>
      <c r="FCB541"/>
      <c r="FCC541"/>
      <c r="FCD541"/>
      <c r="FCE541"/>
      <c r="FCF541"/>
      <c r="FCG541"/>
      <c r="FCH541"/>
      <c r="FCI541"/>
      <c r="FCJ541"/>
      <c r="FCK541"/>
      <c r="FCL541"/>
      <c r="FCM541"/>
      <c r="FCN541"/>
      <c r="FCO541"/>
      <c r="FCP541"/>
      <c r="FCQ541"/>
      <c r="FCR541"/>
      <c r="FCS541"/>
      <c r="FCT541"/>
      <c r="FCU541"/>
      <c r="FCV541"/>
      <c r="FCW541"/>
      <c r="FCX541"/>
      <c r="FCY541"/>
      <c r="FCZ541"/>
      <c r="FDA541"/>
      <c r="FDB541"/>
      <c r="FDC541"/>
      <c r="FDD541"/>
      <c r="FDE541"/>
      <c r="FDF541"/>
      <c r="FDG541"/>
      <c r="FDH541"/>
      <c r="FDI541"/>
      <c r="FDJ541"/>
      <c r="FDK541"/>
      <c r="FDL541"/>
      <c r="FDM541"/>
      <c r="FDN541"/>
      <c r="FDO541"/>
      <c r="FDP541"/>
      <c r="FDQ541"/>
      <c r="FDR541"/>
      <c r="FDS541"/>
      <c r="FDT541"/>
      <c r="FDU541"/>
      <c r="FDV541"/>
      <c r="FDW541"/>
      <c r="FDX541"/>
      <c r="FDY541"/>
      <c r="FDZ541"/>
      <c r="FEA541"/>
      <c r="FEB541"/>
      <c r="FEC541"/>
      <c r="FED541"/>
      <c r="FEE541"/>
      <c r="FEF541"/>
      <c r="FEG541"/>
      <c r="FEH541"/>
      <c r="FEI541"/>
      <c r="FEJ541"/>
      <c r="FEK541"/>
      <c r="FEL541"/>
      <c r="FEM541"/>
      <c r="FEN541"/>
      <c r="FEO541"/>
      <c r="FEP541"/>
      <c r="FEQ541"/>
      <c r="FER541"/>
      <c r="FES541"/>
      <c r="FET541"/>
      <c r="FEU541"/>
      <c r="FEV541"/>
      <c r="FEW541"/>
      <c r="FEX541"/>
      <c r="FEY541"/>
      <c r="FEZ541"/>
      <c r="FFA541"/>
      <c r="FFB541"/>
      <c r="FFC541"/>
      <c r="FFD541"/>
      <c r="FFE541"/>
      <c r="FFF541"/>
      <c r="FFG541"/>
      <c r="FFH541"/>
      <c r="FFI541"/>
      <c r="FFJ541"/>
      <c r="FFK541"/>
      <c r="FFL541"/>
      <c r="FFM541"/>
      <c r="FFN541"/>
      <c r="FFO541"/>
      <c r="FFP541"/>
      <c r="FFQ541"/>
      <c r="FFR541"/>
      <c r="FFS541"/>
      <c r="FFT541"/>
      <c r="FFU541"/>
      <c r="FFV541"/>
      <c r="FFW541"/>
      <c r="FFX541"/>
      <c r="FFY541"/>
      <c r="FFZ541"/>
      <c r="FGA541"/>
      <c r="FGB541"/>
      <c r="FGC541"/>
      <c r="FGD541"/>
      <c r="FGE541"/>
      <c r="FGF541"/>
      <c r="FGG541"/>
      <c r="FGH541"/>
      <c r="FGI541"/>
      <c r="FGJ541"/>
      <c r="FGK541"/>
      <c r="FGL541"/>
      <c r="FGM541"/>
      <c r="FGN541"/>
      <c r="FGO541"/>
      <c r="FGP541"/>
      <c r="FGQ541"/>
      <c r="FGR541"/>
      <c r="FGS541"/>
      <c r="FGT541"/>
      <c r="FGU541"/>
      <c r="FGV541"/>
      <c r="FGW541"/>
      <c r="FGX541"/>
      <c r="FGY541"/>
      <c r="FGZ541"/>
      <c r="FHA541"/>
      <c r="FHB541"/>
      <c r="FHC541"/>
      <c r="FHD541"/>
      <c r="FHE541"/>
      <c r="FHF541"/>
      <c r="FHG541"/>
      <c r="FHH541"/>
      <c r="FHI541"/>
      <c r="FHJ541"/>
      <c r="FHK541"/>
      <c r="FHL541"/>
      <c r="FHM541"/>
      <c r="FHN541"/>
      <c r="FHO541"/>
      <c r="FHP541"/>
      <c r="FHQ541"/>
      <c r="FHR541"/>
      <c r="FHS541"/>
      <c r="FHT541"/>
      <c r="FHU541"/>
      <c r="FHV541"/>
      <c r="FHW541"/>
      <c r="FHX541"/>
      <c r="FHY541"/>
      <c r="FHZ541"/>
      <c r="FIA541"/>
      <c r="FIB541"/>
      <c r="FIC541"/>
      <c r="FID541"/>
      <c r="FIE541"/>
      <c r="FIF541"/>
      <c r="FIG541"/>
      <c r="FIH541"/>
      <c r="FII541"/>
      <c r="FIJ541"/>
      <c r="FIK541"/>
      <c r="FIL541"/>
      <c r="FIM541"/>
      <c r="FIN541"/>
      <c r="FIO541"/>
      <c r="FIP541"/>
      <c r="FIQ541"/>
      <c r="FIR541"/>
      <c r="FIS541"/>
      <c r="FIT541"/>
      <c r="FIU541"/>
      <c r="FIV541"/>
      <c r="FIW541"/>
      <c r="FIX541"/>
      <c r="FIY541"/>
      <c r="FIZ541"/>
      <c r="FJA541"/>
      <c r="FJB541"/>
      <c r="FJC541"/>
      <c r="FJD541"/>
      <c r="FJE541"/>
      <c r="FJF541"/>
      <c r="FJG541"/>
      <c r="FJH541"/>
      <c r="FJI541"/>
      <c r="FJJ541"/>
      <c r="FJK541"/>
      <c r="FJL541"/>
      <c r="FJM541"/>
      <c r="FJN541"/>
      <c r="FJO541"/>
      <c r="FJP541"/>
      <c r="FJQ541"/>
      <c r="FJR541"/>
      <c r="FJS541"/>
      <c r="FJT541"/>
      <c r="FJU541"/>
      <c r="FJV541"/>
      <c r="FJW541"/>
      <c r="FJX541"/>
      <c r="FJY541"/>
      <c r="FJZ541"/>
      <c r="FKA541"/>
      <c r="FKB541"/>
      <c r="FKC541"/>
      <c r="FKD541"/>
      <c r="FKE541"/>
      <c r="FKF541"/>
      <c r="FKG541"/>
      <c r="FKH541"/>
      <c r="FKI541"/>
      <c r="FKJ541"/>
      <c r="FKK541"/>
      <c r="FKL541"/>
      <c r="FKM541"/>
      <c r="FKN541"/>
      <c r="FKO541"/>
      <c r="FKP541"/>
      <c r="FKQ541"/>
      <c r="FKR541"/>
      <c r="FKS541"/>
      <c r="FKT541"/>
      <c r="FKU541"/>
      <c r="FKV541"/>
      <c r="FKW541"/>
      <c r="FKX541"/>
      <c r="FKY541"/>
      <c r="FKZ541"/>
      <c r="FLA541"/>
      <c r="FLB541"/>
      <c r="FLC541"/>
      <c r="FLD541"/>
      <c r="FLE541"/>
      <c r="FLF541"/>
      <c r="FLG541"/>
      <c r="FLH541"/>
      <c r="FLI541"/>
      <c r="FLJ541"/>
      <c r="FLK541"/>
      <c r="FLL541"/>
      <c r="FLM541"/>
      <c r="FLN541"/>
      <c r="FLO541"/>
      <c r="FLP541"/>
      <c r="FLQ541"/>
      <c r="FLR541"/>
      <c r="FLS541"/>
      <c r="FLT541"/>
      <c r="FLU541"/>
      <c r="FLV541"/>
      <c r="FLW541"/>
      <c r="FLX541"/>
      <c r="FLY541"/>
      <c r="FLZ541"/>
      <c r="FMA541"/>
      <c r="FMB541"/>
      <c r="FMC541"/>
      <c r="FMD541"/>
      <c r="FME541"/>
      <c r="FMF541"/>
      <c r="FMG541"/>
      <c r="FMH541"/>
      <c r="FMI541"/>
      <c r="FMJ541"/>
      <c r="FMK541"/>
      <c r="FML541"/>
      <c r="FMM541"/>
      <c r="FMN541"/>
      <c r="FMO541"/>
      <c r="FMP541"/>
      <c r="FMQ541"/>
      <c r="FMR541"/>
      <c r="FMS541"/>
      <c r="FMT541"/>
      <c r="FMU541"/>
      <c r="FMV541"/>
      <c r="FMW541"/>
      <c r="FMX541"/>
      <c r="FMY541"/>
      <c r="FMZ541"/>
      <c r="FNA541"/>
      <c r="FNB541"/>
      <c r="FNC541"/>
      <c r="FND541"/>
      <c r="FNE541"/>
      <c r="FNF541"/>
      <c r="FNG541"/>
      <c r="FNH541"/>
      <c r="FNI541"/>
      <c r="FNJ541"/>
      <c r="FNK541"/>
      <c r="FNL541"/>
      <c r="FNM541"/>
      <c r="FNN541"/>
      <c r="FNO541"/>
      <c r="FNP541"/>
      <c r="FNQ541"/>
      <c r="FNR541"/>
      <c r="FNS541"/>
      <c r="FNT541"/>
      <c r="FNU541"/>
      <c r="FNV541"/>
      <c r="FNW541"/>
      <c r="FNX541"/>
      <c r="FNY541"/>
      <c r="FNZ541"/>
      <c r="FOA541"/>
      <c r="FOB541"/>
      <c r="FOC541"/>
      <c r="FOD541"/>
      <c r="FOE541"/>
      <c r="FOF541"/>
      <c r="FOG541"/>
      <c r="FOH541"/>
      <c r="FOI541"/>
      <c r="FOJ541"/>
      <c r="FOK541"/>
      <c r="FOL541"/>
      <c r="FOM541"/>
      <c r="FON541"/>
      <c r="FOO541"/>
      <c r="FOP541"/>
      <c r="FOQ541"/>
      <c r="FOR541"/>
      <c r="FOS541"/>
      <c r="FOT541"/>
      <c r="FOU541"/>
      <c r="FOV541"/>
      <c r="FOW541"/>
      <c r="FOX541"/>
      <c r="FOY541"/>
      <c r="FOZ541"/>
      <c r="FPA541"/>
      <c r="FPB541"/>
      <c r="FPC541"/>
      <c r="FPD541"/>
      <c r="FPE541"/>
      <c r="FPF541"/>
      <c r="FPG541"/>
      <c r="FPH541"/>
      <c r="FPI541"/>
      <c r="FPJ541"/>
      <c r="FPK541"/>
      <c r="FPL541"/>
      <c r="FPM541"/>
      <c r="FPN541"/>
      <c r="FPO541"/>
      <c r="FPP541"/>
      <c r="FPQ541"/>
      <c r="FPR541"/>
      <c r="FPS541"/>
      <c r="FPT541"/>
      <c r="FPU541"/>
      <c r="FPV541"/>
      <c r="FPW541"/>
      <c r="FPX541"/>
      <c r="FPY541"/>
      <c r="FPZ541"/>
      <c r="FQA541"/>
      <c r="FQB541"/>
      <c r="FQC541"/>
      <c r="FQD541"/>
      <c r="FQE541"/>
      <c r="FQF541"/>
      <c r="FQG541"/>
      <c r="FQH541"/>
      <c r="FQI541"/>
      <c r="FQJ541"/>
      <c r="FQK541"/>
      <c r="FQL541"/>
      <c r="FQM541"/>
      <c r="FQN541"/>
      <c r="FQO541"/>
      <c r="FQP541"/>
      <c r="FQQ541"/>
      <c r="FQR541"/>
      <c r="FQS541"/>
      <c r="FQT541"/>
      <c r="FQU541"/>
      <c r="FQV541"/>
      <c r="FQW541"/>
      <c r="FQX541"/>
      <c r="FQY541"/>
      <c r="FQZ541"/>
      <c r="FRA541"/>
      <c r="FRB541"/>
      <c r="FRC541"/>
      <c r="FRD541"/>
      <c r="FRE541"/>
      <c r="FRF541"/>
      <c r="FRG541"/>
      <c r="FRH541"/>
      <c r="FRI541"/>
      <c r="FRJ541"/>
      <c r="FRK541"/>
      <c r="FRL541"/>
      <c r="FRM541"/>
      <c r="FRN541"/>
      <c r="FRO541"/>
      <c r="FRP541"/>
      <c r="FRQ541"/>
      <c r="FRR541"/>
      <c r="FRS541"/>
      <c r="FRT541"/>
      <c r="FRU541"/>
      <c r="FRV541"/>
      <c r="FRW541"/>
      <c r="FRX541"/>
      <c r="FRY541"/>
      <c r="FRZ541"/>
      <c r="FSA541"/>
      <c r="FSB541"/>
      <c r="FSC541"/>
      <c r="FSD541"/>
      <c r="FSE541"/>
      <c r="FSF541"/>
      <c r="FSG541"/>
      <c r="FSH541"/>
      <c r="FSI541"/>
      <c r="FSJ541"/>
      <c r="FSK541"/>
      <c r="FSL541"/>
      <c r="FSM541"/>
      <c r="FSN541"/>
      <c r="FSO541"/>
      <c r="FSP541"/>
      <c r="FSQ541"/>
      <c r="FSR541"/>
      <c r="FSS541"/>
      <c r="FST541"/>
      <c r="FSU541"/>
      <c r="FSV541"/>
      <c r="FSW541"/>
      <c r="FSX541"/>
      <c r="FSY541"/>
      <c r="FSZ541"/>
      <c r="FTA541"/>
      <c r="FTB541"/>
      <c r="FTC541"/>
      <c r="FTD541"/>
      <c r="FTE541"/>
      <c r="FTF541"/>
      <c r="FTG541"/>
      <c r="FTH541"/>
      <c r="FTI541"/>
      <c r="FTJ541"/>
      <c r="FTK541"/>
      <c r="FTL541"/>
      <c r="FTM541"/>
      <c r="FTN541"/>
      <c r="FTO541"/>
      <c r="FTP541"/>
      <c r="FTQ541"/>
      <c r="FTR541"/>
      <c r="FTS541"/>
      <c r="FTT541"/>
      <c r="FTU541"/>
      <c r="FTV541"/>
      <c r="FTW541"/>
      <c r="FTX541"/>
      <c r="FTY541"/>
      <c r="FTZ541"/>
      <c r="FUA541"/>
      <c r="FUB541"/>
      <c r="FUC541"/>
      <c r="FUD541"/>
      <c r="FUE541"/>
      <c r="FUF541"/>
      <c r="FUG541"/>
      <c r="FUH541"/>
      <c r="FUI541"/>
      <c r="FUJ541"/>
      <c r="FUK541"/>
      <c r="FUL541"/>
      <c r="FUM541"/>
      <c r="FUN541"/>
      <c r="FUO541"/>
      <c r="FUP541"/>
      <c r="FUQ541"/>
      <c r="FUR541"/>
      <c r="FUS541"/>
      <c r="FUT541"/>
      <c r="FUU541"/>
      <c r="FUV541"/>
      <c r="FUW541"/>
      <c r="FUX541"/>
      <c r="FUY541"/>
      <c r="FUZ541"/>
      <c r="FVA541"/>
      <c r="FVB541"/>
      <c r="FVC541"/>
      <c r="FVD541"/>
      <c r="FVE541"/>
      <c r="FVF541"/>
      <c r="FVG541"/>
      <c r="FVH541"/>
      <c r="FVI541"/>
      <c r="FVJ541"/>
      <c r="FVK541"/>
      <c r="FVL541"/>
      <c r="FVM541"/>
      <c r="FVN541"/>
      <c r="FVO541"/>
      <c r="FVP541"/>
      <c r="FVQ541"/>
      <c r="FVR541"/>
      <c r="FVS541"/>
      <c r="FVT541"/>
      <c r="FVU541"/>
      <c r="FVV541"/>
      <c r="FVW541"/>
      <c r="FVX541"/>
      <c r="FVY541"/>
      <c r="FVZ541"/>
      <c r="FWA541"/>
      <c r="FWB541"/>
      <c r="FWC541"/>
      <c r="FWD541"/>
      <c r="FWE541"/>
      <c r="FWF541"/>
      <c r="FWG541"/>
      <c r="FWH541"/>
      <c r="FWI541"/>
      <c r="FWJ541"/>
      <c r="FWK541"/>
      <c r="FWL541"/>
      <c r="FWM541"/>
      <c r="FWN541"/>
      <c r="FWO541"/>
      <c r="FWP541"/>
      <c r="FWQ541"/>
      <c r="FWR541"/>
      <c r="FWS541"/>
      <c r="FWT541"/>
      <c r="FWU541"/>
      <c r="FWV541"/>
      <c r="FWW541"/>
      <c r="FWX541"/>
      <c r="FWY541"/>
      <c r="FWZ541"/>
      <c r="FXA541"/>
      <c r="FXB541"/>
      <c r="FXC541"/>
      <c r="FXD541"/>
      <c r="FXE541"/>
      <c r="FXF541"/>
      <c r="FXG541"/>
      <c r="FXH541"/>
      <c r="FXI541"/>
      <c r="FXJ541"/>
      <c r="FXK541"/>
      <c r="FXL541"/>
      <c r="FXM541"/>
      <c r="FXN541"/>
      <c r="FXO541"/>
      <c r="FXP541"/>
      <c r="FXQ541"/>
      <c r="FXR541"/>
      <c r="FXS541"/>
      <c r="FXT541"/>
      <c r="FXU541"/>
      <c r="FXV541"/>
      <c r="FXW541"/>
      <c r="FXX541"/>
      <c r="FXY541"/>
      <c r="FXZ541"/>
      <c r="FYA541"/>
      <c r="FYB541"/>
      <c r="FYC541"/>
      <c r="FYD541"/>
      <c r="FYE541"/>
      <c r="FYF541"/>
      <c r="FYG541"/>
      <c r="FYH541"/>
      <c r="FYI541"/>
      <c r="FYJ541"/>
      <c r="FYK541"/>
      <c r="FYL541"/>
      <c r="FYM541"/>
      <c r="FYN541"/>
      <c r="FYO541"/>
      <c r="FYP541"/>
      <c r="FYQ541"/>
      <c r="FYR541"/>
      <c r="FYS541"/>
      <c r="FYT541"/>
      <c r="FYU541"/>
      <c r="FYV541"/>
      <c r="FYW541"/>
      <c r="FYX541"/>
      <c r="FYY541"/>
      <c r="FYZ541"/>
      <c r="FZA541"/>
      <c r="FZB541"/>
      <c r="FZC541"/>
      <c r="FZD541"/>
      <c r="FZE541"/>
      <c r="FZF541"/>
      <c r="FZG541"/>
      <c r="FZH541"/>
      <c r="FZI541"/>
      <c r="FZJ541"/>
      <c r="FZK541"/>
      <c r="FZL541"/>
      <c r="FZM541"/>
      <c r="FZN541"/>
      <c r="FZO541"/>
      <c r="FZP541"/>
      <c r="FZQ541"/>
      <c r="FZR541"/>
      <c r="FZS541"/>
      <c r="FZT541"/>
      <c r="FZU541"/>
      <c r="FZV541"/>
      <c r="FZW541"/>
      <c r="FZX541"/>
      <c r="FZY541"/>
      <c r="FZZ541"/>
      <c r="GAA541"/>
      <c r="GAB541"/>
      <c r="GAC541"/>
      <c r="GAD541"/>
      <c r="GAE541"/>
      <c r="GAF541"/>
      <c r="GAG541"/>
      <c r="GAH541"/>
      <c r="GAI541"/>
      <c r="GAJ541"/>
      <c r="GAK541"/>
      <c r="GAL541"/>
      <c r="GAM541"/>
      <c r="GAN541"/>
      <c r="GAO541"/>
      <c r="GAP541"/>
      <c r="GAQ541"/>
      <c r="GAR541"/>
      <c r="GAS541"/>
      <c r="GAT541"/>
      <c r="GAU541"/>
      <c r="GAV541"/>
      <c r="GAW541"/>
      <c r="GAX541"/>
      <c r="GAY541"/>
      <c r="GAZ541"/>
      <c r="GBA541"/>
      <c r="GBB541"/>
      <c r="GBC541"/>
      <c r="GBD541"/>
      <c r="GBE541"/>
      <c r="GBF541"/>
      <c r="GBG541"/>
      <c r="GBH541"/>
      <c r="GBI541"/>
      <c r="GBJ541"/>
      <c r="GBK541"/>
      <c r="GBL541"/>
      <c r="GBM541"/>
      <c r="GBN541"/>
      <c r="GBO541"/>
      <c r="GBP541"/>
      <c r="GBQ541"/>
      <c r="GBR541"/>
      <c r="GBS541"/>
      <c r="GBT541"/>
      <c r="GBU541"/>
      <c r="GBV541"/>
      <c r="GBW541"/>
      <c r="GBX541"/>
      <c r="GBY541"/>
      <c r="GBZ541"/>
      <c r="GCA541"/>
      <c r="GCB541"/>
      <c r="GCC541"/>
      <c r="GCD541"/>
      <c r="GCE541"/>
      <c r="GCF541"/>
      <c r="GCG541"/>
      <c r="GCH541"/>
      <c r="GCI541"/>
      <c r="GCJ541"/>
      <c r="GCK541"/>
      <c r="GCL541"/>
      <c r="GCM541"/>
      <c r="GCN541"/>
      <c r="GCO541"/>
      <c r="GCP541"/>
      <c r="GCQ541"/>
      <c r="GCR541"/>
      <c r="GCS541"/>
      <c r="GCT541"/>
      <c r="GCU541"/>
      <c r="GCV541"/>
      <c r="GCW541"/>
      <c r="GCX541"/>
      <c r="GCY541"/>
      <c r="GCZ541"/>
      <c r="GDA541"/>
      <c r="GDB541"/>
      <c r="GDC541"/>
      <c r="GDD541"/>
      <c r="GDE541"/>
      <c r="GDF541"/>
      <c r="GDG541"/>
      <c r="GDH541"/>
      <c r="GDI541"/>
      <c r="GDJ541"/>
      <c r="GDK541"/>
      <c r="GDL541"/>
      <c r="GDM541"/>
      <c r="GDN541"/>
      <c r="GDO541"/>
      <c r="GDP541"/>
      <c r="GDQ541"/>
      <c r="GDR541"/>
      <c r="GDS541"/>
      <c r="GDT541"/>
      <c r="GDU541"/>
      <c r="GDV541"/>
      <c r="GDW541"/>
      <c r="GDX541"/>
      <c r="GDY541"/>
      <c r="GDZ541"/>
      <c r="GEA541"/>
      <c r="GEB541"/>
      <c r="GEC541"/>
      <c r="GED541"/>
      <c r="GEE541"/>
      <c r="GEF541"/>
      <c r="GEG541"/>
      <c r="GEH541"/>
      <c r="GEI541"/>
      <c r="GEJ541"/>
      <c r="GEK541"/>
      <c r="GEL541"/>
      <c r="GEM541"/>
      <c r="GEN541"/>
      <c r="GEO541"/>
      <c r="GEP541"/>
      <c r="GEQ541"/>
      <c r="GER541"/>
      <c r="GES541"/>
      <c r="GET541"/>
      <c r="GEU541"/>
      <c r="GEV541"/>
      <c r="GEW541"/>
      <c r="GEX541"/>
      <c r="GEY541"/>
      <c r="GEZ541"/>
      <c r="GFA541"/>
      <c r="GFB541"/>
      <c r="GFC541"/>
      <c r="GFD541"/>
      <c r="GFE541"/>
      <c r="GFF541"/>
      <c r="GFG541"/>
      <c r="GFH541"/>
      <c r="GFI541"/>
      <c r="GFJ541"/>
      <c r="GFK541"/>
      <c r="GFL541"/>
      <c r="GFM541"/>
      <c r="GFN541"/>
      <c r="GFO541"/>
      <c r="GFP541"/>
      <c r="GFQ541"/>
      <c r="GFR541"/>
      <c r="GFS541"/>
      <c r="GFT541"/>
      <c r="GFU541"/>
      <c r="GFV541"/>
      <c r="GFW541"/>
      <c r="GFX541"/>
      <c r="GFY541"/>
      <c r="GFZ541"/>
      <c r="GGA541"/>
      <c r="GGB541"/>
      <c r="GGC541"/>
      <c r="GGD541"/>
      <c r="GGE541"/>
      <c r="GGF541"/>
      <c r="GGG541"/>
      <c r="GGH541"/>
      <c r="GGI541"/>
      <c r="GGJ541"/>
      <c r="GGK541"/>
      <c r="GGL541"/>
      <c r="GGM541"/>
      <c r="GGN541"/>
      <c r="GGO541"/>
      <c r="GGP541"/>
      <c r="GGQ541"/>
      <c r="GGR541"/>
      <c r="GGS541"/>
      <c r="GGT541"/>
      <c r="GGU541"/>
      <c r="GGV541"/>
      <c r="GGW541"/>
      <c r="GGX541"/>
      <c r="GGY541"/>
      <c r="GGZ541"/>
      <c r="GHA541"/>
      <c r="GHB541"/>
      <c r="GHC541"/>
      <c r="GHD541"/>
      <c r="GHE541"/>
      <c r="GHF541"/>
      <c r="GHG541"/>
      <c r="GHH541"/>
      <c r="GHI541"/>
      <c r="GHJ541"/>
      <c r="GHK541"/>
      <c r="GHL541"/>
      <c r="GHM541"/>
      <c r="GHN541"/>
      <c r="GHO541"/>
      <c r="GHP541"/>
      <c r="GHQ541"/>
      <c r="GHR541"/>
      <c r="GHS541"/>
      <c r="GHT541"/>
      <c r="GHU541"/>
      <c r="GHV541"/>
      <c r="GHW541"/>
      <c r="GHX541"/>
      <c r="GHY541"/>
      <c r="GHZ541"/>
      <c r="GIA541"/>
      <c r="GIB541"/>
      <c r="GIC541"/>
      <c r="GID541"/>
      <c r="GIE541"/>
      <c r="GIF541"/>
      <c r="GIG541"/>
      <c r="GIH541"/>
      <c r="GII541"/>
      <c r="GIJ541"/>
      <c r="GIK541"/>
      <c r="GIL541"/>
      <c r="GIM541"/>
      <c r="GIN541"/>
      <c r="GIO541"/>
      <c r="GIP541"/>
      <c r="GIQ541"/>
      <c r="GIR541"/>
      <c r="GIS541"/>
      <c r="GIT541"/>
      <c r="GIU541"/>
      <c r="GIV541"/>
      <c r="GIW541"/>
      <c r="GIX541"/>
      <c r="GIY541"/>
      <c r="GIZ541"/>
      <c r="GJA541"/>
      <c r="GJB541"/>
      <c r="GJC541"/>
      <c r="GJD541"/>
      <c r="GJE541"/>
      <c r="GJF541"/>
      <c r="GJG541"/>
      <c r="GJH541"/>
      <c r="GJI541"/>
      <c r="GJJ541"/>
      <c r="GJK541"/>
      <c r="GJL541"/>
      <c r="GJM541"/>
      <c r="GJN541"/>
      <c r="GJO541"/>
      <c r="GJP541"/>
      <c r="GJQ541"/>
      <c r="GJR541"/>
      <c r="GJS541"/>
      <c r="GJT541"/>
      <c r="GJU541"/>
      <c r="GJV541"/>
      <c r="GJW541"/>
      <c r="GJX541"/>
      <c r="GJY541"/>
      <c r="GJZ541"/>
      <c r="GKA541"/>
      <c r="GKB541"/>
      <c r="GKC541"/>
      <c r="GKD541"/>
      <c r="GKE541"/>
      <c r="GKF541"/>
      <c r="GKG541"/>
      <c r="GKH541"/>
      <c r="GKI541"/>
      <c r="GKJ541"/>
      <c r="GKK541"/>
      <c r="GKL541"/>
      <c r="GKM541"/>
      <c r="GKN541"/>
      <c r="GKO541"/>
      <c r="GKP541"/>
      <c r="GKQ541"/>
      <c r="GKR541"/>
      <c r="GKS541"/>
      <c r="GKT541"/>
      <c r="GKU541"/>
      <c r="GKV541"/>
      <c r="GKW541"/>
      <c r="GKX541"/>
      <c r="GKY541"/>
      <c r="GKZ541"/>
      <c r="GLA541"/>
      <c r="GLB541"/>
      <c r="GLC541"/>
      <c r="GLD541"/>
      <c r="GLE541"/>
      <c r="GLF541"/>
      <c r="GLG541"/>
      <c r="GLH541"/>
      <c r="GLI541"/>
      <c r="GLJ541"/>
      <c r="GLK541"/>
      <c r="GLL541"/>
      <c r="GLM541"/>
      <c r="GLN541"/>
      <c r="GLO541"/>
      <c r="GLP541"/>
      <c r="GLQ541"/>
      <c r="GLR541"/>
      <c r="GLS541"/>
      <c r="GLT541"/>
      <c r="GLU541"/>
      <c r="GLV541"/>
      <c r="GLW541"/>
      <c r="GLX541"/>
      <c r="GLY541"/>
      <c r="GLZ541"/>
      <c r="GMA541"/>
      <c r="GMB541"/>
      <c r="GMC541"/>
      <c r="GMD541"/>
      <c r="GME541"/>
      <c r="GMF541"/>
      <c r="GMG541"/>
      <c r="GMH541"/>
      <c r="GMI541"/>
      <c r="GMJ541"/>
      <c r="GMK541"/>
      <c r="GML541"/>
      <c r="GMM541"/>
      <c r="GMN541"/>
      <c r="GMO541"/>
      <c r="GMP541"/>
      <c r="GMQ541"/>
      <c r="GMR541"/>
      <c r="GMS541"/>
      <c r="GMT541"/>
      <c r="GMU541"/>
      <c r="GMV541"/>
      <c r="GMW541"/>
      <c r="GMX541"/>
      <c r="GMY541"/>
      <c r="GMZ541"/>
      <c r="GNA541"/>
      <c r="GNB541"/>
      <c r="GNC541"/>
      <c r="GND541"/>
      <c r="GNE541"/>
      <c r="GNF541"/>
      <c r="GNG541"/>
      <c r="GNH541"/>
      <c r="GNI541"/>
      <c r="GNJ541"/>
      <c r="GNK541"/>
      <c r="GNL541"/>
      <c r="GNM541"/>
      <c r="GNN541"/>
      <c r="GNO541"/>
      <c r="GNP541"/>
      <c r="GNQ541"/>
      <c r="GNR541"/>
      <c r="GNS541"/>
      <c r="GNT541"/>
      <c r="GNU541"/>
      <c r="GNV541"/>
      <c r="GNW541"/>
      <c r="GNX541"/>
      <c r="GNY541"/>
      <c r="GNZ541"/>
      <c r="GOA541"/>
      <c r="GOB541"/>
      <c r="GOC541"/>
      <c r="GOD541"/>
      <c r="GOE541"/>
      <c r="GOF541"/>
      <c r="GOG541"/>
      <c r="GOH541"/>
      <c r="GOI541"/>
      <c r="GOJ541"/>
      <c r="GOK541"/>
      <c r="GOL541"/>
      <c r="GOM541"/>
      <c r="GON541"/>
      <c r="GOO541"/>
      <c r="GOP541"/>
      <c r="GOQ541"/>
      <c r="GOR541"/>
      <c r="GOS541"/>
      <c r="GOT541"/>
      <c r="GOU541"/>
      <c r="GOV541"/>
      <c r="GOW541"/>
      <c r="GOX541"/>
      <c r="GOY541"/>
      <c r="GOZ541"/>
      <c r="GPA541"/>
      <c r="GPB541"/>
      <c r="GPC541"/>
      <c r="GPD541"/>
      <c r="GPE541"/>
      <c r="GPF541"/>
      <c r="GPG541"/>
      <c r="GPH541"/>
      <c r="GPI541"/>
      <c r="GPJ541"/>
      <c r="GPK541"/>
      <c r="GPL541"/>
      <c r="GPM541"/>
      <c r="GPN541"/>
      <c r="GPO541"/>
      <c r="GPP541"/>
      <c r="GPQ541"/>
      <c r="GPR541"/>
      <c r="GPS541"/>
      <c r="GPT541"/>
      <c r="GPU541"/>
      <c r="GPV541"/>
      <c r="GPW541"/>
      <c r="GPX541"/>
      <c r="GPY541"/>
      <c r="GPZ541"/>
      <c r="GQA541"/>
      <c r="GQB541"/>
      <c r="GQC541"/>
      <c r="GQD541"/>
      <c r="GQE541"/>
      <c r="GQF541"/>
      <c r="GQG541"/>
      <c r="GQH541"/>
      <c r="GQI541"/>
      <c r="GQJ541"/>
      <c r="GQK541"/>
      <c r="GQL541"/>
      <c r="GQM541"/>
      <c r="GQN541"/>
      <c r="GQO541"/>
      <c r="GQP541"/>
      <c r="GQQ541"/>
      <c r="GQR541"/>
      <c r="GQS541"/>
      <c r="GQT541"/>
      <c r="GQU541"/>
      <c r="GQV541"/>
      <c r="GQW541"/>
      <c r="GQX541"/>
      <c r="GQY541"/>
      <c r="GQZ541"/>
      <c r="GRA541"/>
      <c r="GRB541"/>
      <c r="GRC541"/>
      <c r="GRD541"/>
      <c r="GRE541"/>
      <c r="GRF541"/>
      <c r="GRG541"/>
      <c r="GRH541"/>
      <c r="GRI541"/>
      <c r="GRJ541"/>
      <c r="GRK541"/>
      <c r="GRL541"/>
      <c r="GRM541"/>
      <c r="GRN541"/>
      <c r="GRO541"/>
      <c r="GRP541"/>
      <c r="GRQ541"/>
      <c r="GRR541"/>
      <c r="GRS541"/>
      <c r="GRT541"/>
      <c r="GRU541"/>
      <c r="GRV541"/>
      <c r="GRW541"/>
      <c r="GRX541"/>
      <c r="GRY541"/>
      <c r="GRZ541"/>
      <c r="GSA541"/>
      <c r="GSB541"/>
      <c r="GSC541"/>
      <c r="GSD541"/>
      <c r="GSE541"/>
      <c r="GSF541"/>
      <c r="GSG541"/>
      <c r="GSH541"/>
      <c r="GSI541"/>
      <c r="GSJ541"/>
      <c r="GSK541"/>
      <c r="GSL541"/>
      <c r="GSM541"/>
      <c r="GSN541"/>
      <c r="GSO541"/>
      <c r="GSP541"/>
      <c r="GSQ541"/>
      <c r="GSR541"/>
      <c r="GSS541"/>
      <c r="GST541"/>
      <c r="GSU541"/>
      <c r="GSV541"/>
      <c r="GSW541"/>
      <c r="GSX541"/>
      <c r="GSY541"/>
      <c r="GSZ541"/>
      <c r="GTA541"/>
      <c r="GTB541"/>
      <c r="GTC541"/>
      <c r="GTD541"/>
      <c r="GTE541"/>
      <c r="GTF541"/>
      <c r="GTG541"/>
      <c r="GTH541"/>
      <c r="GTI541"/>
      <c r="GTJ541"/>
      <c r="GTK541"/>
      <c r="GTL541"/>
      <c r="GTM541"/>
      <c r="GTN541"/>
      <c r="GTO541"/>
      <c r="GTP541"/>
      <c r="GTQ541"/>
      <c r="GTR541"/>
      <c r="GTS541"/>
      <c r="GTT541"/>
      <c r="GTU541"/>
      <c r="GTV541"/>
      <c r="GTW541"/>
      <c r="GTX541"/>
      <c r="GTY541"/>
      <c r="GTZ541"/>
      <c r="GUA541"/>
      <c r="GUB541"/>
      <c r="GUC541"/>
      <c r="GUD541"/>
      <c r="GUE541"/>
      <c r="GUF541"/>
      <c r="GUG541"/>
      <c r="GUH541"/>
      <c r="GUI541"/>
      <c r="GUJ541"/>
      <c r="GUK541"/>
      <c r="GUL541"/>
      <c r="GUM541"/>
      <c r="GUN541"/>
      <c r="GUO541"/>
      <c r="GUP541"/>
      <c r="GUQ541"/>
      <c r="GUR541"/>
      <c r="GUS541"/>
      <c r="GUT541"/>
      <c r="GUU541"/>
      <c r="GUV541"/>
      <c r="GUW541"/>
      <c r="GUX541"/>
      <c r="GUY541"/>
      <c r="GUZ541"/>
      <c r="GVA541"/>
      <c r="GVB541"/>
      <c r="GVC541"/>
      <c r="GVD541"/>
      <c r="GVE541"/>
      <c r="GVF541"/>
      <c r="GVG541"/>
      <c r="GVH541"/>
      <c r="GVI541"/>
      <c r="GVJ541"/>
      <c r="GVK541"/>
      <c r="GVL541"/>
      <c r="GVM541"/>
      <c r="GVN541"/>
      <c r="GVO541"/>
      <c r="GVP541"/>
      <c r="GVQ541"/>
      <c r="GVR541"/>
      <c r="GVS541"/>
      <c r="GVT541"/>
      <c r="GVU541"/>
      <c r="GVV541"/>
      <c r="GVW541"/>
      <c r="GVX541"/>
      <c r="GVY541"/>
      <c r="GVZ541"/>
      <c r="GWA541"/>
      <c r="GWB541"/>
      <c r="GWC541"/>
      <c r="GWD541"/>
      <c r="GWE541"/>
      <c r="GWF541"/>
      <c r="GWG541"/>
      <c r="GWH541"/>
      <c r="GWI541"/>
      <c r="GWJ541"/>
      <c r="GWK541"/>
      <c r="GWL541"/>
      <c r="GWM541"/>
      <c r="GWN541"/>
      <c r="GWO541"/>
      <c r="GWP541"/>
      <c r="GWQ541"/>
      <c r="GWR541"/>
      <c r="GWS541"/>
      <c r="GWT541"/>
      <c r="GWU541"/>
      <c r="GWV541"/>
      <c r="GWW541"/>
      <c r="GWX541"/>
      <c r="GWY541"/>
      <c r="GWZ541"/>
      <c r="GXA541"/>
      <c r="GXB541"/>
      <c r="GXC541"/>
      <c r="GXD541"/>
      <c r="GXE541"/>
      <c r="GXF541"/>
      <c r="GXG541"/>
      <c r="GXH541"/>
      <c r="GXI541"/>
      <c r="GXJ541"/>
      <c r="GXK541"/>
      <c r="GXL541"/>
      <c r="GXM541"/>
      <c r="GXN541"/>
      <c r="GXO541"/>
      <c r="GXP541"/>
      <c r="GXQ541"/>
      <c r="GXR541"/>
      <c r="GXS541"/>
      <c r="GXT541"/>
      <c r="GXU541"/>
      <c r="GXV541"/>
      <c r="GXW541"/>
      <c r="GXX541"/>
      <c r="GXY541"/>
      <c r="GXZ541"/>
      <c r="GYA541"/>
      <c r="GYB541"/>
      <c r="GYC541"/>
      <c r="GYD541"/>
      <c r="GYE541"/>
      <c r="GYF541"/>
      <c r="GYG541"/>
      <c r="GYH541"/>
      <c r="GYI541"/>
      <c r="GYJ541"/>
      <c r="GYK541"/>
      <c r="GYL541"/>
      <c r="GYM541"/>
      <c r="GYN541"/>
      <c r="GYO541"/>
      <c r="GYP541"/>
      <c r="GYQ541"/>
      <c r="GYR541"/>
      <c r="GYS541"/>
      <c r="GYT541"/>
      <c r="GYU541"/>
      <c r="GYV541"/>
      <c r="GYW541"/>
      <c r="GYX541"/>
      <c r="GYY541"/>
      <c r="GYZ541"/>
      <c r="GZA541"/>
      <c r="GZB541"/>
      <c r="GZC541"/>
      <c r="GZD541"/>
      <c r="GZE541"/>
      <c r="GZF541"/>
      <c r="GZG541"/>
      <c r="GZH541"/>
      <c r="GZI541"/>
      <c r="GZJ541"/>
      <c r="GZK541"/>
      <c r="GZL541"/>
      <c r="GZM541"/>
      <c r="GZN541"/>
      <c r="GZO541"/>
      <c r="GZP541"/>
      <c r="GZQ541"/>
      <c r="GZR541"/>
      <c r="GZS541"/>
      <c r="GZT541"/>
      <c r="GZU541"/>
      <c r="GZV541"/>
      <c r="GZW541"/>
      <c r="GZX541"/>
      <c r="GZY541"/>
      <c r="GZZ541"/>
      <c r="HAA541"/>
      <c r="HAB541"/>
      <c r="HAC541"/>
      <c r="HAD541"/>
      <c r="HAE541"/>
      <c r="HAF541"/>
      <c r="HAG541"/>
      <c r="HAH541"/>
      <c r="HAI541"/>
      <c r="HAJ541"/>
      <c r="HAK541"/>
      <c r="HAL541"/>
      <c r="HAM541"/>
      <c r="HAN541"/>
      <c r="HAO541"/>
      <c r="HAP541"/>
      <c r="HAQ541"/>
      <c r="HAR541"/>
      <c r="HAS541"/>
      <c r="HAT541"/>
      <c r="HAU541"/>
      <c r="HAV541"/>
      <c r="HAW541"/>
      <c r="HAX541"/>
      <c r="HAY541"/>
      <c r="HAZ541"/>
      <c r="HBA541"/>
      <c r="HBB541"/>
      <c r="HBC541"/>
      <c r="HBD541"/>
      <c r="HBE541"/>
      <c r="HBF541"/>
      <c r="HBG541"/>
      <c r="HBH541"/>
      <c r="HBI541"/>
      <c r="HBJ541"/>
      <c r="HBK541"/>
      <c r="HBL541"/>
      <c r="HBM541"/>
      <c r="HBN541"/>
      <c r="HBO541"/>
      <c r="HBP541"/>
      <c r="HBQ541"/>
      <c r="HBR541"/>
      <c r="HBS541"/>
      <c r="HBT541"/>
      <c r="HBU541"/>
      <c r="HBV541"/>
      <c r="HBW541"/>
      <c r="HBX541"/>
      <c r="HBY541"/>
      <c r="HBZ541"/>
      <c r="HCA541"/>
      <c r="HCB541"/>
      <c r="HCC541"/>
      <c r="HCD541"/>
      <c r="HCE541"/>
      <c r="HCF541"/>
      <c r="HCG541"/>
      <c r="HCH541"/>
      <c r="HCI541"/>
      <c r="HCJ541"/>
      <c r="HCK541"/>
      <c r="HCL541"/>
      <c r="HCM541"/>
      <c r="HCN541"/>
      <c r="HCO541"/>
      <c r="HCP541"/>
      <c r="HCQ541"/>
      <c r="HCR541"/>
      <c r="HCS541"/>
      <c r="HCT541"/>
      <c r="HCU541"/>
      <c r="HCV541"/>
      <c r="HCW541"/>
      <c r="HCX541"/>
      <c r="HCY541"/>
      <c r="HCZ541"/>
      <c r="HDA541"/>
      <c r="HDB541"/>
      <c r="HDC541"/>
      <c r="HDD541"/>
      <c r="HDE541"/>
      <c r="HDF541"/>
      <c r="HDG541"/>
      <c r="HDH541"/>
      <c r="HDI541"/>
      <c r="HDJ541"/>
      <c r="HDK541"/>
      <c r="HDL541"/>
      <c r="HDM541"/>
      <c r="HDN541"/>
      <c r="HDO541"/>
      <c r="HDP541"/>
      <c r="HDQ541"/>
      <c r="HDR541"/>
      <c r="HDS541"/>
      <c r="HDT541"/>
      <c r="HDU541"/>
      <c r="HDV541"/>
      <c r="HDW541"/>
      <c r="HDX541"/>
      <c r="HDY541"/>
      <c r="HDZ541"/>
      <c r="HEA541"/>
      <c r="HEB541"/>
      <c r="HEC541"/>
      <c r="HED541"/>
      <c r="HEE541"/>
      <c r="HEF541"/>
      <c r="HEG541"/>
      <c r="HEH541"/>
      <c r="HEI541"/>
      <c r="HEJ541"/>
      <c r="HEK541"/>
      <c r="HEL541"/>
      <c r="HEM541"/>
      <c r="HEN541"/>
      <c r="HEO541"/>
      <c r="HEP541"/>
      <c r="HEQ541"/>
      <c r="HER541"/>
      <c r="HES541"/>
      <c r="HET541"/>
      <c r="HEU541"/>
      <c r="HEV541"/>
      <c r="HEW541"/>
      <c r="HEX541"/>
      <c r="HEY541"/>
      <c r="HEZ541"/>
      <c r="HFA541"/>
      <c r="HFB541"/>
      <c r="HFC541"/>
      <c r="HFD541"/>
      <c r="HFE541"/>
      <c r="HFF541"/>
      <c r="HFG541"/>
      <c r="HFH541"/>
      <c r="HFI541"/>
      <c r="HFJ541"/>
      <c r="HFK541"/>
      <c r="HFL541"/>
      <c r="HFM541"/>
      <c r="HFN541"/>
      <c r="HFO541"/>
      <c r="HFP541"/>
      <c r="HFQ541"/>
      <c r="HFR541"/>
      <c r="HFS541"/>
      <c r="HFT541"/>
      <c r="HFU541"/>
      <c r="HFV541"/>
      <c r="HFW541"/>
      <c r="HFX541"/>
      <c r="HFY541"/>
      <c r="HFZ541"/>
      <c r="HGA541"/>
      <c r="HGB541"/>
      <c r="HGC541"/>
      <c r="HGD541"/>
      <c r="HGE541"/>
      <c r="HGF541"/>
      <c r="HGG541"/>
      <c r="HGH541"/>
      <c r="HGI541"/>
      <c r="HGJ541"/>
      <c r="HGK541"/>
      <c r="HGL541"/>
      <c r="HGM541"/>
      <c r="HGN541"/>
      <c r="HGO541"/>
      <c r="HGP541"/>
      <c r="HGQ541"/>
      <c r="HGR541"/>
      <c r="HGS541"/>
      <c r="HGT541"/>
      <c r="HGU541"/>
      <c r="HGV541"/>
      <c r="HGW541"/>
      <c r="HGX541"/>
      <c r="HGY541"/>
      <c r="HGZ541"/>
      <c r="HHA541"/>
      <c r="HHB541"/>
      <c r="HHC541"/>
      <c r="HHD541"/>
      <c r="HHE541"/>
      <c r="HHF541"/>
      <c r="HHG541"/>
      <c r="HHH541"/>
      <c r="HHI541"/>
      <c r="HHJ541"/>
      <c r="HHK541"/>
      <c r="HHL541"/>
      <c r="HHM541"/>
      <c r="HHN541"/>
      <c r="HHO541"/>
      <c r="HHP541"/>
      <c r="HHQ541"/>
      <c r="HHR541"/>
      <c r="HHS541"/>
      <c r="HHT541"/>
      <c r="HHU541"/>
      <c r="HHV541"/>
      <c r="HHW541"/>
      <c r="HHX541"/>
      <c r="HHY541"/>
      <c r="HHZ541"/>
      <c r="HIA541"/>
      <c r="HIB541"/>
      <c r="HIC541"/>
      <c r="HID541"/>
      <c r="HIE541"/>
      <c r="HIF541"/>
      <c r="HIG541"/>
      <c r="HIH541"/>
      <c r="HII541"/>
      <c r="HIJ541"/>
      <c r="HIK541"/>
      <c r="HIL541"/>
      <c r="HIM541"/>
      <c r="HIN541"/>
      <c r="HIO541"/>
      <c r="HIP541"/>
      <c r="HIQ541"/>
      <c r="HIR541"/>
      <c r="HIS541"/>
      <c r="HIT541"/>
      <c r="HIU541"/>
      <c r="HIV541"/>
      <c r="HIW541"/>
      <c r="HIX541"/>
      <c r="HIY541"/>
      <c r="HIZ541"/>
      <c r="HJA541"/>
      <c r="HJB541"/>
      <c r="HJC541"/>
      <c r="HJD541"/>
      <c r="HJE541"/>
      <c r="HJF541"/>
      <c r="HJG541"/>
      <c r="HJH541"/>
      <c r="HJI541"/>
      <c r="HJJ541"/>
      <c r="HJK541"/>
      <c r="HJL541"/>
      <c r="HJM541"/>
      <c r="HJN541"/>
      <c r="HJO541"/>
      <c r="HJP541"/>
      <c r="HJQ541"/>
      <c r="HJR541"/>
      <c r="HJS541"/>
      <c r="HJT541"/>
      <c r="HJU541"/>
      <c r="HJV541"/>
      <c r="HJW541"/>
      <c r="HJX541"/>
      <c r="HJY541"/>
      <c r="HJZ541"/>
      <c r="HKA541"/>
      <c r="HKB541"/>
      <c r="HKC541"/>
      <c r="HKD541"/>
      <c r="HKE541"/>
      <c r="HKF541"/>
      <c r="HKG541"/>
      <c r="HKH541"/>
      <c r="HKI541"/>
      <c r="HKJ541"/>
      <c r="HKK541"/>
      <c r="HKL541"/>
      <c r="HKM541"/>
      <c r="HKN541"/>
      <c r="HKO541"/>
      <c r="HKP541"/>
      <c r="HKQ541"/>
      <c r="HKR541"/>
      <c r="HKS541"/>
      <c r="HKT541"/>
      <c r="HKU541"/>
      <c r="HKV541"/>
      <c r="HKW541"/>
      <c r="HKX541"/>
      <c r="HKY541"/>
      <c r="HKZ541"/>
      <c r="HLA541"/>
      <c r="HLB541"/>
      <c r="HLC541"/>
      <c r="HLD541"/>
      <c r="HLE541"/>
      <c r="HLF541"/>
      <c r="HLG541"/>
      <c r="HLH541"/>
      <c r="HLI541"/>
      <c r="HLJ541"/>
      <c r="HLK541"/>
      <c r="HLL541"/>
      <c r="HLM541"/>
      <c r="HLN541"/>
      <c r="HLO541"/>
      <c r="HLP541"/>
      <c r="HLQ541"/>
      <c r="HLR541"/>
      <c r="HLS541"/>
      <c r="HLT541"/>
      <c r="HLU541"/>
      <c r="HLV541"/>
      <c r="HLW541"/>
      <c r="HLX541"/>
      <c r="HLY541"/>
      <c r="HLZ541"/>
      <c r="HMA541"/>
      <c r="HMB541"/>
      <c r="HMC541"/>
      <c r="HMD541"/>
      <c r="HME541"/>
      <c r="HMF541"/>
      <c r="HMG541"/>
      <c r="HMH541"/>
      <c r="HMI541"/>
      <c r="HMJ541"/>
      <c r="HMK541"/>
      <c r="HML541"/>
      <c r="HMM541"/>
      <c r="HMN541"/>
      <c r="HMO541"/>
      <c r="HMP541"/>
      <c r="HMQ541"/>
      <c r="HMR541"/>
      <c r="HMS541"/>
      <c r="HMT541"/>
      <c r="HMU541"/>
      <c r="HMV541"/>
      <c r="HMW541"/>
      <c r="HMX541"/>
      <c r="HMY541"/>
      <c r="HMZ541"/>
      <c r="HNA541"/>
      <c r="HNB541"/>
      <c r="HNC541"/>
      <c r="HND541"/>
      <c r="HNE541"/>
      <c r="HNF541"/>
      <c r="HNG541"/>
      <c r="HNH541"/>
      <c r="HNI541"/>
      <c r="HNJ541"/>
      <c r="HNK541"/>
      <c r="HNL541"/>
      <c r="HNM541"/>
      <c r="HNN541"/>
      <c r="HNO541"/>
      <c r="HNP541"/>
      <c r="HNQ541"/>
      <c r="HNR541"/>
      <c r="HNS541"/>
      <c r="HNT541"/>
      <c r="HNU541"/>
      <c r="HNV541"/>
      <c r="HNW541"/>
      <c r="HNX541"/>
      <c r="HNY541"/>
      <c r="HNZ541"/>
      <c r="HOA541"/>
      <c r="HOB541"/>
      <c r="HOC541"/>
      <c r="HOD541"/>
      <c r="HOE541"/>
      <c r="HOF541"/>
      <c r="HOG541"/>
      <c r="HOH541"/>
      <c r="HOI541"/>
      <c r="HOJ541"/>
      <c r="HOK541"/>
      <c r="HOL541"/>
      <c r="HOM541"/>
      <c r="HON541"/>
      <c r="HOO541"/>
      <c r="HOP541"/>
      <c r="HOQ541"/>
      <c r="HOR541"/>
      <c r="HOS541"/>
      <c r="HOT541"/>
      <c r="HOU541"/>
      <c r="HOV541"/>
      <c r="HOW541"/>
      <c r="HOX541"/>
      <c r="HOY541"/>
      <c r="HOZ541"/>
      <c r="HPA541"/>
      <c r="HPB541"/>
      <c r="HPC541"/>
      <c r="HPD541"/>
      <c r="HPE541"/>
      <c r="HPF541"/>
      <c r="HPG541"/>
      <c r="HPH541"/>
      <c r="HPI541"/>
      <c r="HPJ541"/>
      <c r="HPK541"/>
      <c r="HPL541"/>
      <c r="HPM541"/>
      <c r="HPN541"/>
      <c r="HPO541"/>
      <c r="HPP541"/>
      <c r="HPQ541"/>
      <c r="HPR541"/>
      <c r="HPS541"/>
      <c r="HPT541"/>
      <c r="HPU541"/>
      <c r="HPV541"/>
      <c r="HPW541"/>
      <c r="HPX541"/>
      <c r="HPY541"/>
      <c r="HPZ541"/>
      <c r="HQA541"/>
      <c r="HQB541"/>
      <c r="HQC541"/>
      <c r="HQD541"/>
      <c r="HQE541"/>
      <c r="HQF541"/>
      <c r="HQG541"/>
      <c r="HQH541"/>
      <c r="HQI541"/>
      <c r="HQJ541"/>
      <c r="HQK541"/>
      <c r="HQL541"/>
      <c r="HQM541"/>
      <c r="HQN541"/>
      <c r="HQO541"/>
      <c r="HQP541"/>
      <c r="HQQ541"/>
      <c r="HQR541"/>
      <c r="HQS541"/>
      <c r="HQT541"/>
      <c r="HQU541"/>
      <c r="HQV541"/>
      <c r="HQW541"/>
      <c r="HQX541"/>
      <c r="HQY541"/>
      <c r="HQZ541"/>
      <c r="HRA541"/>
      <c r="HRB541"/>
      <c r="HRC541"/>
      <c r="HRD541"/>
      <c r="HRE541"/>
      <c r="HRF541"/>
      <c r="HRG541"/>
      <c r="HRH541"/>
      <c r="HRI541"/>
      <c r="HRJ541"/>
      <c r="HRK541"/>
      <c r="HRL541"/>
      <c r="HRM541"/>
      <c r="HRN541"/>
      <c r="HRO541"/>
      <c r="HRP541"/>
      <c r="HRQ541"/>
      <c r="HRR541"/>
      <c r="HRS541"/>
      <c r="HRT541"/>
      <c r="HRU541"/>
      <c r="HRV541"/>
      <c r="HRW541"/>
      <c r="HRX541"/>
      <c r="HRY541"/>
      <c r="HRZ541"/>
      <c r="HSA541"/>
      <c r="HSB541"/>
      <c r="HSC541"/>
      <c r="HSD541"/>
      <c r="HSE541"/>
      <c r="HSF541"/>
      <c r="HSG541"/>
      <c r="HSH541"/>
      <c r="HSI541"/>
      <c r="HSJ541"/>
      <c r="HSK541"/>
      <c r="HSL541"/>
      <c r="HSM541"/>
      <c r="HSN541"/>
      <c r="HSO541"/>
      <c r="HSP541"/>
      <c r="HSQ541"/>
      <c r="HSR541"/>
      <c r="HSS541"/>
      <c r="HST541"/>
      <c r="HSU541"/>
      <c r="HSV541"/>
      <c r="HSW541"/>
      <c r="HSX541"/>
      <c r="HSY541"/>
      <c r="HSZ541"/>
      <c r="HTA541"/>
      <c r="HTB541"/>
      <c r="HTC541"/>
      <c r="HTD541"/>
      <c r="HTE541"/>
      <c r="HTF541"/>
      <c r="HTG541"/>
      <c r="HTH541"/>
      <c r="HTI541"/>
      <c r="HTJ541"/>
      <c r="HTK541"/>
      <c r="HTL541"/>
      <c r="HTM541"/>
      <c r="HTN541"/>
      <c r="HTO541"/>
      <c r="HTP541"/>
      <c r="HTQ541"/>
      <c r="HTR541"/>
      <c r="HTS541"/>
      <c r="HTT541"/>
      <c r="HTU541"/>
      <c r="HTV541"/>
      <c r="HTW541"/>
      <c r="HTX541"/>
      <c r="HTY541"/>
      <c r="HTZ541"/>
      <c r="HUA541"/>
      <c r="HUB541"/>
      <c r="HUC541"/>
      <c r="HUD541"/>
      <c r="HUE541"/>
      <c r="HUF541"/>
      <c r="HUG541"/>
      <c r="HUH541"/>
      <c r="HUI541"/>
      <c r="HUJ541"/>
      <c r="HUK541"/>
      <c r="HUL541"/>
      <c r="HUM541"/>
      <c r="HUN541"/>
      <c r="HUO541"/>
      <c r="HUP541"/>
      <c r="HUQ541"/>
      <c r="HUR541"/>
      <c r="HUS541"/>
      <c r="HUT541"/>
      <c r="HUU541"/>
      <c r="HUV541"/>
      <c r="HUW541"/>
      <c r="HUX541"/>
      <c r="HUY541"/>
      <c r="HUZ541"/>
      <c r="HVA541"/>
      <c r="HVB541"/>
      <c r="HVC541"/>
      <c r="HVD541"/>
      <c r="HVE541"/>
      <c r="HVF541"/>
      <c r="HVG541"/>
      <c r="HVH541"/>
      <c r="HVI541"/>
      <c r="HVJ541"/>
      <c r="HVK541"/>
      <c r="HVL541"/>
      <c r="HVM541"/>
      <c r="HVN541"/>
      <c r="HVO541"/>
      <c r="HVP541"/>
      <c r="HVQ541"/>
      <c r="HVR541"/>
      <c r="HVS541"/>
      <c r="HVT541"/>
      <c r="HVU541"/>
      <c r="HVV541"/>
      <c r="HVW541"/>
      <c r="HVX541"/>
      <c r="HVY541"/>
      <c r="HVZ541"/>
      <c r="HWA541"/>
      <c r="HWB541"/>
      <c r="HWC541"/>
      <c r="HWD541"/>
      <c r="HWE541"/>
      <c r="HWF541"/>
      <c r="HWG541"/>
      <c r="HWH541"/>
      <c r="HWI541"/>
      <c r="HWJ541"/>
      <c r="HWK541"/>
      <c r="HWL541"/>
      <c r="HWM541"/>
      <c r="HWN541"/>
      <c r="HWO541"/>
      <c r="HWP541"/>
      <c r="HWQ541"/>
      <c r="HWR541"/>
      <c r="HWS541"/>
      <c r="HWT541"/>
      <c r="HWU541"/>
      <c r="HWV541"/>
      <c r="HWW541"/>
      <c r="HWX541"/>
      <c r="HWY541"/>
      <c r="HWZ541"/>
      <c r="HXA541"/>
      <c r="HXB541"/>
      <c r="HXC541"/>
      <c r="HXD541"/>
      <c r="HXE541"/>
      <c r="HXF541"/>
      <c r="HXG541"/>
      <c r="HXH541"/>
      <c r="HXI541"/>
      <c r="HXJ541"/>
      <c r="HXK541"/>
      <c r="HXL541"/>
      <c r="HXM541"/>
      <c r="HXN541"/>
      <c r="HXO541"/>
      <c r="HXP541"/>
      <c r="HXQ541"/>
      <c r="HXR541"/>
      <c r="HXS541"/>
      <c r="HXT541"/>
      <c r="HXU541"/>
      <c r="HXV541"/>
      <c r="HXW541"/>
      <c r="HXX541"/>
      <c r="HXY541"/>
      <c r="HXZ541"/>
      <c r="HYA541"/>
      <c r="HYB541"/>
      <c r="HYC541"/>
      <c r="HYD541"/>
      <c r="HYE541"/>
      <c r="HYF541"/>
      <c r="HYG541"/>
      <c r="HYH541"/>
      <c r="HYI541"/>
      <c r="HYJ541"/>
      <c r="HYK541"/>
      <c r="HYL541"/>
      <c r="HYM541"/>
      <c r="HYN541"/>
      <c r="HYO541"/>
      <c r="HYP541"/>
      <c r="HYQ541"/>
      <c r="HYR541"/>
      <c r="HYS541"/>
      <c r="HYT541"/>
      <c r="HYU541"/>
      <c r="HYV541"/>
      <c r="HYW541"/>
      <c r="HYX541"/>
      <c r="HYY541"/>
      <c r="HYZ541"/>
      <c r="HZA541"/>
      <c r="HZB541"/>
      <c r="HZC541"/>
      <c r="HZD541"/>
      <c r="HZE541"/>
      <c r="HZF541"/>
      <c r="HZG541"/>
      <c r="HZH541"/>
      <c r="HZI541"/>
      <c r="HZJ541"/>
      <c r="HZK541"/>
      <c r="HZL541"/>
      <c r="HZM541"/>
      <c r="HZN541"/>
      <c r="HZO541"/>
      <c r="HZP541"/>
      <c r="HZQ541"/>
      <c r="HZR541"/>
      <c r="HZS541"/>
      <c r="HZT541"/>
      <c r="HZU541"/>
      <c r="HZV541"/>
      <c r="HZW541"/>
      <c r="HZX541"/>
      <c r="HZY541"/>
      <c r="HZZ541"/>
      <c r="IAA541"/>
      <c r="IAB541"/>
      <c r="IAC541"/>
      <c r="IAD541"/>
      <c r="IAE541"/>
      <c r="IAF541"/>
      <c r="IAG541"/>
      <c r="IAH541"/>
      <c r="IAI541"/>
      <c r="IAJ541"/>
      <c r="IAK541"/>
      <c r="IAL541"/>
      <c r="IAM541"/>
      <c r="IAN541"/>
      <c r="IAO541"/>
      <c r="IAP541"/>
      <c r="IAQ541"/>
      <c r="IAR541"/>
      <c r="IAS541"/>
      <c r="IAT541"/>
      <c r="IAU541"/>
      <c r="IAV541"/>
      <c r="IAW541"/>
      <c r="IAX541"/>
      <c r="IAY541"/>
      <c r="IAZ541"/>
      <c r="IBA541"/>
      <c r="IBB541"/>
      <c r="IBC541"/>
      <c r="IBD541"/>
      <c r="IBE541"/>
      <c r="IBF541"/>
      <c r="IBG541"/>
      <c r="IBH541"/>
      <c r="IBI541"/>
      <c r="IBJ541"/>
      <c r="IBK541"/>
      <c r="IBL541"/>
      <c r="IBM541"/>
      <c r="IBN541"/>
      <c r="IBO541"/>
      <c r="IBP541"/>
      <c r="IBQ541"/>
      <c r="IBR541"/>
      <c r="IBS541"/>
      <c r="IBT541"/>
      <c r="IBU541"/>
      <c r="IBV541"/>
      <c r="IBW541"/>
      <c r="IBX541"/>
      <c r="IBY541"/>
      <c r="IBZ541"/>
      <c r="ICA541"/>
      <c r="ICB541"/>
      <c r="ICC541"/>
      <c r="ICD541"/>
      <c r="ICE541"/>
      <c r="ICF541"/>
      <c r="ICG541"/>
      <c r="ICH541"/>
      <c r="ICI541"/>
      <c r="ICJ541"/>
      <c r="ICK541"/>
      <c r="ICL541"/>
      <c r="ICM541"/>
      <c r="ICN541"/>
      <c r="ICO541"/>
      <c r="ICP541"/>
      <c r="ICQ541"/>
      <c r="ICR541"/>
      <c r="ICS541"/>
      <c r="ICT541"/>
      <c r="ICU541"/>
      <c r="ICV541"/>
      <c r="ICW541"/>
      <c r="ICX541"/>
      <c r="ICY541"/>
      <c r="ICZ541"/>
      <c r="IDA541"/>
      <c r="IDB541"/>
      <c r="IDC541"/>
      <c r="IDD541"/>
      <c r="IDE541"/>
      <c r="IDF541"/>
      <c r="IDG541"/>
      <c r="IDH541"/>
      <c r="IDI541"/>
      <c r="IDJ541"/>
      <c r="IDK541"/>
      <c r="IDL541"/>
      <c r="IDM541"/>
      <c r="IDN541"/>
      <c r="IDO541"/>
      <c r="IDP541"/>
      <c r="IDQ541"/>
      <c r="IDR541"/>
      <c r="IDS541"/>
      <c r="IDT541"/>
      <c r="IDU541"/>
      <c r="IDV541"/>
      <c r="IDW541"/>
      <c r="IDX541"/>
      <c r="IDY541"/>
      <c r="IDZ541"/>
      <c r="IEA541"/>
      <c r="IEB541"/>
      <c r="IEC541"/>
      <c r="IED541"/>
      <c r="IEE541"/>
      <c r="IEF541"/>
      <c r="IEG541"/>
      <c r="IEH541"/>
      <c r="IEI541"/>
      <c r="IEJ541"/>
      <c r="IEK541"/>
      <c r="IEL541"/>
      <c r="IEM541"/>
      <c r="IEN541"/>
      <c r="IEO541"/>
      <c r="IEP541"/>
      <c r="IEQ541"/>
      <c r="IER541"/>
      <c r="IES541"/>
      <c r="IET541"/>
      <c r="IEU541"/>
      <c r="IEV541"/>
      <c r="IEW541"/>
      <c r="IEX541"/>
      <c r="IEY541"/>
      <c r="IEZ541"/>
      <c r="IFA541"/>
      <c r="IFB541"/>
      <c r="IFC541"/>
      <c r="IFD541"/>
      <c r="IFE541"/>
      <c r="IFF541"/>
      <c r="IFG541"/>
      <c r="IFH541"/>
      <c r="IFI541"/>
      <c r="IFJ541"/>
      <c r="IFK541"/>
      <c r="IFL541"/>
      <c r="IFM541"/>
      <c r="IFN541"/>
      <c r="IFO541"/>
      <c r="IFP541"/>
      <c r="IFQ541"/>
      <c r="IFR541"/>
      <c r="IFS541"/>
      <c r="IFT541"/>
      <c r="IFU541"/>
      <c r="IFV541"/>
      <c r="IFW541"/>
      <c r="IFX541"/>
      <c r="IFY541"/>
      <c r="IFZ541"/>
      <c r="IGA541"/>
      <c r="IGB541"/>
      <c r="IGC541"/>
      <c r="IGD541"/>
      <c r="IGE541"/>
      <c r="IGF541"/>
      <c r="IGG541"/>
      <c r="IGH541"/>
      <c r="IGI541"/>
      <c r="IGJ541"/>
      <c r="IGK541"/>
      <c r="IGL541"/>
      <c r="IGM541"/>
      <c r="IGN541"/>
      <c r="IGO541"/>
      <c r="IGP541"/>
      <c r="IGQ541"/>
      <c r="IGR541"/>
      <c r="IGS541"/>
      <c r="IGT541"/>
      <c r="IGU541"/>
      <c r="IGV541"/>
      <c r="IGW541"/>
      <c r="IGX541"/>
      <c r="IGY541"/>
      <c r="IGZ541"/>
      <c r="IHA541"/>
      <c r="IHB541"/>
      <c r="IHC541"/>
      <c r="IHD541"/>
      <c r="IHE541"/>
      <c r="IHF541"/>
      <c r="IHG541"/>
      <c r="IHH541"/>
      <c r="IHI541"/>
      <c r="IHJ541"/>
      <c r="IHK541"/>
      <c r="IHL541"/>
      <c r="IHM541"/>
      <c r="IHN541"/>
      <c r="IHO541"/>
      <c r="IHP541"/>
      <c r="IHQ541"/>
      <c r="IHR541"/>
      <c r="IHS541"/>
      <c r="IHT541"/>
      <c r="IHU541"/>
      <c r="IHV541"/>
      <c r="IHW541"/>
      <c r="IHX541"/>
      <c r="IHY541"/>
      <c r="IHZ541"/>
      <c r="IIA541"/>
      <c r="IIB541"/>
      <c r="IIC541"/>
      <c r="IID541"/>
      <c r="IIE541"/>
      <c r="IIF541"/>
      <c r="IIG541"/>
      <c r="IIH541"/>
      <c r="III541"/>
      <c r="IIJ541"/>
      <c r="IIK541"/>
      <c r="IIL541"/>
      <c r="IIM541"/>
      <c r="IIN541"/>
      <c r="IIO541"/>
      <c r="IIP541"/>
      <c r="IIQ541"/>
      <c r="IIR541"/>
      <c r="IIS541"/>
      <c r="IIT541"/>
      <c r="IIU541"/>
      <c r="IIV541"/>
      <c r="IIW541"/>
      <c r="IIX541"/>
      <c r="IIY541"/>
      <c r="IIZ541"/>
      <c r="IJA541"/>
      <c r="IJB541"/>
      <c r="IJC541"/>
      <c r="IJD541"/>
      <c r="IJE541"/>
      <c r="IJF541"/>
      <c r="IJG541"/>
      <c r="IJH541"/>
      <c r="IJI541"/>
      <c r="IJJ541"/>
      <c r="IJK541"/>
      <c r="IJL541"/>
      <c r="IJM541"/>
      <c r="IJN541"/>
      <c r="IJO541"/>
      <c r="IJP541"/>
      <c r="IJQ541"/>
      <c r="IJR541"/>
      <c r="IJS541"/>
      <c r="IJT541"/>
      <c r="IJU541"/>
      <c r="IJV541"/>
      <c r="IJW541"/>
      <c r="IJX541"/>
      <c r="IJY541"/>
      <c r="IJZ541"/>
      <c r="IKA541"/>
      <c r="IKB541"/>
      <c r="IKC541"/>
      <c r="IKD541"/>
      <c r="IKE541"/>
      <c r="IKF541"/>
      <c r="IKG541"/>
      <c r="IKH541"/>
      <c r="IKI541"/>
      <c r="IKJ541"/>
      <c r="IKK541"/>
      <c r="IKL541"/>
      <c r="IKM541"/>
      <c r="IKN541"/>
      <c r="IKO541"/>
      <c r="IKP541"/>
      <c r="IKQ541"/>
      <c r="IKR541"/>
      <c r="IKS541"/>
      <c r="IKT541"/>
      <c r="IKU541"/>
      <c r="IKV541"/>
      <c r="IKW541"/>
      <c r="IKX541"/>
      <c r="IKY541"/>
      <c r="IKZ541"/>
      <c r="ILA541"/>
      <c r="ILB541"/>
      <c r="ILC541"/>
      <c r="ILD541"/>
      <c r="ILE541"/>
      <c r="ILF541"/>
      <c r="ILG541"/>
      <c r="ILH541"/>
      <c r="ILI541"/>
      <c r="ILJ541"/>
      <c r="ILK541"/>
      <c r="ILL541"/>
      <c r="ILM541"/>
      <c r="ILN541"/>
      <c r="ILO541"/>
      <c r="ILP541"/>
      <c r="ILQ541"/>
      <c r="ILR541"/>
      <c r="ILS541"/>
      <c r="ILT541"/>
      <c r="ILU541"/>
      <c r="ILV541"/>
      <c r="ILW541"/>
      <c r="ILX541"/>
      <c r="ILY541"/>
      <c r="ILZ541"/>
      <c r="IMA541"/>
      <c r="IMB541"/>
      <c r="IMC541"/>
      <c r="IMD541"/>
      <c r="IME541"/>
      <c r="IMF541"/>
      <c r="IMG541"/>
      <c r="IMH541"/>
      <c r="IMI541"/>
      <c r="IMJ541"/>
      <c r="IMK541"/>
      <c r="IML541"/>
      <c r="IMM541"/>
      <c r="IMN541"/>
      <c r="IMO541"/>
      <c r="IMP541"/>
      <c r="IMQ541"/>
      <c r="IMR541"/>
      <c r="IMS541"/>
      <c r="IMT541"/>
      <c r="IMU541"/>
      <c r="IMV541"/>
      <c r="IMW541"/>
      <c r="IMX541"/>
      <c r="IMY541"/>
      <c r="IMZ541"/>
      <c r="INA541"/>
      <c r="INB541"/>
      <c r="INC541"/>
      <c r="IND541"/>
      <c r="INE541"/>
      <c r="INF541"/>
      <c r="ING541"/>
      <c r="INH541"/>
      <c r="INI541"/>
      <c r="INJ541"/>
      <c r="INK541"/>
      <c r="INL541"/>
      <c r="INM541"/>
      <c r="INN541"/>
      <c r="INO541"/>
      <c r="INP541"/>
      <c r="INQ541"/>
      <c r="INR541"/>
      <c r="INS541"/>
      <c r="INT541"/>
      <c r="INU541"/>
      <c r="INV541"/>
      <c r="INW541"/>
      <c r="INX541"/>
      <c r="INY541"/>
      <c r="INZ541"/>
      <c r="IOA541"/>
      <c r="IOB541"/>
      <c r="IOC541"/>
      <c r="IOD541"/>
      <c r="IOE541"/>
      <c r="IOF541"/>
      <c r="IOG541"/>
      <c r="IOH541"/>
      <c r="IOI541"/>
      <c r="IOJ541"/>
      <c r="IOK541"/>
      <c r="IOL541"/>
      <c r="IOM541"/>
      <c r="ION541"/>
      <c r="IOO541"/>
      <c r="IOP541"/>
      <c r="IOQ541"/>
      <c r="IOR541"/>
      <c r="IOS541"/>
      <c r="IOT541"/>
      <c r="IOU541"/>
      <c r="IOV541"/>
      <c r="IOW541"/>
      <c r="IOX541"/>
      <c r="IOY541"/>
      <c r="IOZ541"/>
      <c r="IPA541"/>
      <c r="IPB541"/>
      <c r="IPC541"/>
      <c r="IPD541"/>
      <c r="IPE541"/>
      <c r="IPF541"/>
      <c r="IPG541"/>
      <c r="IPH541"/>
      <c r="IPI541"/>
      <c r="IPJ541"/>
      <c r="IPK541"/>
      <c r="IPL541"/>
      <c r="IPM541"/>
      <c r="IPN541"/>
      <c r="IPO541"/>
      <c r="IPP541"/>
      <c r="IPQ541"/>
      <c r="IPR541"/>
      <c r="IPS541"/>
      <c r="IPT541"/>
      <c r="IPU541"/>
      <c r="IPV541"/>
      <c r="IPW541"/>
      <c r="IPX541"/>
      <c r="IPY541"/>
      <c r="IPZ541"/>
      <c r="IQA541"/>
      <c r="IQB541"/>
      <c r="IQC541"/>
      <c r="IQD541"/>
      <c r="IQE541"/>
      <c r="IQF541"/>
      <c r="IQG541"/>
      <c r="IQH541"/>
      <c r="IQI541"/>
      <c r="IQJ541"/>
      <c r="IQK541"/>
      <c r="IQL541"/>
      <c r="IQM541"/>
      <c r="IQN541"/>
      <c r="IQO541"/>
      <c r="IQP541"/>
      <c r="IQQ541"/>
      <c r="IQR541"/>
      <c r="IQS541"/>
      <c r="IQT541"/>
      <c r="IQU541"/>
      <c r="IQV541"/>
      <c r="IQW541"/>
      <c r="IQX541"/>
      <c r="IQY541"/>
      <c r="IQZ541"/>
      <c r="IRA541"/>
      <c r="IRB541"/>
      <c r="IRC541"/>
      <c r="IRD541"/>
      <c r="IRE541"/>
      <c r="IRF541"/>
      <c r="IRG541"/>
      <c r="IRH541"/>
      <c r="IRI541"/>
      <c r="IRJ541"/>
      <c r="IRK541"/>
      <c r="IRL541"/>
      <c r="IRM541"/>
      <c r="IRN541"/>
      <c r="IRO541"/>
      <c r="IRP541"/>
      <c r="IRQ541"/>
      <c r="IRR541"/>
      <c r="IRS541"/>
      <c r="IRT541"/>
      <c r="IRU541"/>
      <c r="IRV541"/>
      <c r="IRW541"/>
      <c r="IRX541"/>
      <c r="IRY541"/>
      <c r="IRZ541"/>
      <c r="ISA541"/>
      <c r="ISB541"/>
      <c r="ISC541"/>
      <c r="ISD541"/>
      <c r="ISE541"/>
      <c r="ISF541"/>
      <c r="ISG541"/>
      <c r="ISH541"/>
      <c r="ISI541"/>
      <c r="ISJ541"/>
      <c r="ISK541"/>
      <c r="ISL541"/>
      <c r="ISM541"/>
      <c r="ISN541"/>
      <c r="ISO541"/>
      <c r="ISP541"/>
      <c r="ISQ541"/>
      <c r="ISR541"/>
      <c r="ISS541"/>
      <c r="IST541"/>
      <c r="ISU541"/>
      <c r="ISV541"/>
      <c r="ISW541"/>
      <c r="ISX541"/>
      <c r="ISY541"/>
      <c r="ISZ541"/>
      <c r="ITA541"/>
      <c r="ITB541"/>
      <c r="ITC541"/>
      <c r="ITD541"/>
      <c r="ITE541"/>
      <c r="ITF541"/>
      <c r="ITG541"/>
      <c r="ITH541"/>
      <c r="ITI541"/>
      <c r="ITJ541"/>
      <c r="ITK541"/>
      <c r="ITL541"/>
      <c r="ITM541"/>
      <c r="ITN541"/>
      <c r="ITO541"/>
      <c r="ITP541"/>
      <c r="ITQ541"/>
      <c r="ITR541"/>
      <c r="ITS541"/>
      <c r="ITT541"/>
      <c r="ITU541"/>
      <c r="ITV541"/>
      <c r="ITW541"/>
      <c r="ITX541"/>
      <c r="ITY541"/>
      <c r="ITZ541"/>
      <c r="IUA541"/>
      <c r="IUB541"/>
      <c r="IUC541"/>
      <c r="IUD541"/>
      <c r="IUE541"/>
      <c r="IUF541"/>
      <c r="IUG541"/>
      <c r="IUH541"/>
      <c r="IUI541"/>
      <c r="IUJ541"/>
      <c r="IUK541"/>
      <c r="IUL541"/>
      <c r="IUM541"/>
      <c r="IUN541"/>
      <c r="IUO541"/>
      <c r="IUP541"/>
      <c r="IUQ541"/>
      <c r="IUR541"/>
      <c r="IUS541"/>
      <c r="IUT541"/>
      <c r="IUU541"/>
      <c r="IUV541"/>
      <c r="IUW541"/>
      <c r="IUX541"/>
      <c r="IUY541"/>
      <c r="IUZ541"/>
      <c r="IVA541"/>
      <c r="IVB541"/>
      <c r="IVC541"/>
      <c r="IVD541"/>
      <c r="IVE541"/>
      <c r="IVF541"/>
      <c r="IVG541"/>
      <c r="IVH541"/>
      <c r="IVI541"/>
      <c r="IVJ541"/>
      <c r="IVK541"/>
      <c r="IVL541"/>
      <c r="IVM541"/>
      <c r="IVN541"/>
      <c r="IVO541"/>
      <c r="IVP541"/>
      <c r="IVQ541"/>
      <c r="IVR541"/>
      <c r="IVS541"/>
      <c r="IVT541"/>
      <c r="IVU541"/>
      <c r="IVV541"/>
      <c r="IVW541"/>
      <c r="IVX541"/>
      <c r="IVY541"/>
      <c r="IVZ541"/>
      <c r="IWA541"/>
      <c r="IWB541"/>
      <c r="IWC541"/>
      <c r="IWD541"/>
      <c r="IWE541"/>
      <c r="IWF541"/>
      <c r="IWG541"/>
      <c r="IWH541"/>
      <c r="IWI541"/>
      <c r="IWJ541"/>
      <c r="IWK541"/>
      <c r="IWL541"/>
      <c r="IWM541"/>
      <c r="IWN541"/>
      <c r="IWO541"/>
      <c r="IWP541"/>
      <c r="IWQ541"/>
      <c r="IWR541"/>
      <c r="IWS541"/>
      <c r="IWT541"/>
      <c r="IWU541"/>
      <c r="IWV541"/>
      <c r="IWW541"/>
      <c r="IWX541"/>
      <c r="IWY541"/>
      <c r="IWZ541"/>
      <c r="IXA541"/>
      <c r="IXB541"/>
      <c r="IXC541"/>
      <c r="IXD541"/>
      <c r="IXE541"/>
      <c r="IXF541"/>
      <c r="IXG541"/>
      <c r="IXH541"/>
      <c r="IXI541"/>
      <c r="IXJ541"/>
      <c r="IXK541"/>
      <c r="IXL541"/>
      <c r="IXM541"/>
      <c r="IXN541"/>
      <c r="IXO541"/>
      <c r="IXP541"/>
      <c r="IXQ541"/>
      <c r="IXR541"/>
      <c r="IXS541"/>
      <c r="IXT541"/>
      <c r="IXU541"/>
      <c r="IXV541"/>
      <c r="IXW541"/>
      <c r="IXX541"/>
      <c r="IXY541"/>
      <c r="IXZ541"/>
      <c r="IYA541"/>
      <c r="IYB541"/>
      <c r="IYC541"/>
      <c r="IYD541"/>
      <c r="IYE541"/>
      <c r="IYF541"/>
      <c r="IYG541"/>
      <c r="IYH541"/>
      <c r="IYI541"/>
      <c r="IYJ541"/>
      <c r="IYK541"/>
      <c r="IYL541"/>
      <c r="IYM541"/>
      <c r="IYN541"/>
      <c r="IYO541"/>
      <c r="IYP541"/>
      <c r="IYQ541"/>
      <c r="IYR541"/>
      <c r="IYS541"/>
      <c r="IYT541"/>
      <c r="IYU541"/>
      <c r="IYV541"/>
      <c r="IYW541"/>
      <c r="IYX541"/>
      <c r="IYY541"/>
      <c r="IYZ541"/>
      <c r="IZA541"/>
      <c r="IZB541"/>
      <c r="IZC541"/>
      <c r="IZD541"/>
      <c r="IZE541"/>
      <c r="IZF541"/>
      <c r="IZG541"/>
      <c r="IZH541"/>
      <c r="IZI541"/>
      <c r="IZJ541"/>
      <c r="IZK541"/>
      <c r="IZL541"/>
      <c r="IZM541"/>
      <c r="IZN541"/>
      <c r="IZO541"/>
      <c r="IZP541"/>
      <c r="IZQ541"/>
      <c r="IZR541"/>
      <c r="IZS541"/>
      <c r="IZT541"/>
      <c r="IZU541"/>
      <c r="IZV541"/>
      <c r="IZW541"/>
      <c r="IZX541"/>
      <c r="IZY541"/>
      <c r="IZZ541"/>
      <c r="JAA541"/>
      <c r="JAB541"/>
      <c r="JAC541"/>
      <c r="JAD541"/>
      <c r="JAE541"/>
      <c r="JAF541"/>
      <c r="JAG541"/>
      <c r="JAH541"/>
      <c r="JAI541"/>
      <c r="JAJ541"/>
      <c r="JAK541"/>
      <c r="JAL541"/>
      <c r="JAM541"/>
      <c r="JAN541"/>
      <c r="JAO541"/>
      <c r="JAP541"/>
      <c r="JAQ541"/>
      <c r="JAR541"/>
      <c r="JAS541"/>
      <c r="JAT541"/>
      <c r="JAU541"/>
      <c r="JAV541"/>
      <c r="JAW541"/>
      <c r="JAX541"/>
      <c r="JAY541"/>
      <c r="JAZ541"/>
      <c r="JBA541"/>
      <c r="JBB541"/>
      <c r="JBC541"/>
      <c r="JBD541"/>
      <c r="JBE541"/>
      <c r="JBF541"/>
      <c r="JBG541"/>
      <c r="JBH541"/>
      <c r="JBI541"/>
      <c r="JBJ541"/>
      <c r="JBK541"/>
      <c r="JBL541"/>
      <c r="JBM541"/>
      <c r="JBN541"/>
      <c r="JBO541"/>
      <c r="JBP541"/>
      <c r="JBQ541"/>
      <c r="JBR541"/>
      <c r="JBS541"/>
      <c r="JBT541"/>
      <c r="JBU541"/>
      <c r="JBV541"/>
      <c r="JBW541"/>
      <c r="JBX541"/>
      <c r="JBY541"/>
      <c r="JBZ541"/>
      <c r="JCA541"/>
      <c r="JCB541"/>
      <c r="JCC541"/>
      <c r="JCD541"/>
      <c r="JCE541"/>
      <c r="JCF541"/>
      <c r="JCG541"/>
      <c r="JCH541"/>
      <c r="JCI541"/>
      <c r="JCJ541"/>
      <c r="JCK541"/>
      <c r="JCL541"/>
      <c r="JCM541"/>
      <c r="JCN541"/>
      <c r="JCO541"/>
      <c r="JCP541"/>
      <c r="JCQ541"/>
      <c r="JCR541"/>
      <c r="JCS541"/>
      <c r="JCT541"/>
      <c r="JCU541"/>
      <c r="JCV541"/>
      <c r="JCW541"/>
      <c r="JCX541"/>
      <c r="JCY541"/>
      <c r="JCZ541"/>
      <c r="JDA541"/>
      <c r="JDB541"/>
      <c r="JDC541"/>
      <c r="JDD541"/>
      <c r="JDE541"/>
      <c r="JDF541"/>
      <c r="JDG541"/>
      <c r="JDH541"/>
      <c r="JDI541"/>
      <c r="JDJ541"/>
      <c r="JDK541"/>
      <c r="JDL541"/>
      <c r="JDM541"/>
      <c r="JDN541"/>
      <c r="JDO541"/>
      <c r="JDP541"/>
      <c r="JDQ541"/>
      <c r="JDR541"/>
      <c r="JDS541"/>
      <c r="JDT541"/>
      <c r="JDU541"/>
      <c r="JDV541"/>
      <c r="JDW541"/>
      <c r="JDX541"/>
      <c r="JDY541"/>
      <c r="JDZ541"/>
      <c r="JEA541"/>
      <c r="JEB541"/>
      <c r="JEC541"/>
      <c r="JED541"/>
      <c r="JEE541"/>
      <c r="JEF541"/>
      <c r="JEG541"/>
      <c r="JEH541"/>
      <c r="JEI541"/>
      <c r="JEJ541"/>
      <c r="JEK541"/>
      <c r="JEL541"/>
      <c r="JEM541"/>
      <c r="JEN541"/>
      <c r="JEO541"/>
      <c r="JEP541"/>
      <c r="JEQ541"/>
      <c r="JER541"/>
      <c r="JES541"/>
      <c r="JET541"/>
      <c r="JEU541"/>
      <c r="JEV541"/>
      <c r="JEW541"/>
      <c r="JEX541"/>
      <c r="JEY541"/>
      <c r="JEZ541"/>
      <c r="JFA541"/>
      <c r="JFB541"/>
      <c r="JFC541"/>
      <c r="JFD541"/>
      <c r="JFE541"/>
      <c r="JFF541"/>
      <c r="JFG541"/>
      <c r="JFH541"/>
      <c r="JFI541"/>
      <c r="JFJ541"/>
      <c r="JFK541"/>
      <c r="JFL541"/>
      <c r="JFM541"/>
      <c r="JFN541"/>
      <c r="JFO541"/>
      <c r="JFP541"/>
      <c r="JFQ541"/>
      <c r="JFR541"/>
      <c r="JFS541"/>
      <c r="JFT541"/>
      <c r="JFU541"/>
      <c r="JFV541"/>
      <c r="JFW541"/>
      <c r="JFX541"/>
      <c r="JFY541"/>
      <c r="JFZ541"/>
      <c r="JGA541"/>
      <c r="JGB541"/>
      <c r="JGC541"/>
      <c r="JGD541"/>
      <c r="JGE541"/>
      <c r="JGF541"/>
      <c r="JGG541"/>
      <c r="JGH541"/>
      <c r="JGI541"/>
      <c r="JGJ541"/>
      <c r="JGK541"/>
      <c r="JGL541"/>
      <c r="JGM541"/>
      <c r="JGN541"/>
      <c r="JGO541"/>
      <c r="JGP541"/>
      <c r="JGQ541"/>
      <c r="JGR541"/>
      <c r="JGS541"/>
      <c r="JGT541"/>
      <c r="JGU541"/>
      <c r="JGV541"/>
      <c r="JGW541"/>
      <c r="JGX541"/>
      <c r="JGY541"/>
      <c r="JGZ541"/>
      <c r="JHA541"/>
      <c r="JHB541"/>
      <c r="JHC541"/>
      <c r="JHD541"/>
      <c r="JHE541"/>
      <c r="JHF541"/>
      <c r="JHG541"/>
      <c r="JHH541"/>
      <c r="JHI541"/>
      <c r="JHJ541"/>
      <c r="JHK541"/>
      <c r="JHL541"/>
      <c r="JHM541"/>
      <c r="JHN541"/>
      <c r="JHO541"/>
      <c r="JHP541"/>
      <c r="JHQ541"/>
      <c r="JHR541"/>
      <c r="JHS541"/>
      <c r="JHT541"/>
      <c r="JHU541"/>
      <c r="JHV541"/>
      <c r="JHW541"/>
      <c r="JHX541"/>
      <c r="JHY541"/>
      <c r="JHZ541"/>
      <c r="JIA541"/>
      <c r="JIB541"/>
      <c r="JIC541"/>
      <c r="JID541"/>
      <c r="JIE541"/>
      <c r="JIF541"/>
      <c r="JIG541"/>
      <c r="JIH541"/>
      <c r="JII541"/>
      <c r="JIJ541"/>
      <c r="JIK541"/>
      <c r="JIL541"/>
      <c r="JIM541"/>
      <c r="JIN541"/>
      <c r="JIO541"/>
      <c r="JIP541"/>
      <c r="JIQ541"/>
      <c r="JIR541"/>
      <c r="JIS541"/>
      <c r="JIT541"/>
      <c r="JIU541"/>
      <c r="JIV541"/>
      <c r="JIW541"/>
      <c r="JIX541"/>
      <c r="JIY541"/>
      <c r="JIZ541"/>
      <c r="JJA541"/>
      <c r="JJB541"/>
      <c r="JJC541"/>
      <c r="JJD541"/>
      <c r="JJE541"/>
      <c r="JJF541"/>
      <c r="JJG541"/>
      <c r="JJH541"/>
      <c r="JJI541"/>
      <c r="JJJ541"/>
      <c r="JJK541"/>
      <c r="JJL541"/>
      <c r="JJM541"/>
      <c r="JJN541"/>
      <c r="JJO541"/>
      <c r="JJP541"/>
      <c r="JJQ541"/>
      <c r="JJR541"/>
      <c r="JJS541"/>
      <c r="JJT541"/>
      <c r="JJU541"/>
      <c r="JJV541"/>
      <c r="JJW541"/>
      <c r="JJX541"/>
      <c r="JJY541"/>
      <c r="JJZ541"/>
      <c r="JKA541"/>
      <c r="JKB541"/>
      <c r="JKC541"/>
      <c r="JKD541"/>
      <c r="JKE541"/>
      <c r="JKF541"/>
      <c r="JKG541"/>
      <c r="JKH541"/>
      <c r="JKI541"/>
      <c r="JKJ541"/>
      <c r="JKK541"/>
      <c r="JKL541"/>
      <c r="JKM541"/>
      <c r="JKN541"/>
      <c r="JKO541"/>
      <c r="JKP541"/>
      <c r="JKQ541"/>
      <c r="JKR541"/>
      <c r="JKS541"/>
      <c r="JKT541"/>
      <c r="JKU541"/>
      <c r="JKV541"/>
      <c r="JKW541"/>
      <c r="JKX541"/>
      <c r="JKY541"/>
      <c r="JKZ541"/>
      <c r="JLA541"/>
      <c r="JLB541"/>
      <c r="JLC541"/>
      <c r="JLD541"/>
      <c r="JLE541"/>
      <c r="JLF541"/>
      <c r="JLG541"/>
      <c r="JLH541"/>
      <c r="JLI541"/>
      <c r="JLJ541"/>
      <c r="JLK541"/>
      <c r="JLL541"/>
      <c r="JLM541"/>
      <c r="JLN541"/>
      <c r="JLO541"/>
      <c r="JLP541"/>
      <c r="JLQ541"/>
      <c r="JLR541"/>
      <c r="JLS541"/>
      <c r="JLT541"/>
      <c r="JLU541"/>
      <c r="JLV541"/>
      <c r="JLW541"/>
      <c r="JLX541"/>
      <c r="JLY541"/>
      <c r="JLZ541"/>
      <c r="JMA541"/>
      <c r="JMB541"/>
      <c r="JMC541"/>
      <c r="JMD541"/>
      <c r="JME541"/>
      <c r="JMF541"/>
      <c r="JMG541"/>
      <c r="JMH541"/>
      <c r="JMI541"/>
      <c r="JMJ541"/>
      <c r="JMK541"/>
      <c r="JML541"/>
      <c r="JMM541"/>
      <c r="JMN541"/>
      <c r="JMO541"/>
      <c r="JMP541"/>
      <c r="JMQ541"/>
      <c r="JMR541"/>
      <c r="JMS541"/>
      <c r="JMT541"/>
      <c r="JMU541"/>
      <c r="JMV541"/>
      <c r="JMW541"/>
      <c r="JMX541"/>
      <c r="JMY541"/>
      <c r="JMZ541"/>
      <c r="JNA541"/>
      <c r="JNB541"/>
      <c r="JNC541"/>
      <c r="JND541"/>
      <c r="JNE541"/>
      <c r="JNF541"/>
      <c r="JNG541"/>
      <c r="JNH541"/>
      <c r="JNI541"/>
      <c r="JNJ541"/>
      <c r="JNK541"/>
      <c r="JNL541"/>
      <c r="JNM541"/>
      <c r="JNN541"/>
      <c r="JNO541"/>
      <c r="JNP541"/>
      <c r="JNQ541"/>
      <c r="JNR541"/>
      <c r="JNS541"/>
      <c r="JNT541"/>
      <c r="JNU541"/>
      <c r="JNV541"/>
      <c r="JNW541"/>
      <c r="JNX541"/>
      <c r="JNY541"/>
      <c r="JNZ541"/>
      <c r="JOA541"/>
      <c r="JOB541"/>
      <c r="JOC541"/>
      <c r="JOD541"/>
      <c r="JOE541"/>
      <c r="JOF541"/>
      <c r="JOG541"/>
      <c r="JOH541"/>
      <c r="JOI541"/>
      <c r="JOJ541"/>
      <c r="JOK541"/>
      <c r="JOL541"/>
      <c r="JOM541"/>
      <c r="JON541"/>
      <c r="JOO541"/>
      <c r="JOP541"/>
      <c r="JOQ541"/>
      <c r="JOR541"/>
      <c r="JOS541"/>
      <c r="JOT541"/>
      <c r="JOU541"/>
      <c r="JOV541"/>
      <c r="JOW541"/>
      <c r="JOX541"/>
      <c r="JOY541"/>
      <c r="JOZ541"/>
      <c r="JPA541"/>
      <c r="JPB541"/>
      <c r="JPC541"/>
      <c r="JPD541"/>
      <c r="JPE541"/>
      <c r="JPF541"/>
      <c r="JPG541"/>
      <c r="JPH541"/>
      <c r="JPI541"/>
      <c r="JPJ541"/>
      <c r="JPK541"/>
      <c r="JPL541"/>
      <c r="JPM541"/>
      <c r="JPN541"/>
      <c r="JPO541"/>
      <c r="JPP541"/>
      <c r="JPQ541"/>
      <c r="JPR541"/>
      <c r="JPS541"/>
      <c r="JPT541"/>
      <c r="JPU541"/>
      <c r="JPV541"/>
      <c r="JPW541"/>
      <c r="JPX541"/>
      <c r="JPY541"/>
      <c r="JPZ541"/>
      <c r="JQA541"/>
      <c r="JQB541"/>
      <c r="JQC541"/>
      <c r="JQD541"/>
      <c r="JQE541"/>
      <c r="JQF541"/>
      <c r="JQG541"/>
      <c r="JQH541"/>
      <c r="JQI541"/>
      <c r="JQJ541"/>
      <c r="JQK541"/>
      <c r="JQL541"/>
      <c r="JQM541"/>
      <c r="JQN541"/>
      <c r="JQO541"/>
      <c r="JQP541"/>
      <c r="JQQ541"/>
      <c r="JQR541"/>
      <c r="JQS541"/>
      <c r="JQT541"/>
      <c r="JQU541"/>
      <c r="JQV541"/>
      <c r="JQW541"/>
      <c r="JQX541"/>
      <c r="JQY541"/>
      <c r="JQZ541"/>
      <c r="JRA541"/>
      <c r="JRB541"/>
      <c r="JRC541"/>
      <c r="JRD541"/>
      <c r="JRE541"/>
      <c r="JRF541"/>
      <c r="JRG541"/>
      <c r="JRH541"/>
      <c r="JRI541"/>
      <c r="JRJ541"/>
      <c r="JRK541"/>
      <c r="JRL541"/>
      <c r="JRM541"/>
      <c r="JRN541"/>
      <c r="JRO541"/>
      <c r="JRP541"/>
      <c r="JRQ541"/>
      <c r="JRR541"/>
      <c r="JRS541"/>
      <c r="JRT541"/>
      <c r="JRU541"/>
      <c r="JRV541"/>
      <c r="JRW541"/>
      <c r="JRX541"/>
      <c r="JRY541"/>
      <c r="JRZ541"/>
      <c r="JSA541"/>
      <c r="JSB541"/>
      <c r="JSC541"/>
      <c r="JSD541"/>
      <c r="JSE541"/>
      <c r="JSF541"/>
      <c r="JSG541"/>
      <c r="JSH541"/>
      <c r="JSI541"/>
      <c r="JSJ541"/>
      <c r="JSK541"/>
      <c r="JSL541"/>
      <c r="JSM541"/>
      <c r="JSN541"/>
      <c r="JSO541"/>
      <c r="JSP541"/>
      <c r="JSQ541"/>
      <c r="JSR541"/>
      <c r="JSS541"/>
      <c r="JST541"/>
      <c r="JSU541"/>
      <c r="JSV541"/>
      <c r="JSW541"/>
      <c r="JSX541"/>
      <c r="JSY541"/>
      <c r="JSZ541"/>
      <c r="JTA541"/>
      <c r="JTB541"/>
      <c r="JTC541"/>
      <c r="JTD541"/>
      <c r="JTE541"/>
      <c r="JTF541"/>
      <c r="JTG541"/>
      <c r="JTH541"/>
      <c r="JTI541"/>
      <c r="JTJ541"/>
      <c r="JTK541"/>
      <c r="JTL541"/>
      <c r="JTM541"/>
      <c r="JTN541"/>
      <c r="JTO541"/>
      <c r="JTP541"/>
      <c r="JTQ541"/>
      <c r="JTR541"/>
      <c r="JTS541"/>
      <c r="JTT541"/>
      <c r="JTU541"/>
      <c r="JTV541"/>
      <c r="JTW541"/>
      <c r="JTX541"/>
      <c r="JTY541"/>
      <c r="JTZ541"/>
      <c r="JUA541"/>
      <c r="JUB541"/>
      <c r="JUC541"/>
      <c r="JUD541"/>
      <c r="JUE541"/>
      <c r="JUF541"/>
      <c r="JUG541"/>
      <c r="JUH541"/>
      <c r="JUI541"/>
      <c r="JUJ541"/>
      <c r="JUK541"/>
      <c r="JUL541"/>
      <c r="JUM541"/>
      <c r="JUN541"/>
      <c r="JUO541"/>
      <c r="JUP541"/>
      <c r="JUQ541"/>
      <c r="JUR541"/>
      <c r="JUS541"/>
      <c r="JUT541"/>
      <c r="JUU541"/>
      <c r="JUV541"/>
      <c r="JUW541"/>
      <c r="JUX541"/>
      <c r="JUY541"/>
      <c r="JUZ541"/>
      <c r="JVA541"/>
      <c r="JVB541"/>
      <c r="JVC541"/>
      <c r="JVD541"/>
      <c r="JVE541"/>
      <c r="JVF541"/>
      <c r="JVG541"/>
      <c r="JVH541"/>
      <c r="JVI541"/>
      <c r="JVJ541"/>
      <c r="JVK541"/>
      <c r="JVL541"/>
      <c r="JVM541"/>
      <c r="JVN541"/>
      <c r="JVO541"/>
      <c r="JVP541"/>
      <c r="JVQ541"/>
      <c r="JVR541"/>
      <c r="JVS541"/>
      <c r="JVT541"/>
      <c r="JVU541"/>
      <c r="JVV541"/>
      <c r="JVW541"/>
      <c r="JVX541"/>
      <c r="JVY541"/>
      <c r="JVZ541"/>
      <c r="JWA541"/>
      <c r="JWB541"/>
      <c r="JWC541"/>
      <c r="JWD541"/>
      <c r="JWE541"/>
      <c r="JWF541"/>
      <c r="JWG541"/>
      <c r="JWH541"/>
      <c r="JWI541"/>
      <c r="JWJ541"/>
      <c r="JWK541"/>
      <c r="JWL541"/>
      <c r="JWM541"/>
      <c r="JWN541"/>
      <c r="JWO541"/>
      <c r="JWP541"/>
      <c r="JWQ541"/>
      <c r="JWR541"/>
      <c r="JWS541"/>
      <c r="JWT541"/>
      <c r="JWU541"/>
      <c r="JWV541"/>
      <c r="JWW541"/>
      <c r="JWX541"/>
      <c r="JWY541"/>
      <c r="JWZ541"/>
      <c r="JXA541"/>
      <c r="JXB541"/>
      <c r="JXC541"/>
      <c r="JXD541"/>
      <c r="JXE541"/>
      <c r="JXF541"/>
      <c r="JXG541"/>
      <c r="JXH541"/>
      <c r="JXI541"/>
      <c r="JXJ541"/>
      <c r="JXK541"/>
      <c r="JXL541"/>
      <c r="JXM541"/>
      <c r="JXN541"/>
      <c r="JXO541"/>
      <c r="JXP541"/>
      <c r="JXQ541"/>
      <c r="JXR541"/>
      <c r="JXS541"/>
      <c r="JXT541"/>
      <c r="JXU541"/>
      <c r="JXV541"/>
      <c r="JXW541"/>
      <c r="JXX541"/>
      <c r="JXY541"/>
      <c r="JXZ541"/>
      <c r="JYA541"/>
      <c r="JYB541"/>
      <c r="JYC541"/>
      <c r="JYD541"/>
      <c r="JYE541"/>
      <c r="JYF541"/>
      <c r="JYG541"/>
      <c r="JYH541"/>
      <c r="JYI541"/>
      <c r="JYJ541"/>
      <c r="JYK541"/>
      <c r="JYL541"/>
      <c r="JYM541"/>
      <c r="JYN541"/>
      <c r="JYO541"/>
      <c r="JYP541"/>
      <c r="JYQ541"/>
      <c r="JYR541"/>
      <c r="JYS541"/>
      <c r="JYT541"/>
      <c r="JYU541"/>
      <c r="JYV541"/>
      <c r="JYW541"/>
      <c r="JYX541"/>
      <c r="JYY541"/>
      <c r="JYZ541"/>
      <c r="JZA541"/>
      <c r="JZB541"/>
      <c r="JZC541"/>
      <c r="JZD541"/>
      <c r="JZE541"/>
      <c r="JZF541"/>
      <c r="JZG541"/>
      <c r="JZH541"/>
      <c r="JZI541"/>
      <c r="JZJ541"/>
      <c r="JZK541"/>
      <c r="JZL541"/>
      <c r="JZM541"/>
      <c r="JZN541"/>
      <c r="JZO541"/>
      <c r="JZP541"/>
      <c r="JZQ541"/>
      <c r="JZR541"/>
      <c r="JZS541"/>
      <c r="JZT541"/>
      <c r="JZU541"/>
      <c r="JZV541"/>
      <c r="JZW541"/>
      <c r="JZX541"/>
      <c r="JZY541"/>
      <c r="JZZ541"/>
      <c r="KAA541"/>
      <c r="KAB541"/>
      <c r="KAC541"/>
      <c r="KAD541"/>
      <c r="KAE541"/>
      <c r="KAF541"/>
      <c r="KAG541"/>
      <c r="KAH541"/>
      <c r="KAI541"/>
      <c r="KAJ541"/>
      <c r="KAK541"/>
      <c r="KAL541"/>
      <c r="KAM541"/>
      <c r="KAN541"/>
      <c r="KAO541"/>
      <c r="KAP541"/>
      <c r="KAQ541"/>
      <c r="KAR541"/>
      <c r="KAS541"/>
      <c r="KAT541"/>
      <c r="KAU541"/>
      <c r="KAV541"/>
      <c r="KAW541"/>
      <c r="KAX541"/>
      <c r="KAY541"/>
      <c r="KAZ541"/>
      <c r="KBA541"/>
      <c r="KBB541"/>
      <c r="KBC541"/>
      <c r="KBD541"/>
      <c r="KBE541"/>
      <c r="KBF541"/>
      <c r="KBG541"/>
      <c r="KBH541"/>
      <c r="KBI541"/>
      <c r="KBJ541"/>
      <c r="KBK541"/>
      <c r="KBL541"/>
      <c r="KBM541"/>
      <c r="KBN541"/>
      <c r="KBO541"/>
      <c r="KBP541"/>
      <c r="KBQ541"/>
      <c r="KBR541"/>
      <c r="KBS541"/>
      <c r="KBT541"/>
      <c r="KBU541"/>
      <c r="KBV541"/>
      <c r="KBW541"/>
      <c r="KBX541"/>
      <c r="KBY541"/>
      <c r="KBZ541"/>
      <c r="KCA541"/>
      <c r="KCB541"/>
      <c r="KCC541"/>
      <c r="KCD541"/>
      <c r="KCE541"/>
      <c r="KCF541"/>
      <c r="KCG541"/>
      <c r="KCH541"/>
      <c r="KCI541"/>
      <c r="KCJ541"/>
      <c r="KCK541"/>
      <c r="KCL541"/>
      <c r="KCM541"/>
      <c r="KCN541"/>
      <c r="KCO541"/>
      <c r="KCP541"/>
      <c r="KCQ541"/>
      <c r="KCR541"/>
      <c r="KCS541"/>
      <c r="KCT541"/>
      <c r="KCU541"/>
      <c r="KCV541"/>
      <c r="KCW541"/>
      <c r="KCX541"/>
      <c r="KCY541"/>
      <c r="KCZ541"/>
      <c r="KDA541"/>
      <c r="KDB541"/>
      <c r="KDC541"/>
      <c r="KDD541"/>
      <c r="KDE541"/>
      <c r="KDF541"/>
      <c r="KDG541"/>
      <c r="KDH541"/>
      <c r="KDI541"/>
      <c r="KDJ541"/>
      <c r="KDK541"/>
      <c r="KDL541"/>
      <c r="KDM541"/>
      <c r="KDN541"/>
      <c r="KDO541"/>
      <c r="KDP541"/>
      <c r="KDQ541"/>
      <c r="KDR541"/>
      <c r="KDS541"/>
      <c r="KDT541"/>
      <c r="KDU541"/>
      <c r="KDV541"/>
      <c r="KDW541"/>
      <c r="KDX541"/>
      <c r="KDY541"/>
      <c r="KDZ541"/>
      <c r="KEA541"/>
      <c r="KEB541"/>
      <c r="KEC541"/>
      <c r="KED541"/>
      <c r="KEE541"/>
      <c r="KEF541"/>
      <c r="KEG541"/>
      <c r="KEH541"/>
      <c r="KEI541"/>
      <c r="KEJ541"/>
      <c r="KEK541"/>
      <c r="KEL541"/>
      <c r="KEM541"/>
      <c r="KEN541"/>
      <c r="KEO541"/>
      <c r="KEP541"/>
      <c r="KEQ541"/>
      <c r="KER541"/>
      <c r="KES541"/>
      <c r="KET541"/>
      <c r="KEU541"/>
      <c r="KEV541"/>
      <c r="KEW541"/>
      <c r="KEX541"/>
      <c r="KEY541"/>
      <c r="KEZ541"/>
      <c r="KFA541"/>
      <c r="KFB541"/>
      <c r="KFC541"/>
      <c r="KFD541"/>
      <c r="KFE541"/>
      <c r="KFF541"/>
      <c r="KFG541"/>
      <c r="KFH541"/>
      <c r="KFI541"/>
      <c r="KFJ541"/>
      <c r="KFK541"/>
      <c r="KFL541"/>
      <c r="KFM541"/>
      <c r="KFN541"/>
      <c r="KFO541"/>
      <c r="KFP541"/>
      <c r="KFQ541"/>
      <c r="KFR541"/>
      <c r="KFS541"/>
      <c r="KFT541"/>
      <c r="KFU541"/>
      <c r="KFV541"/>
      <c r="KFW541"/>
      <c r="KFX541"/>
      <c r="KFY541"/>
      <c r="KFZ541"/>
      <c r="KGA541"/>
      <c r="KGB541"/>
      <c r="KGC541"/>
      <c r="KGD541"/>
      <c r="KGE541"/>
      <c r="KGF541"/>
      <c r="KGG541"/>
      <c r="KGH541"/>
      <c r="KGI541"/>
      <c r="KGJ541"/>
      <c r="KGK541"/>
      <c r="KGL541"/>
      <c r="KGM541"/>
      <c r="KGN541"/>
      <c r="KGO541"/>
      <c r="KGP541"/>
      <c r="KGQ541"/>
      <c r="KGR541"/>
      <c r="KGS541"/>
      <c r="KGT541"/>
      <c r="KGU541"/>
      <c r="KGV541"/>
      <c r="KGW541"/>
      <c r="KGX541"/>
      <c r="KGY541"/>
      <c r="KGZ541"/>
      <c r="KHA541"/>
      <c r="KHB541"/>
      <c r="KHC541"/>
      <c r="KHD541"/>
      <c r="KHE541"/>
      <c r="KHF541"/>
      <c r="KHG541"/>
      <c r="KHH541"/>
      <c r="KHI541"/>
      <c r="KHJ541"/>
      <c r="KHK541"/>
      <c r="KHL541"/>
      <c r="KHM541"/>
      <c r="KHN541"/>
      <c r="KHO541"/>
      <c r="KHP541"/>
      <c r="KHQ541"/>
      <c r="KHR541"/>
      <c r="KHS541"/>
      <c r="KHT541"/>
      <c r="KHU541"/>
      <c r="KHV541"/>
      <c r="KHW541"/>
      <c r="KHX541"/>
      <c r="KHY541"/>
      <c r="KHZ541"/>
      <c r="KIA541"/>
      <c r="KIB541"/>
      <c r="KIC541"/>
      <c r="KID541"/>
      <c r="KIE541"/>
      <c r="KIF541"/>
      <c r="KIG541"/>
      <c r="KIH541"/>
      <c r="KII541"/>
      <c r="KIJ541"/>
      <c r="KIK541"/>
      <c r="KIL541"/>
      <c r="KIM541"/>
      <c r="KIN541"/>
      <c r="KIO541"/>
      <c r="KIP541"/>
      <c r="KIQ541"/>
      <c r="KIR541"/>
      <c r="KIS541"/>
      <c r="KIT541"/>
      <c r="KIU541"/>
      <c r="KIV541"/>
      <c r="KIW541"/>
      <c r="KIX541"/>
      <c r="KIY541"/>
      <c r="KIZ541"/>
      <c r="KJA541"/>
      <c r="KJB541"/>
      <c r="KJC541"/>
      <c r="KJD541"/>
      <c r="KJE541"/>
      <c r="KJF541"/>
      <c r="KJG541"/>
      <c r="KJH541"/>
      <c r="KJI541"/>
      <c r="KJJ541"/>
      <c r="KJK541"/>
      <c r="KJL541"/>
      <c r="KJM541"/>
      <c r="KJN541"/>
      <c r="KJO541"/>
      <c r="KJP541"/>
      <c r="KJQ541"/>
      <c r="KJR541"/>
      <c r="KJS541"/>
      <c r="KJT541"/>
      <c r="KJU541"/>
      <c r="KJV541"/>
      <c r="KJW541"/>
      <c r="KJX541"/>
      <c r="KJY541"/>
      <c r="KJZ541"/>
      <c r="KKA541"/>
      <c r="KKB541"/>
      <c r="KKC541"/>
      <c r="KKD541"/>
      <c r="KKE541"/>
      <c r="KKF541"/>
      <c r="KKG541"/>
      <c r="KKH541"/>
      <c r="KKI541"/>
      <c r="KKJ541"/>
      <c r="KKK541"/>
      <c r="KKL541"/>
      <c r="KKM541"/>
      <c r="KKN541"/>
      <c r="KKO541"/>
      <c r="KKP541"/>
      <c r="KKQ541"/>
      <c r="KKR541"/>
      <c r="KKS541"/>
      <c r="KKT541"/>
      <c r="KKU541"/>
      <c r="KKV541"/>
      <c r="KKW541"/>
      <c r="KKX541"/>
      <c r="KKY541"/>
      <c r="KKZ541"/>
      <c r="KLA541"/>
      <c r="KLB541"/>
      <c r="KLC541"/>
      <c r="KLD541"/>
      <c r="KLE541"/>
      <c r="KLF541"/>
      <c r="KLG541"/>
      <c r="KLH541"/>
      <c r="KLI541"/>
      <c r="KLJ541"/>
      <c r="KLK541"/>
      <c r="KLL541"/>
      <c r="KLM541"/>
      <c r="KLN541"/>
      <c r="KLO541"/>
      <c r="KLP541"/>
      <c r="KLQ541"/>
      <c r="KLR541"/>
      <c r="KLS541"/>
      <c r="KLT541"/>
      <c r="KLU541"/>
      <c r="KLV541"/>
      <c r="KLW541"/>
      <c r="KLX541"/>
      <c r="KLY541"/>
      <c r="KLZ541"/>
      <c r="KMA541"/>
      <c r="KMB541"/>
      <c r="KMC541"/>
      <c r="KMD541"/>
      <c r="KME541"/>
      <c r="KMF541"/>
      <c r="KMG541"/>
      <c r="KMH541"/>
      <c r="KMI541"/>
      <c r="KMJ541"/>
      <c r="KMK541"/>
      <c r="KML541"/>
      <c r="KMM541"/>
      <c r="KMN541"/>
      <c r="KMO541"/>
      <c r="KMP541"/>
      <c r="KMQ541"/>
      <c r="KMR541"/>
      <c r="KMS541"/>
      <c r="KMT541"/>
      <c r="KMU541"/>
      <c r="KMV541"/>
      <c r="KMW541"/>
      <c r="KMX541"/>
      <c r="KMY541"/>
      <c r="KMZ541"/>
      <c r="KNA541"/>
      <c r="KNB541"/>
      <c r="KNC541"/>
      <c r="KND541"/>
      <c r="KNE541"/>
      <c r="KNF541"/>
      <c r="KNG541"/>
      <c r="KNH541"/>
      <c r="KNI541"/>
      <c r="KNJ541"/>
      <c r="KNK541"/>
      <c r="KNL541"/>
      <c r="KNM541"/>
      <c r="KNN541"/>
      <c r="KNO541"/>
      <c r="KNP541"/>
      <c r="KNQ541"/>
      <c r="KNR541"/>
      <c r="KNS541"/>
      <c r="KNT541"/>
      <c r="KNU541"/>
      <c r="KNV541"/>
      <c r="KNW541"/>
      <c r="KNX541"/>
      <c r="KNY541"/>
      <c r="KNZ541"/>
      <c r="KOA541"/>
      <c r="KOB541"/>
      <c r="KOC541"/>
      <c r="KOD541"/>
      <c r="KOE541"/>
      <c r="KOF541"/>
      <c r="KOG541"/>
      <c r="KOH541"/>
      <c r="KOI541"/>
      <c r="KOJ541"/>
      <c r="KOK541"/>
      <c r="KOL541"/>
      <c r="KOM541"/>
      <c r="KON541"/>
      <c r="KOO541"/>
      <c r="KOP541"/>
      <c r="KOQ541"/>
      <c r="KOR541"/>
      <c r="KOS541"/>
      <c r="KOT541"/>
      <c r="KOU541"/>
      <c r="KOV541"/>
      <c r="KOW541"/>
      <c r="KOX541"/>
      <c r="KOY541"/>
      <c r="KOZ541"/>
      <c r="KPA541"/>
      <c r="KPB541"/>
      <c r="KPC541"/>
      <c r="KPD541"/>
      <c r="KPE541"/>
      <c r="KPF541"/>
      <c r="KPG541"/>
      <c r="KPH541"/>
      <c r="KPI541"/>
      <c r="KPJ541"/>
      <c r="KPK541"/>
      <c r="KPL541"/>
      <c r="KPM541"/>
      <c r="KPN541"/>
      <c r="KPO541"/>
      <c r="KPP541"/>
      <c r="KPQ541"/>
      <c r="KPR541"/>
      <c r="KPS541"/>
      <c r="KPT541"/>
      <c r="KPU541"/>
      <c r="KPV541"/>
      <c r="KPW541"/>
      <c r="KPX541"/>
      <c r="KPY541"/>
      <c r="KPZ541"/>
      <c r="KQA541"/>
      <c r="KQB541"/>
      <c r="KQC541"/>
      <c r="KQD541"/>
      <c r="KQE541"/>
      <c r="KQF541"/>
      <c r="KQG541"/>
      <c r="KQH541"/>
      <c r="KQI541"/>
      <c r="KQJ541"/>
      <c r="KQK541"/>
      <c r="KQL541"/>
      <c r="KQM541"/>
      <c r="KQN541"/>
      <c r="KQO541"/>
      <c r="KQP541"/>
      <c r="KQQ541"/>
      <c r="KQR541"/>
      <c r="KQS541"/>
      <c r="KQT541"/>
      <c r="KQU541"/>
      <c r="KQV541"/>
      <c r="KQW541"/>
      <c r="KQX541"/>
      <c r="KQY541"/>
      <c r="KQZ541"/>
      <c r="KRA541"/>
      <c r="KRB541"/>
      <c r="KRC541"/>
      <c r="KRD541"/>
      <c r="KRE541"/>
      <c r="KRF541"/>
      <c r="KRG541"/>
      <c r="KRH541"/>
      <c r="KRI541"/>
      <c r="KRJ541"/>
      <c r="KRK541"/>
      <c r="KRL541"/>
      <c r="KRM541"/>
      <c r="KRN541"/>
      <c r="KRO541"/>
      <c r="KRP541"/>
      <c r="KRQ541"/>
      <c r="KRR541"/>
      <c r="KRS541"/>
      <c r="KRT541"/>
      <c r="KRU541"/>
      <c r="KRV541"/>
      <c r="KRW541"/>
      <c r="KRX541"/>
      <c r="KRY541"/>
      <c r="KRZ541"/>
      <c r="KSA541"/>
      <c r="KSB541"/>
      <c r="KSC541"/>
      <c r="KSD541"/>
      <c r="KSE541"/>
      <c r="KSF541"/>
      <c r="KSG541"/>
      <c r="KSH541"/>
      <c r="KSI541"/>
      <c r="KSJ541"/>
      <c r="KSK541"/>
      <c r="KSL541"/>
      <c r="KSM541"/>
      <c r="KSN541"/>
      <c r="KSO541"/>
      <c r="KSP541"/>
      <c r="KSQ541"/>
      <c r="KSR541"/>
      <c r="KSS541"/>
      <c r="KST541"/>
      <c r="KSU541"/>
      <c r="KSV541"/>
      <c r="KSW541"/>
      <c r="KSX541"/>
      <c r="KSY541"/>
      <c r="KSZ541"/>
      <c r="KTA541"/>
      <c r="KTB541"/>
      <c r="KTC541"/>
      <c r="KTD541"/>
      <c r="KTE541"/>
      <c r="KTF541"/>
      <c r="KTG541"/>
      <c r="KTH541"/>
      <c r="KTI541"/>
      <c r="KTJ541"/>
      <c r="KTK541"/>
      <c r="KTL541"/>
      <c r="KTM541"/>
      <c r="KTN541"/>
      <c r="KTO541"/>
      <c r="KTP541"/>
      <c r="KTQ541"/>
      <c r="KTR541"/>
      <c r="KTS541"/>
      <c r="KTT541"/>
      <c r="KTU541"/>
      <c r="KTV541"/>
      <c r="KTW541"/>
      <c r="KTX541"/>
      <c r="KTY541"/>
      <c r="KTZ541"/>
      <c r="KUA541"/>
      <c r="KUB541"/>
      <c r="KUC541"/>
      <c r="KUD541"/>
      <c r="KUE541"/>
      <c r="KUF541"/>
      <c r="KUG541"/>
      <c r="KUH541"/>
      <c r="KUI541"/>
      <c r="KUJ541"/>
      <c r="KUK541"/>
      <c r="KUL541"/>
      <c r="KUM541"/>
      <c r="KUN541"/>
      <c r="KUO541"/>
      <c r="KUP541"/>
      <c r="KUQ541"/>
      <c r="KUR541"/>
      <c r="KUS541"/>
      <c r="KUT541"/>
      <c r="KUU541"/>
      <c r="KUV541"/>
      <c r="KUW541"/>
      <c r="KUX541"/>
      <c r="KUY541"/>
      <c r="KUZ541"/>
      <c r="KVA541"/>
      <c r="KVB541"/>
      <c r="KVC541"/>
      <c r="KVD541"/>
      <c r="KVE541"/>
      <c r="KVF541"/>
      <c r="KVG541"/>
      <c r="KVH541"/>
      <c r="KVI541"/>
      <c r="KVJ541"/>
      <c r="KVK541"/>
      <c r="KVL541"/>
      <c r="KVM541"/>
      <c r="KVN541"/>
      <c r="KVO541"/>
      <c r="KVP541"/>
      <c r="KVQ541"/>
      <c r="KVR541"/>
      <c r="KVS541"/>
      <c r="KVT541"/>
      <c r="KVU541"/>
      <c r="KVV541"/>
      <c r="KVW541"/>
      <c r="KVX541"/>
      <c r="KVY541"/>
      <c r="KVZ541"/>
      <c r="KWA541"/>
      <c r="KWB541"/>
      <c r="KWC541"/>
      <c r="KWD541"/>
      <c r="KWE541"/>
      <c r="KWF541"/>
      <c r="KWG541"/>
      <c r="KWH541"/>
      <c r="KWI541"/>
      <c r="KWJ541"/>
      <c r="KWK541"/>
      <c r="KWL541"/>
      <c r="KWM541"/>
      <c r="KWN541"/>
      <c r="KWO541"/>
      <c r="KWP541"/>
      <c r="KWQ541"/>
      <c r="KWR541"/>
      <c r="KWS541"/>
      <c r="KWT541"/>
      <c r="KWU541"/>
      <c r="KWV541"/>
      <c r="KWW541"/>
      <c r="KWX541"/>
      <c r="KWY541"/>
      <c r="KWZ541"/>
      <c r="KXA541"/>
      <c r="KXB541"/>
      <c r="KXC541"/>
      <c r="KXD541"/>
      <c r="KXE541"/>
      <c r="KXF541"/>
      <c r="KXG541"/>
      <c r="KXH541"/>
      <c r="KXI541"/>
      <c r="KXJ541"/>
      <c r="KXK541"/>
      <c r="KXL541"/>
      <c r="KXM541"/>
      <c r="KXN541"/>
      <c r="KXO541"/>
      <c r="KXP541"/>
      <c r="KXQ541"/>
      <c r="KXR541"/>
      <c r="KXS541"/>
      <c r="KXT541"/>
      <c r="KXU541"/>
      <c r="KXV541"/>
      <c r="KXW541"/>
      <c r="KXX541"/>
      <c r="KXY541"/>
      <c r="KXZ541"/>
      <c r="KYA541"/>
      <c r="KYB541"/>
      <c r="KYC541"/>
      <c r="KYD541"/>
      <c r="KYE541"/>
      <c r="KYF541"/>
      <c r="KYG541"/>
      <c r="KYH541"/>
      <c r="KYI541"/>
      <c r="KYJ541"/>
      <c r="KYK541"/>
      <c r="KYL541"/>
      <c r="KYM541"/>
      <c r="KYN541"/>
      <c r="KYO541"/>
      <c r="KYP541"/>
      <c r="KYQ541"/>
      <c r="KYR541"/>
      <c r="KYS541"/>
      <c r="KYT541"/>
      <c r="KYU541"/>
      <c r="KYV541"/>
      <c r="KYW541"/>
      <c r="KYX541"/>
      <c r="KYY541"/>
      <c r="KYZ541"/>
      <c r="KZA541"/>
      <c r="KZB541"/>
      <c r="KZC541"/>
      <c r="KZD541"/>
      <c r="KZE541"/>
      <c r="KZF541"/>
      <c r="KZG541"/>
      <c r="KZH541"/>
      <c r="KZI541"/>
      <c r="KZJ541"/>
      <c r="KZK541"/>
      <c r="KZL541"/>
      <c r="KZM541"/>
      <c r="KZN541"/>
      <c r="KZO541"/>
      <c r="KZP541"/>
      <c r="KZQ541"/>
      <c r="KZR541"/>
      <c r="KZS541"/>
      <c r="KZT541"/>
      <c r="KZU541"/>
      <c r="KZV541"/>
      <c r="KZW541"/>
      <c r="KZX541"/>
      <c r="KZY541"/>
      <c r="KZZ541"/>
      <c r="LAA541"/>
      <c r="LAB541"/>
      <c r="LAC541"/>
      <c r="LAD541"/>
      <c r="LAE541"/>
      <c r="LAF541"/>
      <c r="LAG541"/>
      <c r="LAH541"/>
      <c r="LAI541"/>
      <c r="LAJ541"/>
      <c r="LAK541"/>
      <c r="LAL541"/>
      <c r="LAM541"/>
      <c r="LAN541"/>
      <c r="LAO541"/>
      <c r="LAP541"/>
      <c r="LAQ541"/>
      <c r="LAR541"/>
      <c r="LAS541"/>
      <c r="LAT541"/>
      <c r="LAU541"/>
      <c r="LAV541"/>
      <c r="LAW541"/>
      <c r="LAX541"/>
      <c r="LAY541"/>
      <c r="LAZ541"/>
      <c r="LBA541"/>
      <c r="LBB541"/>
      <c r="LBC541"/>
      <c r="LBD541"/>
      <c r="LBE541"/>
      <c r="LBF541"/>
      <c r="LBG541"/>
      <c r="LBH541"/>
      <c r="LBI541"/>
      <c r="LBJ541"/>
      <c r="LBK541"/>
      <c r="LBL541"/>
      <c r="LBM541"/>
      <c r="LBN541"/>
      <c r="LBO541"/>
      <c r="LBP541"/>
      <c r="LBQ541"/>
      <c r="LBR541"/>
      <c r="LBS541"/>
      <c r="LBT541"/>
      <c r="LBU541"/>
      <c r="LBV541"/>
      <c r="LBW541"/>
      <c r="LBX541"/>
      <c r="LBY541"/>
      <c r="LBZ541"/>
      <c r="LCA541"/>
      <c r="LCB541"/>
      <c r="LCC541"/>
      <c r="LCD541"/>
      <c r="LCE541"/>
      <c r="LCF541"/>
      <c r="LCG541"/>
      <c r="LCH541"/>
      <c r="LCI541"/>
      <c r="LCJ541"/>
      <c r="LCK541"/>
      <c r="LCL541"/>
      <c r="LCM541"/>
      <c r="LCN541"/>
      <c r="LCO541"/>
      <c r="LCP541"/>
      <c r="LCQ541"/>
      <c r="LCR541"/>
      <c r="LCS541"/>
      <c r="LCT541"/>
      <c r="LCU541"/>
      <c r="LCV541"/>
      <c r="LCW541"/>
      <c r="LCX541"/>
      <c r="LCY541"/>
      <c r="LCZ541"/>
      <c r="LDA541"/>
      <c r="LDB541"/>
      <c r="LDC541"/>
      <c r="LDD541"/>
      <c r="LDE541"/>
      <c r="LDF541"/>
      <c r="LDG541"/>
      <c r="LDH541"/>
      <c r="LDI541"/>
      <c r="LDJ541"/>
      <c r="LDK541"/>
      <c r="LDL541"/>
      <c r="LDM541"/>
      <c r="LDN541"/>
      <c r="LDO541"/>
      <c r="LDP541"/>
      <c r="LDQ541"/>
      <c r="LDR541"/>
      <c r="LDS541"/>
      <c r="LDT541"/>
      <c r="LDU541"/>
      <c r="LDV541"/>
      <c r="LDW541"/>
      <c r="LDX541"/>
      <c r="LDY541"/>
      <c r="LDZ541"/>
      <c r="LEA541"/>
      <c r="LEB541"/>
      <c r="LEC541"/>
      <c r="LED541"/>
      <c r="LEE541"/>
      <c r="LEF541"/>
      <c r="LEG541"/>
      <c r="LEH541"/>
      <c r="LEI541"/>
      <c r="LEJ541"/>
      <c r="LEK541"/>
      <c r="LEL541"/>
      <c r="LEM541"/>
      <c r="LEN541"/>
      <c r="LEO541"/>
      <c r="LEP541"/>
      <c r="LEQ541"/>
      <c r="LER541"/>
      <c r="LES541"/>
      <c r="LET541"/>
      <c r="LEU541"/>
      <c r="LEV541"/>
      <c r="LEW541"/>
      <c r="LEX541"/>
      <c r="LEY541"/>
      <c r="LEZ541"/>
      <c r="LFA541"/>
      <c r="LFB541"/>
      <c r="LFC541"/>
      <c r="LFD541"/>
      <c r="LFE541"/>
      <c r="LFF541"/>
      <c r="LFG541"/>
      <c r="LFH541"/>
      <c r="LFI541"/>
      <c r="LFJ541"/>
      <c r="LFK541"/>
      <c r="LFL541"/>
      <c r="LFM541"/>
      <c r="LFN541"/>
      <c r="LFO541"/>
      <c r="LFP541"/>
      <c r="LFQ541"/>
      <c r="LFR541"/>
      <c r="LFS541"/>
      <c r="LFT541"/>
      <c r="LFU541"/>
      <c r="LFV541"/>
      <c r="LFW541"/>
      <c r="LFX541"/>
      <c r="LFY541"/>
      <c r="LFZ541"/>
      <c r="LGA541"/>
      <c r="LGB541"/>
      <c r="LGC541"/>
      <c r="LGD541"/>
      <c r="LGE541"/>
      <c r="LGF541"/>
      <c r="LGG541"/>
      <c r="LGH541"/>
      <c r="LGI541"/>
      <c r="LGJ541"/>
      <c r="LGK541"/>
      <c r="LGL541"/>
      <c r="LGM541"/>
      <c r="LGN541"/>
      <c r="LGO541"/>
      <c r="LGP541"/>
      <c r="LGQ541"/>
      <c r="LGR541"/>
      <c r="LGS541"/>
      <c r="LGT541"/>
      <c r="LGU541"/>
      <c r="LGV541"/>
      <c r="LGW541"/>
      <c r="LGX541"/>
      <c r="LGY541"/>
      <c r="LGZ541"/>
      <c r="LHA541"/>
      <c r="LHB541"/>
      <c r="LHC541"/>
      <c r="LHD541"/>
      <c r="LHE541"/>
      <c r="LHF541"/>
      <c r="LHG541"/>
      <c r="LHH541"/>
      <c r="LHI541"/>
      <c r="LHJ541"/>
      <c r="LHK541"/>
      <c r="LHL541"/>
      <c r="LHM541"/>
      <c r="LHN541"/>
      <c r="LHO541"/>
      <c r="LHP541"/>
      <c r="LHQ541"/>
      <c r="LHR541"/>
      <c r="LHS541"/>
      <c r="LHT541"/>
      <c r="LHU541"/>
      <c r="LHV541"/>
      <c r="LHW541"/>
      <c r="LHX541"/>
      <c r="LHY541"/>
      <c r="LHZ541"/>
      <c r="LIA541"/>
      <c r="LIB541"/>
      <c r="LIC541"/>
      <c r="LID541"/>
      <c r="LIE541"/>
      <c r="LIF541"/>
      <c r="LIG541"/>
      <c r="LIH541"/>
      <c r="LII541"/>
      <c r="LIJ541"/>
      <c r="LIK541"/>
      <c r="LIL541"/>
      <c r="LIM541"/>
      <c r="LIN541"/>
      <c r="LIO541"/>
      <c r="LIP541"/>
      <c r="LIQ541"/>
      <c r="LIR541"/>
      <c r="LIS541"/>
      <c r="LIT541"/>
      <c r="LIU541"/>
      <c r="LIV541"/>
      <c r="LIW541"/>
      <c r="LIX541"/>
      <c r="LIY541"/>
      <c r="LIZ541"/>
      <c r="LJA541"/>
      <c r="LJB541"/>
      <c r="LJC541"/>
      <c r="LJD541"/>
      <c r="LJE541"/>
      <c r="LJF541"/>
      <c r="LJG541"/>
      <c r="LJH541"/>
      <c r="LJI541"/>
      <c r="LJJ541"/>
      <c r="LJK541"/>
      <c r="LJL541"/>
      <c r="LJM541"/>
      <c r="LJN541"/>
      <c r="LJO541"/>
      <c r="LJP541"/>
      <c r="LJQ541"/>
      <c r="LJR541"/>
      <c r="LJS541"/>
      <c r="LJT541"/>
      <c r="LJU541"/>
      <c r="LJV541"/>
      <c r="LJW541"/>
      <c r="LJX541"/>
      <c r="LJY541"/>
      <c r="LJZ541"/>
      <c r="LKA541"/>
      <c r="LKB541"/>
      <c r="LKC541"/>
      <c r="LKD541"/>
      <c r="LKE541"/>
      <c r="LKF541"/>
      <c r="LKG541"/>
      <c r="LKH541"/>
      <c r="LKI541"/>
      <c r="LKJ541"/>
      <c r="LKK541"/>
      <c r="LKL541"/>
      <c r="LKM541"/>
      <c r="LKN541"/>
      <c r="LKO541"/>
      <c r="LKP541"/>
      <c r="LKQ541"/>
      <c r="LKR541"/>
      <c r="LKS541"/>
      <c r="LKT541"/>
      <c r="LKU541"/>
      <c r="LKV541"/>
      <c r="LKW541"/>
      <c r="LKX541"/>
      <c r="LKY541"/>
      <c r="LKZ541"/>
      <c r="LLA541"/>
      <c r="LLB541"/>
      <c r="LLC541"/>
      <c r="LLD541"/>
      <c r="LLE541"/>
      <c r="LLF541"/>
      <c r="LLG541"/>
      <c r="LLH541"/>
      <c r="LLI541"/>
      <c r="LLJ541"/>
      <c r="LLK541"/>
      <c r="LLL541"/>
      <c r="LLM541"/>
      <c r="LLN541"/>
      <c r="LLO541"/>
      <c r="LLP541"/>
      <c r="LLQ541"/>
      <c r="LLR541"/>
      <c r="LLS541"/>
      <c r="LLT541"/>
      <c r="LLU541"/>
      <c r="LLV541"/>
      <c r="LLW541"/>
      <c r="LLX541"/>
      <c r="LLY541"/>
      <c r="LLZ541"/>
      <c r="LMA541"/>
      <c r="LMB541"/>
      <c r="LMC541"/>
      <c r="LMD541"/>
      <c r="LME541"/>
      <c r="LMF541"/>
      <c r="LMG541"/>
      <c r="LMH541"/>
      <c r="LMI541"/>
      <c r="LMJ541"/>
      <c r="LMK541"/>
      <c r="LML541"/>
      <c r="LMM541"/>
      <c r="LMN541"/>
      <c r="LMO541"/>
      <c r="LMP541"/>
      <c r="LMQ541"/>
      <c r="LMR541"/>
      <c r="LMS541"/>
      <c r="LMT541"/>
      <c r="LMU541"/>
      <c r="LMV541"/>
      <c r="LMW541"/>
      <c r="LMX541"/>
      <c r="LMY541"/>
      <c r="LMZ541"/>
      <c r="LNA541"/>
      <c r="LNB541"/>
      <c r="LNC541"/>
      <c r="LND541"/>
      <c r="LNE541"/>
      <c r="LNF541"/>
      <c r="LNG541"/>
      <c r="LNH541"/>
      <c r="LNI541"/>
      <c r="LNJ541"/>
      <c r="LNK541"/>
      <c r="LNL541"/>
      <c r="LNM541"/>
      <c r="LNN541"/>
      <c r="LNO541"/>
      <c r="LNP541"/>
      <c r="LNQ541"/>
      <c r="LNR541"/>
      <c r="LNS541"/>
      <c r="LNT541"/>
      <c r="LNU541"/>
      <c r="LNV541"/>
      <c r="LNW541"/>
      <c r="LNX541"/>
      <c r="LNY541"/>
      <c r="LNZ541"/>
      <c r="LOA541"/>
      <c r="LOB541"/>
      <c r="LOC541"/>
      <c r="LOD541"/>
      <c r="LOE541"/>
      <c r="LOF541"/>
      <c r="LOG541"/>
      <c r="LOH541"/>
      <c r="LOI541"/>
      <c r="LOJ541"/>
      <c r="LOK541"/>
      <c r="LOL541"/>
      <c r="LOM541"/>
      <c r="LON541"/>
      <c r="LOO541"/>
      <c r="LOP541"/>
      <c r="LOQ541"/>
      <c r="LOR541"/>
      <c r="LOS541"/>
      <c r="LOT541"/>
      <c r="LOU541"/>
      <c r="LOV541"/>
      <c r="LOW541"/>
      <c r="LOX541"/>
      <c r="LOY541"/>
      <c r="LOZ541"/>
      <c r="LPA541"/>
      <c r="LPB541"/>
      <c r="LPC541"/>
      <c r="LPD541"/>
      <c r="LPE541"/>
      <c r="LPF541"/>
      <c r="LPG541"/>
      <c r="LPH541"/>
      <c r="LPI541"/>
      <c r="LPJ541"/>
      <c r="LPK541"/>
      <c r="LPL541"/>
      <c r="LPM541"/>
      <c r="LPN541"/>
      <c r="LPO541"/>
      <c r="LPP541"/>
      <c r="LPQ541"/>
      <c r="LPR541"/>
      <c r="LPS541"/>
      <c r="LPT541"/>
      <c r="LPU541"/>
      <c r="LPV541"/>
      <c r="LPW541"/>
      <c r="LPX541"/>
      <c r="LPY541"/>
      <c r="LPZ541"/>
      <c r="LQA541"/>
      <c r="LQB541"/>
      <c r="LQC541"/>
      <c r="LQD541"/>
      <c r="LQE541"/>
      <c r="LQF541"/>
      <c r="LQG541"/>
      <c r="LQH541"/>
      <c r="LQI541"/>
      <c r="LQJ541"/>
      <c r="LQK541"/>
      <c r="LQL541"/>
      <c r="LQM541"/>
      <c r="LQN541"/>
      <c r="LQO541"/>
      <c r="LQP541"/>
      <c r="LQQ541"/>
      <c r="LQR541"/>
      <c r="LQS541"/>
      <c r="LQT541"/>
      <c r="LQU541"/>
      <c r="LQV541"/>
      <c r="LQW541"/>
      <c r="LQX541"/>
      <c r="LQY541"/>
      <c r="LQZ541"/>
      <c r="LRA541"/>
      <c r="LRB541"/>
      <c r="LRC541"/>
      <c r="LRD541"/>
      <c r="LRE541"/>
      <c r="LRF541"/>
      <c r="LRG541"/>
      <c r="LRH541"/>
      <c r="LRI541"/>
      <c r="LRJ541"/>
      <c r="LRK541"/>
      <c r="LRL541"/>
      <c r="LRM541"/>
      <c r="LRN541"/>
      <c r="LRO541"/>
      <c r="LRP541"/>
      <c r="LRQ541"/>
      <c r="LRR541"/>
      <c r="LRS541"/>
      <c r="LRT541"/>
      <c r="LRU541"/>
      <c r="LRV541"/>
      <c r="LRW541"/>
      <c r="LRX541"/>
      <c r="LRY541"/>
      <c r="LRZ541"/>
      <c r="LSA541"/>
      <c r="LSB541"/>
      <c r="LSC541"/>
      <c r="LSD541"/>
      <c r="LSE541"/>
      <c r="LSF541"/>
      <c r="LSG541"/>
      <c r="LSH541"/>
      <c r="LSI541"/>
      <c r="LSJ541"/>
      <c r="LSK541"/>
      <c r="LSL541"/>
      <c r="LSM541"/>
      <c r="LSN541"/>
      <c r="LSO541"/>
      <c r="LSP541"/>
      <c r="LSQ541"/>
      <c r="LSR541"/>
      <c r="LSS541"/>
      <c r="LST541"/>
      <c r="LSU541"/>
      <c r="LSV541"/>
      <c r="LSW541"/>
      <c r="LSX541"/>
      <c r="LSY541"/>
      <c r="LSZ541"/>
      <c r="LTA541"/>
      <c r="LTB541"/>
      <c r="LTC541"/>
      <c r="LTD541"/>
      <c r="LTE541"/>
      <c r="LTF541"/>
      <c r="LTG541"/>
      <c r="LTH541"/>
      <c r="LTI541"/>
      <c r="LTJ541"/>
      <c r="LTK541"/>
      <c r="LTL541"/>
      <c r="LTM541"/>
      <c r="LTN541"/>
      <c r="LTO541"/>
      <c r="LTP541"/>
      <c r="LTQ541"/>
      <c r="LTR541"/>
      <c r="LTS541"/>
      <c r="LTT541"/>
      <c r="LTU541"/>
      <c r="LTV541"/>
      <c r="LTW541"/>
      <c r="LTX541"/>
      <c r="LTY541"/>
      <c r="LTZ541"/>
      <c r="LUA541"/>
      <c r="LUB541"/>
      <c r="LUC541"/>
      <c r="LUD541"/>
      <c r="LUE541"/>
      <c r="LUF541"/>
      <c r="LUG541"/>
      <c r="LUH541"/>
      <c r="LUI541"/>
      <c r="LUJ541"/>
      <c r="LUK541"/>
      <c r="LUL541"/>
      <c r="LUM541"/>
      <c r="LUN541"/>
      <c r="LUO541"/>
      <c r="LUP541"/>
      <c r="LUQ541"/>
      <c r="LUR541"/>
      <c r="LUS541"/>
      <c r="LUT541"/>
      <c r="LUU541"/>
      <c r="LUV541"/>
      <c r="LUW541"/>
      <c r="LUX541"/>
      <c r="LUY541"/>
      <c r="LUZ541"/>
      <c r="LVA541"/>
      <c r="LVB541"/>
      <c r="LVC541"/>
      <c r="LVD541"/>
      <c r="LVE541"/>
      <c r="LVF541"/>
      <c r="LVG541"/>
      <c r="LVH541"/>
      <c r="LVI541"/>
      <c r="LVJ541"/>
      <c r="LVK541"/>
      <c r="LVL541"/>
      <c r="LVM541"/>
      <c r="LVN541"/>
      <c r="LVO541"/>
      <c r="LVP541"/>
      <c r="LVQ541"/>
      <c r="LVR541"/>
      <c r="LVS541"/>
      <c r="LVT541"/>
      <c r="LVU541"/>
      <c r="LVV541"/>
      <c r="LVW541"/>
      <c r="LVX541"/>
      <c r="LVY541"/>
      <c r="LVZ541"/>
      <c r="LWA541"/>
      <c r="LWB541"/>
      <c r="LWC541"/>
      <c r="LWD541"/>
      <c r="LWE541"/>
      <c r="LWF541"/>
      <c r="LWG541"/>
      <c r="LWH541"/>
      <c r="LWI541"/>
      <c r="LWJ541"/>
      <c r="LWK541"/>
      <c r="LWL541"/>
      <c r="LWM541"/>
      <c r="LWN541"/>
      <c r="LWO541"/>
      <c r="LWP541"/>
      <c r="LWQ541"/>
      <c r="LWR541"/>
      <c r="LWS541"/>
      <c r="LWT541"/>
      <c r="LWU541"/>
      <c r="LWV541"/>
      <c r="LWW541"/>
      <c r="LWX541"/>
      <c r="LWY541"/>
      <c r="LWZ541"/>
      <c r="LXA541"/>
      <c r="LXB541"/>
      <c r="LXC541"/>
      <c r="LXD541"/>
      <c r="LXE541"/>
      <c r="LXF541"/>
      <c r="LXG541"/>
      <c r="LXH541"/>
      <c r="LXI541"/>
      <c r="LXJ541"/>
      <c r="LXK541"/>
      <c r="LXL541"/>
      <c r="LXM541"/>
      <c r="LXN541"/>
      <c r="LXO541"/>
      <c r="LXP541"/>
      <c r="LXQ541"/>
      <c r="LXR541"/>
      <c r="LXS541"/>
      <c r="LXT541"/>
      <c r="LXU541"/>
      <c r="LXV541"/>
      <c r="LXW541"/>
      <c r="LXX541"/>
      <c r="LXY541"/>
      <c r="LXZ541"/>
      <c r="LYA541"/>
      <c r="LYB541"/>
      <c r="LYC541"/>
      <c r="LYD541"/>
      <c r="LYE541"/>
      <c r="LYF541"/>
      <c r="LYG541"/>
      <c r="LYH541"/>
      <c r="LYI541"/>
      <c r="LYJ541"/>
      <c r="LYK541"/>
      <c r="LYL541"/>
      <c r="LYM541"/>
      <c r="LYN541"/>
      <c r="LYO541"/>
      <c r="LYP541"/>
      <c r="LYQ541"/>
      <c r="LYR541"/>
      <c r="LYS541"/>
      <c r="LYT541"/>
      <c r="LYU541"/>
      <c r="LYV541"/>
      <c r="LYW541"/>
      <c r="LYX541"/>
      <c r="LYY541"/>
      <c r="LYZ541"/>
      <c r="LZA541"/>
      <c r="LZB541"/>
      <c r="LZC541"/>
      <c r="LZD541"/>
      <c r="LZE541"/>
      <c r="LZF541"/>
      <c r="LZG541"/>
      <c r="LZH541"/>
      <c r="LZI541"/>
      <c r="LZJ541"/>
      <c r="LZK541"/>
      <c r="LZL541"/>
      <c r="LZM541"/>
      <c r="LZN541"/>
      <c r="LZO541"/>
      <c r="LZP541"/>
      <c r="LZQ541"/>
      <c r="LZR541"/>
      <c r="LZS541"/>
      <c r="LZT541"/>
      <c r="LZU541"/>
      <c r="LZV541"/>
      <c r="LZW541"/>
      <c r="LZX541"/>
      <c r="LZY541"/>
      <c r="LZZ541"/>
      <c r="MAA541"/>
      <c r="MAB541"/>
      <c r="MAC541"/>
      <c r="MAD541"/>
      <c r="MAE541"/>
      <c r="MAF541"/>
      <c r="MAG541"/>
      <c r="MAH541"/>
      <c r="MAI541"/>
      <c r="MAJ541"/>
      <c r="MAK541"/>
      <c r="MAL541"/>
      <c r="MAM541"/>
      <c r="MAN541"/>
      <c r="MAO541"/>
      <c r="MAP541"/>
      <c r="MAQ541"/>
      <c r="MAR541"/>
      <c r="MAS541"/>
      <c r="MAT541"/>
      <c r="MAU541"/>
      <c r="MAV541"/>
      <c r="MAW541"/>
      <c r="MAX541"/>
      <c r="MAY541"/>
      <c r="MAZ541"/>
      <c r="MBA541"/>
      <c r="MBB541"/>
      <c r="MBC541"/>
      <c r="MBD541"/>
      <c r="MBE541"/>
      <c r="MBF541"/>
      <c r="MBG541"/>
      <c r="MBH541"/>
      <c r="MBI541"/>
      <c r="MBJ541"/>
      <c r="MBK541"/>
      <c r="MBL541"/>
      <c r="MBM541"/>
      <c r="MBN541"/>
      <c r="MBO541"/>
      <c r="MBP541"/>
      <c r="MBQ541"/>
      <c r="MBR541"/>
      <c r="MBS541"/>
      <c r="MBT541"/>
      <c r="MBU541"/>
      <c r="MBV541"/>
      <c r="MBW541"/>
      <c r="MBX541"/>
      <c r="MBY541"/>
      <c r="MBZ541"/>
      <c r="MCA541"/>
      <c r="MCB541"/>
      <c r="MCC541"/>
      <c r="MCD541"/>
      <c r="MCE541"/>
      <c r="MCF541"/>
      <c r="MCG541"/>
      <c r="MCH541"/>
      <c r="MCI541"/>
      <c r="MCJ541"/>
      <c r="MCK541"/>
      <c r="MCL541"/>
      <c r="MCM541"/>
      <c r="MCN541"/>
      <c r="MCO541"/>
      <c r="MCP541"/>
      <c r="MCQ541"/>
      <c r="MCR541"/>
      <c r="MCS541"/>
      <c r="MCT541"/>
      <c r="MCU541"/>
      <c r="MCV541"/>
      <c r="MCW541"/>
      <c r="MCX541"/>
      <c r="MCY541"/>
      <c r="MCZ541"/>
      <c r="MDA541"/>
      <c r="MDB541"/>
      <c r="MDC541"/>
      <c r="MDD541"/>
      <c r="MDE541"/>
      <c r="MDF541"/>
      <c r="MDG541"/>
      <c r="MDH541"/>
      <c r="MDI541"/>
      <c r="MDJ541"/>
      <c r="MDK541"/>
      <c r="MDL541"/>
      <c r="MDM541"/>
      <c r="MDN541"/>
      <c r="MDO541"/>
      <c r="MDP541"/>
      <c r="MDQ541"/>
      <c r="MDR541"/>
      <c r="MDS541"/>
      <c r="MDT541"/>
      <c r="MDU541"/>
      <c r="MDV541"/>
      <c r="MDW541"/>
      <c r="MDX541"/>
      <c r="MDY541"/>
      <c r="MDZ541"/>
      <c r="MEA541"/>
      <c r="MEB541"/>
      <c r="MEC541"/>
      <c r="MED541"/>
      <c r="MEE541"/>
      <c r="MEF541"/>
      <c r="MEG541"/>
      <c r="MEH541"/>
      <c r="MEI541"/>
      <c r="MEJ541"/>
      <c r="MEK541"/>
      <c r="MEL541"/>
      <c r="MEM541"/>
      <c r="MEN541"/>
      <c r="MEO541"/>
      <c r="MEP541"/>
      <c r="MEQ541"/>
      <c r="MER541"/>
      <c r="MES541"/>
      <c r="MET541"/>
      <c r="MEU541"/>
      <c r="MEV541"/>
      <c r="MEW541"/>
      <c r="MEX541"/>
      <c r="MEY541"/>
      <c r="MEZ541"/>
      <c r="MFA541"/>
      <c r="MFB541"/>
      <c r="MFC541"/>
      <c r="MFD541"/>
      <c r="MFE541"/>
      <c r="MFF541"/>
      <c r="MFG541"/>
      <c r="MFH541"/>
      <c r="MFI541"/>
      <c r="MFJ541"/>
      <c r="MFK541"/>
      <c r="MFL541"/>
      <c r="MFM541"/>
      <c r="MFN541"/>
      <c r="MFO541"/>
      <c r="MFP541"/>
      <c r="MFQ541"/>
      <c r="MFR541"/>
      <c r="MFS541"/>
      <c r="MFT541"/>
      <c r="MFU541"/>
      <c r="MFV541"/>
      <c r="MFW541"/>
      <c r="MFX541"/>
      <c r="MFY541"/>
      <c r="MFZ541"/>
      <c r="MGA541"/>
      <c r="MGB541"/>
      <c r="MGC541"/>
      <c r="MGD541"/>
      <c r="MGE541"/>
      <c r="MGF541"/>
      <c r="MGG541"/>
      <c r="MGH541"/>
      <c r="MGI541"/>
      <c r="MGJ541"/>
      <c r="MGK541"/>
      <c r="MGL541"/>
      <c r="MGM541"/>
      <c r="MGN541"/>
      <c r="MGO541"/>
      <c r="MGP541"/>
      <c r="MGQ541"/>
      <c r="MGR541"/>
      <c r="MGS541"/>
      <c r="MGT541"/>
      <c r="MGU541"/>
      <c r="MGV541"/>
      <c r="MGW541"/>
      <c r="MGX541"/>
      <c r="MGY541"/>
      <c r="MGZ541"/>
      <c r="MHA541"/>
      <c r="MHB541"/>
      <c r="MHC541"/>
      <c r="MHD541"/>
      <c r="MHE541"/>
      <c r="MHF541"/>
      <c r="MHG541"/>
      <c r="MHH541"/>
      <c r="MHI541"/>
      <c r="MHJ541"/>
      <c r="MHK541"/>
      <c r="MHL541"/>
      <c r="MHM541"/>
      <c r="MHN541"/>
      <c r="MHO541"/>
      <c r="MHP541"/>
      <c r="MHQ541"/>
      <c r="MHR541"/>
      <c r="MHS541"/>
      <c r="MHT541"/>
      <c r="MHU541"/>
      <c r="MHV541"/>
      <c r="MHW541"/>
      <c r="MHX541"/>
      <c r="MHY541"/>
      <c r="MHZ541"/>
      <c r="MIA541"/>
      <c r="MIB541"/>
      <c r="MIC541"/>
      <c r="MID541"/>
      <c r="MIE541"/>
      <c r="MIF541"/>
      <c r="MIG541"/>
      <c r="MIH541"/>
      <c r="MII541"/>
      <c r="MIJ541"/>
      <c r="MIK541"/>
      <c r="MIL541"/>
      <c r="MIM541"/>
      <c r="MIN541"/>
      <c r="MIO541"/>
      <c r="MIP541"/>
      <c r="MIQ541"/>
      <c r="MIR541"/>
      <c r="MIS541"/>
      <c r="MIT541"/>
      <c r="MIU541"/>
      <c r="MIV541"/>
      <c r="MIW541"/>
      <c r="MIX541"/>
      <c r="MIY541"/>
      <c r="MIZ541"/>
      <c r="MJA541"/>
      <c r="MJB541"/>
      <c r="MJC541"/>
      <c r="MJD541"/>
      <c r="MJE541"/>
      <c r="MJF541"/>
      <c r="MJG541"/>
      <c r="MJH541"/>
      <c r="MJI541"/>
      <c r="MJJ541"/>
      <c r="MJK541"/>
      <c r="MJL541"/>
      <c r="MJM541"/>
      <c r="MJN541"/>
      <c r="MJO541"/>
      <c r="MJP541"/>
      <c r="MJQ541"/>
      <c r="MJR541"/>
      <c r="MJS541"/>
      <c r="MJT541"/>
      <c r="MJU541"/>
      <c r="MJV541"/>
      <c r="MJW541"/>
      <c r="MJX541"/>
      <c r="MJY541"/>
      <c r="MJZ541"/>
      <c r="MKA541"/>
      <c r="MKB541"/>
      <c r="MKC541"/>
      <c r="MKD541"/>
      <c r="MKE541"/>
      <c r="MKF541"/>
      <c r="MKG541"/>
      <c r="MKH541"/>
      <c r="MKI541"/>
      <c r="MKJ541"/>
      <c r="MKK541"/>
      <c r="MKL541"/>
      <c r="MKM541"/>
      <c r="MKN541"/>
      <c r="MKO541"/>
      <c r="MKP541"/>
      <c r="MKQ541"/>
      <c r="MKR541"/>
      <c r="MKS541"/>
      <c r="MKT541"/>
      <c r="MKU541"/>
      <c r="MKV541"/>
      <c r="MKW541"/>
      <c r="MKX541"/>
      <c r="MKY541"/>
      <c r="MKZ541"/>
      <c r="MLA541"/>
      <c r="MLB541"/>
      <c r="MLC541"/>
      <c r="MLD541"/>
      <c r="MLE541"/>
      <c r="MLF541"/>
      <c r="MLG541"/>
      <c r="MLH541"/>
      <c r="MLI541"/>
      <c r="MLJ541"/>
      <c r="MLK541"/>
      <c r="MLL541"/>
      <c r="MLM541"/>
      <c r="MLN541"/>
      <c r="MLO541"/>
      <c r="MLP541"/>
      <c r="MLQ541"/>
      <c r="MLR541"/>
      <c r="MLS541"/>
      <c r="MLT541"/>
      <c r="MLU541"/>
      <c r="MLV541"/>
      <c r="MLW541"/>
      <c r="MLX541"/>
      <c r="MLY541"/>
      <c r="MLZ541"/>
      <c r="MMA541"/>
      <c r="MMB541"/>
      <c r="MMC541"/>
      <c r="MMD541"/>
      <c r="MME541"/>
      <c r="MMF541"/>
      <c r="MMG541"/>
      <c r="MMH541"/>
      <c r="MMI541"/>
      <c r="MMJ541"/>
      <c r="MMK541"/>
      <c r="MML541"/>
      <c r="MMM541"/>
      <c r="MMN541"/>
      <c r="MMO541"/>
      <c r="MMP541"/>
      <c r="MMQ541"/>
      <c r="MMR541"/>
      <c r="MMS541"/>
      <c r="MMT541"/>
      <c r="MMU541"/>
      <c r="MMV541"/>
      <c r="MMW541"/>
      <c r="MMX541"/>
      <c r="MMY541"/>
      <c r="MMZ541"/>
      <c r="MNA541"/>
      <c r="MNB541"/>
      <c r="MNC541"/>
      <c r="MND541"/>
      <c r="MNE541"/>
      <c r="MNF541"/>
      <c r="MNG541"/>
      <c r="MNH541"/>
      <c r="MNI541"/>
      <c r="MNJ541"/>
      <c r="MNK541"/>
      <c r="MNL541"/>
      <c r="MNM541"/>
      <c r="MNN541"/>
      <c r="MNO541"/>
      <c r="MNP541"/>
      <c r="MNQ541"/>
      <c r="MNR541"/>
      <c r="MNS541"/>
      <c r="MNT541"/>
      <c r="MNU541"/>
      <c r="MNV541"/>
      <c r="MNW541"/>
      <c r="MNX541"/>
      <c r="MNY541"/>
      <c r="MNZ541"/>
      <c r="MOA541"/>
      <c r="MOB541"/>
      <c r="MOC541"/>
      <c r="MOD541"/>
      <c r="MOE541"/>
      <c r="MOF541"/>
      <c r="MOG541"/>
      <c r="MOH541"/>
      <c r="MOI541"/>
      <c r="MOJ541"/>
      <c r="MOK541"/>
      <c r="MOL541"/>
      <c r="MOM541"/>
      <c r="MON541"/>
      <c r="MOO541"/>
      <c r="MOP541"/>
      <c r="MOQ541"/>
      <c r="MOR541"/>
      <c r="MOS541"/>
      <c r="MOT541"/>
      <c r="MOU541"/>
      <c r="MOV541"/>
      <c r="MOW541"/>
      <c r="MOX541"/>
      <c r="MOY541"/>
      <c r="MOZ541"/>
      <c r="MPA541"/>
      <c r="MPB541"/>
      <c r="MPC541"/>
      <c r="MPD541"/>
      <c r="MPE541"/>
      <c r="MPF541"/>
      <c r="MPG541"/>
      <c r="MPH541"/>
      <c r="MPI541"/>
      <c r="MPJ541"/>
      <c r="MPK541"/>
      <c r="MPL541"/>
      <c r="MPM541"/>
      <c r="MPN541"/>
      <c r="MPO541"/>
      <c r="MPP541"/>
      <c r="MPQ541"/>
      <c r="MPR541"/>
      <c r="MPS541"/>
      <c r="MPT541"/>
      <c r="MPU541"/>
      <c r="MPV541"/>
      <c r="MPW541"/>
      <c r="MPX541"/>
      <c r="MPY541"/>
      <c r="MPZ541"/>
      <c r="MQA541"/>
      <c r="MQB541"/>
      <c r="MQC541"/>
      <c r="MQD541"/>
      <c r="MQE541"/>
      <c r="MQF541"/>
      <c r="MQG541"/>
      <c r="MQH541"/>
      <c r="MQI541"/>
      <c r="MQJ541"/>
      <c r="MQK541"/>
      <c r="MQL541"/>
      <c r="MQM541"/>
      <c r="MQN541"/>
      <c r="MQO541"/>
      <c r="MQP541"/>
      <c r="MQQ541"/>
      <c r="MQR541"/>
      <c r="MQS541"/>
      <c r="MQT541"/>
      <c r="MQU541"/>
      <c r="MQV541"/>
      <c r="MQW541"/>
      <c r="MQX541"/>
      <c r="MQY541"/>
      <c r="MQZ541"/>
      <c r="MRA541"/>
      <c r="MRB541"/>
      <c r="MRC541"/>
      <c r="MRD541"/>
      <c r="MRE541"/>
      <c r="MRF541"/>
      <c r="MRG541"/>
      <c r="MRH541"/>
      <c r="MRI541"/>
      <c r="MRJ541"/>
      <c r="MRK541"/>
      <c r="MRL541"/>
      <c r="MRM541"/>
      <c r="MRN541"/>
      <c r="MRO541"/>
      <c r="MRP541"/>
      <c r="MRQ541"/>
      <c r="MRR541"/>
      <c r="MRS541"/>
      <c r="MRT541"/>
      <c r="MRU541"/>
      <c r="MRV541"/>
      <c r="MRW541"/>
      <c r="MRX541"/>
      <c r="MRY541"/>
      <c r="MRZ541"/>
      <c r="MSA541"/>
      <c r="MSB541"/>
      <c r="MSC541"/>
      <c r="MSD541"/>
      <c r="MSE541"/>
      <c r="MSF541"/>
      <c r="MSG541"/>
      <c r="MSH541"/>
      <c r="MSI541"/>
      <c r="MSJ541"/>
      <c r="MSK541"/>
      <c r="MSL541"/>
      <c r="MSM541"/>
      <c r="MSN541"/>
      <c r="MSO541"/>
      <c r="MSP541"/>
      <c r="MSQ541"/>
      <c r="MSR541"/>
      <c r="MSS541"/>
      <c r="MST541"/>
      <c r="MSU541"/>
      <c r="MSV541"/>
      <c r="MSW541"/>
      <c r="MSX541"/>
      <c r="MSY541"/>
      <c r="MSZ541"/>
      <c r="MTA541"/>
      <c r="MTB541"/>
      <c r="MTC541"/>
      <c r="MTD541"/>
      <c r="MTE541"/>
      <c r="MTF541"/>
      <c r="MTG541"/>
      <c r="MTH541"/>
      <c r="MTI541"/>
      <c r="MTJ541"/>
      <c r="MTK541"/>
      <c r="MTL541"/>
      <c r="MTM541"/>
      <c r="MTN541"/>
      <c r="MTO541"/>
      <c r="MTP541"/>
      <c r="MTQ541"/>
      <c r="MTR541"/>
      <c r="MTS541"/>
      <c r="MTT541"/>
      <c r="MTU541"/>
      <c r="MTV541"/>
      <c r="MTW541"/>
      <c r="MTX541"/>
      <c r="MTY541"/>
      <c r="MTZ541"/>
      <c r="MUA541"/>
      <c r="MUB541"/>
      <c r="MUC541"/>
      <c r="MUD541"/>
      <c r="MUE541"/>
      <c r="MUF541"/>
      <c r="MUG541"/>
      <c r="MUH541"/>
      <c r="MUI541"/>
      <c r="MUJ541"/>
      <c r="MUK541"/>
      <c r="MUL541"/>
      <c r="MUM541"/>
      <c r="MUN541"/>
      <c r="MUO541"/>
      <c r="MUP541"/>
      <c r="MUQ541"/>
      <c r="MUR541"/>
      <c r="MUS541"/>
      <c r="MUT541"/>
      <c r="MUU541"/>
      <c r="MUV541"/>
      <c r="MUW541"/>
      <c r="MUX541"/>
      <c r="MUY541"/>
      <c r="MUZ541"/>
      <c r="MVA541"/>
      <c r="MVB541"/>
      <c r="MVC541"/>
      <c r="MVD541"/>
      <c r="MVE541"/>
      <c r="MVF541"/>
      <c r="MVG541"/>
      <c r="MVH541"/>
      <c r="MVI541"/>
      <c r="MVJ541"/>
      <c r="MVK541"/>
      <c r="MVL541"/>
      <c r="MVM541"/>
      <c r="MVN541"/>
      <c r="MVO541"/>
      <c r="MVP541"/>
      <c r="MVQ541"/>
      <c r="MVR541"/>
      <c r="MVS541"/>
      <c r="MVT541"/>
      <c r="MVU541"/>
      <c r="MVV541"/>
      <c r="MVW541"/>
      <c r="MVX541"/>
      <c r="MVY541"/>
      <c r="MVZ541"/>
      <c r="MWA541"/>
      <c r="MWB541"/>
      <c r="MWC541"/>
      <c r="MWD541"/>
      <c r="MWE541"/>
      <c r="MWF541"/>
      <c r="MWG541"/>
      <c r="MWH541"/>
      <c r="MWI541"/>
      <c r="MWJ541"/>
      <c r="MWK541"/>
      <c r="MWL541"/>
      <c r="MWM541"/>
      <c r="MWN541"/>
      <c r="MWO541"/>
      <c r="MWP541"/>
      <c r="MWQ541"/>
      <c r="MWR541"/>
      <c r="MWS541"/>
      <c r="MWT541"/>
      <c r="MWU541"/>
      <c r="MWV541"/>
      <c r="MWW541"/>
      <c r="MWX541"/>
      <c r="MWY541"/>
      <c r="MWZ541"/>
      <c r="MXA541"/>
      <c r="MXB541"/>
      <c r="MXC541"/>
      <c r="MXD541"/>
      <c r="MXE541"/>
      <c r="MXF541"/>
      <c r="MXG541"/>
      <c r="MXH541"/>
      <c r="MXI541"/>
      <c r="MXJ541"/>
      <c r="MXK541"/>
      <c r="MXL541"/>
      <c r="MXM541"/>
      <c r="MXN541"/>
      <c r="MXO541"/>
      <c r="MXP541"/>
      <c r="MXQ541"/>
      <c r="MXR541"/>
      <c r="MXS541"/>
      <c r="MXT541"/>
      <c r="MXU541"/>
      <c r="MXV541"/>
      <c r="MXW541"/>
      <c r="MXX541"/>
      <c r="MXY541"/>
      <c r="MXZ541"/>
      <c r="MYA541"/>
      <c r="MYB541"/>
      <c r="MYC541"/>
      <c r="MYD541"/>
      <c r="MYE541"/>
      <c r="MYF541"/>
      <c r="MYG541"/>
      <c r="MYH541"/>
      <c r="MYI541"/>
      <c r="MYJ541"/>
      <c r="MYK541"/>
      <c r="MYL541"/>
      <c r="MYM541"/>
      <c r="MYN541"/>
      <c r="MYO541"/>
      <c r="MYP541"/>
      <c r="MYQ541"/>
      <c r="MYR541"/>
      <c r="MYS541"/>
      <c r="MYT541"/>
      <c r="MYU541"/>
      <c r="MYV541"/>
      <c r="MYW541"/>
      <c r="MYX541"/>
      <c r="MYY541"/>
      <c r="MYZ541"/>
      <c r="MZA541"/>
      <c r="MZB541"/>
      <c r="MZC541"/>
      <c r="MZD541"/>
      <c r="MZE541"/>
      <c r="MZF541"/>
      <c r="MZG541"/>
      <c r="MZH541"/>
      <c r="MZI541"/>
      <c r="MZJ541"/>
      <c r="MZK541"/>
      <c r="MZL541"/>
      <c r="MZM541"/>
      <c r="MZN541"/>
      <c r="MZO541"/>
      <c r="MZP541"/>
      <c r="MZQ541"/>
      <c r="MZR541"/>
      <c r="MZS541"/>
      <c r="MZT541"/>
      <c r="MZU541"/>
      <c r="MZV541"/>
      <c r="MZW541"/>
      <c r="MZX541"/>
      <c r="MZY541"/>
      <c r="MZZ541"/>
      <c r="NAA541"/>
      <c r="NAB541"/>
      <c r="NAC541"/>
      <c r="NAD541"/>
      <c r="NAE541"/>
      <c r="NAF541"/>
      <c r="NAG541"/>
      <c r="NAH541"/>
      <c r="NAI541"/>
      <c r="NAJ541"/>
      <c r="NAK541"/>
      <c r="NAL541"/>
      <c r="NAM541"/>
      <c r="NAN541"/>
      <c r="NAO541"/>
      <c r="NAP541"/>
      <c r="NAQ541"/>
      <c r="NAR541"/>
      <c r="NAS541"/>
      <c r="NAT541"/>
      <c r="NAU541"/>
      <c r="NAV541"/>
      <c r="NAW541"/>
      <c r="NAX541"/>
      <c r="NAY541"/>
      <c r="NAZ541"/>
      <c r="NBA541"/>
      <c r="NBB541"/>
      <c r="NBC541"/>
      <c r="NBD541"/>
      <c r="NBE541"/>
      <c r="NBF541"/>
      <c r="NBG541"/>
      <c r="NBH541"/>
      <c r="NBI541"/>
      <c r="NBJ541"/>
      <c r="NBK541"/>
      <c r="NBL541"/>
      <c r="NBM541"/>
      <c r="NBN541"/>
      <c r="NBO541"/>
      <c r="NBP541"/>
      <c r="NBQ541"/>
      <c r="NBR541"/>
      <c r="NBS541"/>
      <c r="NBT541"/>
      <c r="NBU541"/>
      <c r="NBV541"/>
      <c r="NBW541"/>
      <c r="NBX541"/>
      <c r="NBY541"/>
      <c r="NBZ541"/>
      <c r="NCA541"/>
      <c r="NCB541"/>
      <c r="NCC541"/>
      <c r="NCD541"/>
      <c r="NCE541"/>
      <c r="NCF541"/>
      <c r="NCG541"/>
      <c r="NCH541"/>
      <c r="NCI541"/>
      <c r="NCJ541"/>
      <c r="NCK541"/>
      <c r="NCL541"/>
      <c r="NCM541"/>
      <c r="NCN541"/>
      <c r="NCO541"/>
      <c r="NCP541"/>
      <c r="NCQ541"/>
      <c r="NCR541"/>
      <c r="NCS541"/>
      <c r="NCT541"/>
      <c r="NCU541"/>
      <c r="NCV541"/>
      <c r="NCW541"/>
      <c r="NCX541"/>
      <c r="NCY541"/>
      <c r="NCZ541"/>
      <c r="NDA541"/>
      <c r="NDB541"/>
      <c r="NDC541"/>
      <c r="NDD541"/>
      <c r="NDE541"/>
      <c r="NDF541"/>
      <c r="NDG541"/>
      <c r="NDH541"/>
      <c r="NDI541"/>
      <c r="NDJ541"/>
      <c r="NDK541"/>
      <c r="NDL541"/>
      <c r="NDM541"/>
      <c r="NDN541"/>
      <c r="NDO541"/>
      <c r="NDP541"/>
      <c r="NDQ541"/>
      <c r="NDR541"/>
      <c r="NDS541"/>
      <c r="NDT541"/>
      <c r="NDU541"/>
      <c r="NDV541"/>
      <c r="NDW541"/>
      <c r="NDX541"/>
      <c r="NDY541"/>
      <c r="NDZ541"/>
      <c r="NEA541"/>
      <c r="NEB541"/>
      <c r="NEC541"/>
      <c r="NED541"/>
      <c r="NEE541"/>
      <c r="NEF541"/>
      <c r="NEG541"/>
      <c r="NEH541"/>
      <c r="NEI541"/>
      <c r="NEJ541"/>
      <c r="NEK541"/>
      <c r="NEL541"/>
      <c r="NEM541"/>
      <c r="NEN541"/>
      <c r="NEO541"/>
      <c r="NEP541"/>
      <c r="NEQ541"/>
      <c r="NER541"/>
      <c r="NES541"/>
      <c r="NET541"/>
      <c r="NEU541"/>
      <c r="NEV541"/>
      <c r="NEW541"/>
      <c r="NEX541"/>
      <c r="NEY541"/>
      <c r="NEZ541"/>
      <c r="NFA541"/>
      <c r="NFB541"/>
      <c r="NFC541"/>
      <c r="NFD541"/>
      <c r="NFE541"/>
      <c r="NFF541"/>
      <c r="NFG541"/>
      <c r="NFH541"/>
      <c r="NFI541"/>
      <c r="NFJ541"/>
      <c r="NFK541"/>
      <c r="NFL541"/>
      <c r="NFM541"/>
      <c r="NFN541"/>
      <c r="NFO541"/>
      <c r="NFP541"/>
      <c r="NFQ541"/>
      <c r="NFR541"/>
      <c r="NFS541"/>
      <c r="NFT541"/>
      <c r="NFU541"/>
      <c r="NFV541"/>
      <c r="NFW541"/>
      <c r="NFX541"/>
      <c r="NFY541"/>
      <c r="NFZ541"/>
      <c r="NGA541"/>
      <c r="NGB541"/>
      <c r="NGC541"/>
      <c r="NGD541"/>
      <c r="NGE541"/>
      <c r="NGF541"/>
      <c r="NGG541"/>
      <c r="NGH541"/>
      <c r="NGI541"/>
      <c r="NGJ541"/>
      <c r="NGK541"/>
      <c r="NGL541"/>
      <c r="NGM541"/>
      <c r="NGN541"/>
      <c r="NGO541"/>
      <c r="NGP541"/>
      <c r="NGQ541"/>
      <c r="NGR541"/>
      <c r="NGS541"/>
      <c r="NGT541"/>
      <c r="NGU541"/>
      <c r="NGV541"/>
      <c r="NGW541"/>
      <c r="NGX541"/>
      <c r="NGY541"/>
      <c r="NGZ541"/>
      <c r="NHA541"/>
      <c r="NHB541"/>
      <c r="NHC541"/>
      <c r="NHD541"/>
      <c r="NHE541"/>
      <c r="NHF541"/>
      <c r="NHG541"/>
      <c r="NHH541"/>
      <c r="NHI541"/>
      <c r="NHJ541"/>
      <c r="NHK541"/>
      <c r="NHL541"/>
      <c r="NHM541"/>
      <c r="NHN541"/>
      <c r="NHO541"/>
      <c r="NHP541"/>
      <c r="NHQ541"/>
      <c r="NHR541"/>
      <c r="NHS541"/>
      <c r="NHT541"/>
      <c r="NHU541"/>
      <c r="NHV541"/>
      <c r="NHW541"/>
      <c r="NHX541"/>
      <c r="NHY541"/>
      <c r="NHZ541"/>
      <c r="NIA541"/>
      <c r="NIB541"/>
      <c r="NIC541"/>
      <c r="NID541"/>
      <c r="NIE541"/>
      <c r="NIF541"/>
      <c r="NIG541"/>
      <c r="NIH541"/>
      <c r="NII541"/>
      <c r="NIJ541"/>
      <c r="NIK541"/>
      <c r="NIL541"/>
      <c r="NIM541"/>
      <c r="NIN541"/>
      <c r="NIO541"/>
      <c r="NIP541"/>
      <c r="NIQ541"/>
      <c r="NIR541"/>
      <c r="NIS541"/>
      <c r="NIT541"/>
      <c r="NIU541"/>
      <c r="NIV541"/>
      <c r="NIW541"/>
      <c r="NIX541"/>
      <c r="NIY541"/>
      <c r="NIZ541"/>
      <c r="NJA541"/>
      <c r="NJB541"/>
      <c r="NJC541"/>
      <c r="NJD541"/>
      <c r="NJE541"/>
      <c r="NJF541"/>
      <c r="NJG541"/>
      <c r="NJH541"/>
      <c r="NJI541"/>
      <c r="NJJ541"/>
      <c r="NJK541"/>
      <c r="NJL541"/>
      <c r="NJM541"/>
      <c r="NJN541"/>
      <c r="NJO541"/>
      <c r="NJP541"/>
      <c r="NJQ541"/>
      <c r="NJR541"/>
      <c r="NJS541"/>
      <c r="NJT541"/>
      <c r="NJU541"/>
      <c r="NJV541"/>
      <c r="NJW541"/>
      <c r="NJX541"/>
      <c r="NJY541"/>
      <c r="NJZ541"/>
      <c r="NKA541"/>
      <c r="NKB541"/>
      <c r="NKC541"/>
      <c r="NKD541"/>
      <c r="NKE541"/>
      <c r="NKF541"/>
      <c r="NKG541"/>
      <c r="NKH541"/>
      <c r="NKI541"/>
      <c r="NKJ541"/>
      <c r="NKK541"/>
      <c r="NKL541"/>
      <c r="NKM541"/>
      <c r="NKN541"/>
      <c r="NKO541"/>
      <c r="NKP541"/>
      <c r="NKQ541"/>
      <c r="NKR541"/>
      <c r="NKS541"/>
      <c r="NKT541"/>
      <c r="NKU541"/>
      <c r="NKV541"/>
      <c r="NKW541"/>
      <c r="NKX541"/>
      <c r="NKY541"/>
      <c r="NKZ541"/>
      <c r="NLA541"/>
      <c r="NLB541"/>
      <c r="NLC541"/>
      <c r="NLD541"/>
      <c r="NLE541"/>
      <c r="NLF541"/>
      <c r="NLG541"/>
      <c r="NLH541"/>
      <c r="NLI541"/>
      <c r="NLJ541"/>
      <c r="NLK541"/>
      <c r="NLL541"/>
      <c r="NLM541"/>
      <c r="NLN541"/>
      <c r="NLO541"/>
      <c r="NLP541"/>
      <c r="NLQ541"/>
      <c r="NLR541"/>
      <c r="NLS541"/>
      <c r="NLT541"/>
      <c r="NLU541"/>
      <c r="NLV541"/>
      <c r="NLW541"/>
      <c r="NLX541"/>
      <c r="NLY541"/>
      <c r="NLZ541"/>
      <c r="NMA541"/>
      <c r="NMB541"/>
      <c r="NMC541"/>
      <c r="NMD541"/>
      <c r="NME541"/>
      <c r="NMF541"/>
      <c r="NMG541"/>
      <c r="NMH541"/>
      <c r="NMI541"/>
      <c r="NMJ541"/>
      <c r="NMK541"/>
      <c r="NML541"/>
      <c r="NMM541"/>
      <c r="NMN541"/>
      <c r="NMO541"/>
      <c r="NMP541"/>
      <c r="NMQ541"/>
      <c r="NMR541"/>
      <c r="NMS541"/>
      <c r="NMT541"/>
      <c r="NMU541"/>
      <c r="NMV541"/>
      <c r="NMW541"/>
      <c r="NMX541"/>
      <c r="NMY541"/>
      <c r="NMZ541"/>
      <c r="NNA541"/>
      <c r="NNB541"/>
      <c r="NNC541"/>
      <c r="NND541"/>
      <c r="NNE541"/>
      <c r="NNF541"/>
      <c r="NNG541"/>
      <c r="NNH541"/>
      <c r="NNI541"/>
      <c r="NNJ541"/>
      <c r="NNK541"/>
      <c r="NNL541"/>
      <c r="NNM541"/>
      <c r="NNN541"/>
      <c r="NNO541"/>
      <c r="NNP541"/>
      <c r="NNQ541"/>
      <c r="NNR541"/>
      <c r="NNS541"/>
      <c r="NNT541"/>
      <c r="NNU541"/>
      <c r="NNV541"/>
      <c r="NNW541"/>
      <c r="NNX541"/>
      <c r="NNY541"/>
      <c r="NNZ541"/>
      <c r="NOA541"/>
      <c r="NOB541"/>
      <c r="NOC541"/>
      <c r="NOD541"/>
      <c r="NOE541"/>
      <c r="NOF541"/>
      <c r="NOG541"/>
      <c r="NOH541"/>
      <c r="NOI541"/>
      <c r="NOJ541"/>
      <c r="NOK541"/>
      <c r="NOL541"/>
      <c r="NOM541"/>
      <c r="NON541"/>
      <c r="NOO541"/>
      <c r="NOP541"/>
      <c r="NOQ541"/>
      <c r="NOR541"/>
      <c r="NOS541"/>
      <c r="NOT541"/>
      <c r="NOU541"/>
      <c r="NOV541"/>
      <c r="NOW541"/>
      <c r="NOX541"/>
      <c r="NOY541"/>
      <c r="NOZ541"/>
      <c r="NPA541"/>
      <c r="NPB541"/>
      <c r="NPC541"/>
      <c r="NPD541"/>
      <c r="NPE541"/>
      <c r="NPF541"/>
      <c r="NPG541"/>
      <c r="NPH541"/>
      <c r="NPI541"/>
      <c r="NPJ541"/>
      <c r="NPK541"/>
      <c r="NPL541"/>
      <c r="NPM541"/>
      <c r="NPN541"/>
      <c r="NPO541"/>
      <c r="NPP541"/>
      <c r="NPQ541"/>
      <c r="NPR541"/>
      <c r="NPS541"/>
      <c r="NPT541"/>
      <c r="NPU541"/>
      <c r="NPV541"/>
      <c r="NPW541"/>
      <c r="NPX541"/>
      <c r="NPY541"/>
      <c r="NPZ541"/>
      <c r="NQA541"/>
      <c r="NQB541"/>
      <c r="NQC541"/>
      <c r="NQD541"/>
      <c r="NQE541"/>
      <c r="NQF541"/>
      <c r="NQG541"/>
      <c r="NQH541"/>
      <c r="NQI541"/>
      <c r="NQJ541"/>
      <c r="NQK541"/>
      <c r="NQL541"/>
      <c r="NQM541"/>
      <c r="NQN541"/>
      <c r="NQO541"/>
      <c r="NQP541"/>
      <c r="NQQ541"/>
      <c r="NQR541"/>
      <c r="NQS541"/>
      <c r="NQT541"/>
      <c r="NQU541"/>
      <c r="NQV541"/>
      <c r="NQW541"/>
      <c r="NQX541"/>
      <c r="NQY541"/>
      <c r="NQZ541"/>
      <c r="NRA541"/>
      <c r="NRB541"/>
      <c r="NRC541"/>
      <c r="NRD541"/>
      <c r="NRE541"/>
      <c r="NRF541"/>
      <c r="NRG541"/>
      <c r="NRH541"/>
      <c r="NRI541"/>
      <c r="NRJ541"/>
      <c r="NRK541"/>
      <c r="NRL541"/>
      <c r="NRM541"/>
      <c r="NRN541"/>
      <c r="NRO541"/>
      <c r="NRP541"/>
      <c r="NRQ541"/>
      <c r="NRR541"/>
      <c r="NRS541"/>
      <c r="NRT541"/>
      <c r="NRU541"/>
      <c r="NRV541"/>
      <c r="NRW541"/>
      <c r="NRX541"/>
      <c r="NRY541"/>
      <c r="NRZ541"/>
      <c r="NSA541"/>
      <c r="NSB541"/>
      <c r="NSC541"/>
      <c r="NSD541"/>
      <c r="NSE541"/>
      <c r="NSF541"/>
      <c r="NSG541"/>
      <c r="NSH541"/>
      <c r="NSI541"/>
      <c r="NSJ541"/>
      <c r="NSK541"/>
      <c r="NSL541"/>
      <c r="NSM541"/>
      <c r="NSN541"/>
      <c r="NSO541"/>
      <c r="NSP541"/>
      <c r="NSQ541"/>
      <c r="NSR541"/>
      <c r="NSS541"/>
      <c r="NST541"/>
      <c r="NSU541"/>
      <c r="NSV541"/>
      <c r="NSW541"/>
      <c r="NSX541"/>
      <c r="NSY541"/>
      <c r="NSZ541"/>
      <c r="NTA541"/>
      <c r="NTB541"/>
      <c r="NTC541"/>
      <c r="NTD541"/>
      <c r="NTE541"/>
      <c r="NTF541"/>
      <c r="NTG541"/>
      <c r="NTH541"/>
      <c r="NTI541"/>
      <c r="NTJ541"/>
      <c r="NTK541"/>
      <c r="NTL541"/>
      <c r="NTM541"/>
      <c r="NTN541"/>
      <c r="NTO541"/>
      <c r="NTP541"/>
      <c r="NTQ541"/>
      <c r="NTR541"/>
      <c r="NTS541"/>
      <c r="NTT541"/>
      <c r="NTU541"/>
      <c r="NTV541"/>
      <c r="NTW541"/>
      <c r="NTX541"/>
      <c r="NTY541"/>
      <c r="NTZ541"/>
      <c r="NUA541"/>
      <c r="NUB541"/>
      <c r="NUC541"/>
      <c r="NUD541"/>
      <c r="NUE541"/>
      <c r="NUF541"/>
      <c r="NUG541"/>
      <c r="NUH541"/>
      <c r="NUI541"/>
      <c r="NUJ541"/>
      <c r="NUK541"/>
      <c r="NUL541"/>
      <c r="NUM541"/>
      <c r="NUN541"/>
      <c r="NUO541"/>
      <c r="NUP541"/>
      <c r="NUQ541"/>
      <c r="NUR541"/>
      <c r="NUS541"/>
      <c r="NUT541"/>
      <c r="NUU541"/>
      <c r="NUV541"/>
      <c r="NUW541"/>
      <c r="NUX541"/>
      <c r="NUY541"/>
      <c r="NUZ541"/>
      <c r="NVA541"/>
      <c r="NVB541"/>
      <c r="NVC541"/>
      <c r="NVD541"/>
      <c r="NVE541"/>
      <c r="NVF541"/>
      <c r="NVG541"/>
      <c r="NVH541"/>
      <c r="NVI541"/>
      <c r="NVJ541"/>
      <c r="NVK541"/>
      <c r="NVL541"/>
      <c r="NVM541"/>
      <c r="NVN541"/>
      <c r="NVO541"/>
      <c r="NVP541"/>
      <c r="NVQ541"/>
      <c r="NVR541"/>
      <c r="NVS541"/>
      <c r="NVT541"/>
      <c r="NVU541"/>
      <c r="NVV541"/>
      <c r="NVW541"/>
      <c r="NVX541"/>
      <c r="NVY541"/>
      <c r="NVZ541"/>
      <c r="NWA541"/>
      <c r="NWB541"/>
      <c r="NWC541"/>
      <c r="NWD541"/>
      <c r="NWE541"/>
      <c r="NWF541"/>
      <c r="NWG541"/>
      <c r="NWH541"/>
      <c r="NWI541"/>
      <c r="NWJ541"/>
      <c r="NWK541"/>
      <c r="NWL541"/>
      <c r="NWM541"/>
      <c r="NWN541"/>
      <c r="NWO541"/>
      <c r="NWP541"/>
      <c r="NWQ541"/>
      <c r="NWR541"/>
      <c r="NWS541"/>
      <c r="NWT541"/>
      <c r="NWU541"/>
      <c r="NWV541"/>
      <c r="NWW541"/>
      <c r="NWX541"/>
      <c r="NWY541"/>
      <c r="NWZ541"/>
      <c r="NXA541"/>
      <c r="NXB541"/>
      <c r="NXC541"/>
      <c r="NXD541"/>
      <c r="NXE541"/>
      <c r="NXF541"/>
      <c r="NXG541"/>
      <c r="NXH541"/>
      <c r="NXI541"/>
      <c r="NXJ541"/>
      <c r="NXK541"/>
      <c r="NXL541"/>
      <c r="NXM541"/>
      <c r="NXN541"/>
      <c r="NXO541"/>
      <c r="NXP541"/>
      <c r="NXQ541"/>
      <c r="NXR541"/>
      <c r="NXS541"/>
      <c r="NXT541"/>
      <c r="NXU541"/>
      <c r="NXV541"/>
      <c r="NXW541"/>
      <c r="NXX541"/>
      <c r="NXY541"/>
      <c r="NXZ541"/>
      <c r="NYA541"/>
      <c r="NYB541"/>
      <c r="NYC541"/>
      <c r="NYD541"/>
      <c r="NYE541"/>
      <c r="NYF541"/>
      <c r="NYG541"/>
      <c r="NYH541"/>
      <c r="NYI541"/>
      <c r="NYJ541"/>
      <c r="NYK541"/>
      <c r="NYL541"/>
      <c r="NYM541"/>
      <c r="NYN541"/>
      <c r="NYO541"/>
      <c r="NYP541"/>
      <c r="NYQ541"/>
      <c r="NYR541"/>
      <c r="NYS541"/>
      <c r="NYT541"/>
      <c r="NYU541"/>
      <c r="NYV541"/>
      <c r="NYW541"/>
      <c r="NYX541"/>
      <c r="NYY541"/>
      <c r="NYZ541"/>
      <c r="NZA541"/>
      <c r="NZB541"/>
      <c r="NZC541"/>
      <c r="NZD541"/>
      <c r="NZE541"/>
      <c r="NZF541"/>
      <c r="NZG541"/>
      <c r="NZH541"/>
      <c r="NZI541"/>
      <c r="NZJ541"/>
      <c r="NZK541"/>
      <c r="NZL541"/>
      <c r="NZM541"/>
      <c r="NZN541"/>
      <c r="NZO541"/>
      <c r="NZP541"/>
      <c r="NZQ541"/>
      <c r="NZR541"/>
      <c r="NZS541"/>
      <c r="NZT541"/>
      <c r="NZU541"/>
      <c r="NZV541"/>
      <c r="NZW541"/>
      <c r="NZX541"/>
      <c r="NZY541"/>
      <c r="NZZ541"/>
      <c r="OAA541"/>
      <c r="OAB541"/>
      <c r="OAC541"/>
      <c r="OAD541"/>
      <c r="OAE541"/>
      <c r="OAF541"/>
      <c r="OAG541"/>
      <c r="OAH541"/>
      <c r="OAI541"/>
      <c r="OAJ541"/>
      <c r="OAK541"/>
      <c r="OAL541"/>
      <c r="OAM541"/>
      <c r="OAN541"/>
      <c r="OAO541"/>
      <c r="OAP541"/>
      <c r="OAQ541"/>
      <c r="OAR541"/>
      <c r="OAS541"/>
      <c r="OAT541"/>
      <c r="OAU541"/>
      <c r="OAV541"/>
      <c r="OAW541"/>
      <c r="OAX541"/>
      <c r="OAY541"/>
      <c r="OAZ541"/>
      <c r="OBA541"/>
      <c r="OBB541"/>
      <c r="OBC541"/>
      <c r="OBD541"/>
      <c r="OBE541"/>
      <c r="OBF541"/>
      <c r="OBG541"/>
      <c r="OBH541"/>
      <c r="OBI541"/>
      <c r="OBJ541"/>
      <c r="OBK541"/>
      <c r="OBL541"/>
      <c r="OBM541"/>
      <c r="OBN541"/>
      <c r="OBO541"/>
      <c r="OBP541"/>
      <c r="OBQ541"/>
      <c r="OBR541"/>
      <c r="OBS541"/>
      <c r="OBT541"/>
      <c r="OBU541"/>
      <c r="OBV541"/>
      <c r="OBW541"/>
      <c r="OBX541"/>
      <c r="OBY541"/>
      <c r="OBZ541"/>
      <c r="OCA541"/>
      <c r="OCB541"/>
      <c r="OCC541"/>
      <c r="OCD541"/>
      <c r="OCE541"/>
      <c r="OCF541"/>
      <c r="OCG541"/>
      <c r="OCH541"/>
      <c r="OCI541"/>
      <c r="OCJ541"/>
      <c r="OCK541"/>
      <c r="OCL541"/>
      <c r="OCM541"/>
      <c r="OCN541"/>
      <c r="OCO541"/>
      <c r="OCP541"/>
      <c r="OCQ541"/>
      <c r="OCR541"/>
      <c r="OCS541"/>
      <c r="OCT541"/>
      <c r="OCU541"/>
      <c r="OCV541"/>
      <c r="OCW541"/>
      <c r="OCX541"/>
      <c r="OCY541"/>
      <c r="OCZ541"/>
      <c r="ODA541"/>
      <c r="ODB541"/>
      <c r="ODC541"/>
      <c r="ODD541"/>
      <c r="ODE541"/>
      <c r="ODF541"/>
      <c r="ODG541"/>
      <c r="ODH541"/>
      <c r="ODI541"/>
      <c r="ODJ541"/>
      <c r="ODK541"/>
      <c r="ODL541"/>
      <c r="ODM541"/>
      <c r="ODN541"/>
      <c r="ODO541"/>
      <c r="ODP541"/>
      <c r="ODQ541"/>
      <c r="ODR541"/>
      <c r="ODS541"/>
      <c r="ODT541"/>
      <c r="ODU541"/>
      <c r="ODV541"/>
      <c r="ODW541"/>
      <c r="ODX541"/>
      <c r="ODY541"/>
      <c r="ODZ541"/>
      <c r="OEA541"/>
      <c r="OEB541"/>
      <c r="OEC541"/>
      <c r="OED541"/>
      <c r="OEE541"/>
      <c r="OEF541"/>
      <c r="OEG541"/>
      <c r="OEH541"/>
      <c r="OEI541"/>
      <c r="OEJ541"/>
      <c r="OEK541"/>
      <c r="OEL541"/>
      <c r="OEM541"/>
      <c r="OEN541"/>
      <c r="OEO541"/>
      <c r="OEP541"/>
      <c r="OEQ541"/>
      <c r="OER541"/>
      <c r="OES541"/>
      <c r="OET541"/>
      <c r="OEU541"/>
      <c r="OEV541"/>
      <c r="OEW541"/>
      <c r="OEX541"/>
      <c r="OEY541"/>
      <c r="OEZ541"/>
      <c r="OFA541"/>
      <c r="OFB541"/>
      <c r="OFC541"/>
      <c r="OFD541"/>
      <c r="OFE541"/>
      <c r="OFF541"/>
      <c r="OFG541"/>
      <c r="OFH541"/>
      <c r="OFI541"/>
      <c r="OFJ541"/>
      <c r="OFK541"/>
      <c r="OFL541"/>
      <c r="OFM541"/>
      <c r="OFN541"/>
      <c r="OFO541"/>
      <c r="OFP541"/>
      <c r="OFQ541"/>
      <c r="OFR541"/>
      <c r="OFS541"/>
      <c r="OFT541"/>
      <c r="OFU541"/>
      <c r="OFV541"/>
      <c r="OFW541"/>
      <c r="OFX541"/>
      <c r="OFY541"/>
      <c r="OFZ541"/>
      <c r="OGA541"/>
      <c r="OGB541"/>
      <c r="OGC541"/>
      <c r="OGD541"/>
      <c r="OGE541"/>
      <c r="OGF541"/>
      <c r="OGG541"/>
      <c r="OGH541"/>
      <c r="OGI541"/>
      <c r="OGJ541"/>
      <c r="OGK541"/>
      <c r="OGL541"/>
      <c r="OGM541"/>
      <c r="OGN541"/>
      <c r="OGO541"/>
      <c r="OGP541"/>
      <c r="OGQ541"/>
      <c r="OGR541"/>
      <c r="OGS541"/>
      <c r="OGT541"/>
      <c r="OGU541"/>
      <c r="OGV541"/>
      <c r="OGW541"/>
      <c r="OGX541"/>
      <c r="OGY541"/>
      <c r="OGZ541"/>
      <c r="OHA541"/>
      <c r="OHB541"/>
      <c r="OHC541"/>
      <c r="OHD541"/>
      <c r="OHE541"/>
      <c r="OHF541"/>
      <c r="OHG541"/>
      <c r="OHH541"/>
      <c r="OHI541"/>
      <c r="OHJ541"/>
      <c r="OHK541"/>
      <c r="OHL541"/>
      <c r="OHM541"/>
      <c r="OHN541"/>
      <c r="OHO541"/>
      <c r="OHP541"/>
      <c r="OHQ541"/>
      <c r="OHR541"/>
      <c r="OHS541"/>
      <c r="OHT541"/>
      <c r="OHU541"/>
      <c r="OHV541"/>
      <c r="OHW541"/>
      <c r="OHX541"/>
      <c r="OHY541"/>
      <c r="OHZ541"/>
      <c r="OIA541"/>
      <c r="OIB541"/>
      <c r="OIC541"/>
      <c r="OID541"/>
      <c r="OIE541"/>
      <c r="OIF541"/>
      <c r="OIG541"/>
      <c r="OIH541"/>
      <c r="OII541"/>
      <c r="OIJ541"/>
      <c r="OIK541"/>
      <c r="OIL541"/>
      <c r="OIM541"/>
      <c r="OIN541"/>
      <c r="OIO541"/>
      <c r="OIP541"/>
      <c r="OIQ541"/>
      <c r="OIR541"/>
      <c r="OIS541"/>
      <c r="OIT541"/>
      <c r="OIU541"/>
      <c r="OIV541"/>
      <c r="OIW541"/>
      <c r="OIX541"/>
      <c r="OIY541"/>
      <c r="OIZ541"/>
      <c r="OJA541"/>
      <c r="OJB541"/>
      <c r="OJC541"/>
      <c r="OJD541"/>
      <c r="OJE541"/>
      <c r="OJF541"/>
      <c r="OJG541"/>
      <c r="OJH541"/>
      <c r="OJI541"/>
      <c r="OJJ541"/>
      <c r="OJK541"/>
      <c r="OJL541"/>
      <c r="OJM541"/>
      <c r="OJN541"/>
      <c r="OJO541"/>
      <c r="OJP541"/>
      <c r="OJQ541"/>
      <c r="OJR541"/>
      <c r="OJS541"/>
      <c r="OJT541"/>
      <c r="OJU541"/>
      <c r="OJV541"/>
      <c r="OJW541"/>
      <c r="OJX541"/>
      <c r="OJY541"/>
      <c r="OJZ541"/>
      <c r="OKA541"/>
      <c r="OKB541"/>
      <c r="OKC541"/>
      <c r="OKD541"/>
      <c r="OKE541"/>
      <c r="OKF541"/>
      <c r="OKG541"/>
      <c r="OKH541"/>
      <c r="OKI541"/>
      <c r="OKJ541"/>
      <c r="OKK541"/>
      <c r="OKL541"/>
      <c r="OKM541"/>
      <c r="OKN541"/>
      <c r="OKO541"/>
      <c r="OKP541"/>
      <c r="OKQ541"/>
      <c r="OKR541"/>
      <c r="OKS541"/>
      <c r="OKT541"/>
      <c r="OKU541"/>
      <c r="OKV541"/>
      <c r="OKW541"/>
      <c r="OKX541"/>
      <c r="OKY541"/>
      <c r="OKZ541"/>
      <c r="OLA541"/>
      <c r="OLB541"/>
      <c r="OLC541"/>
      <c r="OLD541"/>
      <c r="OLE541"/>
      <c r="OLF541"/>
      <c r="OLG541"/>
      <c r="OLH541"/>
      <c r="OLI541"/>
      <c r="OLJ541"/>
      <c r="OLK541"/>
      <c r="OLL541"/>
      <c r="OLM541"/>
      <c r="OLN541"/>
      <c r="OLO541"/>
      <c r="OLP541"/>
      <c r="OLQ541"/>
      <c r="OLR541"/>
      <c r="OLS541"/>
      <c r="OLT541"/>
      <c r="OLU541"/>
      <c r="OLV541"/>
      <c r="OLW541"/>
      <c r="OLX541"/>
      <c r="OLY541"/>
      <c r="OLZ541"/>
      <c r="OMA541"/>
      <c r="OMB541"/>
      <c r="OMC541"/>
      <c r="OMD541"/>
      <c r="OME541"/>
      <c r="OMF541"/>
      <c r="OMG541"/>
      <c r="OMH541"/>
      <c r="OMI541"/>
      <c r="OMJ541"/>
      <c r="OMK541"/>
      <c r="OML541"/>
      <c r="OMM541"/>
      <c r="OMN541"/>
      <c r="OMO541"/>
      <c r="OMP541"/>
      <c r="OMQ541"/>
      <c r="OMR541"/>
      <c r="OMS541"/>
      <c r="OMT541"/>
      <c r="OMU541"/>
      <c r="OMV541"/>
      <c r="OMW541"/>
      <c r="OMX541"/>
      <c r="OMY541"/>
      <c r="OMZ541"/>
      <c r="ONA541"/>
      <c r="ONB541"/>
      <c r="ONC541"/>
      <c r="OND541"/>
      <c r="ONE541"/>
      <c r="ONF541"/>
      <c r="ONG541"/>
      <c r="ONH541"/>
      <c r="ONI541"/>
      <c r="ONJ541"/>
      <c r="ONK541"/>
      <c r="ONL541"/>
      <c r="ONM541"/>
      <c r="ONN541"/>
      <c r="ONO541"/>
      <c r="ONP541"/>
      <c r="ONQ541"/>
      <c r="ONR541"/>
      <c r="ONS541"/>
      <c r="ONT541"/>
      <c r="ONU541"/>
      <c r="ONV541"/>
      <c r="ONW541"/>
      <c r="ONX541"/>
      <c r="ONY541"/>
      <c r="ONZ541"/>
      <c r="OOA541"/>
      <c r="OOB541"/>
      <c r="OOC541"/>
      <c r="OOD541"/>
      <c r="OOE541"/>
      <c r="OOF541"/>
      <c r="OOG541"/>
      <c r="OOH541"/>
      <c r="OOI541"/>
      <c r="OOJ541"/>
      <c r="OOK541"/>
      <c r="OOL541"/>
      <c r="OOM541"/>
      <c r="OON541"/>
      <c r="OOO541"/>
      <c r="OOP541"/>
      <c r="OOQ541"/>
      <c r="OOR541"/>
      <c r="OOS541"/>
      <c r="OOT541"/>
      <c r="OOU541"/>
      <c r="OOV541"/>
      <c r="OOW541"/>
      <c r="OOX541"/>
      <c r="OOY541"/>
      <c r="OOZ541"/>
      <c r="OPA541"/>
      <c r="OPB541"/>
      <c r="OPC541"/>
      <c r="OPD541"/>
      <c r="OPE541"/>
      <c r="OPF541"/>
      <c r="OPG541"/>
      <c r="OPH541"/>
      <c r="OPI541"/>
      <c r="OPJ541"/>
      <c r="OPK541"/>
      <c r="OPL541"/>
      <c r="OPM541"/>
      <c r="OPN541"/>
      <c r="OPO541"/>
      <c r="OPP541"/>
      <c r="OPQ541"/>
      <c r="OPR541"/>
      <c r="OPS541"/>
      <c r="OPT541"/>
      <c r="OPU541"/>
      <c r="OPV541"/>
      <c r="OPW541"/>
      <c r="OPX541"/>
      <c r="OPY541"/>
      <c r="OPZ541"/>
      <c r="OQA541"/>
      <c r="OQB541"/>
      <c r="OQC541"/>
      <c r="OQD541"/>
      <c r="OQE541"/>
      <c r="OQF541"/>
      <c r="OQG541"/>
      <c r="OQH541"/>
      <c r="OQI541"/>
      <c r="OQJ541"/>
      <c r="OQK541"/>
      <c r="OQL541"/>
      <c r="OQM541"/>
      <c r="OQN541"/>
      <c r="OQO541"/>
      <c r="OQP541"/>
      <c r="OQQ541"/>
      <c r="OQR541"/>
      <c r="OQS541"/>
      <c r="OQT541"/>
      <c r="OQU541"/>
      <c r="OQV541"/>
      <c r="OQW541"/>
      <c r="OQX541"/>
      <c r="OQY541"/>
      <c r="OQZ541"/>
      <c r="ORA541"/>
      <c r="ORB541"/>
      <c r="ORC541"/>
      <c r="ORD541"/>
      <c r="ORE541"/>
      <c r="ORF541"/>
      <c r="ORG541"/>
      <c r="ORH541"/>
      <c r="ORI541"/>
      <c r="ORJ541"/>
      <c r="ORK541"/>
      <c r="ORL541"/>
      <c r="ORM541"/>
      <c r="ORN541"/>
      <c r="ORO541"/>
      <c r="ORP541"/>
      <c r="ORQ541"/>
      <c r="ORR541"/>
      <c r="ORS541"/>
      <c r="ORT541"/>
      <c r="ORU541"/>
      <c r="ORV541"/>
      <c r="ORW541"/>
      <c r="ORX541"/>
      <c r="ORY541"/>
      <c r="ORZ541"/>
      <c r="OSA541"/>
      <c r="OSB541"/>
      <c r="OSC541"/>
      <c r="OSD541"/>
      <c r="OSE541"/>
      <c r="OSF541"/>
      <c r="OSG541"/>
      <c r="OSH541"/>
      <c r="OSI541"/>
      <c r="OSJ541"/>
      <c r="OSK541"/>
      <c r="OSL541"/>
      <c r="OSM541"/>
      <c r="OSN541"/>
      <c r="OSO541"/>
      <c r="OSP541"/>
      <c r="OSQ541"/>
      <c r="OSR541"/>
      <c r="OSS541"/>
      <c r="OST541"/>
      <c r="OSU541"/>
      <c r="OSV541"/>
      <c r="OSW541"/>
      <c r="OSX541"/>
      <c r="OSY541"/>
      <c r="OSZ541"/>
      <c r="OTA541"/>
      <c r="OTB541"/>
      <c r="OTC541"/>
      <c r="OTD541"/>
      <c r="OTE541"/>
      <c r="OTF541"/>
      <c r="OTG541"/>
      <c r="OTH541"/>
      <c r="OTI541"/>
      <c r="OTJ541"/>
      <c r="OTK541"/>
      <c r="OTL541"/>
      <c r="OTM541"/>
      <c r="OTN541"/>
      <c r="OTO541"/>
      <c r="OTP541"/>
      <c r="OTQ541"/>
      <c r="OTR541"/>
      <c r="OTS541"/>
      <c r="OTT541"/>
      <c r="OTU541"/>
      <c r="OTV541"/>
      <c r="OTW541"/>
      <c r="OTX541"/>
      <c r="OTY541"/>
      <c r="OTZ541"/>
      <c r="OUA541"/>
      <c r="OUB541"/>
      <c r="OUC541"/>
      <c r="OUD541"/>
      <c r="OUE541"/>
      <c r="OUF541"/>
      <c r="OUG541"/>
      <c r="OUH541"/>
      <c r="OUI541"/>
      <c r="OUJ541"/>
      <c r="OUK541"/>
      <c r="OUL541"/>
      <c r="OUM541"/>
      <c r="OUN541"/>
      <c r="OUO541"/>
      <c r="OUP541"/>
      <c r="OUQ541"/>
      <c r="OUR541"/>
      <c r="OUS541"/>
      <c r="OUT541"/>
      <c r="OUU541"/>
      <c r="OUV541"/>
      <c r="OUW541"/>
      <c r="OUX541"/>
      <c r="OUY541"/>
      <c r="OUZ541"/>
      <c r="OVA541"/>
      <c r="OVB541"/>
      <c r="OVC541"/>
      <c r="OVD541"/>
      <c r="OVE541"/>
      <c r="OVF541"/>
      <c r="OVG541"/>
      <c r="OVH541"/>
      <c r="OVI541"/>
      <c r="OVJ541"/>
      <c r="OVK541"/>
      <c r="OVL541"/>
      <c r="OVM541"/>
      <c r="OVN541"/>
      <c r="OVO541"/>
      <c r="OVP541"/>
      <c r="OVQ541"/>
      <c r="OVR541"/>
      <c r="OVS541"/>
      <c r="OVT541"/>
      <c r="OVU541"/>
      <c r="OVV541"/>
      <c r="OVW541"/>
      <c r="OVX541"/>
      <c r="OVY541"/>
      <c r="OVZ541"/>
      <c r="OWA541"/>
      <c r="OWB541"/>
      <c r="OWC541"/>
      <c r="OWD541"/>
      <c r="OWE541"/>
      <c r="OWF541"/>
      <c r="OWG541"/>
      <c r="OWH541"/>
      <c r="OWI541"/>
      <c r="OWJ541"/>
      <c r="OWK541"/>
      <c r="OWL541"/>
      <c r="OWM541"/>
      <c r="OWN541"/>
      <c r="OWO541"/>
      <c r="OWP541"/>
      <c r="OWQ541"/>
      <c r="OWR541"/>
      <c r="OWS541"/>
      <c r="OWT541"/>
      <c r="OWU541"/>
      <c r="OWV541"/>
      <c r="OWW541"/>
      <c r="OWX541"/>
      <c r="OWY541"/>
      <c r="OWZ541"/>
      <c r="OXA541"/>
      <c r="OXB541"/>
      <c r="OXC541"/>
      <c r="OXD541"/>
      <c r="OXE541"/>
      <c r="OXF541"/>
      <c r="OXG541"/>
      <c r="OXH541"/>
      <c r="OXI541"/>
      <c r="OXJ541"/>
      <c r="OXK541"/>
      <c r="OXL541"/>
      <c r="OXM541"/>
      <c r="OXN541"/>
      <c r="OXO541"/>
      <c r="OXP541"/>
      <c r="OXQ541"/>
      <c r="OXR541"/>
      <c r="OXS541"/>
      <c r="OXT541"/>
      <c r="OXU541"/>
      <c r="OXV541"/>
      <c r="OXW541"/>
      <c r="OXX541"/>
      <c r="OXY541"/>
      <c r="OXZ541"/>
      <c r="OYA541"/>
      <c r="OYB541"/>
      <c r="OYC541"/>
      <c r="OYD541"/>
      <c r="OYE541"/>
      <c r="OYF541"/>
      <c r="OYG541"/>
      <c r="OYH541"/>
      <c r="OYI541"/>
      <c r="OYJ541"/>
      <c r="OYK541"/>
      <c r="OYL541"/>
      <c r="OYM541"/>
      <c r="OYN541"/>
      <c r="OYO541"/>
      <c r="OYP541"/>
      <c r="OYQ541"/>
      <c r="OYR541"/>
      <c r="OYS541"/>
      <c r="OYT541"/>
      <c r="OYU541"/>
      <c r="OYV541"/>
      <c r="OYW541"/>
      <c r="OYX541"/>
      <c r="OYY541"/>
      <c r="OYZ541"/>
      <c r="OZA541"/>
      <c r="OZB541"/>
      <c r="OZC541"/>
      <c r="OZD541"/>
      <c r="OZE541"/>
      <c r="OZF541"/>
      <c r="OZG541"/>
      <c r="OZH541"/>
      <c r="OZI541"/>
      <c r="OZJ541"/>
      <c r="OZK541"/>
      <c r="OZL541"/>
      <c r="OZM541"/>
      <c r="OZN541"/>
      <c r="OZO541"/>
      <c r="OZP541"/>
      <c r="OZQ541"/>
      <c r="OZR541"/>
      <c r="OZS541"/>
      <c r="OZT541"/>
      <c r="OZU541"/>
      <c r="OZV541"/>
      <c r="OZW541"/>
      <c r="OZX541"/>
      <c r="OZY541"/>
      <c r="OZZ541"/>
      <c r="PAA541"/>
      <c r="PAB541"/>
      <c r="PAC541"/>
      <c r="PAD541"/>
      <c r="PAE541"/>
      <c r="PAF541"/>
      <c r="PAG541"/>
      <c r="PAH541"/>
      <c r="PAI541"/>
      <c r="PAJ541"/>
      <c r="PAK541"/>
      <c r="PAL541"/>
      <c r="PAM541"/>
      <c r="PAN541"/>
      <c r="PAO541"/>
      <c r="PAP541"/>
      <c r="PAQ541"/>
      <c r="PAR541"/>
      <c r="PAS541"/>
      <c r="PAT541"/>
      <c r="PAU541"/>
      <c r="PAV541"/>
      <c r="PAW541"/>
      <c r="PAX541"/>
      <c r="PAY541"/>
      <c r="PAZ541"/>
      <c r="PBA541"/>
      <c r="PBB541"/>
      <c r="PBC541"/>
      <c r="PBD541"/>
      <c r="PBE541"/>
      <c r="PBF541"/>
      <c r="PBG541"/>
      <c r="PBH541"/>
      <c r="PBI541"/>
      <c r="PBJ541"/>
      <c r="PBK541"/>
      <c r="PBL541"/>
      <c r="PBM541"/>
      <c r="PBN541"/>
      <c r="PBO541"/>
      <c r="PBP541"/>
      <c r="PBQ541"/>
      <c r="PBR541"/>
      <c r="PBS541"/>
      <c r="PBT541"/>
      <c r="PBU541"/>
      <c r="PBV541"/>
      <c r="PBW541"/>
      <c r="PBX541"/>
      <c r="PBY541"/>
      <c r="PBZ541"/>
      <c r="PCA541"/>
      <c r="PCB541"/>
      <c r="PCC541"/>
      <c r="PCD541"/>
      <c r="PCE541"/>
      <c r="PCF541"/>
      <c r="PCG541"/>
      <c r="PCH541"/>
      <c r="PCI541"/>
      <c r="PCJ541"/>
      <c r="PCK541"/>
      <c r="PCL541"/>
      <c r="PCM541"/>
      <c r="PCN541"/>
      <c r="PCO541"/>
      <c r="PCP541"/>
      <c r="PCQ541"/>
      <c r="PCR541"/>
      <c r="PCS541"/>
      <c r="PCT541"/>
      <c r="PCU541"/>
      <c r="PCV541"/>
      <c r="PCW541"/>
      <c r="PCX541"/>
      <c r="PCY541"/>
      <c r="PCZ541"/>
      <c r="PDA541"/>
      <c r="PDB541"/>
      <c r="PDC541"/>
      <c r="PDD541"/>
      <c r="PDE541"/>
      <c r="PDF541"/>
      <c r="PDG541"/>
      <c r="PDH541"/>
      <c r="PDI541"/>
      <c r="PDJ541"/>
      <c r="PDK541"/>
      <c r="PDL541"/>
      <c r="PDM541"/>
      <c r="PDN541"/>
      <c r="PDO541"/>
      <c r="PDP541"/>
      <c r="PDQ541"/>
      <c r="PDR541"/>
      <c r="PDS541"/>
      <c r="PDT541"/>
      <c r="PDU541"/>
      <c r="PDV541"/>
      <c r="PDW541"/>
      <c r="PDX541"/>
      <c r="PDY541"/>
      <c r="PDZ541"/>
      <c r="PEA541"/>
      <c r="PEB541"/>
      <c r="PEC541"/>
      <c r="PED541"/>
      <c r="PEE541"/>
      <c r="PEF541"/>
      <c r="PEG541"/>
      <c r="PEH541"/>
      <c r="PEI541"/>
      <c r="PEJ541"/>
      <c r="PEK541"/>
      <c r="PEL541"/>
      <c r="PEM541"/>
      <c r="PEN541"/>
      <c r="PEO541"/>
      <c r="PEP541"/>
      <c r="PEQ541"/>
      <c r="PER541"/>
      <c r="PES541"/>
      <c r="PET541"/>
      <c r="PEU541"/>
      <c r="PEV541"/>
      <c r="PEW541"/>
      <c r="PEX541"/>
      <c r="PEY541"/>
      <c r="PEZ541"/>
      <c r="PFA541"/>
      <c r="PFB541"/>
      <c r="PFC541"/>
      <c r="PFD541"/>
      <c r="PFE541"/>
      <c r="PFF541"/>
      <c r="PFG541"/>
      <c r="PFH541"/>
      <c r="PFI541"/>
      <c r="PFJ541"/>
      <c r="PFK541"/>
      <c r="PFL541"/>
      <c r="PFM541"/>
      <c r="PFN541"/>
      <c r="PFO541"/>
      <c r="PFP541"/>
      <c r="PFQ541"/>
      <c r="PFR541"/>
      <c r="PFS541"/>
      <c r="PFT541"/>
      <c r="PFU541"/>
      <c r="PFV541"/>
      <c r="PFW541"/>
      <c r="PFX541"/>
      <c r="PFY541"/>
      <c r="PFZ541"/>
      <c r="PGA541"/>
      <c r="PGB541"/>
      <c r="PGC541"/>
      <c r="PGD541"/>
      <c r="PGE541"/>
      <c r="PGF541"/>
      <c r="PGG541"/>
      <c r="PGH541"/>
      <c r="PGI541"/>
      <c r="PGJ541"/>
      <c r="PGK541"/>
      <c r="PGL541"/>
      <c r="PGM541"/>
      <c r="PGN541"/>
      <c r="PGO541"/>
      <c r="PGP541"/>
      <c r="PGQ541"/>
      <c r="PGR541"/>
      <c r="PGS541"/>
      <c r="PGT541"/>
      <c r="PGU541"/>
      <c r="PGV541"/>
      <c r="PGW541"/>
      <c r="PGX541"/>
      <c r="PGY541"/>
      <c r="PGZ541"/>
      <c r="PHA541"/>
      <c r="PHB541"/>
      <c r="PHC541"/>
      <c r="PHD541"/>
      <c r="PHE541"/>
      <c r="PHF541"/>
      <c r="PHG541"/>
      <c r="PHH541"/>
      <c r="PHI541"/>
      <c r="PHJ541"/>
      <c r="PHK541"/>
      <c r="PHL541"/>
      <c r="PHM541"/>
      <c r="PHN541"/>
      <c r="PHO541"/>
      <c r="PHP541"/>
      <c r="PHQ541"/>
      <c r="PHR541"/>
      <c r="PHS541"/>
      <c r="PHT541"/>
      <c r="PHU541"/>
      <c r="PHV541"/>
      <c r="PHW541"/>
      <c r="PHX541"/>
      <c r="PHY541"/>
      <c r="PHZ541"/>
      <c r="PIA541"/>
      <c r="PIB541"/>
      <c r="PIC541"/>
      <c r="PID541"/>
      <c r="PIE541"/>
      <c r="PIF541"/>
      <c r="PIG541"/>
      <c r="PIH541"/>
      <c r="PII541"/>
      <c r="PIJ541"/>
      <c r="PIK541"/>
      <c r="PIL541"/>
      <c r="PIM541"/>
      <c r="PIN541"/>
      <c r="PIO541"/>
      <c r="PIP541"/>
      <c r="PIQ541"/>
      <c r="PIR541"/>
      <c r="PIS541"/>
      <c r="PIT541"/>
      <c r="PIU541"/>
      <c r="PIV541"/>
      <c r="PIW541"/>
      <c r="PIX541"/>
      <c r="PIY541"/>
      <c r="PIZ541"/>
      <c r="PJA541"/>
      <c r="PJB541"/>
      <c r="PJC541"/>
      <c r="PJD541"/>
      <c r="PJE541"/>
      <c r="PJF541"/>
      <c r="PJG541"/>
      <c r="PJH541"/>
      <c r="PJI541"/>
      <c r="PJJ541"/>
      <c r="PJK541"/>
      <c r="PJL541"/>
      <c r="PJM541"/>
      <c r="PJN541"/>
      <c r="PJO541"/>
      <c r="PJP541"/>
      <c r="PJQ541"/>
      <c r="PJR541"/>
      <c r="PJS541"/>
      <c r="PJT541"/>
      <c r="PJU541"/>
      <c r="PJV541"/>
      <c r="PJW541"/>
      <c r="PJX541"/>
      <c r="PJY541"/>
      <c r="PJZ541"/>
      <c r="PKA541"/>
      <c r="PKB541"/>
      <c r="PKC541"/>
      <c r="PKD541"/>
      <c r="PKE541"/>
      <c r="PKF541"/>
      <c r="PKG541"/>
      <c r="PKH541"/>
      <c r="PKI541"/>
      <c r="PKJ541"/>
      <c r="PKK541"/>
      <c r="PKL541"/>
      <c r="PKM541"/>
      <c r="PKN541"/>
      <c r="PKO541"/>
      <c r="PKP541"/>
      <c r="PKQ541"/>
      <c r="PKR541"/>
      <c r="PKS541"/>
      <c r="PKT541"/>
      <c r="PKU541"/>
      <c r="PKV541"/>
      <c r="PKW541"/>
      <c r="PKX541"/>
      <c r="PKY541"/>
      <c r="PKZ541"/>
      <c r="PLA541"/>
      <c r="PLB541"/>
      <c r="PLC541"/>
      <c r="PLD541"/>
      <c r="PLE541"/>
      <c r="PLF541"/>
      <c r="PLG541"/>
      <c r="PLH541"/>
      <c r="PLI541"/>
      <c r="PLJ541"/>
      <c r="PLK541"/>
      <c r="PLL541"/>
      <c r="PLM541"/>
      <c r="PLN541"/>
      <c r="PLO541"/>
      <c r="PLP541"/>
      <c r="PLQ541"/>
      <c r="PLR541"/>
      <c r="PLS541"/>
      <c r="PLT541"/>
      <c r="PLU541"/>
      <c r="PLV541"/>
      <c r="PLW541"/>
      <c r="PLX541"/>
      <c r="PLY541"/>
      <c r="PLZ541"/>
      <c r="PMA541"/>
      <c r="PMB541"/>
      <c r="PMC541"/>
      <c r="PMD541"/>
      <c r="PME541"/>
      <c r="PMF541"/>
      <c r="PMG541"/>
      <c r="PMH541"/>
      <c r="PMI541"/>
      <c r="PMJ541"/>
      <c r="PMK541"/>
      <c r="PML541"/>
      <c r="PMM541"/>
      <c r="PMN541"/>
      <c r="PMO541"/>
      <c r="PMP541"/>
      <c r="PMQ541"/>
      <c r="PMR541"/>
      <c r="PMS541"/>
      <c r="PMT541"/>
      <c r="PMU541"/>
      <c r="PMV541"/>
      <c r="PMW541"/>
      <c r="PMX541"/>
      <c r="PMY541"/>
      <c r="PMZ541"/>
      <c r="PNA541"/>
      <c r="PNB541"/>
      <c r="PNC541"/>
      <c r="PND541"/>
      <c r="PNE541"/>
      <c r="PNF541"/>
      <c r="PNG541"/>
      <c r="PNH541"/>
      <c r="PNI541"/>
      <c r="PNJ541"/>
      <c r="PNK541"/>
      <c r="PNL541"/>
      <c r="PNM541"/>
      <c r="PNN541"/>
      <c r="PNO541"/>
      <c r="PNP541"/>
      <c r="PNQ541"/>
      <c r="PNR541"/>
      <c r="PNS541"/>
      <c r="PNT541"/>
      <c r="PNU541"/>
      <c r="PNV541"/>
      <c r="PNW541"/>
      <c r="PNX541"/>
      <c r="PNY541"/>
      <c r="PNZ541"/>
      <c r="POA541"/>
      <c r="POB541"/>
      <c r="POC541"/>
      <c r="POD541"/>
      <c r="POE541"/>
      <c r="POF541"/>
      <c r="POG541"/>
      <c r="POH541"/>
      <c r="POI541"/>
      <c r="POJ541"/>
      <c r="POK541"/>
      <c r="POL541"/>
      <c r="POM541"/>
      <c r="PON541"/>
      <c r="POO541"/>
      <c r="POP541"/>
      <c r="POQ541"/>
      <c r="POR541"/>
      <c r="POS541"/>
      <c r="POT541"/>
      <c r="POU541"/>
      <c r="POV541"/>
      <c r="POW541"/>
      <c r="POX541"/>
      <c r="POY541"/>
      <c r="POZ541"/>
      <c r="PPA541"/>
      <c r="PPB541"/>
      <c r="PPC541"/>
      <c r="PPD541"/>
      <c r="PPE541"/>
      <c r="PPF541"/>
      <c r="PPG541"/>
      <c r="PPH541"/>
      <c r="PPI541"/>
      <c r="PPJ541"/>
      <c r="PPK541"/>
      <c r="PPL541"/>
      <c r="PPM541"/>
      <c r="PPN541"/>
      <c r="PPO541"/>
      <c r="PPP541"/>
      <c r="PPQ541"/>
      <c r="PPR541"/>
      <c r="PPS541"/>
      <c r="PPT541"/>
      <c r="PPU541"/>
      <c r="PPV541"/>
      <c r="PPW541"/>
      <c r="PPX541"/>
      <c r="PPY541"/>
      <c r="PPZ541"/>
      <c r="PQA541"/>
      <c r="PQB541"/>
      <c r="PQC541"/>
      <c r="PQD541"/>
      <c r="PQE541"/>
      <c r="PQF541"/>
      <c r="PQG541"/>
      <c r="PQH541"/>
      <c r="PQI541"/>
      <c r="PQJ541"/>
      <c r="PQK541"/>
      <c r="PQL541"/>
      <c r="PQM541"/>
      <c r="PQN541"/>
      <c r="PQO541"/>
      <c r="PQP541"/>
      <c r="PQQ541"/>
      <c r="PQR541"/>
      <c r="PQS541"/>
      <c r="PQT541"/>
      <c r="PQU541"/>
      <c r="PQV541"/>
      <c r="PQW541"/>
      <c r="PQX541"/>
      <c r="PQY541"/>
      <c r="PQZ541"/>
      <c r="PRA541"/>
      <c r="PRB541"/>
      <c r="PRC541"/>
      <c r="PRD541"/>
      <c r="PRE541"/>
      <c r="PRF541"/>
      <c r="PRG541"/>
      <c r="PRH541"/>
      <c r="PRI541"/>
      <c r="PRJ541"/>
      <c r="PRK541"/>
      <c r="PRL541"/>
      <c r="PRM541"/>
      <c r="PRN541"/>
      <c r="PRO541"/>
      <c r="PRP541"/>
      <c r="PRQ541"/>
      <c r="PRR541"/>
      <c r="PRS541"/>
      <c r="PRT541"/>
      <c r="PRU541"/>
      <c r="PRV541"/>
      <c r="PRW541"/>
      <c r="PRX541"/>
      <c r="PRY541"/>
      <c r="PRZ541"/>
      <c r="PSA541"/>
      <c r="PSB541"/>
      <c r="PSC541"/>
      <c r="PSD541"/>
      <c r="PSE541"/>
      <c r="PSF541"/>
      <c r="PSG541"/>
      <c r="PSH541"/>
      <c r="PSI541"/>
      <c r="PSJ541"/>
      <c r="PSK541"/>
      <c r="PSL541"/>
      <c r="PSM541"/>
      <c r="PSN541"/>
      <c r="PSO541"/>
      <c r="PSP541"/>
      <c r="PSQ541"/>
      <c r="PSR541"/>
      <c r="PSS541"/>
      <c r="PST541"/>
      <c r="PSU541"/>
      <c r="PSV541"/>
      <c r="PSW541"/>
      <c r="PSX541"/>
      <c r="PSY541"/>
      <c r="PSZ541"/>
      <c r="PTA541"/>
      <c r="PTB541"/>
      <c r="PTC541"/>
      <c r="PTD541"/>
      <c r="PTE541"/>
      <c r="PTF541"/>
      <c r="PTG541"/>
      <c r="PTH541"/>
      <c r="PTI541"/>
      <c r="PTJ541"/>
      <c r="PTK541"/>
      <c r="PTL541"/>
      <c r="PTM541"/>
      <c r="PTN541"/>
      <c r="PTO541"/>
      <c r="PTP541"/>
      <c r="PTQ541"/>
      <c r="PTR541"/>
      <c r="PTS541"/>
      <c r="PTT541"/>
      <c r="PTU541"/>
      <c r="PTV541"/>
      <c r="PTW541"/>
      <c r="PTX541"/>
      <c r="PTY541"/>
      <c r="PTZ541"/>
      <c r="PUA541"/>
      <c r="PUB541"/>
      <c r="PUC541"/>
      <c r="PUD541"/>
      <c r="PUE541"/>
      <c r="PUF541"/>
      <c r="PUG541"/>
      <c r="PUH541"/>
      <c r="PUI541"/>
      <c r="PUJ541"/>
      <c r="PUK541"/>
      <c r="PUL541"/>
      <c r="PUM541"/>
      <c r="PUN541"/>
      <c r="PUO541"/>
      <c r="PUP541"/>
      <c r="PUQ541"/>
      <c r="PUR541"/>
      <c r="PUS541"/>
      <c r="PUT541"/>
      <c r="PUU541"/>
      <c r="PUV541"/>
      <c r="PUW541"/>
      <c r="PUX541"/>
      <c r="PUY541"/>
      <c r="PUZ541"/>
      <c r="PVA541"/>
      <c r="PVB541"/>
      <c r="PVC541"/>
      <c r="PVD541"/>
      <c r="PVE541"/>
      <c r="PVF541"/>
      <c r="PVG541"/>
      <c r="PVH541"/>
      <c r="PVI541"/>
      <c r="PVJ541"/>
      <c r="PVK541"/>
      <c r="PVL541"/>
      <c r="PVM541"/>
      <c r="PVN541"/>
      <c r="PVO541"/>
      <c r="PVP541"/>
      <c r="PVQ541"/>
      <c r="PVR541"/>
      <c r="PVS541"/>
      <c r="PVT541"/>
      <c r="PVU541"/>
      <c r="PVV541"/>
      <c r="PVW541"/>
      <c r="PVX541"/>
      <c r="PVY541"/>
      <c r="PVZ541"/>
      <c r="PWA541"/>
      <c r="PWB541"/>
      <c r="PWC541"/>
      <c r="PWD541"/>
      <c r="PWE541"/>
      <c r="PWF541"/>
      <c r="PWG541"/>
      <c r="PWH541"/>
      <c r="PWI541"/>
      <c r="PWJ541"/>
      <c r="PWK541"/>
      <c r="PWL541"/>
      <c r="PWM541"/>
      <c r="PWN541"/>
      <c r="PWO541"/>
      <c r="PWP541"/>
      <c r="PWQ541"/>
      <c r="PWR541"/>
      <c r="PWS541"/>
      <c r="PWT541"/>
      <c r="PWU541"/>
      <c r="PWV541"/>
      <c r="PWW541"/>
      <c r="PWX541"/>
      <c r="PWY541"/>
      <c r="PWZ541"/>
      <c r="PXA541"/>
      <c r="PXB541"/>
      <c r="PXC541"/>
      <c r="PXD541"/>
      <c r="PXE541"/>
      <c r="PXF541"/>
      <c r="PXG541"/>
      <c r="PXH541"/>
      <c r="PXI541"/>
      <c r="PXJ541"/>
      <c r="PXK541"/>
      <c r="PXL541"/>
      <c r="PXM541"/>
      <c r="PXN541"/>
      <c r="PXO541"/>
      <c r="PXP541"/>
      <c r="PXQ541"/>
      <c r="PXR541"/>
      <c r="PXS541"/>
      <c r="PXT541"/>
      <c r="PXU541"/>
      <c r="PXV541"/>
      <c r="PXW541"/>
      <c r="PXX541"/>
      <c r="PXY541"/>
      <c r="PXZ541"/>
      <c r="PYA541"/>
      <c r="PYB541"/>
      <c r="PYC541"/>
      <c r="PYD541"/>
      <c r="PYE541"/>
      <c r="PYF541"/>
      <c r="PYG541"/>
      <c r="PYH541"/>
      <c r="PYI541"/>
      <c r="PYJ541"/>
      <c r="PYK541"/>
      <c r="PYL541"/>
      <c r="PYM541"/>
      <c r="PYN541"/>
      <c r="PYO541"/>
      <c r="PYP541"/>
      <c r="PYQ541"/>
      <c r="PYR541"/>
      <c r="PYS541"/>
      <c r="PYT541"/>
      <c r="PYU541"/>
      <c r="PYV541"/>
      <c r="PYW541"/>
      <c r="PYX541"/>
      <c r="PYY541"/>
      <c r="PYZ541"/>
      <c r="PZA541"/>
      <c r="PZB541"/>
      <c r="PZC541"/>
      <c r="PZD541"/>
      <c r="PZE541"/>
      <c r="PZF541"/>
      <c r="PZG541"/>
      <c r="PZH541"/>
      <c r="PZI541"/>
      <c r="PZJ541"/>
      <c r="PZK541"/>
      <c r="PZL541"/>
      <c r="PZM541"/>
      <c r="PZN541"/>
      <c r="PZO541"/>
      <c r="PZP541"/>
      <c r="PZQ541"/>
      <c r="PZR541"/>
      <c r="PZS541"/>
      <c r="PZT541"/>
      <c r="PZU541"/>
      <c r="PZV541"/>
      <c r="PZW541"/>
      <c r="PZX541"/>
      <c r="PZY541"/>
      <c r="PZZ541"/>
      <c r="QAA541"/>
      <c r="QAB541"/>
      <c r="QAC541"/>
      <c r="QAD541"/>
      <c r="QAE541"/>
      <c r="QAF541"/>
      <c r="QAG541"/>
      <c r="QAH541"/>
      <c r="QAI541"/>
      <c r="QAJ541"/>
      <c r="QAK541"/>
      <c r="QAL541"/>
      <c r="QAM541"/>
      <c r="QAN541"/>
      <c r="QAO541"/>
      <c r="QAP541"/>
      <c r="QAQ541"/>
      <c r="QAR541"/>
      <c r="QAS541"/>
      <c r="QAT541"/>
      <c r="QAU541"/>
      <c r="QAV541"/>
      <c r="QAW541"/>
      <c r="QAX541"/>
      <c r="QAY541"/>
      <c r="QAZ541"/>
      <c r="QBA541"/>
      <c r="QBB541"/>
      <c r="QBC541"/>
      <c r="QBD541"/>
      <c r="QBE541"/>
      <c r="QBF541"/>
      <c r="QBG541"/>
      <c r="QBH541"/>
      <c r="QBI541"/>
      <c r="QBJ541"/>
      <c r="QBK541"/>
      <c r="QBL541"/>
      <c r="QBM541"/>
      <c r="QBN541"/>
      <c r="QBO541"/>
      <c r="QBP541"/>
      <c r="QBQ541"/>
      <c r="QBR541"/>
      <c r="QBS541"/>
      <c r="QBT541"/>
      <c r="QBU541"/>
      <c r="QBV541"/>
      <c r="QBW541"/>
      <c r="QBX541"/>
      <c r="QBY541"/>
      <c r="QBZ541"/>
      <c r="QCA541"/>
      <c r="QCB541"/>
      <c r="QCC541"/>
      <c r="QCD541"/>
      <c r="QCE541"/>
      <c r="QCF541"/>
      <c r="QCG541"/>
      <c r="QCH541"/>
      <c r="QCI541"/>
      <c r="QCJ541"/>
      <c r="QCK541"/>
      <c r="QCL541"/>
      <c r="QCM541"/>
      <c r="QCN541"/>
      <c r="QCO541"/>
      <c r="QCP541"/>
      <c r="QCQ541"/>
      <c r="QCR541"/>
      <c r="QCS541"/>
      <c r="QCT541"/>
      <c r="QCU541"/>
      <c r="QCV541"/>
      <c r="QCW541"/>
      <c r="QCX541"/>
      <c r="QCY541"/>
      <c r="QCZ541"/>
      <c r="QDA541"/>
      <c r="QDB541"/>
      <c r="QDC541"/>
      <c r="QDD541"/>
      <c r="QDE541"/>
      <c r="QDF541"/>
      <c r="QDG541"/>
      <c r="QDH541"/>
      <c r="QDI541"/>
      <c r="QDJ541"/>
      <c r="QDK541"/>
      <c r="QDL541"/>
      <c r="QDM541"/>
      <c r="QDN541"/>
      <c r="QDO541"/>
      <c r="QDP541"/>
      <c r="QDQ541"/>
      <c r="QDR541"/>
      <c r="QDS541"/>
      <c r="QDT541"/>
      <c r="QDU541"/>
      <c r="QDV541"/>
      <c r="QDW541"/>
      <c r="QDX541"/>
      <c r="QDY541"/>
      <c r="QDZ541"/>
      <c r="QEA541"/>
      <c r="QEB541"/>
      <c r="QEC541"/>
      <c r="QED541"/>
      <c r="QEE541"/>
      <c r="QEF541"/>
      <c r="QEG541"/>
      <c r="QEH541"/>
      <c r="QEI541"/>
      <c r="QEJ541"/>
      <c r="QEK541"/>
      <c r="QEL541"/>
      <c r="QEM541"/>
      <c r="QEN541"/>
      <c r="QEO541"/>
      <c r="QEP541"/>
      <c r="QEQ541"/>
      <c r="QER541"/>
      <c r="QES541"/>
      <c r="QET541"/>
      <c r="QEU541"/>
      <c r="QEV541"/>
      <c r="QEW541"/>
      <c r="QEX541"/>
      <c r="QEY541"/>
      <c r="QEZ541"/>
      <c r="QFA541"/>
      <c r="QFB541"/>
      <c r="QFC541"/>
      <c r="QFD541"/>
      <c r="QFE541"/>
      <c r="QFF541"/>
      <c r="QFG541"/>
      <c r="QFH541"/>
      <c r="QFI541"/>
      <c r="QFJ541"/>
      <c r="QFK541"/>
      <c r="QFL541"/>
      <c r="QFM541"/>
      <c r="QFN541"/>
      <c r="QFO541"/>
      <c r="QFP541"/>
      <c r="QFQ541"/>
      <c r="QFR541"/>
      <c r="QFS541"/>
      <c r="QFT541"/>
      <c r="QFU541"/>
      <c r="QFV541"/>
      <c r="QFW541"/>
      <c r="QFX541"/>
      <c r="QFY541"/>
      <c r="QFZ541"/>
      <c r="QGA541"/>
      <c r="QGB541"/>
      <c r="QGC541"/>
      <c r="QGD541"/>
      <c r="QGE541"/>
      <c r="QGF541"/>
      <c r="QGG541"/>
      <c r="QGH541"/>
      <c r="QGI541"/>
      <c r="QGJ541"/>
      <c r="QGK541"/>
      <c r="QGL541"/>
      <c r="QGM541"/>
      <c r="QGN541"/>
      <c r="QGO541"/>
      <c r="QGP541"/>
      <c r="QGQ541"/>
      <c r="QGR541"/>
      <c r="QGS541"/>
      <c r="QGT541"/>
      <c r="QGU541"/>
      <c r="QGV541"/>
      <c r="QGW541"/>
      <c r="QGX541"/>
      <c r="QGY541"/>
      <c r="QGZ541"/>
      <c r="QHA541"/>
      <c r="QHB541"/>
      <c r="QHC541"/>
      <c r="QHD541"/>
      <c r="QHE541"/>
      <c r="QHF541"/>
      <c r="QHG541"/>
      <c r="QHH541"/>
      <c r="QHI541"/>
      <c r="QHJ541"/>
      <c r="QHK541"/>
      <c r="QHL541"/>
      <c r="QHM541"/>
      <c r="QHN541"/>
      <c r="QHO541"/>
      <c r="QHP541"/>
      <c r="QHQ541"/>
      <c r="QHR541"/>
      <c r="QHS541"/>
      <c r="QHT541"/>
      <c r="QHU541"/>
      <c r="QHV541"/>
      <c r="QHW541"/>
      <c r="QHX541"/>
      <c r="QHY541"/>
      <c r="QHZ541"/>
      <c r="QIA541"/>
      <c r="QIB541"/>
      <c r="QIC541"/>
      <c r="QID541"/>
      <c r="QIE541"/>
      <c r="QIF541"/>
      <c r="QIG541"/>
      <c r="QIH541"/>
      <c r="QII541"/>
      <c r="QIJ541"/>
      <c r="QIK541"/>
      <c r="QIL541"/>
      <c r="QIM541"/>
      <c r="QIN541"/>
      <c r="QIO541"/>
      <c r="QIP541"/>
      <c r="QIQ541"/>
      <c r="QIR541"/>
      <c r="QIS541"/>
      <c r="QIT541"/>
      <c r="QIU541"/>
      <c r="QIV541"/>
      <c r="QIW541"/>
      <c r="QIX541"/>
      <c r="QIY541"/>
      <c r="QIZ541"/>
      <c r="QJA541"/>
      <c r="QJB541"/>
      <c r="QJC541"/>
      <c r="QJD541"/>
      <c r="QJE541"/>
      <c r="QJF541"/>
      <c r="QJG541"/>
      <c r="QJH541"/>
      <c r="QJI541"/>
      <c r="QJJ541"/>
      <c r="QJK541"/>
      <c r="QJL541"/>
      <c r="QJM541"/>
      <c r="QJN541"/>
      <c r="QJO541"/>
      <c r="QJP541"/>
      <c r="QJQ541"/>
      <c r="QJR541"/>
      <c r="QJS541"/>
      <c r="QJT541"/>
      <c r="QJU541"/>
      <c r="QJV541"/>
      <c r="QJW541"/>
      <c r="QJX541"/>
      <c r="QJY541"/>
      <c r="QJZ541"/>
      <c r="QKA541"/>
      <c r="QKB541"/>
      <c r="QKC541"/>
      <c r="QKD541"/>
      <c r="QKE541"/>
      <c r="QKF541"/>
      <c r="QKG541"/>
      <c r="QKH541"/>
      <c r="QKI541"/>
      <c r="QKJ541"/>
      <c r="QKK541"/>
      <c r="QKL541"/>
      <c r="QKM541"/>
      <c r="QKN541"/>
      <c r="QKO541"/>
      <c r="QKP541"/>
      <c r="QKQ541"/>
      <c r="QKR541"/>
      <c r="QKS541"/>
      <c r="QKT541"/>
      <c r="QKU541"/>
      <c r="QKV541"/>
      <c r="QKW541"/>
      <c r="QKX541"/>
      <c r="QKY541"/>
      <c r="QKZ541"/>
      <c r="QLA541"/>
      <c r="QLB541"/>
      <c r="QLC541"/>
      <c r="QLD541"/>
      <c r="QLE541"/>
      <c r="QLF541"/>
      <c r="QLG541"/>
      <c r="QLH541"/>
      <c r="QLI541"/>
      <c r="QLJ541"/>
      <c r="QLK541"/>
      <c r="QLL541"/>
      <c r="QLM541"/>
      <c r="QLN541"/>
      <c r="QLO541"/>
      <c r="QLP541"/>
      <c r="QLQ541"/>
      <c r="QLR541"/>
      <c r="QLS541"/>
      <c r="QLT541"/>
      <c r="QLU541"/>
      <c r="QLV541"/>
      <c r="QLW541"/>
      <c r="QLX541"/>
      <c r="QLY541"/>
      <c r="QLZ541"/>
      <c r="QMA541"/>
      <c r="QMB541"/>
      <c r="QMC541"/>
      <c r="QMD541"/>
      <c r="QME541"/>
      <c r="QMF541"/>
      <c r="QMG541"/>
      <c r="QMH541"/>
      <c r="QMI541"/>
      <c r="QMJ541"/>
      <c r="QMK541"/>
      <c r="QML541"/>
      <c r="QMM541"/>
      <c r="QMN541"/>
      <c r="QMO541"/>
      <c r="QMP541"/>
      <c r="QMQ541"/>
      <c r="QMR541"/>
      <c r="QMS541"/>
      <c r="QMT541"/>
      <c r="QMU541"/>
      <c r="QMV541"/>
      <c r="QMW541"/>
      <c r="QMX541"/>
      <c r="QMY541"/>
      <c r="QMZ541"/>
      <c r="QNA541"/>
      <c r="QNB541"/>
      <c r="QNC541"/>
      <c r="QND541"/>
      <c r="QNE541"/>
      <c r="QNF541"/>
      <c r="QNG541"/>
      <c r="QNH541"/>
      <c r="QNI541"/>
      <c r="QNJ541"/>
      <c r="QNK541"/>
      <c r="QNL541"/>
      <c r="QNM541"/>
      <c r="QNN541"/>
      <c r="QNO541"/>
      <c r="QNP541"/>
      <c r="QNQ541"/>
      <c r="QNR541"/>
      <c r="QNS541"/>
      <c r="QNT541"/>
      <c r="QNU541"/>
      <c r="QNV541"/>
      <c r="QNW541"/>
      <c r="QNX541"/>
      <c r="QNY541"/>
      <c r="QNZ541"/>
      <c r="QOA541"/>
      <c r="QOB541"/>
      <c r="QOC541"/>
      <c r="QOD541"/>
      <c r="QOE541"/>
      <c r="QOF541"/>
      <c r="QOG541"/>
      <c r="QOH541"/>
      <c r="QOI541"/>
      <c r="QOJ541"/>
      <c r="QOK541"/>
      <c r="QOL541"/>
      <c r="QOM541"/>
      <c r="QON541"/>
      <c r="QOO541"/>
      <c r="QOP541"/>
      <c r="QOQ541"/>
      <c r="QOR541"/>
      <c r="QOS541"/>
      <c r="QOT541"/>
      <c r="QOU541"/>
      <c r="QOV541"/>
      <c r="QOW541"/>
      <c r="QOX541"/>
      <c r="QOY541"/>
      <c r="QOZ541"/>
      <c r="QPA541"/>
      <c r="QPB541"/>
      <c r="QPC541"/>
      <c r="QPD541"/>
      <c r="QPE541"/>
      <c r="QPF541"/>
      <c r="QPG541"/>
      <c r="QPH541"/>
      <c r="QPI541"/>
      <c r="QPJ541"/>
      <c r="QPK541"/>
      <c r="QPL541"/>
      <c r="QPM541"/>
      <c r="QPN541"/>
      <c r="QPO541"/>
      <c r="QPP541"/>
      <c r="QPQ541"/>
      <c r="QPR541"/>
      <c r="QPS541"/>
      <c r="QPT541"/>
      <c r="QPU541"/>
      <c r="QPV541"/>
      <c r="QPW541"/>
      <c r="QPX541"/>
      <c r="QPY541"/>
      <c r="QPZ541"/>
      <c r="QQA541"/>
      <c r="QQB541"/>
      <c r="QQC541"/>
      <c r="QQD541"/>
      <c r="QQE541"/>
      <c r="QQF541"/>
      <c r="QQG541"/>
      <c r="QQH541"/>
      <c r="QQI541"/>
      <c r="QQJ541"/>
      <c r="QQK541"/>
      <c r="QQL541"/>
      <c r="QQM541"/>
      <c r="QQN541"/>
      <c r="QQO541"/>
      <c r="QQP541"/>
      <c r="QQQ541"/>
      <c r="QQR541"/>
      <c r="QQS541"/>
      <c r="QQT541"/>
      <c r="QQU541"/>
      <c r="QQV541"/>
      <c r="QQW541"/>
      <c r="QQX541"/>
      <c r="QQY541"/>
      <c r="QQZ541"/>
      <c r="QRA541"/>
      <c r="QRB541"/>
      <c r="QRC541"/>
      <c r="QRD541"/>
      <c r="QRE541"/>
      <c r="QRF541"/>
      <c r="QRG541"/>
      <c r="QRH541"/>
      <c r="QRI541"/>
      <c r="QRJ541"/>
      <c r="QRK541"/>
      <c r="QRL541"/>
      <c r="QRM541"/>
      <c r="QRN541"/>
      <c r="QRO541"/>
      <c r="QRP541"/>
      <c r="QRQ541"/>
      <c r="QRR541"/>
      <c r="QRS541"/>
      <c r="QRT541"/>
      <c r="QRU541"/>
      <c r="QRV541"/>
      <c r="QRW541"/>
      <c r="QRX541"/>
      <c r="QRY541"/>
      <c r="QRZ541"/>
      <c r="QSA541"/>
      <c r="QSB541"/>
      <c r="QSC541"/>
      <c r="QSD541"/>
      <c r="QSE541"/>
      <c r="QSF541"/>
      <c r="QSG541"/>
      <c r="QSH541"/>
      <c r="QSI541"/>
      <c r="QSJ541"/>
      <c r="QSK541"/>
      <c r="QSL541"/>
      <c r="QSM541"/>
      <c r="QSN541"/>
      <c r="QSO541"/>
      <c r="QSP541"/>
      <c r="QSQ541"/>
      <c r="QSR541"/>
      <c r="QSS541"/>
      <c r="QST541"/>
      <c r="QSU541"/>
      <c r="QSV541"/>
      <c r="QSW541"/>
      <c r="QSX541"/>
      <c r="QSY541"/>
      <c r="QSZ541"/>
      <c r="QTA541"/>
      <c r="QTB541"/>
      <c r="QTC541"/>
      <c r="QTD541"/>
      <c r="QTE541"/>
      <c r="QTF541"/>
      <c r="QTG541"/>
      <c r="QTH541"/>
      <c r="QTI541"/>
      <c r="QTJ541"/>
      <c r="QTK541"/>
      <c r="QTL541"/>
      <c r="QTM541"/>
      <c r="QTN541"/>
      <c r="QTO541"/>
      <c r="QTP541"/>
      <c r="QTQ541"/>
      <c r="QTR541"/>
      <c r="QTS541"/>
      <c r="QTT541"/>
      <c r="QTU541"/>
      <c r="QTV541"/>
      <c r="QTW541"/>
      <c r="QTX541"/>
      <c r="QTY541"/>
      <c r="QTZ541"/>
      <c r="QUA541"/>
      <c r="QUB541"/>
      <c r="QUC541"/>
      <c r="QUD541"/>
      <c r="QUE541"/>
      <c r="QUF541"/>
      <c r="QUG541"/>
      <c r="QUH541"/>
      <c r="QUI541"/>
      <c r="QUJ541"/>
      <c r="QUK541"/>
      <c r="QUL541"/>
      <c r="QUM541"/>
      <c r="QUN541"/>
      <c r="QUO541"/>
      <c r="QUP541"/>
      <c r="QUQ541"/>
      <c r="QUR541"/>
      <c r="QUS541"/>
      <c r="QUT541"/>
      <c r="QUU541"/>
      <c r="QUV541"/>
      <c r="QUW541"/>
      <c r="QUX541"/>
      <c r="QUY541"/>
      <c r="QUZ541"/>
      <c r="QVA541"/>
      <c r="QVB541"/>
      <c r="QVC541"/>
      <c r="QVD541"/>
      <c r="QVE541"/>
      <c r="QVF541"/>
      <c r="QVG541"/>
      <c r="QVH541"/>
      <c r="QVI541"/>
      <c r="QVJ541"/>
      <c r="QVK541"/>
      <c r="QVL541"/>
      <c r="QVM541"/>
      <c r="QVN541"/>
      <c r="QVO541"/>
      <c r="QVP541"/>
      <c r="QVQ541"/>
      <c r="QVR541"/>
      <c r="QVS541"/>
      <c r="QVT541"/>
      <c r="QVU541"/>
      <c r="QVV541"/>
      <c r="QVW541"/>
      <c r="QVX541"/>
      <c r="QVY541"/>
      <c r="QVZ541"/>
      <c r="QWA541"/>
      <c r="QWB541"/>
      <c r="QWC541"/>
      <c r="QWD541"/>
      <c r="QWE541"/>
      <c r="QWF541"/>
      <c r="QWG541"/>
      <c r="QWH541"/>
      <c r="QWI541"/>
      <c r="QWJ541"/>
      <c r="QWK541"/>
      <c r="QWL541"/>
      <c r="QWM541"/>
      <c r="QWN541"/>
      <c r="QWO541"/>
      <c r="QWP541"/>
      <c r="QWQ541"/>
      <c r="QWR541"/>
      <c r="QWS541"/>
      <c r="QWT541"/>
      <c r="QWU541"/>
      <c r="QWV541"/>
      <c r="QWW541"/>
      <c r="QWX541"/>
      <c r="QWY541"/>
      <c r="QWZ541"/>
      <c r="QXA541"/>
      <c r="QXB541"/>
      <c r="QXC541"/>
      <c r="QXD541"/>
      <c r="QXE541"/>
      <c r="QXF541"/>
      <c r="QXG541"/>
      <c r="QXH541"/>
      <c r="QXI541"/>
      <c r="QXJ541"/>
      <c r="QXK541"/>
      <c r="QXL541"/>
      <c r="QXM541"/>
      <c r="QXN541"/>
      <c r="QXO541"/>
      <c r="QXP541"/>
      <c r="QXQ541"/>
      <c r="QXR541"/>
      <c r="QXS541"/>
      <c r="QXT541"/>
      <c r="QXU541"/>
      <c r="QXV541"/>
      <c r="QXW541"/>
      <c r="QXX541"/>
      <c r="QXY541"/>
      <c r="QXZ541"/>
      <c r="QYA541"/>
      <c r="QYB541"/>
      <c r="QYC541"/>
      <c r="QYD541"/>
      <c r="QYE541"/>
      <c r="QYF541"/>
      <c r="QYG541"/>
      <c r="QYH541"/>
      <c r="QYI541"/>
      <c r="QYJ541"/>
      <c r="QYK541"/>
      <c r="QYL541"/>
      <c r="QYM541"/>
      <c r="QYN541"/>
      <c r="QYO541"/>
      <c r="QYP541"/>
      <c r="QYQ541"/>
      <c r="QYR541"/>
      <c r="QYS541"/>
      <c r="QYT541"/>
      <c r="QYU541"/>
      <c r="QYV541"/>
      <c r="QYW541"/>
      <c r="QYX541"/>
      <c r="QYY541"/>
      <c r="QYZ541"/>
      <c r="QZA541"/>
      <c r="QZB541"/>
      <c r="QZC541"/>
      <c r="QZD541"/>
      <c r="QZE541"/>
      <c r="QZF541"/>
      <c r="QZG541"/>
      <c r="QZH541"/>
      <c r="QZI541"/>
      <c r="QZJ541"/>
      <c r="QZK541"/>
      <c r="QZL541"/>
      <c r="QZM541"/>
      <c r="QZN541"/>
      <c r="QZO541"/>
      <c r="QZP541"/>
      <c r="QZQ541"/>
      <c r="QZR541"/>
      <c r="QZS541"/>
      <c r="QZT541"/>
      <c r="QZU541"/>
      <c r="QZV541"/>
      <c r="QZW541"/>
      <c r="QZX541"/>
      <c r="QZY541"/>
      <c r="QZZ541"/>
      <c r="RAA541"/>
      <c r="RAB541"/>
      <c r="RAC541"/>
      <c r="RAD541"/>
      <c r="RAE541"/>
      <c r="RAF541"/>
      <c r="RAG541"/>
      <c r="RAH541"/>
      <c r="RAI541"/>
      <c r="RAJ541"/>
      <c r="RAK541"/>
      <c r="RAL541"/>
      <c r="RAM541"/>
      <c r="RAN541"/>
      <c r="RAO541"/>
      <c r="RAP541"/>
      <c r="RAQ541"/>
      <c r="RAR541"/>
      <c r="RAS541"/>
      <c r="RAT541"/>
      <c r="RAU541"/>
      <c r="RAV541"/>
      <c r="RAW541"/>
      <c r="RAX541"/>
      <c r="RAY541"/>
      <c r="RAZ541"/>
      <c r="RBA541"/>
      <c r="RBB541"/>
      <c r="RBC541"/>
      <c r="RBD541"/>
      <c r="RBE541"/>
      <c r="RBF541"/>
      <c r="RBG541"/>
      <c r="RBH541"/>
      <c r="RBI541"/>
      <c r="RBJ541"/>
      <c r="RBK541"/>
      <c r="RBL541"/>
      <c r="RBM541"/>
      <c r="RBN541"/>
      <c r="RBO541"/>
      <c r="RBP541"/>
      <c r="RBQ541"/>
      <c r="RBR541"/>
      <c r="RBS541"/>
      <c r="RBT541"/>
      <c r="RBU541"/>
      <c r="RBV541"/>
      <c r="RBW541"/>
      <c r="RBX541"/>
      <c r="RBY541"/>
      <c r="RBZ541"/>
      <c r="RCA541"/>
      <c r="RCB541"/>
      <c r="RCC541"/>
      <c r="RCD541"/>
      <c r="RCE541"/>
      <c r="RCF541"/>
      <c r="RCG541"/>
      <c r="RCH541"/>
      <c r="RCI541"/>
      <c r="RCJ541"/>
      <c r="RCK541"/>
      <c r="RCL541"/>
      <c r="RCM541"/>
      <c r="RCN541"/>
      <c r="RCO541"/>
      <c r="RCP541"/>
      <c r="RCQ541"/>
      <c r="RCR541"/>
      <c r="RCS541"/>
      <c r="RCT541"/>
      <c r="RCU541"/>
      <c r="RCV541"/>
      <c r="RCW541"/>
      <c r="RCX541"/>
      <c r="RCY541"/>
      <c r="RCZ541"/>
      <c r="RDA541"/>
      <c r="RDB541"/>
      <c r="RDC541"/>
      <c r="RDD541"/>
      <c r="RDE541"/>
      <c r="RDF541"/>
      <c r="RDG541"/>
      <c r="RDH541"/>
      <c r="RDI541"/>
      <c r="RDJ541"/>
      <c r="RDK541"/>
      <c r="RDL541"/>
      <c r="RDM541"/>
      <c r="RDN541"/>
      <c r="RDO541"/>
      <c r="RDP541"/>
      <c r="RDQ541"/>
      <c r="RDR541"/>
      <c r="RDS541"/>
      <c r="RDT541"/>
      <c r="RDU541"/>
      <c r="RDV541"/>
      <c r="RDW541"/>
      <c r="RDX541"/>
      <c r="RDY541"/>
      <c r="RDZ541"/>
      <c r="REA541"/>
      <c r="REB541"/>
      <c r="REC541"/>
      <c r="RED541"/>
      <c r="REE541"/>
      <c r="REF541"/>
      <c r="REG541"/>
      <c r="REH541"/>
      <c r="REI541"/>
      <c r="REJ541"/>
      <c r="REK541"/>
      <c r="REL541"/>
      <c r="REM541"/>
      <c r="REN541"/>
      <c r="REO541"/>
      <c r="REP541"/>
      <c r="REQ541"/>
      <c r="RER541"/>
      <c r="RES541"/>
      <c r="RET541"/>
      <c r="REU541"/>
      <c r="REV541"/>
      <c r="REW541"/>
      <c r="REX541"/>
      <c r="REY541"/>
      <c r="REZ541"/>
      <c r="RFA541"/>
      <c r="RFB541"/>
      <c r="RFC541"/>
      <c r="RFD541"/>
      <c r="RFE541"/>
      <c r="RFF541"/>
      <c r="RFG541"/>
      <c r="RFH541"/>
      <c r="RFI541"/>
      <c r="RFJ541"/>
      <c r="RFK541"/>
      <c r="RFL541"/>
      <c r="RFM541"/>
      <c r="RFN541"/>
      <c r="RFO541"/>
      <c r="RFP541"/>
      <c r="RFQ541"/>
      <c r="RFR541"/>
      <c r="RFS541"/>
      <c r="RFT541"/>
      <c r="RFU541"/>
      <c r="RFV541"/>
      <c r="RFW541"/>
      <c r="RFX541"/>
      <c r="RFY541"/>
      <c r="RFZ541"/>
      <c r="RGA541"/>
      <c r="RGB541"/>
      <c r="RGC541"/>
      <c r="RGD541"/>
      <c r="RGE541"/>
      <c r="RGF541"/>
      <c r="RGG541"/>
      <c r="RGH541"/>
      <c r="RGI541"/>
      <c r="RGJ541"/>
      <c r="RGK541"/>
      <c r="RGL541"/>
      <c r="RGM541"/>
      <c r="RGN541"/>
      <c r="RGO541"/>
      <c r="RGP541"/>
      <c r="RGQ541"/>
      <c r="RGR541"/>
      <c r="RGS541"/>
      <c r="RGT541"/>
      <c r="RGU541"/>
      <c r="RGV541"/>
      <c r="RGW541"/>
      <c r="RGX541"/>
      <c r="RGY541"/>
      <c r="RGZ541"/>
      <c r="RHA541"/>
      <c r="RHB541"/>
      <c r="RHC541"/>
      <c r="RHD541"/>
      <c r="RHE541"/>
      <c r="RHF541"/>
      <c r="RHG541"/>
      <c r="RHH541"/>
      <c r="RHI541"/>
      <c r="RHJ541"/>
      <c r="RHK541"/>
      <c r="RHL541"/>
      <c r="RHM541"/>
      <c r="RHN541"/>
      <c r="RHO541"/>
      <c r="RHP541"/>
      <c r="RHQ541"/>
      <c r="RHR541"/>
      <c r="RHS541"/>
      <c r="RHT541"/>
      <c r="RHU541"/>
      <c r="RHV541"/>
      <c r="RHW541"/>
      <c r="RHX541"/>
      <c r="RHY541"/>
      <c r="RHZ541"/>
      <c r="RIA541"/>
      <c r="RIB541"/>
      <c r="RIC541"/>
      <c r="RID541"/>
      <c r="RIE541"/>
      <c r="RIF541"/>
      <c r="RIG541"/>
      <c r="RIH541"/>
      <c r="RII541"/>
      <c r="RIJ541"/>
      <c r="RIK541"/>
      <c r="RIL541"/>
      <c r="RIM541"/>
      <c r="RIN541"/>
      <c r="RIO541"/>
      <c r="RIP541"/>
      <c r="RIQ541"/>
      <c r="RIR541"/>
      <c r="RIS541"/>
      <c r="RIT541"/>
      <c r="RIU541"/>
      <c r="RIV541"/>
      <c r="RIW541"/>
      <c r="RIX541"/>
      <c r="RIY541"/>
      <c r="RIZ541"/>
      <c r="RJA541"/>
      <c r="RJB541"/>
      <c r="RJC541"/>
      <c r="RJD541"/>
      <c r="RJE541"/>
      <c r="RJF541"/>
      <c r="RJG541"/>
      <c r="RJH541"/>
      <c r="RJI541"/>
      <c r="RJJ541"/>
      <c r="RJK541"/>
      <c r="RJL541"/>
      <c r="RJM541"/>
      <c r="RJN541"/>
      <c r="RJO541"/>
      <c r="RJP541"/>
      <c r="RJQ541"/>
      <c r="RJR541"/>
      <c r="RJS541"/>
      <c r="RJT541"/>
      <c r="RJU541"/>
      <c r="RJV541"/>
      <c r="RJW541"/>
      <c r="RJX541"/>
      <c r="RJY541"/>
      <c r="RJZ541"/>
      <c r="RKA541"/>
      <c r="RKB541"/>
      <c r="RKC541"/>
      <c r="RKD541"/>
      <c r="RKE541"/>
      <c r="RKF541"/>
      <c r="RKG541"/>
      <c r="RKH541"/>
      <c r="RKI541"/>
      <c r="RKJ541"/>
      <c r="RKK541"/>
      <c r="RKL541"/>
      <c r="RKM541"/>
      <c r="RKN541"/>
      <c r="RKO541"/>
      <c r="RKP541"/>
      <c r="RKQ541"/>
      <c r="RKR541"/>
      <c r="RKS541"/>
      <c r="RKT541"/>
      <c r="RKU541"/>
      <c r="RKV541"/>
      <c r="RKW541"/>
      <c r="RKX541"/>
      <c r="RKY541"/>
      <c r="RKZ541"/>
      <c r="RLA541"/>
      <c r="RLB541"/>
      <c r="RLC541"/>
      <c r="RLD541"/>
      <c r="RLE541"/>
      <c r="RLF541"/>
      <c r="RLG541"/>
      <c r="RLH541"/>
      <c r="RLI541"/>
      <c r="RLJ541"/>
      <c r="RLK541"/>
      <c r="RLL541"/>
      <c r="RLM541"/>
      <c r="RLN541"/>
      <c r="RLO541"/>
      <c r="RLP541"/>
      <c r="RLQ541"/>
      <c r="RLR541"/>
      <c r="RLS541"/>
      <c r="RLT541"/>
      <c r="RLU541"/>
      <c r="RLV541"/>
      <c r="RLW541"/>
      <c r="RLX541"/>
      <c r="RLY541"/>
      <c r="RLZ541"/>
      <c r="RMA541"/>
      <c r="RMB541"/>
      <c r="RMC541"/>
      <c r="RMD541"/>
      <c r="RME541"/>
      <c r="RMF541"/>
      <c r="RMG541"/>
      <c r="RMH541"/>
      <c r="RMI541"/>
      <c r="RMJ541"/>
      <c r="RMK541"/>
      <c r="RML541"/>
      <c r="RMM541"/>
      <c r="RMN541"/>
      <c r="RMO541"/>
      <c r="RMP541"/>
      <c r="RMQ541"/>
      <c r="RMR541"/>
      <c r="RMS541"/>
      <c r="RMT541"/>
      <c r="RMU541"/>
      <c r="RMV541"/>
      <c r="RMW541"/>
      <c r="RMX541"/>
      <c r="RMY541"/>
      <c r="RMZ541"/>
      <c r="RNA541"/>
      <c r="RNB541"/>
      <c r="RNC541"/>
      <c r="RND541"/>
      <c r="RNE541"/>
      <c r="RNF541"/>
      <c r="RNG541"/>
      <c r="RNH541"/>
      <c r="RNI541"/>
      <c r="RNJ541"/>
      <c r="RNK541"/>
      <c r="RNL541"/>
      <c r="RNM541"/>
      <c r="RNN541"/>
      <c r="RNO541"/>
      <c r="RNP541"/>
      <c r="RNQ541"/>
      <c r="RNR541"/>
      <c r="RNS541"/>
      <c r="RNT541"/>
      <c r="RNU541"/>
      <c r="RNV541"/>
      <c r="RNW541"/>
      <c r="RNX541"/>
      <c r="RNY541"/>
      <c r="RNZ541"/>
      <c r="ROA541"/>
      <c r="ROB541"/>
      <c r="ROC541"/>
      <c r="ROD541"/>
      <c r="ROE541"/>
      <c r="ROF541"/>
      <c r="ROG541"/>
      <c r="ROH541"/>
      <c r="ROI541"/>
      <c r="ROJ541"/>
      <c r="ROK541"/>
      <c r="ROL541"/>
      <c r="ROM541"/>
      <c r="RON541"/>
      <c r="ROO541"/>
      <c r="ROP541"/>
      <c r="ROQ541"/>
      <c r="ROR541"/>
      <c r="ROS541"/>
      <c r="ROT541"/>
      <c r="ROU541"/>
      <c r="ROV541"/>
      <c r="ROW541"/>
      <c r="ROX541"/>
      <c r="ROY541"/>
      <c r="ROZ541"/>
      <c r="RPA541"/>
      <c r="RPB541"/>
      <c r="RPC541"/>
      <c r="RPD541"/>
      <c r="RPE541"/>
      <c r="RPF541"/>
      <c r="RPG541"/>
      <c r="RPH541"/>
      <c r="RPI541"/>
      <c r="RPJ541"/>
      <c r="RPK541"/>
      <c r="RPL541"/>
      <c r="RPM541"/>
      <c r="RPN541"/>
      <c r="RPO541"/>
      <c r="RPP541"/>
      <c r="RPQ541"/>
      <c r="RPR541"/>
      <c r="RPS541"/>
      <c r="RPT541"/>
      <c r="RPU541"/>
      <c r="RPV541"/>
      <c r="RPW541"/>
      <c r="RPX541"/>
      <c r="RPY541"/>
      <c r="RPZ541"/>
      <c r="RQA541"/>
      <c r="RQB541"/>
      <c r="RQC541"/>
      <c r="RQD541"/>
      <c r="RQE541"/>
      <c r="RQF541"/>
      <c r="RQG541"/>
      <c r="RQH541"/>
      <c r="RQI541"/>
      <c r="RQJ541"/>
      <c r="RQK541"/>
      <c r="RQL541"/>
      <c r="RQM541"/>
      <c r="RQN541"/>
      <c r="RQO541"/>
      <c r="RQP541"/>
      <c r="RQQ541"/>
      <c r="RQR541"/>
      <c r="RQS541"/>
      <c r="RQT541"/>
      <c r="RQU541"/>
      <c r="RQV541"/>
      <c r="RQW541"/>
      <c r="RQX541"/>
      <c r="RQY541"/>
      <c r="RQZ541"/>
      <c r="RRA541"/>
      <c r="RRB541"/>
      <c r="RRC541"/>
      <c r="RRD541"/>
      <c r="RRE541"/>
      <c r="RRF541"/>
      <c r="RRG541"/>
      <c r="RRH541"/>
      <c r="RRI541"/>
      <c r="RRJ541"/>
      <c r="RRK541"/>
      <c r="RRL541"/>
      <c r="RRM541"/>
      <c r="RRN541"/>
      <c r="RRO541"/>
      <c r="RRP541"/>
      <c r="RRQ541"/>
      <c r="RRR541"/>
      <c r="RRS541"/>
      <c r="RRT541"/>
      <c r="RRU541"/>
      <c r="RRV541"/>
      <c r="RRW541"/>
      <c r="RRX541"/>
      <c r="RRY541"/>
      <c r="RRZ541"/>
      <c r="RSA541"/>
      <c r="RSB541"/>
      <c r="RSC541"/>
      <c r="RSD541"/>
      <c r="RSE541"/>
      <c r="RSF541"/>
      <c r="RSG541"/>
      <c r="RSH541"/>
      <c r="RSI541"/>
      <c r="RSJ541"/>
      <c r="RSK541"/>
      <c r="RSL541"/>
      <c r="RSM541"/>
      <c r="RSN541"/>
      <c r="RSO541"/>
      <c r="RSP541"/>
      <c r="RSQ541"/>
      <c r="RSR541"/>
      <c r="RSS541"/>
      <c r="RST541"/>
      <c r="RSU541"/>
      <c r="RSV541"/>
      <c r="RSW541"/>
      <c r="RSX541"/>
      <c r="RSY541"/>
      <c r="RSZ541"/>
      <c r="RTA541"/>
      <c r="RTB541"/>
      <c r="RTC541"/>
      <c r="RTD541"/>
      <c r="RTE541"/>
      <c r="RTF541"/>
      <c r="RTG541"/>
      <c r="RTH541"/>
      <c r="RTI541"/>
      <c r="RTJ541"/>
      <c r="RTK541"/>
      <c r="RTL541"/>
      <c r="RTM541"/>
      <c r="RTN541"/>
      <c r="RTO541"/>
      <c r="RTP541"/>
      <c r="RTQ541"/>
      <c r="RTR541"/>
      <c r="RTS541"/>
      <c r="RTT541"/>
      <c r="RTU541"/>
      <c r="RTV541"/>
      <c r="RTW541"/>
      <c r="RTX541"/>
      <c r="RTY541"/>
      <c r="RTZ541"/>
      <c r="RUA541"/>
      <c r="RUB541"/>
      <c r="RUC541"/>
      <c r="RUD541"/>
      <c r="RUE541"/>
      <c r="RUF541"/>
      <c r="RUG541"/>
      <c r="RUH541"/>
      <c r="RUI541"/>
      <c r="RUJ541"/>
      <c r="RUK541"/>
      <c r="RUL541"/>
      <c r="RUM541"/>
      <c r="RUN541"/>
      <c r="RUO541"/>
      <c r="RUP541"/>
      <c r="RUQ541"/>
      <c r="RUR541"/>
      <c r="RUS541"/>
      <c r="RUT541"/>
      <c r="RUU541"/>
      <c r="RUV541"/>
      <c r="RUW541"/>
      <c r="RUX541"/>
      <c r="RUY541"/>
      <c r="RUZ541"/>
      <c r="RVA541"/>
      <c r="RVB541"/>
      <c r="RVC541"/>
      <c r="RVD541"/>
      <c r="RVE541"/>
      <c r="RVF541"/>
      <c r="RVG541"/>
      <c r="RVH541"/>
      <c r="RVI541"/>
      <c r="RVJ541"/>
      <c r="RVK541"/>
      <c r="RVL541"/>
      <c r="RVM541"/>
      <c r="RVN541"/>
      <c r="RVO541"/>
      <c r="RVP541"/>
      <c r="RVQ541"/>
      <c r="RVR541"/>
      <c r="RVS541"/>
      <c r="RVT541"/>
      <c r="RVU541"/>
      <c r="RVV541"/>
      <c r="RVW541"/>
      <c r="RVX541"/>
      <c r="RVY541"/>
      <c r="RVZ541"/>
      <c r="RWA541"/>
      <c r="RWB541"/>
      <c r="RWC541"/>
      <c r="RWD541"/>
      <c r="RWE541"/>
      <c r="RWF541"/>
      <c r="RWG541"/>
      <c r="RWH541"/>
      <c r="RWI541"/>
      <c r="RWJ541"/>
      <c r="RWK541"/>
      <c r="RWL541"/>
      <c r="RWM541"/>
      <c r="RWN541"/>
      <c r="RWO541"/>
      <c r="RWP541"/>
      <c r="RWQ541"/>
      <c r="RWR541"/>
      <c r="RWS541"/>
      <c r="RWT541"/>
      <c r="RWU541"/>
      <c r="RWV541"/>
      <c r="RWW541"/>
      <c r="RWX541"/>
      <c r="RWY541"/>
      <c r="RWZ541"/>
      <c r="RXA541"/>
      <c r="RXB541"/>
      <c r="RXC541"/>
      <c r="RXD541"/>
      <c r="RXE541"/>
      <c r="RXF541"/>
      <c r="RXG541"/>
      <c r="RXH541"/>
      <c r="RXI541"/>
      <c r="RXJ541"/>
      <c r="RXK541"/>
      <c r="RXL541"/>
      <c r="RXM541"/>
      <c r="RXN541"/>
      <c r="RXO541"/>
      <c r="RXP541"/>
      <c r="RXQ541"/>
      <c r="RXR541"/>
      <c r="RXS541"/>
      <c r="RXT541"/>
      <c r="RXU541"/>
      <c r="RXV541"/>
      <c r="RXW541"/>
      <c r="RXX541"/>
      <c r="RXY541"/>
      <c r="RXZ541"/>
      <c r="RYA541"/>
      <c r="RYB541"/>
      <c r="RYC541"/>
      <c r="RYD541"/>
      <c r="RYE541"/>
      <c r="RYF541"/>
      <c r="RYG541"/>
      <c r="RYH541"/>
      <c r="RYI541"/>
      <c r="RYJ541"/>
      <c r="RYK541"/>
      <c r="RYL541"/>
      <c r="RYM541"/>
      <c r="RYN541"/>
      <c r="RYO541"/>
      <c r="RYP541"/>
      <c r="RYQ541"/>
      <c r="RYR541"/>
      <c r="RYS541"/>
      <c r="RYT541"/>
      <c r="RYU541"/>
      <c r="RYV541"/>
      <c r="RYW541"/>
      <c r="RYX541"/>
      <c r="RYY541"/>
      <c r="RYZ541"/>
      <c r="RZA541"/>
      <c r="RZB541"/>
      <c r="RZC541"/>
      <c r="RZD541"/>
      <c r="RZE541"/>
      <c r="RZF541"/>
      <c r="RZG541"/>
      <c r="RZH541"/>
      <c r="RZI541"/>
      <c r="RZJ541"/>
      <c r="RZK541"/>
      <c r="RZL541"/>
      <c r="RZM541"/>
      <c r="RZN541"/>
      <c r="RZO541"/>
      <c r="RZP541"/>
      <c r="RZQ541"/>
      <c r="RZR541"/>
      <c r="RZS541"/>
      <c r="RZT541"/>
      <c r="RZU541"/>
      <c r="RZV541"/>
      <c r="RZW541"/>
      <c r="RZX541"/>
      <c r="RZY541"/>
      <c r="RZZ541"/>
      <c r="SAA541"/>
      <c r="SAB541"/>
      <c r="SAC541"/>
      <c r="SAD541"/>
      <c r="SAE541"/>
      <c r="SAF541"/>
      <c r="SAG541"/>
      <c r="SAH541"/>
      <c r="SAI541"/>
      <c r="SAJ541"/>
      <c r="SAK541"/>
      <c r="SAL541"/>
      <c r="SAM541"/>
      <c r="SAN541"/>
      <c r="SAO541"/>
      <c r="SAP541"/>
      <c r="SAQ541"/>
      <c r="SAR541"/>
      <c r="SAS541"/>
      <c r="SAT541"/>
      <c r="SAU541"/>
      <c r="SAV541"/>
      <c r="SAW541"/>
      <c r="SAX541"/>
      <c r="SAY541"/>
      <c r="SAZ541"/>
      <c r="SBA541"/>
      <c r="SBB541"/>
      <c r="SBC541"/>
      <c r="SBD541"/>
      <c r="SBE541"/>
      <c r="SBF541"/>
      <c r="SBG541"/>
      <c r="SBH541"/>
      <c r="SBI541"/>
      <c r="SBJ541"/>
      <c r="SBK541"/>
      <c r="SBL541"/>
      <c r="SBM541"/>
      <c r="SBN541"/>
      <c r="SBO541"/>
      <c r="SBP541"/>
      <c r="SBQ541"/>
      <c r="SBR541"/>
      <c r="SBS541"/>
      <c r="SBT541"/>
      <c r="SBU541"/>
      <c r="SBV541"/>
      <c r="SBW541"/>
      <c r="SBX541"/>
      <c r="SBY541"/>
      <c r="SBZ541"/>
      <c r="SCA541"/>
      <c r="SCB541"/>
      <c r="SCC541"/>
      <c r="SCD541"/>
      <c r="SCE541"/>
      <c r="SCF541"/>
      <c r="SCG541"/>
      <c r="SCH541"/>
      <c r="SCI541"/>
      <c r="SCJ541"/>
      <c r="SCK541"/>
      <c r="SCL541"/>
      <c r="SCM541"/>
      <c r="SCN541"/>
      <c r="SCO541"/>
      <c r="SCP541"/>
      <c r="SCQ541"/>
      <c r="SCR541"/>
      <c r="SCS541"/>
      <c r="SCT541"/>
      <c r="SCU541"/>
      <c r="SCV541"/>
      <c r="SCW541"/>
      <c r="SCX541"/>
      <c r="SCY541"/>
      <c r="SCZ541"/>
      <c r="SDA541"/>
      <c r="SDB541"/>
      <c r="SDC541"/>
      <c r="SDD541"/>
      <c r="SDE541"/>
      <c r="SDF541"/>
      <c r="SDG541"/>
      <c r="SDH541"/>
      <c r="SDI541"/>
      <c r="SDJ541"/>
      <c r="SDK541"/>
      <c r="SDL541"/>
      <c r="SDM541"/>
      <c r="SDN541"/>
      <c r="SDO541"/>
      <c r="SDP541"/>
      <c r="SDQ541"/>
      <c r="SDR541"/>
      <c r="SDS541"/>
      <c r="SDT541"/>
      <c r="SDU541"/>
      <c r="SDV541"/>
      <c r="SDW541"/>
      <c r="SDX541"/>
      <c r="SDY541"/>
      <c r="SDZ541"/>
      <c r="SEA541"/>
      <c r="SEB541"/>
      <c r="SEC541"/>
      <c r="SED541"/>
      <c r="SEE541"/>
      <c r="SEF541"/>
      <c r="SEG541"/>
      <c r="SEH541"/>
      <c r="SEI541"/>
      <c r="SEJ541"/>
      <c r="SEK541"/>
      <c r="SEL541"/>
      <c r="SEM541"/>
      <c r="SEN541"/>
      <c r="SEO541"/>
      <c r="SEP541"/>
      <c r="SEQ541"/>
      <c r="SER541"/>
      <c r="SES541"/>
      <c r="SET541"/>
      <c r="SEU541"/>
      <c r="SEV541"/>
      <c r="SEW541"/>
      <c r="SEX541"/>
      <c r="SEY541"/>
      <c r="SEZ541"/>
      <c r="SFA541"/>
      <c r="SFB541"/>
      <c r="SFC541"/>
      <c r="SFD541"/>
      <c r="SFE541"/>
      <c r="SFF541"/>
      <c r="SFG541"/>
      <c r="SFH541"/>
      <c r="SFI541"/>
      <c r="SFJ541"/>
      <c r="SFK541"/>
      <c r="SFL541"/>
      <c r="SFM541"/>
      <c r="SFN541"/>
      <c r="SFO541"/>
      <c r="SFP541"/>
      <c r="SFQ541"/>
      <c r="SFR541"/>
      <c r="SFS541"/>
      <c r="SFT541"/>
      <c r="SFU541"/>
      <c r="SFV541"/>
      <c r="SFW541"/>
      <c r="SFX541"/>
      <c r="SFY541"/>
      <c r="SFZ541"/>
      <c r="SGA541"/>
      <c r="SGB541"/>
      <c r="SGC541"/>
      <c r="SGD541"/>
      <c r="SGE541"/>
      <c r="SGF541"/>
      <c r="SGG541"/>
      <c r="SGH541"/>
      <c r="SGI541"/>
      <c r="SGJ541"/>
      <c r="SGK541"/>
      <c r="SGL541"/>
      <c r="SGM541"/>
      <c r="SGN541"/>
      <c r="SGO541"/>
      <c r="SGP541"/>
      <c r="SGQ541"/>
      <c r="SGR541"/>
      <c r="SGS541"/>
      <c r="SGT541"/>
      <c r="SGU541"/>
      <c r="SGV541"/>
      <c r="SGW541"/>
      <c r="SGX541"/>
      <c r="SGY541"/>
      <c r="SGZ541"/>
      <c r="SHA541"/>
      <c r="SHB541"/>
      <c r="SHC541"/>
      <c r="SHD541"/>
      <c r="SHE541"/>
      <c r="SHF541"/>
      <c r="SHG541"/>
      <c r="SHH541"/>
      <c r="SHI541"/>
      <c r="SHJ541"/>
      <c r="SHK541"/>
      <c r="SHL541"/>
      <c r="SHM541"/>
      <c r="SHN541"/>
      <c r="SHO541"/>
      <c r="SHP541"/>
      <c r="SHQ541"/>
      <c r="SHR541"/>
      <c r="SHS541"/>
      <c r="SHT541"/>
      <c r="SHU541"/>
      <c r="SHV541"/>
      <c r="SHW541"/>
      <c r="SHX541"/>
      <c r="SHY541"/>
      <c r="SHZ541"/>
      <c r="SIA541"/>
      <c r="SIB541"/>
      <c r="SIC541"/>
      <c r="SID541"/>
      <c r="SIE541"/>
      <c r="SIF541"/>
      <c r="SIG541"/>
      <c r="SIH541"/>
      <c r="SII541"/>
      <c r="SIJ541"/>
      <c r="SIK541"/>
      <c r="SIL541"/>
      <c r="SIM541"/>
      <c r="SIN541"/>
      <c r="SIO541"/>
      <c r="SIP541"/>
      <c r="SIQ541"/>
      <c r="SIR541"/>
      <c r="SIS541"/>
      <c r="SIT541"/>
      <c r="SIU541"/>
      <c r="SIV541"/>
      <c r="SIW541"/>
      <c r="SIX541"/>
      <c r="SIY541"/>
      <c r="SIZ541"/>
      <c r="SJA541"/>
      <c r="SJB541"/>
      <c r="SJC541"/>
      <c r="SJD541"/>
      <c r="SJE541"/>
      <c r="SJF541"/>
      <c r="SJG541"/>
      <c r="SJH541"/>
      <c r="SJI541"/>
      <c r="SJJ541"/>
      <c r="SJK541"/>
      <c r="SJL541"/>
      <c r="SJM541"/>
      <c r="SJN541"/>
      <c r="SJO541"/>
      <c r="SJP541"/>
      <c r="SJQ541"/>
      <c r="SJR541"/>
      <c r="SJS541"/>
      <c r="SJT541"/>
      <c r="SJU541"/>
      <c r="SJV541"/>
      <c r="SJW541"/>
      <c r="SJX541"/>
      <c r="SJY541"/>
      <c r="SJZ541"/>
      <c r="SKA541"/>
      <c r="SKB541"/>
      <c r="SKC541"/>
      <c r="SKD541"/>
      <c r="SKE541"/>
      <c r="SKF541"/>
      <c r="SKG541"/>
      <c r="SKH541"/>
      <c r="SKI541"/>
      <c r="SKJ541"/>
      <c r="SKK541"/>
      <c r="SKL541"/>
      <c r="SKM541"/>
      <c r="SKN541"/>
      <c r="SKO541"/>
      <c r="SKP541"/>
      <c r="SKQ541"/>
      <c r="SKR541"/>
      <c r="SKS541"/>
      <c r="SKT541"/>
      <c r="SKU541"/>
      <c r="SKV541"/>
      <c r="SKW541"/>
      <c r="SKX541"/>
      <c r="SKY541"/>
      <c r="SKZ541"/>
      <c r="SLA541"/>
      <c r="SLB541"/>
      <c r="SLC541"/>
      <c r="SLD541"/>
      <c r="SLE541"/>
      <c r="SLF541"/>
      <c r="SLG541"/>
      <c r="SLH541"/>
      <c r="SLI541"/>
      <c r="SLJ541"/>
      <c r="SLK541"/>
      <c r="SLL541"/>
      <c r="SLM541"/>
      <c r="SLN541"/>
      <c r="SLO541"/>
      <c r="SLP541"/>
      <c r="SLQ541"/>
      <c r="SLR541"/>
      <c r="SLS541"/>
      <c r="SLT541"/>
      <c r="SLU541"/>
      <c r="SLV541"/>
      <c r="SLW541"/>
      <c r="SLX541"/>
      <c r="SLY541"/>
      <c r="SLZ541"/>
      <c r="SMA541"/>
      <c r="SMB541"/>
      <c r="SMC541"/>
      <c r="SMD541"/>
      <c r="SME541"/>
      <c r="SMF541"/>
      <c r="SMG541"/>
      <c r="SMH541"/>
      <c r="SMI541"/>
      <c r="SMJ541"/>
      <c r="SMK541"/>
      <c r="SML541"/>
      <c r="SMM541"/>
      <c r="SMN541"/>
      <c r="SMO541"/>
      <c r="SMP541"/>
      <c r="SMQ541"/>
      <c r="SMR541"/>
      <c r="SMS541"/>
      <c r="SMT541"/>
      <c r="SMU541"/>
      <c r="SMV541"/>
      <c r="SMW541"/>
      <c r="SMX541"/>
      <c r="SMY541"/>
      <c r="SMZ541"/>
      <c r="SNA541"/>
      <c r="SNB541"/>
      <c r="SNC541"/>
      <c r="SND541"/>
      <c r="SNE541"/>
      <c r="SNF541"/>
      <c r="SNG541"/>
      <c r="SNH541"/>
      <c r="SNI541"/>
      <c r="SNJ541"/>
      <c r="SNK541"/>
      <c r="SNL541"/>
      <c r="SNM541"/>
      <c r="SNN541"/>
      <c r="SNO541"/>
      <c r="SNP541"/>
      <c r="SNQ541"/>
      <c r="SNR541"/>
      <c r="SNS541"/>
      <c r="SNT541"/>
      <c r="SNU541"/>
      <c r="SNV541"/>
      <c r="SNW541"/>
      <c r="SNX541"/>
      <c r="SNY541"/>
      <c r="SNZ541"/>
      <c r="SOA541"/>
      <c r="SOB541"/>
      <c r="SOC541"/>
      <c r="SOD541"/>
      <c r="SOE541"/>
      <c r="SOF541"/>
      <c r="SOG541"/>
      <c r="SOH541"/>
      <c r="SOI541"/>
      <c r="SOJ541"/>
      <c r="SOK541"/>
      <c r="SOL541"/>
      <c r="SOM541"/>
      <c r="SON541"/>
      <c r="SOO541"/>
      <c r="SOP541"/>
      <c r="SOQ541"/>
      <c r="SOR541"/>
      <c r="SOS541"/>
      <c r="SOT541"/>
      <c r="SOU541"/>
      <c r="SOV541"/>
      <c r="SOW541"/>
      <c r="SOX541"/>
      <c r="SOY541"/>
      <c r="SOZ541"/>
      <c r="SPA541"/>
      <c r="SPB541"/>
      <c r="SPC541"/>
      <c r="SPD541"/>
      <c r="SPE541"/>
      <c r="SPF541"/>
      <c r="SPG541"/>
      <c r="SPH541"/>
      <c r="SPI541"/>
      <c r="SPJ541"/>
      <c r="SPK541"/>
      <c r="SPL541"/>
      <c r="SPM541"/>
      <c r="SPN541"/>
      <c r="SPO541"/>
      <c r="SPP541"/>
      <c r="SPQ541"/>
      <c r="SPR541"/>
      <c r="SPS541"/>
      <c r="SPT541"/>
      <c r="SPU541"/>
      <c r="SPV541"/>
      <c r="SPW541"/>
      <c r="SPX541"/>
      <c r="SPY541"/>
      <c r="SPZ541"/>
      <c r="SQA541"/>
      <c r="SQB541"/>
      <c r="SQC541"/>
      <c r="SQD541"/>
      <c r="SQE541"/>
      <c r="SQF541"/>
      <c r="SQG541"/>
      <c r="SQH541"/>
      <c r="SQI541"/>
      <c r="SQJ541"/>
      <c r="SQK541"/>
      <c r="SQL541"/>
      <c r="SQM541"/>
      <c r="SQN541"/>
      <c r="SQO541"/>
      <c r="SQP541"/>
      <c r="SQQ541"/>
      <c r="SQR541"/>
      <c r="SQS541"/>
      <c r="SQT541"/>
      <c r="SQU541"/>
      <c r="SQV541"/>
      <c r="SQW541"/>
      <c r="SQX541"/>
      <c r="SQY541"/>
      <c r="SQZ541"/>
      <c r="SRA541"/>
      <c r="SRB541"/>
      <c r="SRC541"/>
      <c r="SRD541"/>
      <c r="SRE541"/>
      <c r="SRF541"/>
      <c r="SRG541"/>
      <c r="SRH541"/>
      <c r="SRI541"/>
      <c r="SRJ541"/>
      <c r="SRK541"/>
      <c r="SRL541"/>
      <c r="SRM541"/>
      <c r="SRN541"/>
      <c r="SRO541"/>
      <c r="SRP541"/>
      <c r="SRQ541"/>
      <c r="SRR541"/>
      <c r="SRS541"/>
      <c r="SRT541"/>
      <c r="SRU541"/>
      <c r="SRV541"/>
      <c r="SRW541"/>
      <c r="SRX541"/>
      <c r="SRY541"/>
      <c r="SRZ541"/>
      <c r="SSA541"/>
      <c r="SSB541"/>
      <c r="SSC541"/>
      <c r="SSD541"/>
      <c r="SSE541"/>
      <c r="SSF541"/>
      <c r="SSG541"/>
      <c r="SSH541"/>
      <c r="SSI541"/>
      <c r="SSJ541"/>
      <c r="SSK541"/>
      <c r="SSL541"/>
      <c r="SSM541"/>
      <c r="SSN541"/>
      <c r="SSO541"/>
      <c r="SSP541"/>
      <c r="SSQ541"/>
      <c r="SSR541"/>
      <c r="SSS541"/>
      <c r="SST541"/>
      <c r="SSU541"/>
      <c r="SSV541"/>
      <c r="SSW541"/>
      <c r="SSX541"/>
      <c r="SSY541"/>
      <c r="SSZ541"/>
      <c r="STA541"/>
      <c r="STB541"/>
      <c r="STC541"/>
      <c r="STD541"/>
      <c r="STE541"/>
      <c r="STF541"/>
      <c r="STG541"/>
      <c r="STH541"/>
      <c r="STI541"/>
      <c r="STJ541"/>
      <c r="STK541"/>
      <c r="STL541"/>
      <c r="STM541"/>
      <c r="STN541"/>
      <c r="STO541"/>
      <c r="STP541"/>
      <c r="STQ541"/>
      <c r="STR541"/>
      <c r="STS541"/>
      <c r="STT541"/>
      <c r="STU541"/>
      <c r="STV541"/>
      <c r="STW541"/>
      <c r="STX541"/>
      <c r="STY541"/>
      <c r="STZ541"/>
      <c r="SUA541"/>
      <c r="SUB541"/>
      <c r="SUC541"/>
      <c r="SUD541"/>
      <c r="SUE541"/>
      <c r="SUF541"/>
      <c r="SUG541"/>
      <c r="SUH541"/>
      <c r="SUI541"/>
      <c r="SUJ541"/>
      <c r="SUK541"/>
      <c r="SUL541"/>
      <c r="SUM541"/>
      <c r="SUN541"/>
      <c r="SUO541"/>
      <c r="SUP541"/>
      <c r="SUQ541"/>
      <c r="SUR541"/>
      <c r="SUS541"/>
      <c r="SUT541"/>
      <c r="SUU541"/>
      <c r="SUV541"/>
      <c r="SUW541"/>
      <c r="SUX541"/>
      <c r="SUY541"/>
      <c r="SUZ541"/>
      <c r="SVA541"/>
      <c r="SVB541"/>
      <c r="SVC541"/>
      <c r="SVD541"/>
      <c r="SVE541"/>
      <c r="SVF541"/>
      <c r="SVG541"/>
      <c r="SVH541"/>
      <c r="SVI541"/>
      <c r="SVJ541"/>
      <c r="SVK541"/>
      <c r="SVL541"/>
      <c r="SVM541"/>
      <c r="SVN541"/>
      <c r="SVO541"/>
      <c r="SVP541"/>
      <c r="SVQ541"/>
      <c r="SVR541"/>
      <c r="SVS541"/>
      <c r="SVT541"/>
      <c r="SVU541"/>
      <c r="SVV541"/>
      <c r="SVW541"/>
      <c r="SVX541"/>
      <c r="SVY541"/>
      <c r="SVZ541"/>
      <c r="SWA541"/>
      <c r="SWB541"/>
      <c r="SWC541"/>
      <c r="SWD541"/>
      <c r="SWE541"/>
      <c r="SWF541"/>
      <c r="SWG541"/>
      <c r="SWH541"/>
      <c r="SWI541"/>
      <c r="SWJ541"/>
      <c r="SWK541"/>
      <c r="SWL541"/>
      <c r="SWM541"/>
      <c r="SWN541"/>
      <c r="SWO541"/>
      <c r="SWP541"/>
      <c r="SWQ541"/>
      <c r="SWR541"/>
      <c r="SWS541"/>
      <c r="SWT541"/>
      <c r="SWU541"/>
      <c r="SWV541"/>
      <c r="SWW541"/>
      <c r="SWX541"/>
      <c r="SWY541"/>
      <c r="SWZ541"/>
      <c r="SXA541"/>
      <c r="SXB541"/>
      <c r="SXC541"/>
      <c r="SXD541"/>
      <c r="SXE541"/>
      <c r="SXF541"/>
      <c r="SXG541"/>
      <c r="SXH541"/>
      <c r="SXI541"/>
      <c r="SXJ541"/>
      <c r="SXK541"/>
      <c r="SXL541"/>
      <c r="SXM541"/>
      <c r="SXN541"/>
      <c r="SXO541"/>
      <c r="SXP541"/>
      <c r="SXQ541"/>
      <c r="SXR541"/>
      <c r="SXS541"/>
      <c r="SXT541"/>
      <c r="SXU541"/>
      <c r="SXV541"/>
      <c r="SXW541"/>
      <c r="SXX541"/>
      <c r="SXY541"/>
      <c r="SXZ541"/>
      <c r="SYA541"/>
      <c r="SYB541"/>
      <c r="SYC541"/>
      <c r="SYD541"/>
      <c r="SYE541"/>
      <c r="SYF541"/>
      <c r="SYG541"/>
      <c r="SYH541"/>
      <c r="SYI541"/>
      <c r="SYJ541"/>
      <c r="SYK541"/>
      <c r="SYL541"/>
      <c r="SYM541"/>
      <c r="SYN541"/>
      <c r="SYO541"/>
      <c r="SYP541"/>
      <c r="SYQ541"/>
      <c r="SYR541"/>
      <c r="SYS541"/>
      <c r="SYT541"/>
      <c r="SYU541"/>
      <c r="SYV541"/>
      <c r="SYW541"/>
      <c r="SYX541"/>
      <c r="SYY541"/>
      <c r="SYZ541"/>
      <c r="SZA541"/>
      <c r="SZB541"/>
      <c r="SZC541"/>
      <c r="SZD541"/>
      <c r="SZE541"/>
      <c r="SZF541"/>
      <c r="SZG541"/>
      <c r="SZH541"/>
      <c r="SZI541"/>
      <c r="SZJ541"/>
      <c r="SZK541"/>
      <c r="SZL541"/>
      <c r="SZM541"/>
      <c r="SZN541"/>
      <c r="SZO541"/>
      <c r="SZP541"/>
      <c r="SZQ541"/>
      <c r="SZR541"/>
      <c r="SZS541"/>
      <c r="SZT541"/>
      <c r="SZU541"/>
      <c r="SZV541"/>
      <c r="SZW541"/>
      <c r="SZX541"/>
      <c r="SZY541"/>
      <c r="SZZ541"/>
      <c r="TAA541"/>
      <c r="TAB541"/>
      <c r="TAC541"/>
      <c r="TAD541"/>
      <c r="TAE541"/>
      <c r="TAF541"/>
      <c r="TAG541"/>
      <c r="TAH541"/>
      <c r="TAI541"/>
      <c r="TAJ541"/>
      <c r="TAK541"/>
      <c r="TAL541"/>
      <c r="TAM541"/>
      <c r="TAN541"/>
      <c r="TAO541"/>
      <c r="TAP541"/>
      <c r="TAQ541"/>
      <c r="TAR541"/>
      <c r="TAS541"/>
      <c r="TAT541"/>
      <c r="TAU541"/>
      <c r="TAV541"/>
      <c r="TAW541"/>
      <c r="TAX541"/>
      <c r="TAY541"/>
      <c r="TAZ541"/>
      <c r="TBA541"/>
      <c r="TBB541"/>
      <c r="TBC541"/>
      <c r="TBD541"/>
      <c r="TBE541"/>
      <c r="TBF541"/>
      <c r="TBG541"/>
      <c r="TBH541"/>
      <c r="TBI541"/>
      <c r="TBJ541"/>
      <c r="TBK541"/>
      <c r="TBL541"/>
      <c r="TBM541"/>
      <c r="TBN541"/>
      <c r="TBO541"/>
      <c r="TBP541"/>
      <c r="TBQ541"/>
      <c r="TBR541"/>
      <c r="TBS541"/>
      <c r="TBT541"/>
      <c r="TBU541"/>
      <c r="TBV541"/>
      <c r="TBW541"/>
      <c r="TBX541"/>
      <c r="TBY541"/>
      <c r="TBZ541"/>
      <c r="TCA541"/>
      <c r="TCB541"/>
      <c r="TCC541"/>
      <c r="TCD541"/>
      <c r="TCE541"/>
      <c r="TCF541"/>
      <c r="TCG541"/>
      <c r="TCH541"/>
      <c r="TCI541"/>
      <c r="TCJ541"/>
      <c r="TCK541"/>
      <c r="TCL541"/>
      <c r="TCM541"/>
      <c r="TCN541"/>
      <c r="TCO541"/>
      <c r="TCP541"/>
      <c r="TCQ541"/>
      <c r="TCR541"/>
      <c r="TCS541"/>
      <c r="TCT541"/>
      <c r="TCU541"/>
      <c r="TCV541"/>
      <c r="TCW541"/>
      <c r="TCX541"/>
      <c r="TCY541"/>
      <c r="TCZ541"/>
      <c r="TDA541"/>
      <c r="TDB541"/>
      <c r="TDC541"/>
      <c r="TDD541"/>
      <c r="TDE541"/>
      <c r="TDF541"/>
      <c r="TDG541"/>
      <c r="TDH541"/>
      <c r="TDI541"/>
      <c r="TDJ541"/>
      <c r="TDK541"/>
      <c r="TDL541"/>
      <c r="TDM541"/>
      <c r="TDN541"/>
      <c r="TDO541"/>
      <c r="TDP541"/>
      <c r="TDQ541"/>
      <c r="TDR541"/>
      <c r="TDS541"/>
      <c r="TDT541"/>
      <c r="TDU541"/>
      <c r="TDV541"/>
      <c r="TDW541"/>
      <c r="TDX541"/>
      <c r="TDY541"/>
      <c r="TDZ541"/>
      <c r="TEA541"/>
      <c r="TEB541"/>
      <c r="TEC541"/>
      <c r="TED541"/>
      <c r="TEE541"/>
      <c r="TEF541"/>
      <c r="TEG541"/>
      <c r="TEH541"/>
      <c r="TEI541"/>
      <c r="TEJ541"/>
      <c r="TEK541"/>
      <c r="TEL541"/>
      <c r="TEM541"/>
      <c r="TEN541"/>
      <c r="TEO541"/>
      <c r="TEP541"/>
      <c r="TEQ541"/>
      <c r="TER541"/>
      <c r="TES541"/>
      <c r="TET541"/>
      <c r="TEU541"/>
      <c r="TEV541"/>
      <c r="TEW541"/>
      <c r="TEX541"/>
      <c r="TEY541"/>
      <c r="TEZ541"/>
      <c r="TFA541"/>
      <c r="TFB541"/>
      <c r="TFC541"/>
      <c r="TFD541"/>
      <c r="TFE541"/>
      <c r="TFF541"/>
      <c r="TFG541"/>
      <c r="TFH541"/>
      <c r="TFI541"/>
      <c r="TFJ541"/>
      <c r="TFK541"/>
      <c r="TFL541"/>
      <c r="TFM541"/>
      <c r="TFN541"/>
      <c r="TFO541"/>
      <c r="TFP541"/>
      <c r="TFQ541"/>
      <c r="TFR541"/>
      <c r="TFS541"/>
      <c r="TFT541"/>
      <c r="TFU541"/>
      <c r="TFV541"/>
      <c r="TFW541"/>
      <c r="TFX541"/>
      <c r="TFY541"/>
      <c r="TFZ541"/>
      <c r="TGA541"/>
      <c r="TGB541"/>
      <c r="TGC541"/>
      <c r="TGD541"/>
      <c r="TGE541"/>
      <c r="TGF541"/>
      <c r="TGG541"/>
      <c r="TGH541"/>
      <c r="TGI541"/>
      <c r="TGJ541"/>
      <c r="TGK541"/>
      <c r="TGL541"/>
      <c r="TGM541"/>
      <c r="TGN541"/>
      <c r="TGO541"/>
      <c r="TGP541"/>
      <c r="TGQ541"/>
      <c r="TGR541"/>
      <c r="TGS541"/>
      <c r="TGT541"/>
      <c r="TGU541"/>
      <c r="TGV541"/>
      <c r="TGW541"/>
      <c r="TGX541"/>
      <c r="TGY541"/>
      <c r="TGZ541"/>
      <c r="THA541"/>
      <c r="THB541"/>
      <c r="THC541"/>
      <c r="THD541"/>
      <c r="THE541"/>
      <c r="THF541"/>
      <c r="THG541"/>
      <c r="THH541"/>
      <c r="THI541"/>
      <c r="THJ541"/>
      <c r="THK541"/>
      <c r="THL541"/>
      <c r="THM541"/>
      <c r="THN541"/>
      <c r="THO541"/>
      <c r="THP541"/>
      <c r="THQ541"/>
      <c r="THR541"/>
      <c r="THS541"/>
      <c r="THT541"/>
      <c r="THU541"/>
      <c r="THV541"/>
      <c r="THW541"/>
      <c r="THX541"/>
      <c r="THY541"/>
      <c r="THZ541"/>
      <c r="TIA541"/>
      <c r="TIB541"/>
      <c r="TIC541"/>
      <c r="TID541"/>
      <c r="TIE541"/>
      <c r="TIF541"/>
      <c r="TIG541"/>
      <c r="TIH541"/>
      <c r="TII541"/>
      <c r="TIJ541"/>
      <c r="TIK541"/>
      <c r="TIL541"/>
      <c r="TIM541"/>
      <c r="TIN541"/>
      <c r="TIO541"/>
      <c r="TIP541"/>
      <c r="TIQ541"/>
      <c r="TIR541"/>
      <c r="TIS541"/>
      <c r="TIT541"/>
      <c r="TIU541"/>
      <c r="TIV541"/>
      <c r="TIW541"/>
      <c r="TIX541"/>
      <c r="TIY541"/>
      <c r="TIZ541"/>
      <c r="TJA541"/>
      <c r="TJB541"/>
      <c r="TJC541"/>
      <c r="TJD541"/>
      <c r="TJE541"/>
      <c r="TJF541"/>
      <c r="TJG541"/>
      <c r="TJH541"/>
      <c r="TJI541"/>
      <c r="TJJ541"/>
      <c r="TJK541"/>
      <c r="TJL541"/>
      <c r="TJM541"/>
      <c r="TJN541"/>
      <c r="TJO541"/>
      <c r="TJP541"/>
      <c r="TJQ541"/>
      <c r="TJR541"/>
      <c r="TJS541"/>
      <c r="TJT541"/>
      <c r="TJU541"/>
      <c r="TJV541"/>
      <c r="TJW541"/>
      <c r="TJX541"/>
      <c r="TJY541"/>
      <c r="TJZ541"/>
      <c r="TKA541"/>
      <c r="TKB541"/>
      <c r="TKC541"/>
      <c r="TKD541"/>
      <c r="TKE541"/>
      <c r="TKF541"/>
      <c r="TKG541"/>
      <c r="TKH541"/>
      <c r="TKI541"/>
      <c r="TKJ541"/>
      <c r="TKK541"/>
      <c r="TKL541"/>
      <c r="TKM541"/>
      <c r="TKN541"/>
      <c r="TKO541"/>
      <c r="TKP541"/>
      <c r="TKQ541"/>
      <c r="TKR541"/>
      <c r="TKS541"/>
      <c r="TKT541"/>
      <c r="TKU541"/>
      <c r="TKV541"/>
      <c r="TKW541"/>
      <c r="TKX541"/>
      <c r="TKY541"/>
      <c r="TKZ541"/>
      <c r="TLA541"/>
      <c r="TLB541"/>
      <c r="TLC541"/>
      <c r="TLD541"/>
      <c r="TLE541"/>
      <c r="TLF541"/>
      <c r="TLG541"/>
      <c r="TLH541"/>
      <c r="TLI541"/>
      <c r="TLJ541"/>
      <c r="TLK541"/>
      <c r="TLL541"/>
      <c r="TLM541"/>
      <c r="TLN541"/>
      <c r="TLO541"/>
      <c r="TLP541"/>
      <c r="TLQ541"/>
      <c r="TLR541"/>
      <c r="TLS541"/>
      <c r="TLT541"/>
      <c r="TLU541"/>
      <c r="TLV541"/>
      <c r="TLW541"/>
      <c r="TLX541"/>
      <c r="TLY541"/>
      <c r="TLZ541"/>
      <c r="TMA541"/>
      <c r="TMB541"/>
      <c r="TMC541"/>
      <c r="TMD541"/>
      <c r="TME541"/>
      <c r="TMF541"/>
      <c r="TMG541"/>
      <c r="TMH541"/>
      <c r="TMI541"/>
      <c r="TMJ541"/>
      <c r="TMK541"/>
      <c r="TML541"/>
      <c r="TMM541"/>
      <c r="TMN541"/>
      <c r="TMO541"/>
      <c r="TMP541"/>
      <c r="TMQ541"/>
      <c r="TMR541"/>
      <c r="TMS541"/>
      <c r="TMT541"/>
      <c r="TMU541"/>
      <c r="TMV541"/>
      <c r="TMW541"/>
      <c r="TMX541"/>
      <c r="TMY541"/>
      <c r="TMZ541"/>
      <c r="TNA541"/>
      <c r="TNB541"/>
      <c r="TNC541"/>
      <c r="TND541"/>
      <c r="TNE541"/>
      <c r="TNF541"/>
      <c r="TNG541"/>
      <c r="TNH541"/>
      <c r="TNI541"/>
      <c r="TNJ541"/>
      <c r="TNK541"/>
      <c r="TNL541"/>
      <c r="TNM541"/>
      <c r="TNN541"/>
      <c r="TNO541"/>
      <c r="TNP541"/>
      <c r="TNQ541"/>
      <c r="TNR541"/>
      <c r="TNS541"/>
      <c r="TNT541"/>
      <c r="TNU541"/>
      <c r="TNV541"/>
      <c r="TNW541"/>
      <c r="TNX541"/>
      <c r="TNY541"/>
      <c r="TNZ541"/>
      <c r="TOA541"/>
      <c r="TOB541"/>
      <c r="TOC541"/>
      <c r="TOD541"/>
      <c r="TOE541"/>
      <c r="TOF541"/>
      <c r="TOG541"/>
      <c r="TOH541"/>
      <c r="TOI541"/>
      <c r="TOJ541"/>
      <c r="TOK541"/>
      <c r="TOL541"/>
      <c r="TOM541"/>
      <c r="TON541"/>
      <c r="TOO541"/>
      <c r="TOP541"/>
      <c r="TOQ541"/>
      <c r="TOR541"/>
      <c r="TOS541"/>
      <c r="TOT541"/>
      <c r="TOU541"/>
      <c r="TOV541"/>
      <c r="TOW541"/>
      <c r="TOX541"/>
      <c r="TOY541"/>
      <c r="TOZ541"/>
      <c r="TPA541"/>
      <c r="TPB541"/>
      <c r="TPC541"/>
      <c r="TPD541"/>
      <c r="TPE541"/>
      <c r="TPF541"/>
      <c r="TPG541"/>
      <c r="TPH541"/>
      <c r="TPI541"/>
      <c r="TPJ541"/>
      <c r="TPK541"/>
      <c r="TPL541"/>
      <c r="TPM541"/>
      <c r="TPN541"/>
      <c r="TPO541"/>
      <c r="TPP541"/>
      <c r="TPQ541"/>
      <c r="TPR541"/>
      <c r="TPS541"/>
      <c r="TPT541"/>
      <c r="TPU541"/>
      <c r="TPV541"/>
      <c r="TPW541"/>
      <c r="TPX541"/>
      <c r="TPY541"/>
      <c r="TPZ541"/>
      <c r="TQA541"/>
      <c r="TQB541"/>
      <c r="TQC541"/>
      <c r="TQD541"/>
      <c r="TQE541"/>
      <c r="TQF541"/>
      <c r="TQG541"/>
      <c r="TQH541"/>
      <c r="TQI541"/>
      <c r="TQJ541"/>
      <c r="TQK541"/>
      <c r="TQL541"/>
      <c r="TQM541"/>
      <c r="TQN541"/>
      <c r="TQO541"/>
      <c r="TQP541"/>
      <c r="TQQ541"/>
      <c r="TQR541"/>
      <c r="TQS541"/>
      <c r="TQT541"/>
      <c r="TQU541"/>
      <c r="TQV541"/>
      <c r="TQW541"/>
      <c r="TQX541"/>
      <c r="TQY541"/>
      <c r="TQZ541"/>
      <c r="TRA541"/>
      <c r="TRB541"/>
      <c r="TRC541"/>
      <c r="TRD541"/>
      <c r="TRE541"/>
      <c r="TRF541"/>
      <c r="TRG541"/>
      <c r="TRH541"/>
      <c r="TRI541"/>
      <c r="TRJ541"/>
      <c r="TRK541"/>
      <c r="TRL541"/>
      <c r="TRM541"/>
      <c r="TRN541"/>
      <c r="TRO541"/>
      <c r="TRP541"/>
      <c r="TRQ541"/>
      <c r="TRR541"/>
      <c r="TRS541"/>
      <c r="TRT541"/>
      <c r="TRU541"/>
      <c r="TRV541"/>
      <c r="TRW541"/>
      <c r="TRX541"/>
      <c r="TRY541"/>
      <c r="TRZ541"/>
      <c r="TSA541"/>
      <c r="TSB541"/>
      <c r="TSC541"/>
      <c r="TSD541"/>
      <c r="TSE541"/>
      <c r="TSF541"/>
      <c r="TSG541"/>
      <c r="TSH541"/>
      <c r="TSI541"/>
      <c r="TSJ541"/>
      <c r="TSK541"/>
      <c r="TSL541"/>
      <c r="TSM541"/>
      <c r="TSN541"/>
      <c r="TSO541"/>
      <c r="TSP541"/>
      <c r="TSQ541"/>
      <c r="TSR541"/>
      <c r="TSS541"/>
      <c r="TST541"/>
      <c r="TSU541"/>
      <c r="TSV541"/>
      <c r="TSW541"/>
      <c r="TSX541"/>
      <c r="TSY541"/>
      <c r="TSZ541"/>
      <c r="TTA541"/>
      <c r="TTB541"/>
      <c r="TTC541"/>
      <c r="TTD541"/>
      <c r="TTE541"/>
      <c r="TTF541"/>
      <c r="TTG541"/>
      <c r="TTH541"/>
      <c r="TTI541"/>
      <c r="TTJ541"/>
      <c r="TTK541"/>
      <c r="TTL541"/>
      <c r="TTM541"/>
      <c r="TTN541"/>
      <c r="TTO541"/>
      <c r="TTP541"/>
      <c r="TTQ541"/>
      <c r="TTR541"/>
      <c r="TTS541"/>
      <c r="TTT541"/>
      <c r="TTU541"/>
      <c r="TTV541"/>
      <c r="TTW541"/>
      <c r="TTX541"/>
      <c r="TTY541"/>
      <c r="TTZ541"/>
      <c r="TUA541"/>
      <c r="TUB541"/>
      <c r="TUC541"/>
      <c r="TUD541"/>
      <c r="TUE541"/>
      <c r="TUF541"/>
      <c r="TUG541"/>
      <c r="TUH541"/>
      <c r="TUI541"/>
      <c r="TUJ541"/>
      <c r="TUK541"/>
      <c r="TUL541"/>
      <c r="TUM541"/>
      <c r="TUN541"/>
      <c r="TUO541"/>
      <c r="TUP541"/>
      <c r="TUQ541"/>
      <c r="TUR541"/>
      <c r="TUS541"/>
      <c r="TUT541"/>
      <c r="TUU541"/>
      <c r="TUV541"/>
      <c r="TUW541"/>
      <c r="TUX541"/>
      <c r="TUY541"/>
      <c r="TUZ541"/>
      <c r="TVA541"/>
      <c r="TVB541"/>
      <c r="TVC541"/>
      <c r="TVD541"/>
      <c r="TVE541"/>
      <c r="TVF541"/>
      <c r="TVG541"/>
      <c r="TVH541"/>
      <c r="TVI541"/>
      <c r="TVJ541"/>
      <c r="TVK541"/>
      <c r="TVL541"/>
      <c r="TVM541"/>
      <c r="TVN541"/>
      <c r="TVO541"/>
      <c r="TVP541"/>
      <c r="TVQ541"/>
      <c r="TVR541"/>
      <c r="TVS541"/>
      <c r="TVT541"/>
      <c r="TVU541"/>
      <c r="TVV541"/>
      <c r="TVW541"/>
      <c r="TVX541"/>
      <c r="TVY541"/>
      <c r="TVZ541"/>
      <c r="TWA541"/>
      <c r="TWB541"/>
      <c r="TWC541"/>
      <c r="TWD541"/>
      <c r="TWE541"/>
      <c r="TWF541"/>
      <c r="TWG541"/>
      <c r="TWH541"/>
      <c r="TWI541"/>
      <c r="TWJ541"/>
      <c r="TWK541"/>
      <c r="TWL541"/>
      <c r="TWM541"/>
      <c r="TWN541"/>
      <c r="TWO541"/>
      <c r="TWP541"/>
      <c r="TWQ541"/>
      <c r="TWR541"/>
      <c r="TWS541"/>
      <c r="TWT541"/>
      <c r="TWU541"/>
      <c r="TWV541"/>
      <c r="TWW541"/>
      <c r="TWX541"/>
      <c r="TWY541"/>
      <c r="TWZ541"/>
      <c r="TXA541"/>
      <c r="TXB541"/>
      <c r="TXC541"/>
      <c r="TXD541"/>
      <c r="TXE541"/>
      <c r="TXF541"/>
      <c r="TXG541"/>
      <c r="TXH541"/>
      <c r="TXI541"/>
      <c r="TXJ541"/>
      <c r="TXK541"/>
      <c r="TXL541"/>
      <c r="TXM541"/>
      <c r="TXN541"/>
      <c r="TXO541"/>
      <c r="TXP541"/>
      <c r="TXQ541"/>
      <c r="TXR541"/>
      <c r="TXS541"/>
      <c r="TXT541"/>
      <c r="TXU541"/>
      <c r="TXV541"/>
      <c r="TXW541"/>
      <c r="TXX541"/>
      <c r="TXY541"/>
      <c r="TXZ541"/>
      <c r="TYA541"/>
      <c r="TYB541"/>
      <c r="TYC541"/>
      <c r="TYD541"/>
      <c r="TYE541"/>
      <c r="TYF541"/>
      <c r="TYG541"/>
      <c r="TYH541"/>
      <c r="TYI541"/>
      <c r="TYJ541"/>
      <c r="TYK541"/>
      <c r="TYL541"/>
      <c r="TYM541"/>
      <c r="TYN541"/>
      <c r="TYO541"/>
      <c r="TYP541"/>
      <c r="TYQ541"/>
      <c r="TYR541"/>
      <c r="TYS541"/>
      <c r="TYT541"/>
      <c r="TYU541"/>
      <c r="TYV541"/>
      <c r="TYW541"/>
      <c r="TYX541"/>
      <c r="TYY541"/>
      <c r="TYZ541"/>
      <c r="TZA541"/>
      <c r="TZB541"/>
      <c r="TZC541"/>
      <c r="TZD541"/>
      <c r="TZE541"/>
      <c r="TZF541"/>
      <c r="TZG541"/>
      <c r="TZH541"/>
      <c r="TZI541"/>
      <c r="TZJ541"/>
      <c r="TZK541"/>
      <c r="TZL541"/>
      <c r="TZM541"/>
      <c r="TZN541"/>
      <c r="TZO541"/>
      <c r="TZP541"/>
      <c r="TZQ541"/>
      <c r="TZR541"/>
      <c r="TZS541"/>
      <c r="TZT541"/>
      <c r="TZU541"/>
      <c r="TZV541"/>
      <c r="TZW541"/>
      <c r="TZX541"/>
      <c r="TZY541"/>
      <c r="TZZ541"/>
      <c r="UAA541"/>
      <c r="UAB541"/>
      <c r="UAC541"/>
      <c r="UAD541"/>
      <c r="UAE541"/>
      <c r="UAF541"/>
      <c r="UAG541"/>
      <c r="UAH541"/>
      <c r="UAI541"/>
      <c r="UAJ541"/>
      <c r="UAK541"/>
      <c r="UAL541"/>
      <c r="UAM541"/>
      <c r="UAN541"/>
      <c r="UAO541"/>
      <c r="UAP541"/>
      <c r="UAQ541"/>
      <c r="UAR541"/>
      <c r="UAS541"/>
      <c r="UAT541"/>
      <c r="UAU541"/>
      <c r="UAV541"/>
      <c r="UAW541"/>
      <c r="UAX541"/>
      <c r="UAY541"/>
      <c r="UAZ541"/>
      <c r="UBA541"/>
      <c r="UBB541"/>
      <c r="UBC541"/>
      <c r="UBD541"/>
      <c r="UBE541"/>
      <c r="UBF541"/>
      <c r="UBG541"/>
      <c r="UBH541"/>
      <c r="UBI541"/>
      <c r="UBJ541"/>
      <c r="UBK541"/>
      <c r="UBL541"/>
      <c r="UBM541"/>
      <c r="UBN541"/>
      <c r="UBO541"/>
      <c r="UBP541"/>
      <c r="UBQ541"/>
      <c r="UBR541"/>
      <c r="UBS541"/>
      <c r="UBT541"/>
      <c r="UBU541"/>
      <c r="UBV541"/>
      <c r="UBW541"/>
      <c r="UBX541"/>
      <c r="UBY541"/>
      <c r="UBZ541"/>
      <c r="UCA541"/>
      <c r="UCB541"/>
      <c r="UCC541"/>
      <c r="UCD541"/>
      <c r="UCE541"/>
      <c r="UCF541"/>
      <c r="UCG541"/>
      <c r="UCH541"/>
      <c r="UCI541"/>
      <c r="UCJ541"/>
      <c r="UCK541"/>
      <c r="UCL541"/>
      <c r="UCM541"/>
      <c r="UCN541"/>
      <c r="UCO541"/>
      <c r="UCP541"/>
      <c r="UCQ541"/>
      <c r="UCR541"/>
      <c r="UCS541"/>
      <c r="UCT541"/>
      <c r="UCU541"/>
      <c r="UCV541"/>
      <c r="UCW541"/>
      <c r="UCX541"/>
      <c r="UCY541"/>
      <c r="UCZ541"/>
      <c r="UDA541"/>
      <c r="UDB541"/>
      <c r="UDC541"/>
      <c r="UDD541"/>
      <c r="UDE541"/>
      <c r="UDF541"/>
      <c r="UDG541"/>
      <c r="UDH541"/>
      <c r="UDI541"/>
      <c r="UDJ541"/>
      <c r="UDK541"/>
      <c r="UDL541"/>
      <c r="UDM541"/>
      <c r="UDN541"/>
      <c r="UDO541"/>
      <c r="UDP541"/>
      <c r="UDQ541"/>
      <c r="UDR541"/>
      <c r="UDS541"/>
      <c r="UDT541"/>
      <c r="UDU541"/>
      <c r="UDV541"/>
      <c r="UDW541"/>
      <c r="UDX541"/>
      <c r="UDY541"/>
      <c r="UDZ541"/>
      <c r="UEA541"/>
      <c r="UEB541"/>
      <c r="UEC541"/>
      <c r="UED541"/>
      <c r="UEE541"/>
      <c r="UEF541"/>
      <c r="UEG541"/>
      <c r="UEH541"/>
      <c r="UEI541"/>
      <c r="UEJ541"/>
      <c r="UEK541"/>
      <c r="UEL541"/>
      <c r="UEM541"/>
      <c r="UEN541"/>
      <c r="UEO541"/>
      <c r="UEP541"/>
      <c r="UEQ541"/>
      <c r="UER541"/>
      <c r="UES541"/>
      <c r="UET541"/>
      <c r="UEU541"/>
      <c r="UEV541"/>
      <c r="UEW541"/>
      <c r="UEX541"/>
      <c r="UEY541"/>
      <c r="UEZ541"/>
      <c r="UFA541"/>
      <c r="UFB541"/>
      <c r="UFC541"/>
      <c r="UFD541"/>
      <c r="UFE541"/>
      <c r="UFF541"/>
      <c r="UFG541"/>
      <c r="UFH541"/>
      <c r="UFI541"/>
      <c r="UFJ541"/>
      <c r="UFK541"/>
      <c r="UFL541"/>
      <c r="UFM541"/>
      <c r="UFN541"/>
      <c r="UFO541"/>
      <c r="UFP541"/>
      <c r="UFQ541"/>
      <c r="UFR541"/>
      <c r="UFS541"/>
      <c r="UFT541"/>
      <c r="UFU541"/>
      <c r="UFV541"/>
      <c r="UFW541"/>
      <c r="UFX541"/>
      <c r="UFY541"/>
      <c r="UFZ541"/>
      <c r="UGA541"/>
      <c r="UGB541"/>
      <c r="UGC541"/>
      <c r="UGD541"/>
      <c r="UGE541"/>
      <c r="UGF541"/>
      <c r="UGG541"/>
      <c r="UGH541"/>
      <c r="UGI541"/>
      <c r="UGJ541"/>
      <c r="UGK541"/>
      <c r="UGL541"/>
      <c r="UGM541"/>
      <c r="UGN541"/>
      <c r="UGO541"/>
      <c r="UGP541"/>
      <c r="UGQ541"/>
      <c r="UGR541"/>
      <c r="UGS541"/>
      <c r="UGT541"/>
      <c r="UGU541"/>
      <c r="UGV541"/>
      <c r="UGW541"/>
      <c r="UGX541"/>
      <c r="UGY541"/>
      <c r="UGZ541"/>
      <c r="UHA541"/>
      <c r="UHB541"/>
      <c r="UHC541"/>
      <c r="UHD541"/>
      <c r="UHE541"/>
      <c r="UHF541"/>
      <c r="UHG541"/>
      <c r="UHH541"/>
      <c r="UHI541"/>
      <c r="UHJ541"/>
      <c r="UHK541"/>
      <c r="UHL541"/>
      <c r="UHM541"/>
      <c r="UHN541"/>
      <c r="UHO541"/>
      <c r="UHP541"/>
      <c r="UHQ541"/>
      <c r="UHR541"/>
      <c r="UHS541"/>
      <c r="UHT541"/>
      <c r="UHU541"/>
      <c r="UHV541"/>
      <c r="UHW541"/>
      <c r="UHX541"/>
      <c r="UHY541"/>
      <c r="UHZ541"/>
      <c r="UIA541"/>
      <c r="UIB541"/>
      <c r="UIC541"/>
      <c r="UID541"/>
      <c r="UIE541"/>
      <c r="UIF541"/>
      <c r="UIG541"/>
      <c r="UIH541"/>
      <c r="UII541"/>
      <c r="UIJ541"/>
      <c r="UIK541"/>
      <c r="UIL541"/>
      <c r="UIM541"/>
      <c r="UIN541"/>
      <c r="UIO541"/>
      <c r="UIP541"/>
      <c r="UIQ541"/>
      <c r="UIR541"/>
      <c r="UIS541"/>
      <c r="UIT541"/>
      <c r="UIU541"/>
      <c r="UIV541"/>
      <c r="UIW541"/>
      <c r="UIX541"/>
      <c r="UIY541"/>
      <c r="UIZ541"/>
      <c r="UJA541"/>
      <c r="UJB541"/>
      <c r="UJC541"/>
      <c r="UJD541"/>
      <c r="UJE541"/>
      <c r="UJF541"/>
      <c r="UJG541"/>
      <c r="UJH541"/>
      <c r="UJI541"/>
      <c r="UJJ541"/>
      <c r="UJK541"/>
      <c r="UJL541"/>
      <c r="UJM541"/>
      <c r="UJN541"/>
      <c r="UJO541"/>
      <c r="UJP541"/>
      <c r="UJQ541"/>
      <c r="UJR541"/>
      <c r="UJS541"/>
      <c r="UJT541"/>
      <c r="UJU541"/>
      <c r="UJV541"/>
      <c r="UJW541"/>
      <c r="UJX541"/>
      <c r="UJY541"/>
      <c r="UJZ541"/>
      <c r="UKA541"/>
      <c r="UKB541"/>
      <c r="UKC541"/>
      <c r="UKD541"/>
      <c r="UKE541"/>
      <c r="UKF541"/>
      <c r="UKG541"/>
      <c r="UKH541"/>
      <c r="UKI541"/>
      <c r="UKJ541"/>
      <c r="UKK541"/>
      <c r="UKL541"/>
      <c r="UKM541"/>
      <c r="UKN541"/>
      <c r="UKO541"/>
      <c r="UKP541"/>
      <c r="UKQ541"/>
      <c r="UKR541"/>
      <c r="UKS541"/>
      <c r="UKT541"/>
      <c r="UKU541"/>
      <c r="UKV541"/>
      <c r="UKW541"/>
      <c r="UKX541"/>
      <c r="UKY541"/>
      <c r="UKZ541"/>
      <c r="ULA541"/>
      <c r="ULB541"/>
      <c r="ULC541"/>
      <c r="ULD541"/>
      <c r="ULE541"/>
      <c r="ULF541"/>
      <c r="ULG541"/>
      <c r="ULH541"/>
      <c r="ULI541"/>
      <c r="ULJ541"/>
      <c r="ULK541"/>
      <c r="ULL541"/>
      <c r="ULM541"/>
      <c r="ULN541"/>
      <c r="ULO541"/>
      <c r="ULP541"/>
      <c r="ULQ541"/>
      <c r="ULR541"/>
      <c r="ULS541"/>
      <c r="ULT541"/>
      <c r="ULU541"/>
      <c r="ULV541"/>
      <c r="ULW541"/>
      <c r="ULX541"/>
      <c r="ULY541"/>
      <c r="ULZ541"/>
      <c r="UMA541"/>
      <c r="UMB541"/>
      <c r="UMC541"/>
      <c r="UMD541"/>
      <c r="UME541"/>
      <c r="UMF541"/>
      <c r="UMG541"/>
      <c r="UMH541"/>
      <c r="UMI541"/>
      <c r="UMJ541"/>
      <c r="UMK541"/>
      <c r="UML541"/>
      <c r="UMM541"/>
      <c r="UMN541"/>
      <c r="UMO541"/>
      <c r="UMP541"/>
      <c r="UMQ541"/>
      <c r="UMR541"/>
      <c r="UMS541"/>
      <c r="UMT541"/>
      <c r="UMU541"/>
      <c r="UMV541"/>
      <c r="UMW541"/>
      <c r="UMX541"/>
      <c r="UMY541"/>
      <c r="UMZ541"/>
      <c r="UNA541"/>
      <c r="UNB541"/>
      <c r="UNC541"/>
      <c r="UND541"/>
      <c r="UNE541"/>
      <c r="UNF541"/>
      <c r="UNG541"/>
      <c r="UNH541"/>
      <c r="UNI541"/>
      <c r="UNJ541"/>
      <c r="UNK541"/>
      <c r="UNL541"/>
      <c r="UNM541"/>
      <c r="UNN541"/>
      <c r="UNO541"/>
      <c r="UNP541"/>
      <c r="UNQ541"/>
      <c r="UNR541"/>
      <c r="UNS541"/>
      <c r="UNT541"/>
      <c r="UNU541"/>
      <c r="UNV541"/>
      <c r="UNW541"/>
      <c r="UNX541"/>
      <c r="UNY541"/>
      <c r="UNZ541"/>
      <c r="UOA541"/>
      <c r="UOB541"/>
      <c r="UOC541"/>
      <c r="UOD541"/>
      <c r="UOE541"/>
      <c r="UOF541"/>
      <c r="UOG541"/>
      <c r="UOH541"/>
      <c r="UOI541"/>
      <c r="UOJ541"/>
      <c r="UOK541"/>
      <c r="UOL541"/>
      <c r="UOM541"/>
      <c r="UON541"/>
      <c r="UOO541"/>
      <c r="UOP541"/>
      <c r="UOQ541"/>
      <c r="UOR541"/>
      <c r="UOS541"/>
      <c r="UOT541"/>
      <c r="UOU541"/>
      <c r="UOV541"/>
      <c r="UOW541"/>
      <c r="UOX541"/>
      <c r="UOY541"/>
      <c r="UOZ541"/>
      <c r="UPA541"/>
      <c r="UPB541"/>
      <c r="UPC541"/>
      <c r="UPD541"/>
      <c r="UPE541"/>
      <c r="UPF541"/>
      <c r="UPG541"/>
      <c r="UPH541"/>
      <c r="UPI541"/>
      <c r="UPJ541"/>
      <c r="UPK541"/>
      <c r="UPL541"/>
      <c r="UPM541"/>
      <c r="UPN541"/>
      <c r="UPO541"/>
      <c r="UPP541"/>
      <c r="UPQ541"/>
      <c r="UPR541"/>
      <c r="UPS541"/>
      <c r="UPT541"/>
      <c r="UPU541"/>
      <c r="UPV541"/>
      <c r="UPW541"/>
      <c r="UPX541"/>
      <c r="UPY541"/>
      <c r="UPZ541"/>
      <c r="UQA541"/>
      <c r="UQB541"/>
      <c r="UQC541"/>
      <c r="UQD541"/>
      <c r="UQE541"/>
      <c r="UQF541"/>
      <c r="UQG541"/>
      <c r="UQH541"/>
      <c r="UQI541"/>
      <c r="UQJ541"/>
      <c r="UQK541"/>
      <c r="UQL541"/>
      <c r="UQM541"/>
      <c r="UQN541"/>
      <c r="UQO541"/>
      <c r="UQP541"/>
      <c r="UQQ541"/>
      <c r="UQR541"/>
      <c r="UQS541"/>
      <c r="UQT541"/>
      <c r="UQU541"/>
      <c r="UQV541"/>
      <c r="UQW541"/>
      <c r="UQX541"/>
      <c r="UQY541"/>
      <c r="UQZ541"/>
      <c r="URA541"/>
      <c r="URB541"/>
      <c r="URC541"/>
      <c r="URD541"/>
      <c r="URE541"/>
      <c r="URF541"/>
      <c r="URG541"/>
      <c r="URH541"/>
      <c r="URI541"/>
      <c r="URJ541"/>
      <c r="URK541"/>
      <c r="URL541"/>
      <c r="URM541"/>
      <c r="URN541"/>
      <c r="URO541"/>
      <c r="URP541"/>
      <c r="URQ541"/>
      <c r="URR541"/>
      <c r="URS541"/>
      <c r="URT541"/>
      <c r="URU541"/>
      <c r="URV541"/>
      <c r="URW541"/>
      <c r="URX541"/>
      <c r="URY541"/>
      <c r="URZ541"/>
      <c r="USA541"/>
      <c r="USB541"/>
      <c r="USC541"/>
      <c r="USD541"/>
      <c r="USE541"/>
      <c r="USF541"/>
      <c r="USG541"/>
      <c r="USH541"/>
      <c r="USI541"/>
      <c r="USJ541"/>
      <c r="USK541"/>
      <c r="USL541"/>
      <c r="USM541"/>
      <c r="USN541"/>
      <c r="USO541"/>
      <c r="USP541"/>
      <c r="USQ541"/>
      <c r="USR541"/>
      <c r="USS541"/>
      <c r="UST541"/>
      <c r="USU541"/>
      <c r="USV541"/>
      <c r="USW541"/>
      <c r="USX541"/>
      <c r="USY541"/>
      <c r="USZ541"/>
      <c r="UTA541"/>
      <c r="UTB541"/>
      <c r="UTC541"/>
      <c r="UTD541"/>
      <c r="UTE541"/>
      <c r="UTF541"/>
      <c r="UTG541"/>
      <c r="UTH541"/>
      <c r="UTI541"/>
      <c r="UTJ541"/>
      <c r="UTK541"/>
      <c r="UTL541"/>
      <c r="UTM541"/>
      <c r="UTN541"/>
      <c r="UTO541"/>
      <c r="UTP541"/>
      <c r="UTQ541"/>
      <c r="UTR541"/>
      <c r="UTS541"/>
      <c r="UTT541"/>
      <c r="UTU541"/>
      <c r="UTV541"/>
      <c r="UTW541"/>
      <c r="UTX541"/>
      <c r="UTY541"/>
      <c r="UTZ541"/>
      <c r="UUA541"/>
      <c r="UUB541"/>
      <c r="UUC541"/>
      <c r="UUD541"/>
      <c r="UUE541"/>
      <c r="UUF541"/>
      <c r="UUG541"/>
      <c r="UUH541"/>
      <c r="UUI541"/>
      <c r="UUJ541"/>
      <c r="UUK541"/>
      <c r="UUL541"/>
      <c r="UUM541"/>
      <c r="UUN541"/>
      <c r="UUO541"/>
      <c r="UUP541"/>
      <c r="UUQ541"/>
      <c r="UUR541"/>
      <c r="UUS541"/>
      <c r="UUT541"/>
      <c r="UUU541"/>
      <c r="UUV541"/>
      <c r="UUW541"/>
      <c r="UUX541"/>
      <c r="UUY541"/>
      <c r="UUZ541"/>
      <c r="UVA541"/>
      <c r="UVB541"/>
      <c r="UVC541"/>
      <c r="UVD541"/>
      <c r="UVE541"/>
      <c r="UVF541"/>
      <c r="UVG541"/>
      <c r="UVH541"/>
      <c r="UVI541"/>
      <c r="UVJ541"/>
      <c r="UVK541"/>
      <c r="UVL541"/>
      <c r="UVM541"/>
      <c r="UVN541"/>
      <c r="UVO541"/>
      <c r="UVP541"/>
      <c r="UVQ541"/>
      <c r="UVR541"/>
      <c r="UVS541"/>
      <c r="UVT541"/>
      <c r="UVU541"/>
      <c r="UVV541"/>
      <c r="UVW541"/>
      <c r="UVX541"/>
      <c r="UVY541"/>
      <c r="UVZ541"/>
      <c r="UWA541"/>
      <c r="UWB541"/>
      <c r="UWC541"/>
      <c r="UWD541"/>
      <c r="UWE541"/>
      <c r="UWF541"/>
      <c r="UWG541"/>
      <c r="UWH541"/>
      <c r="UWI541"/>
      <c r="UWJ541"/>
      <c r="UWK541"/>
      <c r="UWL541"/>
      <c r="UWM541"/>
      <c r="UWN541"/>
      <c r="UWO541"/>
      <c r="UWP541"/>
      <c r="UWQ541"/>
      <c r="UWR541"/>
      <c r="UWS541"/>
      <c r="UWT541"/>
      <c r="UWU541"/>
      <c r="UWV541"/>
      <c r="UWW541"/>
      <c r="UWX541"/>
      <c r="UWY541"/>
      <c r="UWZ541"/>
      <c r="UXA541"/>
      <c r="UXB541"/>
      <c r="UXC541"/>
      <c r="UXD541"/>
      <c r="UXE541"/>
      <c r="UXF541"/>
      <c r="UXG541"/>
      <c r="UXH541"/>
      <c r="UXI541"/>
      <c r="UXJ541"/>
      <c r="UXK541"/>
      <c r="UXL541"/>
      <c r="UXM541"/>
      <c r="UXN541"/>
      <c r="UXO541"/>
      <c r="UXP541"/>
      <c r="UXQ541"/>
      <c r="UXR541"/>
      <c r="UXS541"/>
      <c r="UXT541"/>
      <c r="UXU541"/>
      <c r="UXV541"/>
      <c r="UXW541"/>
      <c r="UXX541"/>
      <c r="UXY541"/>
      <c r="UXZ541"/>
      <c r="UYA541"/>
      <c r="UYB541"/>
      <c r="UYC541"/>
      <c r="UYD541"/>
      <c r="UYE541"/>
      <c r="UYF541"/>
      <c r="UYG541"/>
      <c r="UYH541"/>
      <c r="UYI541"/>
      <c r="UYJ541"/>
      <c r="UYK541"/>
      <c r="UYL541"/>
      <c r="UYM541"/>
      <c r="UYN541"/>
      <c r="UYO541"/>
      <c r="UYP541"/>
      <c r="UYQ541"/>
      <c r="UYR541"/>
      <c r="UYS541"/>
      <c r="UYT541"/>
      <c r="UYU541"/>
      <c r="UYV541"/>
      <c r="UYW541"/>
      <c r="UYX541"/>
      <c r="UYY541"/>
      <c r="UYZ541"/>
      <c r="UZA541"/>
      <c r="UZB541"/>
      <c r="UZC541"/>
      <c r="UZD541"/>
      <c r="UZE541"/>
      <c r="UZF541"/>
      <c r="UZG541"/>
      <c r="UZH541"/>
      <c r="UZI541"/>
      <c r="UZJ541"/>
      <c r="UZK541"/>
      <c r="UZL541"/>
      <c r="UZM541"/>
      <c r="UZN541"/>
      <c r="UZO541"/>
      <c r="UZP541"/>
      <c r="UZQ541"/>
      <c r="UZR541"/>
      <c r="UZS541"/>
      <c r="UZT541"/>
      <c r="UZU541"/>
      <c r="UZV541"/>
      <c r="UZW541"/>
      <c r="UZX541"/>
      <c r="UZY541"/>
      <c r="UZZ541"/>
      <c r="VAA541"/>
      <c r="VAB541"/>
      <c r="VAC541"/>
      <c r="VAD541"/>
      <c r="VAE541"/>
      <c r="VAF541"/>
      <c r="VAG541"/>
      <c r="VAH541"/>
      <c r="VAI541"/>
      <c r="VAJ541"/>
      <c r="VAK541"/>
      <c r="VAL541"/>
      <c r="VAM541"/>
      <c r="VAN541"/>
      <c r="VAO541"/>
      <c r="VAP541"/>
      <c r="VAQ541"/>
      <c r="VAR541"/>
      <c r="VAS541"/>
      <c r="VAT541"/>
      <c r="VAU541"/>
      <c r="VAV541"/>
      <c r="VAW541"/>
      <c r="VAX541"/>
      <c r="VAY541"/>
      <c r="VAZ541"/>
      <c r="VBA541"/>
      <c r="VBB541"/>
      <c r="VBC541"/>
      <c r="VBD541"/>
      <c r="VBE541"/>
      <c r="VBF541"/>
      <c r="VBG541"/>
      <c r="VBH541"/>
      <c r="VBI541"/>
      <c r="VBJ541"/>
      <c r="VBK541"/>
      <c r="VBL541"/>
      <c r="VBM541"/>
      <c r="VBN541"/>
      <c r="VBO541"/>
      <c r="VBP541"/>
      <c r="VBQ541"/>
      <c r="VBR541"/>
      <c r="VBS541"/>
      <c r="VBT541"/>
      <c r="VBU541"/>
      <c r="VBV541"/>
      <c r="VBW541"/>
      <c r="VBX541"/>
      <c r="VBY541"/>
      <c r="VBZ541"/>
      <c r="VCA541"/>
      <c r="VCB541"/>
      <c r="VCC541"/>
      <c r="VCD541"/>
      <c r="VCE541"/>
      <c r="VCF541"/>
      <c r="VCG541"/>
      <c r="VCH541"/>
      <c r="VCI541"/>
      <c r="VCJ541"/>
      <c r="VCK541"/>
      <c r="VCL541"/>
      <c r="VCM541"/>
      <c r="VCN541"/>
      <c r="VCO541"/>
      <c r="VCP541"/>
      <c r="VCQ541"/>
      <c r="VCR541"/>
      <c r="VCS541"/>
      <c r="VCT541"/>
      <c r="VCU541"/>
      <c r="VCV541"/>
      <c r="VCW541"/>
      <c r="VCX541"/>
      <c r="VCY541"/>
      <c r="VCZ541"/>
      <c r="VDA541"/>
      <c r="VDB541"/>
      <c r="VDC541"/>
      <c r="VDD541"/>
      <c r="VDE541"/>
      <c r="VDF541"/>
      <c r="VDG541"/>
      <c r="VDH541"/>
      <c r="VDI541"/>
      <c r="VDJ541"/>
      <c r="VDK541"/>
      <c r="VDL541"/>
      <c r="VDM541"/>
      <c r="VDN541"/>
      <c r="VDO541"/>
      <c r="VDP541"/>
      <c r="VDQ541"/>
      <c r="VDR541"/>
      <c r="VDS541"/>
      <c r="VDT541"/>
      <c r="VDU541"/>
      <c r="VDV541"/>
      <c r="VDW541"/>
      <c r="VDX541"/>
      <c r="VDY541"/>
      <c r="VDZ541"/>
      <c r="VEA541"/>
      <c r="VEB541"/>
      <c r="VEC541"/>
      <c r="VED541"/>
      <c r="VEE541"/>
      <c r="VEF541"/>
      <c r="VEG541"/>
      <c r="VEH541"/>
      <c r="VEI541"/>
      <c r="VEJ541"/>
      <c r="VEK541"/>
      <c r="VEL541"/>
      <c r="VEM541"/>
      <c r="VEN541"/>
      <c r="VEO541"/>
      <c r="VEP541"/>
      <c r="VEQ541"/>
      <c r="VER541"/>
      <c r="VES541"/>
      <c r="VET541"/>
      <c r="VEU541"/>
      <c r="VEV541"/>
      <c r="VEW541"/>
      <c r="VEX541"/>
      <c r="VEY541"/>
      <c r="VEZ541"/>
      <c r="VFA541"/>
      <c r="VFB541"/>
      <c r="VFC541"/>
      <c r="VFD541"/>
      <c r="VFE541"/>
      <c r="VFF541"/>
      <c r="VFG541"/>
      <c r="VFH541"/>
      <c r="VFI541"/>
      <c r="VFJ541"/>
      <c r="VFK541"/>
      <c r="VFL541"/>
      <c r="VFM541"/>
      <c r="VFN541"/>
      <c r="VFO541"/>
      <c r="VFP541"/>
      <c r="VFQ541"/>
      <c r="VFR541"/>
      <c r="VFS541"/>
      <c r="VFT541"/>
      <c r="VFU541"/>
      <c r="VFV541"/>
      <c r="VFW541"/>
      <c r="VFX541"/>
      <c r="VFY541"/>
      <c r="VFZ541"/>
      <c r="VGA541"/>
      <c r="VGB541"/>
      <c r="VGC541"/>
      <c r="VGD541"/>
      <c r="VGE541"/>
      <c r="VGF541"/>
      <c r="VGG541"/>
      <c r="VGH541"/>
      <c r="VGI541"/>
      <c r="VGJ541"/>
      <c r="VGK541"/>
      <c r="VGL541"/>
      <c r="VGM541"/>
      <c r="VGN541"/>
      <c r="VGO541"/>
      <c r="VGP541"/>
      <c r="VGQ541"/>
      <c r="VGR541"/>
      <c r="VGS541"/>
      <c r="VGT541"/>
      <c r="VGU541"/>
      <c r="VGV541"/>
      <c r="VGW541"/>
      <c r="VGX541"/>
      <c r="VGY541"/>
      <c r="VGZ541"/>
      <c r="VHA541"/>
      <c r="VHB541"/>
      <c r="VHC541"/>
      <c r="VHD541"/>
      <c r="VHE541"/>
      <c r="VHF541"/>
      <c r="VHG541"/>
      <c r="VHH541"/>
      <c r="VHI541"/>
      <c r="VHJ541"/>
      <c r="VHK541"/>
      <c r="VHL541"/>
      <c r="VHM541"/>
      <c r="VHN541"/>
      <c r="VHO541"/>
      <c r="VHP541"/>
      <c r="VHQ541"/>
      <c r="VHR541"/>
      <c r="VHS541"/>
      <c r="VHT541"/>
      <c r="VHU541"/>
      <c r="VHV541"/>
      <c r="VHW541"/>
      <c r="VHX541"/>
      <c r="VHY541"/>
      <c r="VHZ541"/>
      <c r="VIA541"/>
      <c r="VIB541"/>
      <c r="VIC541"/>
      <c r="VID541"/>
      <c r="VIE541"/>
      <c r="VIF541"/>
      <c r="VIG541"/>
      <c r="VIH541"/>
      <c r="VII541"/>
      <c r="VIJ541"/>
      <c r="VIK541"/>
      <c r="VIL541"/>
      <c r="VIM541"/>
      <c r="VIN541"/>
      <c r="VIO541"/>
      <c r="VIP541"/>
      <c r="VIQ541"/>
      <c r="VIR541"/>
      <c r="VIS541"/>
      <c r="VIT541"/>
      <c r="VIU541"/>
      <c r="VIV541"/>
      <c r="VIW541"/>
      <c r="VIX541"/>
      <c r="VIY541"/>
      <c r="VIZ541"/>
      <c r="VJA541"/>
      <c r="VJB541"/>
      <c r="VJC541"/>
      <c r="VJD541"/>
      <c r="VJE541"/>
      <c r="VJF541"/>
      <c r="VJG541"/>
      <c r="VJH541"/>
      <c r="VJI541"/>
      <c r="VJJ541"/>
      <c r="VJK541"/>
      <c r="VJL541"/>
      <c r="VJM541"/>
      <c r="VJN541"/>
      <c r="VJO541"/>
      <c r="VJP541"/>
      <c r="VJQ541"/>
      <c r="VJR541"/>
      <c r="VJS541"/>
      <c r="VJT541"/>
      <c r="VJU541"/>
      <c r="VJV541"/>
      <c r="VJW541"/>
      <c r="VJX541"/>
      <c r="VJY541"/>
      <c r="VJZ541"/>
      <c r="VKA541"/>
      <c r="VKB541"/>
      <c r="VKC541"/>
      <c r="VKD541"/>
      <c r="VKE541"/>
      <c r="VKF541"/>
      <c r="VKG541"/>
      <c r="VKH541"/>
      <c r="VKI541"/>
      <c r="VKJ541"/>
      <c r="VKK541"/>
      <c r="VKL541"/>
      <c r="VKM541"/>
      <c r="VKN541"/>
      <c r="VKO541"/>
      <c r="VKP541"/>
      <c r="VKQ541"/>
      <c r="VKR541"/>
      <c r="VKS541"/>
      <c r="VKT541"/>
      <c r="VKU541"/>
      <c r="VKV541"/>
      <c r="VKW541"/>
      <c r="VKX541"/>
      <c r="VKY541"/>
      <c r="VKZ541"/>
      <c r="VLA541"/>
      <c r="VLB541"/>
      <c r="VLC541"/>
      <c r="VLD541"/>
      <c r="VLE541"/>
      <c r="VLF541"/>
      <c r="VLG541"/>
      <c r="VLH541"/>
      <c r="VLI541"/>
      <c r="VLJ541"/>
      <c r="VLK541"/>
      <c r="VLL541"/>
      <c r="VLM541"/>
      <c r="VLN541"/>
      <c r="VLO541"/>
      <c r="VLP541"/>
      <c r="VLQ541"/>
      <c r="VLR541"/>
      <c r="VLS541"/>
      <c r="VLT541"/>
      <c r="VLU541"/>
      <c r="VLV541"/>
      <c r="VLW541"/>
      <c r="VLX541"/>
      <c r="VLY541"/>
      <c r="VLZ541"/>
      <c r="VMA541"/>
      <c r="VMB541"/>
      <c r="VMC541"/>
      <c r="VMD541"/>
      <c r="VME541"/>
      <c r="VMF541"/>
      <c r="VMG541"/>
      <c r="VMH541"/>
      <c r="VMI541"/>
      <c r="VMJ541"/>
      <c r="VMK541"/>
      <c r="VML541"/>
      <c r="VMM541"/>
      <c r="VMN541"/>
      <c r="VMO541"/>
      <c r="VMP541"/>
      <c r="VMQ541"/>
      <c r="VMR541"/>
      <c r="VMS541"/>
      <c r="VMT541"/>
      <c r="VMU541"/>
      <c r="VMV541"/>
      <c r="VMW541"/>
      <c r="VMX541"/>
      <c r="VMY541"/>
      <c r="VMZ541"/>
      <c r="VNA541"/>
      <c r="VNB541"/>
      <c r="VNC541"/>
      <c r="VND541"/>
      <c r="VNE541"/>
      <c r="VNF541"/>
      <c r="VNG541"/>
      <c r="VNH541"/>
      <c r="VNI541"/>
      <c r="VNJ541"/>
      <c r="VNK541"/>
      <c r="VNL541"/>
      <c r="VNM541"/>
      <c r="VNN541"/>
      <c r="VNO541"/>
      <c r="VNP541"/>
      <c r="VNQ541"/>
      <c r="VNR541"/>
      <c r="VNS541"/>
      <c r="VNT541"/>
      <c r="VNU541"/>
      <c r="VNV541"/>
      <c r="VNW541"/>
      <c r="VNX541"/>
      <c r="VNY541"/>
      <c r="VNZ541"/>
      <c r="VOA541"/>
      <c r="VOB541"/>
      <c r="VOC541"/>
      <c r="VOD541"/>
      <c r="VOE541"/>
      <c r="VOF541"/>
      <c r="VOG541"/>
      <c r="VOH541"/>
      <c r="VOI541"/>
      <c r="VOJ541"/>
      <c r="VOK541"/>
      <c r="VOL541"/>
      <c r="VOM541"/>
      <c r="VON541"/>
      <c r="VOO541"/>
      <c r="VOP541"/>
      <c r="VOQ541"/>
      <c r="VOR541"/>
      <c r="VOS541"/>
      <c r="VOT541"/>
      <c r="VOU541"/>
      <c r="VOV541"/>
      <c r="VOW541"/>
      <c r="VOX541"/>
      <c r="VOY541"/>
      <c r="VOZ541"/>
      <c r="VPA541"/>
      <c r="VPB541"/>
      <c r="VPC541"/>
      <c r="VPD541"/>
      <c r="VPE541"/>
      <c r="VPF541"/>
      <c r="VPG541"/>
      <c r="VPH541"/>
      <c r="VPI541"/>
      <c r="VPJ541"/>
      <c r="VPK541"/>
      <c r="VPL541"/>
      <c r="VPM541"/>
      <c r="VPN541"/>
      <c r="VPO541"/>
      <c r="VPP541"/>
      <c r="VPQ541"/>
      <c r="VPR541"/>
      <c r="VPS541"/>
      <c r="VPT541"/>
      <c r="VPU541"/>
      <c r="VPV541"/>
      <c r="VPW541"/>
      <c r="VPX541"/>
      <c r="VPY541"/>
      <c r="VPZ541"/>
      <c r="VQA541"/>
      <c r="VQB541"/>
      <c r="VQC541"/>
      <c r="VQD541"/>
      <c r="VQE541"/>
      <c r="VQF541"/>
      <c r="VQG541"/>
      <c r="VQH541"/>
      <c r="VQI541"/>
      <c r="VQJ541"/>
      <c r="VQK541"/>
      <c r="VQL541"/>
      <c r="VQM541"/>
      <c r="VQN541"/>
      <c r="VQO541"/>
      <c r="VQP541"/>
      <c r="VQQ541"/>
      <c r="VQR541"/>
      <c r="VQS541"/>
      <c r="VQT541"/>
      <c r="VQU541"/>
      <c r="VQV541"/>
      <c r="VQW541"/>
      <c r="VQX541"/>
      <c r="VQY541"/>
      <c r="VQZ541"/>
      <c r="VRA541"/>
      <c r="VRB541"/>
      <c r="VRC541"/>
      <c r="VRD541"/>
      <c r="VRE541"/>
      <c r="VRF541"/>
      <c r="VRG541"/>
      <c r="VRH541"/>
      <c r="VRI541"/>
      <c r="VRJ541"/>
      <c r="VRK541"/>
      <c r="VRL541"/>
      <c r="VRM541"/>
      <c r="VRN541"/>
      <c r="VRO541"/>
      <c r="VRP541"/>
      <c r="VRQ541"/>
      <c r="VRR541"/>
      <c r="VRS541"/>
      <c r="VRT541"/>
      <c r="VRU541"/>
      <c r="VRV541"/>
      <c r="VRW541"/>
      <c r="VRX541"/>
      <c r="VRY541"/>
      <c r="VRZ541"/>
      <c r="VSA541"/>
      <c r="VSB541"/>
      <c r="VSC541"/>
      <c r="VSD541"/>
      <c r="VSE541"/>
      <c r="VSF541"/>
      <c r="VSG541"/>
      <c r="VSH541"/>
      <c r="VSI541"/>
      <c r="VSJ541"/>
      <c r="VSK541"/>
      <c r="VSL541"/>
      <c r="VSM541"/>
      <c r="VSN541"/>
      <c r="VSO541"/>
      <c r="VSP541"/>
      <c r="VSQ541"/>
      <c r="VSR541"/>
      <c r="VSS541"/>
      <c r="VST541"/>
      <c r="VSU541"/>
      <c r="VSV541"/>
      <c r="VSW541"/>
      <c r="VSX541"/>
      <c r="VSY541"/>
      <c r="VSZ541"/>
      <c r="VTA541"/>
      <c r="VTB541"/>
      <c r="VTC541"/>
      <c r="VTD541"/>
      <c r="VTE541"/>
      <c r="VTF541"/>
      <c r="VTG541"/>
      <c r="VTH541"/>
      <c r="VTI541"/>
      <c r="VTJ541"/>
      <c r="VTK541"/>
      <c r="VTL541"/>
      <c r="VTM541"/>
      <c r="VTN541"/>
      <c r="VTO541"/>
      <c r="VTP541"/>
      <c r="VTQ541"/>
      <c r="VTR541"/>
      <c r="VTS541"/>
      <c r="VTT541"/>
      <c r="VTU541"/>
      <c r="VTV541"/>
      <c r="VTW541"/>
      <c r="VTX541"/>
      <c r="VTY541"/>
      <c r="VTZ541"/>
      <c r="VUA541"/>
      <c r="VUB541"/>
      <c r="VUC541"/>
      <c r="VUD541"/>
      <c r="VUE541"/>
      <c r="VUF541"/>
      <c r="VUG541"/>
      <c r="VUH541"/>
      <c r="VUI541"/>
      <c r="VUJ541"/>
      <c r="VUK541"/>
      <c r="VUL541"/>
      <c r="VUM541"/>
      <c r="VUN541"/>
      <c r="VUO541"/>
      <c r="VUP541"/>
      <c r="VUQ541"/>
      <c r="VUR541"/>
      <c r="VUS541"/>
      <c r="VUT541"/>
      <c r="VUU541"/>
      <c r="VUV541"/>
      <c r="VUW541"/>
      <c r="VUX541"/>
      <c r="VUY541"/>
      <c r="VUZ541"/>
      <c r="VVA541"/>
      <c r="VVB541"/>
      <c r="VVC541"/>
      <c r="VVD541"/>
      <c r="VVE541"/>
      <c r="VVF541"/>
      <c r="VVG541"/>
      <c r="VVH541"/>
      <c r="VVI541"/>
      <c r="VVJ541"/>
      <c r="VVK541"/>
      <c r="VVL541"/>
      <c r="VVM541"/>
      <c r="VVN541"/>
      <c r="VVO541"/>
      <c r="VVP541"/>
      <c r="VVQ541"/>
      <c r="VVR541"/>
      <c r="VVS541"/>
      <c r="VVT541"/>
      <c r="VVU541"/>
      <c r="VVV541"/>
      <c r="VVW541"/>
      <c r="VVX541"/>
      <c r="VVY541"/>
      <c r="VVZ541"/>
      <c r="VWA541"/>
      <c r="VWB541"/>
      <c r="VWC541"/>
      <c r="VWD541"/>
      <c r="VWE541"/>
      <c r="VWF541"/>
      <c r="VWG541"/>
      <c r="VWH541"/>
      <c r="VWI541"/>
      <c r="VWJ541"/>
      <c r="VWK541"/>
      <c r="VWL541"/>
      <c r="VWM541"/>
      <c r="VWN541"/>
      <c r="VWO541"/>
      <c r="VWP541"/>
      <c r="VWQ541"/>
      <c r="VWR541"/>
      <c r="VWS541"/>
      <c r="VWT541"/>
      <c r="VWU541"/>
      <c r="VWV541"/>
      <c r="VWW541"/>
      <c r="VWX541"/>
      <c r="VWY541"/>
      <c r="VWZ541"/>
      <c r="VXA541"/>
      <c r="VXB541"/>
      <c r="VXC541"/>
      <c r="VXD541"/>
      <c r="VXE541"/>
      <c r="VXF541"/>
      <c r="VXG541"/>
      <c r="VXH541"/>
      <c r="VXI541"/>
      <c r="VXJ541"/>
      <c r="VXK541"/>
      <c r="VXL541"/>
      <c r="VXM541"/>
      <c r="VXN541"/>
      <c r="VXO541"/>
      <c r="VXP541"/>
      <c r="VXQ541"/>
      <c r="VXR541"/>
      <c r="VXS541"/>
      <c r="VXT541"/>
      <c r="VXU541"/>
      <c r="VXV541"/>
      <c r="VXW541"/>
      <c r="VXX541"/>
      <c r="VXY541"/>
      <c r="VXZ541"/>
      <c r="VYA541"/>
      <c r="VYB541"/>
      <c r="VYC541"/>
      <c r="VYD541"/>
      <c r="VYE541"/>
      <c r="VYF541"/>
      <c r="VYG541"/>
      <c r="VYH541"/>
      <c r="VYI541"/>
      <c r="VYJ541"/>
      <c r="VYK541"/>
      <c r="VYL541"/>
      <c r="VYM541"/>
      <c r="VYN541"/>
      <c r="VYO541"/>
      <c r="VYP541"/>
      <c r="VYQ541"/>
      <c r="VYR541"/>
      <c r="VYS541"/>
      <c r="VYT541"/>
      <c r="VYU541"/>
      <c r="VYV541"/>
      <c r="VYW541"/>
      <c r="VYX541"/>
      <c r="VYY541"/>
      <c r="VYZ541"/>
      <c r="VZA541"/>
      <c r="VZB541"/>
      <c r="VZC541"/>
      <c r="VZD541"/>
      <c r="VZE541"/>
      <c r="VZF541"/>
      <c r="VZG541"/>
      <c r="VZH541"/>
      <c r="VZI541"/>
      <c r="VZJ541"/>
      <c r="VZK541"/>
      <c r="VZL541"/>
      <c r="VZM541"/>
      <c r="VZN541"/>
      <c r="VZO541"/>
      <c r="VZP541"/>
      <c r="VZQ541"/>
      <c r="VZR541"/>
      <c r="VZS541"/>
      <c r="VZT541"/>
      <c r="VZU541"/>
      <c r="VZV541"/>
      <c r="VZW541"/>
      <c r="VZX541"/>
      <c r="VZY541"/>
      <c r="VZZ541"/>
      <c r="WAA541"/>
      <c r="WAB541"/>
      <c r="WAC541"/>
      <c r="WAD541"/>
      <c r="WAE541"/>
      <c r="WAF541"/>
      <c r="WAG541"/>
      <c r="WAH541"/>
      <c r="WAI541"/>
      <c r="WAJ541"/>
      <c r="WAK541"/>
      <c r="WAL541"/>
      <c r="WAM541"/>
      <c r="WAN541"/>
      <c r="WAO541"/>
      <c r="WAP541"/>
      <c r="WAQ541"/>
      <c r="WAR541"/>
      <c r="WAS541"/>
      <c r="WAT541"/>
      <c r="WAU541"/>
      <c r="WAV541"/>
      <c r="WAW541"/>
      <c r="WAX541"/>
      <c r="WAY541"/>
      <c r="WAZ541"/>
      <c r="WBA541"/>
      <c r="WBB541"/>
      <c r="WBC541"/>
      <c r="WBD541"/>
      <c r="WBE541"/>
      <c r="WBF541"/>
      <c r="WBG541"/>
      <c r="WBH541"/>
      <c r="WBI541"/>
      <c r="WBJ541"/>
      <c r="WBK541"/>
      <c r="WBL541"/>
      <c r="WBM541"/>
      <c r="WBN541"/>
      <c r="WBO541"/>
      <c r="WBP541"/>
      <c r="WBQ541"/>
      <c r="WBR541"/>
      <c r="WBS541"/>
      <c r="WBT541"/>
      <c r="WBU541"/>
      <c r="WBV541"/>
      <c r="WBW541"/>
      <c r="WBX541"/>
      <c r="WBY541"/>
      <c r="WBZ541"/>
      <c r="WCA541"/>
      <c r="WCB541"/>
      <c r="WCC541"/>
      <c r="WCD541"/>
      <c r="WCE541"/>
      <c r="WCF541"/>
      <c r="WCG541"/>
      <c r="WCH541"/>
      <c r="WCI541"/>
      <c r="WCJ541"/>
      <c r="WCK541"/>
      <c r="WCL541"/>
      <c r="WCM541"/>
      <c r="WCN541"/>
      <c r="WCO541"/>
      <c r="WCP541"/>
      <c r="WCQ541"/>
      <c r="WCR541"/>
      <c r="WCS541"/>
      <c r="WCT541"/>
      <c r="WCU541"/>
      <c r="WCV541"/>
      <c r="WCW541"/>
      <c r="WCX541"/>
      <c r="WCY541"/>
      <c r="WCZ541"/>
      <c r="WDA541"/>
      <c r="WDB541"/>
      <c r="WDC541"/>
      <c r="WDD541"/>
      <c r="WDE541"/>
      <c r="WDF541"/>
      <c r="WDG541"/>
      <c r="WDH541"/>
      <c r="WDI541"/>
      <c r="WDJ541"/>
      <c r="WDK541"/>
      <c r="WDL541"/>
      <c r="WDM541"/>
      <c r="WDN541"/>
      <c r="WDO541"/>
      <c r="WDP541"/>
      <c r="WDQ541"/>
      <c r="WDR541"/>
      <c r="WDS541"/>
      <c r="WDT541"/>
      <c r="WDU541"/>
      <c r="WDV541"/>
      <c r="WDW541"/>
      <c r="WDX541"/>
      <c r="WDY541"/>
      <c r="WDZ541"/>
      <c r="WEA541"/>
      <c r="WEB541"/>
      <c r="WEC541"/>
      <c r="WED541"/>
      <c r="WEE541"/>
      <c r="WEF541"/>
      <c r="WEG541"/>
      <c r="WEH541"/>
      <c r="WEI541"/>
      <c r="WEJ541"/>
      <c r="WEK541"/>
      <c r="WEL541"/>
      <c r="WEM541"/>
      <c r="WEN541"/>
      <c r="WEO541"/>
      <c r="WEP541"/>
      <c r="WEQ541"/>
      <c r="WER541"/>
      <c r="WES541"/>
      <c r="WET541"/>
      <c r="WEU541"/>
      <c r="WEV541"/>
      <c r="WEW541"/>
      <c r="WEX541"/>
      <c r="WEY541"/>
      <c r="WEZ541"/>
      <c r="WFA541"/>
      <c r="WFB541"/>
      <c r="WFC541"/>
      <c r="WFD541"/>
      <c r="WFE541"/>
      <c r="WFF541"/>
      <c r="WFG541"/>
      <c r="WFH541"/>
      <c r="WFI541"/>
      <c r="WFJ541"/>
      <c r="WFK541"/>
      <c r="WFL541"/>
      <c r="WFM541"/>
      <c r="WFN541"/>
      <c r="WFO541"/>
      <c r="WFP541"/>
      <c r="WFQ541"/>
      <c r="WFR541"/>
      <c r="WFS541"/>
      <c r="WFT541"/>
      <c r="WFU541"/>
      <c r="WFV541"/>
      <c r="WFW541"/>
      <c r="WFX541"/>
      <c r="WFY541"/>
      <c r="WFZ541"/>
      <c r="WGA541"/>
      <c r="WGB541"/>
      <c r="WGC541"/>
      <c r="WGD541"/>
      <c r="WGE541"/>
      <c r="WGF541"/>
      <c r="WGG541"/>
      <c r="WGH541"/>
      <c r="WGI541"/>
      <c r="WGJ541"/>
      <c r="WGK541"/>
      <c r="WGL541"/>
      <c r="WGM541"/>
      <c r="WGN541"/>
      <c r="WGO541"/>
      <c r="WGP541"/>
      <c r="WGQ541"/>
      <c r="WGR541"/>
      <c r="WGS541"/>
      <c r="WGT541"/>
      <c r="WGU541"/>
      <c r="WGV541"/>
      <c r="WGW541"/>
      <c r="WGX541"/>
      <c r="WGY541"/>
      <c r="WGZ541"/>
      <c r="WHA541"/>
      <c r="WHB541"/>
      <c r="WHC541"/>
      <c r="WHD541"/>
      <c r="WHE541"/>
      <c r="WHF541"/>
      <c r="WHG541"/>
      <c r="WHH541"/>
      <c r="WHI541"/>
      <c r="WHJ541"/>
      <c r="WHK541"/>
      <c r="WHL541"/>
      <c r="WHM541"/>
      <c r="WHN541"/>
      <c r="WHO541"/>
      <c r="WHP541"/>
      <c r="WHQ541"/>
      <c r="WHR541"/>
      <c r="WHS541"/>
      <c r="WHT541"/>
      <c r="WHU541"/>
      <c r="WHV541"/>
      <c r="WHW541"/>
      <c r="WHX541"/>
      <c r="WHY541"/>
      <c r="WHZ541"/>
      <c r="WIA541"/>
      <c r="WIB541"/>
      <c r="WIC541"/>
      <c r="WID541"/>
      <c r="WIE541"/>
      <c r="WIF541"/>
      <c r="WIG541"/>
      <c r="WIH541"/>
      <c r="WII541"/>
      <c r="WIJ541"/>
      <c r="WIK541"/>
      <c r="WIL541"/>
      <c r="WIM541"/>
      <c r="WIN541"/>
      <c r="WIO541"/>
      <c r="WIP541"/>
      <c r="WIQ541"/>
      <c r="WIR541"/>
      <c r="WIS541"/>
      <c r="WIT541"/>
      <c r="WIU541"/>
      <c r="WIV541"/>
      <c r="WIW541"/>
      <c r="WIX541"/>
      <c r="WIY541"/>
      <c r="WIZ541"/>
      <c r="WJA541"/>
      <c r="WJB541"/>
      <c r="WJC541"/>
      <c r="WJD541"/>
      <c r="WJE541"/>
      <c r="WJF541"/>
      <c r="WJG541"/>
      <c r="WJH541"/>
      <c r="WJI541"/>
      <c r="WJJ541"/>
      <c r="WJK541"/>
      <c r="WJL541"/>
      <c r="WJM541"/>
      <c r="WJN541"/>
      <c r="WJO541"/>
      <c r="WJP541"/>
      <c r="WJQ541"/>
      <c r="WJR541"/>
      <c r="WJS541"/>
      <c r="WJT541"/>
      <c r="WJU541"/>
      <c r="WJV541"/>
      <c r="WJW541"/>
      <c r="WJX541"/>
      <c r="WJY541"/>
      <c r="WJZ541"/>
      <c r="WKA541"/>
      <c r="WKB541"/>
      <c r="WKC541"/>
      <c r="WKD541"/>
      <c r="WKE541"/>
      <c r="WKF541"/>
      <c r="WKG541"/>
      <c r="WKH541"/>
      <c r="WKI541"/>
      <c r="WKJ541"/>
      <c r="WKK541"/>
      <c r="WKL541"/>
      <c r="WKM541"/>
      <c r="WKN541"/>
      <c r="WKO541"/>
      <c r="WKP541"/>
      <c r="WKQ541"/>
      <c r="WKR541"/>
      <c r="WKS541"/>
      <c r="WKT541"/>
      <c r="WKU541"/>
      <c r="WKV541"/>
      <c r="WKW541"/>
      <c r="WKX541"/>
      <c r="WKY541"/>
      <c r="WKZ541"/>
      <c r="WLA541"/>
      <c r="WLB541"/>
      <c r="WLC541"/>
      <c r="WLD541"/>
      <c r="WLE541"/>
      <c r="WLF541"/>
      <c r="WLG541"/>
      <c r="WLH541"/>
      <c r="WLI541"/>
      <c r="WLJ541"/>
      <c r="WLK541"/>
      <c r="WLL541"/>
      <c r="WLM541"/>
      <c r="WLN541"/>
      <c r="WLO541"/>
      <c r="WLP541"/>
      <c r="WLQ541"/>
      <c r="WLR541"/>
      <c r="WLS541"/>
      <c r="WLT541"/>
      <c r="WLU541"/>
      <c r="WLV541"/>
      <c r="WLW541"/>
      <c r="WLX541"/>
      <c r="WLY541"/>
      <c r="WLZ541"/>
      <c r="WMA541"/>
      <c r="WMB541"/>
      <c r="WMC541"/>
      <c r="WMD541"/>
      <c r="WME541"/>
      <c r="WMF541"/>
      <c r="WMG541"/>
      <c r="WMH541"/>
      <c r="WMI541"/>
      <c r="WMJ541"/>
      <c r="WMK541"/>
      <c r="WML541"/>
      <c r="WMM541"/>
      <c r="WMN541"/>
      <c r="WMO541"/>
      <c r="WMP541"/>
      <c r="WMQ541"/>
      <c r="WMR541"/>
      <c r="WMS541"/>
      <c r="WMT541"/>
      <c r="WMU541"/>
      <c r="WMV541"/>
      <c r="WMW541"/>
      <c r="WMX541"/>
      <c r="WMY541"/>
      <c r="WMZ541"/>
      <c r="WNA541"/>
      <c r="WNB541"/>
      <c r="WNC541"/>
      <c r="WND541"/>
      <c r="WNE541"/>
      <c r="WNF541"/>
      <c r="WNG541"/>
      <c r="WNH541"/>
      <c r="WNI541"/>
      <c r="WNJ541"/>
      <c r="WNK541"/>
      <c r="WNL541"/>
      <c r="WNM541"/>
      <c r="WNN541"/>
      <c r="WNO541"/>
      <c r="WNP541"/>
      <c r="WNQ541"/>
      <c r="WNR541"/>
      <c r="WNS541"/>
      <c r="WNT541"/>
      <c r="WNU541"/>
      <c r="WNV541"/>
      <c r="WNW541"/>
      <c r="WNX541"/>
      <c r="WNY541"/>
      <c r="WNZ541"/>
      <c r="WOA541"/>
      <c r="WOB541"/>
      <c r="WOC541"/>
      <c r="WOD541"/>
      <c r="WOE541"/>
      <c r="WOF541"/>
      <c r="WOG541"/>
      <c r="WOH541"/>
      <c r="WOI541"/>
      <c r="WOJ541"/>
      <c r="WOK541"/>
      <c r="WOL541"/>
      <c r="WOM541"/>
      <c r="WON541"/>
      <c r="WOO541"/>
      <c r="WOP541"/>
      <c r="WOQ541"/>
      <c r="WOR541"/>
      <c r="WOS541"/>
      <c r="WOT541"/>
      <c r="WOU541"/>
      <c r="WOV541"/>
      <c r="WOW541"/>
      <c r="WOX541"/>
      <c r="WOY541"/>
      <c r="WOZ541"/>
      <c r="WPA541"/>
      <c r="WPB541"/>
      <c r="WPC541"/>
      <c r="WPD541"/>
      <c r="WPE541"/>
      <c r="WPF541"/>
      <c r="WPG541"/>
      <c r="WPH541"/>
      <c r="WPI541"/>
      <c r="WPJ541"/>
      <c r="WPK541"/>
      <c r="WPL541"/>
      <c r="WPM541"/>
      <c r="WPN541"/>
      <c r="WPO541"/>
      <c r="WPP541"/>
      <c r="WPQ541"/>
      <c r="WPR541"/>
      <c r="WPS541"/>
      <c r="WPT541"/>
      <c r="WPU541"/>
      <c r="WPV541"/>
      <c r="WPW541"/>
      <c r="WPX541"/>
      <c r="WPY541"/>
      <c r="WPZ541"/>
      <c r="WQA541"/>
      <c r="WQB541"/>
      <c r="WQC541"/>
      <c r="WQD541"/>
      <c r="WQE541"/>
      <c r="WQF541"/>
      <c r="WQG541"/>
      <c r="WQH541"/>
      <c r="WQI541"/>
      <c r="WQJ541"/>
      <c r="WQK541"/>
      <c r="WQL541"/>
      <c r="WQM541"/>
      <c r="WQN541"/>
      <c r="WQO541"/>
      <c r="WQP541"/>
      <c r="WQQ541"/>
      <c r="WQR541"/>
      <c r="WQS541"/>
      <c r="WQT541"/>
      <c r="WQU541"/>
      <c r="WQV541"/>
      <c r="WQW541"/>
      <c r="WQX541"/>
      <c r="WQY541"/>
      <c r="WQZ541"/>
      <c r="WRA541"/>
      <c r="WRB541"/>
      <c r="WRC541"/>
      <c r="WRD541"/>
      <c r="WRE541"/>
      <c r="WRF541"/>
      <c r="WRG541"/>
      <c r="WRH541"/>
      <c r="WRI541"/>
      <c r="WRJ541"/>
      <c r="WRK541"/>
      <c r="WRL541"/>
      <c r="WRM541"/>
      <c r="WRN541"/>
      <c r="WRO541"/>
      <c r="WRP541"/>
      <c r="WRQ541"/>
      <c r="WRR541"/>
      <c r="WRS541"/>
      <c r="WRT541"/>
      <c r="WRU541"/>
      <c r="WRV541"/>
      <c r="WRW541"/>
      <c r="WRX541"/>
      <c r="WRY541"/>
      <c r="WRZ541"/>
      <c r="WSA541"/>
      <c r="WSB541"/>
      <c r="WSC541"/>
      <c r="WSD541"/>
      <c r="WSE541"/>
      <c r="WSF541"/>
      <c r="WSG541"/>
      <c r="WSH541"/>
      <c r="WSI541"/>
      <c r="WSJ541"/>
      <c r="WSK541"/>
      <c r="WSL541"/>
      <c r="WSM541"/>
      <c r="WSN541"/>
      <c r="WSO541"/>
      <c r="WSP541"/>
      <c r="WSQ541"/>
      <c r="WSR541"/>
      <c r="WSS541"/>
      <c r="WST541"/>
      <c r="WSU541"/>
      <c r="WSV541"/>
      <c r="WSW541"/>
      <c r="WSX541"/>
      <c r="WSY541"/>
      <c r="WSZ541"/>
      <c r="WTA541"/>
      <c r="WTB541"/>
      <c r="WTC541"/>
      <c r="WTD541"/>
      <c r="WTE541"/>
      <c r="WTF541"/>
      <c r="WTG541"/>
      <c r="WTH541"/>
      <c r="WTI541"/>
      <c r="WTJ541"/>
      <c r="WTK541"/>
      <c r="WTL541"/>
      <c r="WTM541"/>
      <c r="WTN541"/>
      <c r="WTO541"/>
      <c r="WTP541"/>
      <c r="WTQ541"/>
      <c r="WTR541"/>
      <c r="WTS541"/>
      <c r="WTT541"/>
      <c r="WTU541"/>
      <c r="WTV541"/>
      <c r="WTW541"/>
      <c r="WTX541"/>
      <c r="WTY541"/>
      <c r="WTZ541"/>
      <c r="WUA541"/>
      <c r="WUB541"/>
      <c r="WUC541"/>
      <c r="WUD541"/>
      <c r="WUE541"/>
      <c r="WUF541"/>
      <c r="WUG541"/>
      <c r="WUH541"/>
      <c r="WUI541"/>
      <c r="WUJ541"/>
      <c r="WUK541"/>
      <c r="WUL541"/>
      <c r="WUM541"/>
      <c r="WUN541"/>
      <c r="WUO541"/>
      <c r="WUP541"/>
      <c r="WUQ541"/>
      <c r="WUR541"/>
      <c r="WUS541"/>
      <c r="WUT541"/>
      <c r="WUU541"/>
      <c r="WUV541"/>
      <c r="WUW541"/>
      <c r="WUX541"/>
      <c r="WUY541"/>
      <c r="WUZ541"/>
      <c r="WVA541"/>
      <c r="WVB541"/>
      <c r="WVC541"/>
      <c r="WVD541"/>
      <c r="WVE541"/>
      <c r="WVF541"/>
      <c r="WVG541"/>
      <c r="WVH541"/>
      <c r="WVI541"/>
      <c r="WVJ541"/>
      <c r="WVK541"/>
      <c r="WVL541"/>
      <c r="WVM541"/>
      <c r="WVN541"/>
      <c r="WVO541"/>
      <c r="WVP541"/>
      <c r="WVQ541"/>
      <c r="WVR541"/>
      <c r="WVS541"/>
      <c r="WVT541"/>
      <c r="WVU541"/>
      <c r="WVV541"/>
      <c r="WVW541"/>
      <c r="WVX541"/>
      <c r="WVY541"/>
      <c r="WVZ541"/>
      <c r="WWA541"/>
      <c r="WWB541"/>
      <c r="WWC541"/>
      <c r="WWD541"/>
      <c r="WWE541"/>
      <c r="WWF541"/>
      <c r="WWG541"/>
      <c r="WWH541"/>
      <c r="WWI541"/>
      <c r="WWJ541"/>
      <c r="WWK541"/>
      <c r="WWL541"/>
      <c r="WWM541"/>
      <c r="WWN541"/>
      <c r="WWO541"/>
      <c r="WWP541"/>
      <c r="WWQ541"/>
      <c r="WWR541"/>
      <c r="WWS541"/>
      <c r="WWT541"/>
      <c r="WWU541"/>
      <c r="WWV541"/>
      <c r="WWW541"/>
      <c r="WWX541"/>
      <c r="WWY541"/>
      <c r="WWZ541"/>
      <c r="WXA541"/>
      <c r="WXB541"/>
      <c r="WXC541"/>
      <c r="WXD541"/>
      <c r="WXE541"/>
      <c r="WXF541"/>
      <c r="WXG541"/>
      <c r="WXH541"/>
      <c r="WXI541"/>
      <c r="WXJ541"/>
      <c r="WXK541"/>
      <c r="WXL541"/>
      <c r="WXM541"/>
      <c r="WXN541"/>
      <c r="WXO541"/>
      <c r="WXP541"/>
      <c r="WXQ541"/>
      <c r="WXR541"/>
      <c r="WXS541"/>
      <c r="WXT541"/>
      <c r="WXU541"/>
      <c r="WXV541"/>
      <c r="WXW541"/>
      <c r="WXX541"/>
      <c r="WXY541"/>
      <c r="WXZ541"/>
      <c r="WYA541"/>
      <c r="WYB541"/>
      <c r="WYC541"/>
      <c r="WYD541"/>
      <c r="WYE541"/>
      <c r="WYF541"/>
      <c r="WYG541"/>
      <c r="WYH541"/>
      <c r="WYI541"/>
      <c r="WYJ541"/>
      <c r="WYK541"/>
      <c r="WYL541"/>
      <c r="WYM541"/>
      <c r="WYN541"/>
      <c r="WYO541"/>
      <c r="WYP541"/>
      <c r="WYQ541"/>
      <c r="WYR541"/>
      <c r="WYS541"/>
      <c r="WYT541"/>
      <c r="WYU541"/>
      <c r="WYV541"/>
      <c r="WYW541"/>
      <c r="WYX541"/>
      <c r="WYY541"/>
      <c r="WYZ541"/>
      <c r="WZA541"/>
      <c r="WZB541"/>
      <c r="WZC541"/>
      <c r="WZD541"/>
      <c r="WZE541"/>
      <c r="WZF541"/>
      <c r="WZG541"/>
      <c r="WZH541"/>
      <c r="WZI541"/>
      <c r="WZJ541"/>
      <c r="WZK541"/>
      <c r="WZL541"/>
      <c r="WZM541"/>
      <c r="WZN541"/>
      <c r="WZO541"/>
      <c r="WZP541"/>
      <c r="WZQ541"/>
      <c r="WZR541"/>
      <c r="WZS541"/>
      <c r="WZT541"/>
      <c r="WZU541"/>
      <c r="WZV541"/>
      <c r="WZW541"/>
      <c r="WZX541"/>
      <c r="WZY541"/>
      <c r="WZZ541"/>
      <c r="XAA541"/>
      <c r="XAB541"/>
      <c r="XAC541"/>
      <c r="XAD541"/>
      <c r="XAE541"/>
      <c r="XAF541"/>
      <c r="XAG541"/>
      <c r="XAH541"/>
      <c r="XAI541"/>
      <c r="XAJ541"/>
      <c r="XAK541"/>
      <c r="XAL541"/>
      <c r="XAM541"/>
      <c r="XAN541"/>
      <c r="XAO541"/>
      <c r="XAP541"/>
      <c r="XAQ541"/>
      <c r="XAR541"/>
      <c r="XAS541"/>
      <c r="XAT541"/>
      <c r="XAU541"/>
      <c r="XAV541"/>
      <c r="XAW541"/>
      <c r="XAX541"/>
      <c r="XAY541"/>
      <c r="XAZ541"/>
      <c r="XBA541"/>
      <c r="XBB541"/>
      <c r="XBC541"/>
      <c r="XBD541"/>
      <c r="XBE541"/>
      <c r="XBF541"/>
      <c r="XBG541"/>
      <c r="XBH541"/>
      <c r="XBI541"/>
      <c r="XBJ541"/>
      <c r="XBK541"/>
      <c r="XBL541"/>
      <c r="XBM541"/>
      <c r="XBN541"/>
      <c r="XBO541"/>
      <c r="XBP541"/>
      <c r="XBQ541"/>
      <c r="XBR541"/>
      <c r="XBS541"/>
      <c r="XBT541"/>
      <c r="XBU541"/>
      <c r="XBV541"/>
      <c r="XBW541"/>
      <c r="XBX541"/>
      <c r="XBY541"/>
      <c r="XBZ541"/>
      <c r="XCA541"/>
      <c r="XCB541"/>
      <c r="XCC541"/>
      <c r="XCD541"/>
      <c r="XCE541"/>
      <c r="XCF541"/>
      <c r="XCG541"/>
      <c r="XCH541"/>
      <c r="XCI541"/>
      <c r="XCJ541"/>
      <c r="XCK541"/>
      <c r="XCL541"/>
      <c r="XCM541"/>
      <c r="XCN541"/>
      <c r="XCO541"/>
      <c r="XCP541"/>
      <c r="XCQ541"/>
      <c r="XCR541"/>
      <c r="XCS541"/>
      <c r="XCT541"/>
      <c r="XCU541"/>
      <c r="XCV541"/>
      <c r="XCW541"/>
      <c r="XCX541"/>
      <c r="XCY541"/>
      <c r="XCZ541"/>
      <c r="XDA541"/>
      <c r="XDB541"/>
      <c r="XDC541"/>
      <c r="XDD541"/>
      <c r="XDE541"/>
      <c r="XDF541"/>
      <c r="XDG541"/>
      <c r="XDH541"/>
      <c r="XDI541"/>
      <c r="XDJ541"/>
      <c r="XDK541"/>
      <c r="XDL541"/>
      <c r="XDM541"/>
      <c r="XDN541"/>
      <c r="XDO541"/>
      <c r="XDP541"/>
      <c r="XDQ541"/>
      <c r="XDR541"/>
      <c r="XDS541"/>
      <c r="XDT541"/>
      <c r="XDU541"/>
      <c r="XDV541"/>
      <c r="XDW541"/>
      <c r="XDX541"/>
      <c r="XDY541"/>
      <c r="XDZ541"/>
      <c r="XEA541"/>
      <c r="XEB541"/>
      <c r="XEC541"/>
      <c r="XED541"/>
      <c r="XEE541"/>
      <c r="XEF541"/>
      <c r="XEG541"/>
      <c r="XEH541"/>
      <c r="XEI541"/>
      <c r="XEJ541"/>
      <c r="XEK541"/>
      <c r="XEL541"/>
      <c r="XEM541"/>
      <c r="XEN541"/>
      <c r="XEO541"/>
      <c r="XEP541"/>
      <c r="XEQ541"/>
      <c r="XER541"/>
      <c r="XES541"/>
      <c r="XET541"/>
      <c r="XEU541"/>
      <c r="XEV541"/>
      <c r="XEW541"/>
      <c r="XEX541"/>
      <c r="XEY541"/>
      <c r="XEZ541"/>
    </row>
    <row r="542" spans="1:16380">
      <c r="A542" s="65" t="s">
        <v>1508</v>
      </c>
      <c r="B542" s="345" t="s">
        <v>2146</v>
      </c>
      <c r="C542" s="355">
        <v>152.4</v>
      </c>
      <c r="D542" s="355">
        <v>152.4</v>
      </c>
      <c r="E542" s="355">
        <v>76.2</v>
      </c>
      <c r="F542" s="355">
        <v>63.5</v>
      </c>
      <c r="G542" s="17">
        <f t="shared" ref="G542:G549" si="60">((E542+F542)/2)*D542*C542/10^6</f>
        <v>1.6223193359999999</v>
      </c>
      <c r="K542" s="56"/>
      <c r="L542" s="20"/>
      <c r="M542" s="20"/>
      <c r="N542" s="20"/>
      <c r="O542" s="20"/>
      <c r="P542" s="20"/>
      <c r="Q542" s="23"/>
      <c r="R542" s="22" t="s">
        <v>16</v>
      </c>
      <c r="S542" s="22" t="s">
        <v>16</v>
      </c>
      <c r="T542" s="753">
        <f t="shared" si="59"/>
        <v>915.19340578918059</v>
      </c>
      <c r="U542" s="22">
        <v>1</v>
      </c>
      <c r="V542"/>
      <c r="W542"/>
      <c r="X542" s="348"/>
      <c r="Y542"/>
      <c r="Z542"/>
      <c r="AA542"/>
      <c r="AB542"/>
      <c r="AC542"/>
      <c r="AD542"/>
      <c r="AE542"/>
      <c r="AF542"/>
      <c r="AG542"/>
      <c r="AH542"/>
      <c r="AI542"/>
      <c r="AJ542" s="348"/>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c r="KT542"/>
      <c r="KU542"/>
      <c r="KV542"/>
      <c r="KW542"/>
      <c r="KX542"/>
      <c r="KY542"/>
      <c r="KZ542"/>
      <c r="LA542"/>
      <c r="LB542"/>
      <c r="LC542"/>
      <c r="LD542"/>
      <c r="LE542"/>
      <c r="LF542"/>
      <c r="LG542"/>
      <c r="LH542"/>
      <c r="LI542"/>
      <c r="LJ542"/>
      <c r="LK542"/>
      <c r="LL542"/>
      <c r="LM542"/>
      <c r="LN542"/>
      <c r="LO542"/>
      <c r="LP542"/>
      <c r="LQ542"/>
      <c r="LR542"/>
      <c r="LS542"/>
      <c r="LT542"/>
      <c r="LU542"/>
      <c r="LV542"/>
      <c r="LW542"/>
      <c r="LX542"/>
      <c r="LY542"/>
      <c r="LZ542"/>
      <c r="MA542"/>
      <c r="MB542"/>
      <c r="MC542"/>
      <c r="MD542"/>
      <c r="ME542"/>
      <c r="MF542"/>
      <c r="MG542"/>
      <c r="MH542"/>
      <c r="MI542"/>
      <c r="MJ542"/>
      <c r="MK542"/>
      <c r="ML542"/>
      <c r="MM542"/>
      <c r="MN542"/>
      <c r="MO542"/>
      <c r="MP542"/>
      <c r="MQ542"/>
      <c r="MR542"/>
      <c r="MS542"/>
      <c r="MT542"/>
      <c r="MU542"/>
      <c r="MV542"/>
      <c r="MW542"/>
      <c r="MX542"/>
      <c r="MY542"/>
      <c r="MZ542"/>
      <c r="NA542"/>
      <c r="NB542"/>
      <c r="NC542"/>
      <c r="ND542"/>
      <c r="NE542"/>
      <c r="NF542"/>
      <c r="NG542"/>
      <c r="NH542"/>
      <c r="NI542"/>
      <c r="NJ542"/>
      <c r="NK542"/>
      <c r="NL542"/>
      <c r="NM542"/>
      <c r="NN542"/>
      <c r="NO542"/>
      <c r="NP542"/>
      <c r="NQ542"/>
      <c r="NR542"/>
      <c r="NS542"/>
      <c r="NT542"/>
      <c r="NU542"/>
      <c r="NV542"/>
      <c r="NW542"/>
      <c r="NX542"/>
      <c r="NY542"/>
      <c r="NZ542"/>
      <c r="OA542"/>
      <c r="OB542"/>
      <c r="OC542"/>
      <c r="OD542"/>
      <c r="OE542"/>
      <c r="OF542"/>
      <c r="OG542"/>
      <c r="OH542"/>
      <c r="OI542"/>
      <c r="OJ542"/>
      <c r="OK542"/>
      <c r="OL542"/>
      <c r="OM542"/>
      <c r="ON542"/>
      <c r="OO542"/>
      <c r="OP542"/>
      <c r="OQ542"/>
      <c r="OR542"/>
      <c r="OS542"/>
      <c r="OT542"/>
      <c r="OU542"/>
      <c r="OV542"/>
      <c r="OW542"/>
      <c r="OX542"/>
      <c r="OY542"/>
      <c r="OZ542"/>
      <c r="PA542"/>
      <c r="PB542"/>
      <c r="PC542"/>
      <c r="PD542"/>
      <c r="PE542"/>
      <c r="PF542"/>
      <c r="PG542"/>
      <c r="PH542"/>
      <c r="PI542"/>
      <c r="PJ542"/>
      <c r="PK542"/>
      <c r="PL542"/>
      <c r="PM542"/>
      <c r="PN542"/>
      <c r="PO542"/>
      <c r="PP542"/>
      <c r="PQ542"/>
      <c r="PR542"/>
      <c r="PS542"/>
      <c r="PT542"/>
      <c r="PU542"/>
      <c r="PV542"/>
      <c r="PW542"/>
      <c r="PX542"/>
      <c r="PY542"/>
      <c r="PZ542"/>
      <c r="QA542"/>
      <c r="QB542"/>
      <c r="QC542"/>
      <c r="QD542"/>
      <c r="QE542"/>
      <c r="QF542"/>
      <c r="QG542"/>
      <c r="QH542"/>
      <c r="QI542"/>
      <c r="QJ542"/>
      <c r="QK542"/>
      <c r="QL542"/>
      <c r="QM542"/>
      <c r="QN542"/>
      <c r="QO542"/>
      <c r="QP542"/>
      <c r="QQ542"/>
      <c r="QR542"/>
      <c r="QS542"/>
      <c r="QT542"/>
      <c r="QU542"/>
      <c r="QV542"/>
      <c r="QW542"/>
      <c r="QX542"/>
      <c r="QY542"/>
      <c r="QZ542"/>
      <c r="RA542"/>
      <c r="RB542"/>
      <c r="RC542"/>
      <c r="RD542"/>
      <c r="RE542"/>
      <c r="RF542"/>
      <c r="RG542"/>
      <c r="RH542"/>
      <c r="RI542"/>
      <c r="RJ542"/>
      <c r="RK542"/>
      <c r="RL542"/>
      <c r="RM542"/>
      <c r="RN542"/>
      <c r="RO542"/>
      <c r="RP542"/>
      <c r="RQ542"/>
      <c r="RR542"/>
      <c r="RS542"/>
      <c r="RT542"/>
      <c r="RU542"/>
      <c r="RV542"/>
      <c r="RW542"/>
      <c r="RX542"/>
      <c r="RY542"/>
      <c r="RZ542"/>
      <c r="SA542"/>
      <c r="SB542"/>
      <c r="SC542"/>
      <c r="SD542"/>
      <c r="SE542"/>
      <c r="SF542"/>
      <c r="SG542"/>
      <c r="SH542"/>
      <c r="SI542"/>
      <c r="SJ542"/>
      <c r="SK542"/>
      <c r="SL542"/>
      <c r="SM542"/>
      <c r="SN542"/>
      <c r="SO542"/>
      <c r="SP542"/>
      <c r="SQ542"/>
      <c r="SR542"/>
      <c r="SS542"/>
      <c r="ST542"/>
      <c r="SU542"/>
      <c r="SV542"/>
      <c r="SW542"/>
      <c r="SX542"/>
      <c r="SY542"/>
      <c r="SZ542"/>
      <c r="TA542"/>
      <c r="TB542"/>
      <c r="TC542"/>
      <c r="TD542"/>
      <c r="TE542"/>
      <c r="TF542"/>
      <c r="TG542"/>
      <c r="TH542"/>
      <c r="TI542"/>
      <c r="TJ542"/>
      <c r="TK542"/>
      <c r="TL542"/>
      <c r="TM542"/>
      <c r="TN542"/>
      <c r="TO542"/>
      <c r="TP542"/>
      <c r="TQ542"/>
      <c r="TR542"/>
      <c r="TS542"/>
      <c r="TT542"/>
      <c r="TU542"/>
      <c r="TV542"/>
      <c r="TW542"/>
      <c r="TX542"/>
      <c r="TY542"/>
      <c r="TZ542"/>
      <c r="UA542"/>
      <c r="UB542"/>
      <c r="UC542"/>
      <c r="UD542"/>
      <c r="UE542"/>
      <c r="UF542"/>
      <c r="UG542"/>
      <c r="UH542"/>
      <c r="UI542"/>
      <c r="UJ542"/>
      <c r="UK542"/>
      <c r="UL542"/>
      <c r="UM542"/>
      <c r="UN542"/>
      <c r="UO542"/>
      <c r="UP542"/>
      <c r="UQ542"/>
      <c r="UR542"/>
      <c r="US542"/>
      <c r="UT542"/>
      <c r="UU542"/>
      <c r="UV542"/>
      <c r="UW542"/>
      <c r="UX542"/>
      <c r="UY542"/>
      <c r="UZ542"/>
      <c r="VA542"/>
      <c r="VB542"/>
      <c r="VC542"/>
      <c r="VD542"/>
      <c r="VE542"/>
      <c r="VF542"/>
      <c r="VG542"/>
      <c r="VH542"/>
      <c r="VI542"/>
      <c r="VJ542"/>
      <c r="VK542"/>
      <c r="VL542"/>
      <c r="VM542"/>
      <c r="VN542"/>
      <c r="VO542"/>
      <c r="VP542"/>
      <c r="VQ542"/>
      <c r="VR542"/>
      <c r="VS542"/>
      <c r="VT542"/>
      <c r="VU542"/>
      <c r="VV542"/>
      <c r="VW542"/>
      <c r="VX542"/>
      <c r="VY542"/>
      <c r="VZ542"/>
      <c r="WA542"/>
      <c r="WB542"/>
      <c r="WC542"/>
      <c r="WD542"/>
      <c r="WE542"/>
      <c r="WF542"/>
      <c r="WG542"/>
      <c r="WH542"/>
      <c r="WI542"/>
      <c r="WJ542"/>
      <c r="WK542"/>
      <c r="WL542"/>
      <c r="WM542"/>
      <c r="WN542"/>
      <c r="WO542"/>
      <c r="WP542"/>
      <c r="WQ542"/>
      <c r="WR542"/>
      <c r="WS542"/>
      <c r="WT542"/>
      <c r="WU542"/>
      <c r="WV542"/>
      <c r="WW542"/>
      <c r="WX542"/>
      <c r="WY542"/>
      <c r="WZ542"/>
      <c r="XA542"/>
      <c r="XB542"/>
      <c r="XC542"/>
      <c r="XD542"/>
      <c r="XE542"/>
      <c r="XF542"/>
      <c r="XG542"/>
      <c r="XH542"/>
      <c r="XI542"/>
      <c r="XJ542"/>
      <c r="XK542"/>
      <c r="XL542"/>
      <c r="XM542"/>
      <c r="XN542"/>
      <c r="XO542"/>
      <c r="XP542"/>
      <c r="XQ542"/>
      <c r="XR542"/>
      <c r="XS542"/>
      <c r="XT542"/>
      <c r="XU542"/>
      <c r="XV542"/>
      <c r="XW542"/>
      <c r="XX542"/>
      <c r="XY542"/>
      <c r="XZ542"/>
      <c r="YA542"/>
      <c r="YB542"/>
      <c r="YC542"/>
      <c r="YD542"/>
      <c r="YE542"/>
      <c r="YF542"/>
      <c r="YG542"/>
      <c r="YH542"/>
      <c r="YI542"/>
      <c r="YJ542"/>
      <c r="YK542"/>
      <c r="YL542"/>
      <c r="YM542"/>
      <c r="YN542"/>
      <c r="YO542"/>
      <c r="YP542"/>
      <c r="YQ542"/>
      <c r="YR542"/>
      <c r="YS542"/>
      <c r="YT542"/>
      <c r="YU542"/>
      <c r="YV542"/>
      <c r="YW542"/>
      <c r="YX542"/>
      <c r="YY542"/>
      <c r="YZ542"/>
      <c r="ZA542"/>
      <c r="ZB542"/>
      <c r="ZC542"/>
      <c r="ZD542"/>
      <c r="ZE542"/>
      <c r="ZF542"/>
      <c r="ZG542"/>
      <c r="ZH542"/>
      <c r="ZI542"/>
      <c r="ZJ542"/>
      <c r="ZK542"/>
      <c r="ZL542"/>
      <c r="ZM542"/>
      <c r="ZN542"/>
      <c r="ZO542"/>
      <c r="ZP542"/>
      <c r="ZQ542"/>
      <c r="ZR542"/>
      <c r="ZS542"/>
      <c r="ZT542"/>
      <c r="ZU542"/>
      <c r="ZV542"/>
      <c r="ZW542"/>
      <c r="ZX542"/>
      <c r="ZY542"/>
      <c r="ZZ542"/>
      <c r="AAA542"/>
      <c r="AAB542"/>
      <c r="AAC542"/>
      <c r="AAD542"/>
      <c r="AAE542"/>
      <c r="AAF542"/>
      <c r="AAG542"/>
      <c r="AAH542"/>
      <c r="AAI542"/>
      <c r="AAJ542"/>
      <c r="AAK542"/>
      <c r="AAL542"/>
      <c r="AAM542"/>
      <c r="AAN542"/>
      <c r="AAO542"/>
      <c r="AAP542"/>
      <c r="AAQ542"/>
      <c r="AAR542"/>
      <c r="AAS542"/>
      <c r="AAT542"/>
      <c r="AAU542"/>
      <c r="AAV542"/>
      <c r="AAW542"/>
      <c r="AAX542"/>
      <c r="AAY542"/>
      <c r="AAZ542"/>
      <c r="ABA542"/>
      <c r="ABB542"/>
      <c r="ABC542"/>
      <c r="ABD542"/>
      <c r="ABE542"/>
      <c r="ABF542"/>
      <c r="ABG542"/>
      <c r="ABH542"/>
      <c r="ABI542"/>
      <c r="ABJ542"/>
      <c r="ABK542"/>
      <c r="ABL542"/>
      <c r="ABM542"/>
      <c r="ABN542"/>
      <c r="ABO542"/>
      <c r="ABP542"/>
      <c r="ABQ542"/>
      <c r="ABR542"/>
      <c r="ABS542"/>
      <c r="ABT542"/>
      <c r="ABU542"/>
      <c r="ABV542"/>
      <c r="ABW542"/>
      <c r="ABX542"/>
      <c r="ABY542"/>
      <c r="ABZ542"/>
      <c r="ACA542"/>
      <c r="ACB542"/>
      <c r="ACC542"/>
      <c r="ACD542"/>
      <c r="ACE542"/>
      <c r="ACF542"/>
      <c r="ACG542"/>
      <c r="ACH542"/>
      <c r="ACI542"/>
      <c r="ACJ542"/>
      <c r="ACK542"/>
      <c r="ACL542"/>
      <c r="ACM542"/>
      <c r="ACN542"/>
      <c r="ACO542"/>
      <c r="ACP542"/>
      <c r="ACQ542"/>
      <c r="ACR542"/>
      <c r="ACS542"/>
      <c r="ACT542"/>
      <c r="ACU542"/>
      <c r="ACV542"/>
      <c r="ACW542"/>
      <c r="ACX542"/>
      <c r="ACY542"/>
      <c r="ACZ542"/>
      <c r="ADA542"/>
      <c r="ADB542"/>
      <c r="ADC542"/>
      <c r="ADD542"/>
      <c r="ADE542"/>
      <c r="ADF542"/>
      <c r="ADG542"/>
      <c r="ADH542"/>
      <c r="ADI542"/>
      <c r="ADJ542"/>
      <c r="ADK542"/>
      <c r="ADL542"/>
      <c r="ADM542"/>
      <c r="ADN542"/>
      <c r="ADO542"/>
      <c r="ADP542"/>
      <c r="ADQ542"/>
      <c r="ADR542"/>
      <c r="ADS542"/>
      <c r="ADT542"/>
      <c r="ADU542"/>
      <c r="ADV542"/>
      <c r="ADW542"/>
      <c r="ADX542"/>
      <c r="ADY542"/>
      <c r="ADZ542"/>
      <c r="AEA542"/>
      <c r="AEB542"/>
      <c r="AEC542"/>
      <c r="AED542"/>
      <c r="AEE542"/>
      <c r="AEF542"/>
      <c r="AEG542"/>
      <c r="AEH542"/>
      <c r="AEI542"/>
      <c r="AEJ542"/>
      <c r="AEK542"/>
      <c r="AEL542"/>
      <c r="AEM542"/>
      <c r="AEN542"/>
      <c r="AEO542"/>
      <c r="AEP542"/>
      <c r="AEQ542"/>
      <c r="AER542"/>
      <c r="AES542"/>
      <c r="AET542"/>
      <c r="AEU542"/>
      <c r="AEV542"/>
      <c r="AEW542"/>
      <c r="AEX542"/>
      <c r="AEY542"/>
      <c r="AEZ542"/>
      <c r="AFA542"/>
      <c r="AFB542"/>
      <c r="AFC542"/>
      <c r="AFD542"/>
      <c r="AFE542"/>
      <c r="AFF542"/>
      <c r="AFG542"/>
      <c r="AFH542"/>
      <c r="AFI542"/>
      <c r="AFJ542"/>
      <c r="AFK542"/>
      <c r="AFL542"/>
      <c r="AFM542"/>
      <c r="AFN542"/>
      <c r="AFO542"/>
      <c r="AFP542"/>
      <c r="AFQ542"/>
      <c r="AFR542"/>
      <c r="AFS542"/>
      <c r="AFT542"/>
      <c r="AFU542"/>
      <c r="AFV542"/>
      <c r="AFW542"/>
      <c r="AFX542"/>
      <c r="AFY542"/>
      <c r="AFZ542"/>
      <c r="AGA542"/>
      <c r="AGB542"/>
      <c r="AGC542"/>
      <c r="AGD542"/>
      <c r="AGE542"/>
      <c r="AGF542"/>
      <c r="AGG542"/>
      <c r="AGH542"/>
      <c r="AGI542"/>
      <c r="AGJ542"/>
      <c r="AGK542"/>
      <c r="AGL542"/>
      <c r="AGM542"/>
      <c r="AGN542"/>
      <c r="AGO542"/>
      <c r="AGP542"/>
      <c r="AGQ542"/>
      <c r="AGR542"/>
      <c r="AGS542"/>
      <c r="AGT542"/>
      <c r="AGU542"/>
      <c r="AGV542"/>
      <c r="AGW542"/>
      <c r="AGX542"/>
      <c r="AGY542"/>
      <c r="AGZ542"/>
      <c r="AHA542"/>
      <c r="AHB542"/>
      <c r="AHC542"/>
      <c r="AHD542"/>
      <c r="AHE542"/>
      <c r="AHF542"/>
      <c r="AHG542"/>
      <c r="AHH542"/>
      <c r="AHI542"/>
      <c r="AHJ542"/>
      <c r="AHK542"/>
      <c r="AHL542"/>
      <c r="AHM542"/>
      <c r="AHN542"/>
      <c r="AHO542"/>
      <c r="AHP542"/>
      <c r="AHQ542"/>
      <c r="AHR542"/>
      <c r="AHS542"/>
      <c r="AHT542"/>
      <c r="AHU542"/>
      <c r="AHV542"/>
      <c r="AHW542"/>
      <c r="AHX542"/>
      <c r="AHY542"/>
      <c r="AHZ542"/>
      <c r="AIA542"/>
      <c r="AIB542"/>
      <c r="AIC542"/>
      <c r="AID542"/>
      <c r="AIE542"/>
      <c r="AIF542"/>
      <c r="AIG542"/>
      <c r="AIH542"/>
      <c r="AII542"/>
      <c r="AIJ542"/>
      <c r="AIK542"/>
      <c r="AIL542"/>
      <c r="AIM542"/>
      <c r="AIN542"/>
      <c r="AIO542"/>
      <c r="AIP542"/>
      <c r="AIQ542"/>
      <c r="AIR542"/>
      <c r="AIS542"/>
      <c r="AIT542"/>
      <c r="AIU542"/>
      <c r="AIV542"/>
      <c r="AIW542"/>
      <c r="AIX542"/>
      <c r="AIY542"/>
      <c r="AIZ542"/>
      <c r="AJA542"/>
      <c r="AJB542"/>
      <c r="AJC542"/>
      <c r="AJD542"/>
      <c r="AJE542"/>
      <c r="AJF542"/>
      <c r="AJG542"/>
      <c r="AJH542"/>
      <c r="AJI542"/>
      <c r="AJJ542"/>
      <c r="AJK542"/>
      <c r="AJL542"/>
      <c r="AJM542"/>
      <c r="AJN542"/>
      <c r="AJO542"/>
      <c r="AJP542"/>
      <c r="AJQ542"/>
      <c r="AJR542"/>
      <c r="AJS542"/>
      <c r="AJT542"/>
      <c r="AJU542"/>
      <c r="AJV542"/>
      <c r="AJW542"/>
      <c r="AJX542"/>
      <c r="AJY542"/>
      <c r="AJZ542"/>
      <c r="AKA542"/>
      <c r="AKB542"/>
      <c r="AKC542"/>
      <c r="AKD542"/>
      <c r="AKE542"/>
      <c r="AKF542"/>
      <c r="AKG542"/>
      <c r="AKH542"/>
      <c r="AKI542"/>
      <c r="AKJ542"/>
      <c r="AKK542"/>
      <c r="AKL542"/>
      <c r="AKM542"/>
      <c r="AKN542"/>
      <c r="AKO542"/>
      <c r="AKP542"/>
      <c r="AKQ542"/>
      <c r="AKR542"/>
      <c r="AKS542"/>
      <c r="AKT542"/>
      <c r="AKU542"/>
      <c r="AKV542"/>
      <c r="AKW542"/>
      <c r="AKX542"/>
      <c r="AKY542"/>
      <c r="AKZ542"/>
      <c r="ALA542"/>
      <c r="ALB542"/>
      <c r="ALC542"/>
      <c r="ALD542"/>
      <c r="ALE542"/>
      <c r="ALF542"/>
      <c r="ALG542"/>
      <c r="ALH542"/>
      <c r="ALI542"/>
      <c r="ALJ542"/>
      <c r="ALK542"/>
      <c r="ALL542"/>
      <c r="ALM542"/>
      <c r="ALN542"/>
      <c r="ALO542"/>
      <c r="ALP542"/>
      <c r="ALQ542"/>
      <c r="ALR542"/>
      <c r="ALS542"/>
      <c r="ALT542"/>
      <c r="ALU542"/>
      <c r="ALV542"/>
      <c r="ALW542"/>
      <c r="ALX542"/>
      <c r="ALY542"/>
      <c r="ALZ542"/>
      <c r="AMA542"/>
      <c r="AMB542"/>
      <c r="AMC542"/>
      <c r="AMD542"/>
      <c r="AME542"/>
      <c r="AMF542"/>
      <c r="AMG542"/>
      <c r="AMH542"/>
      <c r="AMI542"/>
      <c r="AMJ542"/>
      <c r="AMK542"/>
      <c r="AML542"/>
      <c r="AMM542"/>
      <c r="AMN542"/>
      <c r="AMO542"/>
      <c r="AMP542"/>
      <c r="AMQ542"/>
      <c r="AMR542"/>
      <c r="AMS542"/>
      <c r="AMT542"/>
      <c r="AMU542"/>
      <c r="AMV542"/>
      <c r="AMW542"/>
      <c r="AMX542"/>
      <c r="AMY542"/>
      <c r="AMZ542"/>
      <c r="ANA542"/>
      <c r="ANB542"/>
      <c r="ANC542"/>
      <c r="AND542"/>
      <c r="ANE542"/>
      <c r="ANF542"/>
      <c r="ANG542"/>
      <c r="ANH542"/>
      <c r="ANI542"/>
      <c r="ANJ542"/>
      <c r="ANK542"/>
      <c r="ANL542"/>
      <c r="ANM542"/>
      <c r="ANN542"/>
      <c r="ANO542"/>
      <c r="ANP542"/>
      <c r="ANQ542"/>
      <c r="ANR542"/>
      <c r="ANS542"/>
      <c r="ANT542"/>
      <c r="ANU542"/>
      <c r="ANV542"/>
      <c r="ANW542"/>
      <c r="ANX542"/>
      <c r="ANY542"/>
      <c r="ANZ542"/>
      <c r="AOA542"/>
      <c r="AOB542"/>
      <c r="AOC542"/>
      <c r="AOD542"/>
      <c r="AOE542"/>
      <c r="AOF542"/>
      <c r="AOG542"/>
      <c r="AOH542"/>
      <c r="AOI542"/>
      <c r="AOJ542"/>
      <c r="AOK542"/>
      <c r="AOL542"/>
      <c r="AOM542"/>
      <c r="AON542"/>
      <c r="AOO542"/>
      <c r="AOP542"/>
      <c r="AOQ542"/>
      <c r="AOR542"/>
      <c r="AOS542"/>
      <c r="AOT542"/>
      <c r="AOU542"/>
      <c r="AOV542"/>
      <c r="AOW542"/>
      <c r="AOX542"/>
      <c r="AOY542"/>
      <c r="AOZ542"/>
      <c r="APA542"/>
      <c r="APB542"/>
      <c r="APC542"/>
      <c r="APD542"/>
      <c r="APE542"/>
      <c r="APF542"/>
      <c r="APG542"/>
      <c r="APH542"/>
      <c r="API542"/>
      <c r="APJ542"/>
      <c r="APK542"/>
      <c r="APL542"/>
      <c r="APM542"/>
      <c r="APN542"/>
      <c r="APO542"/>
      <c r="APP542"/>
      <c r="APQ542"/>
      <c r="APR542"/>
      <c r="APS542"/>
      <c r="APT542"/>
      <c r="APU542"/>
      <c r="APV542"/>
      <c r="APW542"/>
      <c r="APX542"/>
      <c r="APY542"/>
      <c r="APZ542"/>
      <c r="AQA542"/>
      <c r="AQB542"/>
      <c r="AQC542"/>
      <c r="AQD542"/>
      <c r="AQE542"/>
      <c r="AQF542"/>
      <c r="AQG542"/>
      <c r="AQH542"/>
      <c r="AQI542"/>
      <c r="AQJ542"/>
      <c r="AQK542"/>
      <c r="AQL542"/>
      <c r="AQM542"/>
      <c r="AQN542"/>
      <c r="AQO542"/>
      <c r="AQP542"/>
      <c r="AQQ542"/>
      <c r="AQR542"/>
      <c r="AQS542"/>
      <c r="AQT542"/>
      <c r="AQU542"/>
      <c r="AQV542"/>
      <c r="AQW542"/>
      <c r="AQX542"/>
      <c r="AQY542"/>
      <c r="AQZ542"/>
      <c r="ARA542"/>
      <c r="ARB542"/>
      <c r="ARC542"/>
      <c r="ARD542"/>
      <c r="ARE542"/>
      <c r="ARF542"/>
      <c r="ARG542"/>
      <c r="ARH542"/>
      <c r="ARI542"/>
      <c r="ARJ542"/>
      <c r="ARK542"/>
      <c r="ARL542"/>
      <c r="ARM542"/>
      <c r="ARN542"/>
      <c r="ARO542"/>
      <c r="ARP542"/>
      <c r="ARQ542"/>
      <c r="ARR542"/>
      <c r="ARS542"/>
      <c r="ART542"/>
      <c r="ARU542"/>
      <c r="ARV542"/>
      <c r="ARW542"/>
      <c r="ARX542"/>
      <c r="ARY542"/>
      <c r="ARZ542"/>
      <c r="ASA542"/>
      <c r="ASB542"/>
      <c r="ASC542"/>
      <c r="ASD542"/>
      <c r="ASE542"/>
      <c r="ASF542"/>
      <c r="ASG542"/>
      <c r="ASH542"/>
      <c r="ASI542"/>
      <c r="ASJ542"/>
      <c r="ASK542"/>
      <c r="ASL542"/>
      <c r="ASM542"/>
      <c r="ASN542"/>
      <c r="ASO542"/>
      <c r="ASP542"/>
      <c r="ASQ542"/>
      <c r="ASR542"/>
      <c r="ASS542"/>
      <c r="AST542"/>
      <c r="ASU542"/>
      <c r="ASV542"/>
      <c r="ASW542"/>
      <c r="ASX542"/>
      <c r="ASY542"/>
      <c r="ASZ542"/>
      <c r="ATA542"/>
      <c r="ATB542"/>
      <c r="ATC542"/>
      <c r="ATD542"/>
      <c r="ATE542"/>
      <c r="ATF542"/>
      <c r="ATG542"/>
      <c r="ATH542"/>
      <c r="ATI542"/>
      <c r="ATJ542"/>
      <c r="ATK542"/>
      <c r="ATL542"/>
      <c r="ATM542"/>
      <c r="ATN542"/>
      <c r="ATO542"/>
      <c r="ATP542"/>
      <c r="ATQ542"/>
      <c r="ATR542"/>
      <c r="ATS542"/>
      <c r="ATT542"/>
      <c r="ATU542"/>
      <c r="ATV542"/>
      <c r="ATW542"/>
      <c r="ATX542"/>
      <c r="ATY542"/>
      <c r="ATZ542"/>
      <c r="AUA542"/>
      <c r="AUB542"/>
      <c r="AUC542"/>
      <c r="AUD542"/>
      <c r="AUE542"/>
      <c r="AUF542"/>
      <c r="AUG542"/>
      <c r="AUH542"/>
      <c r="AUI542"/>
      <c r="AUJ542"/>
      <c r="AUK542"/>
      <c r="AUL542"/>
      <c r="AUM542"/>
      <c r="AUN542"/>
      <c r="AUO542"/>
      <c r="AUP542"/>
      <c r="AUQ542"/>
      <c r="AUR542"/>
      <c r="AUS542"/>
      <c r="AUT542"/>
      <c r="AUU542"/>
      <c r="AUV542"/>
      <c r="AUW542"/>
      <c r="AUX542"/>
      <c r="AUY542"/>
      <c r="AUZ542"/>
      <c r="AVA542"/>
      <c r="AVB542"/>
      <c r="AVC542"/>
      <c r="AVD542"/>
      <c r="AVE542"/>
      <c r="AVF542"/>
      <c r="AVG542"/>
      <c r="AVH542"/>
      <c r="AVI542"/>
      <c r="AVJ542"/>
      <c r="AVK542"/>
      <c r="AVL542"/>
      <c r="AVM542"/>
      <c r="AVN542"/>
      <c r="AVO542"/>
      <c r="AVP542"/>
      <c r="AVQ542"/>
      <c r="AVR542"/>
      <c r="AVS542"/>
      <c r="AVT542"/>
      <c r="AVU542"/>
      <c r="AVV542"/>
      <c r="AVW542"/>
      <c r="AVX542"/>
      <c r="AVY542"/>
      <c r="AVZ542"/>
      <c r="AWA542"/>
      <c r="AWB542"/>
      <c r="AWC542"/>
      <c r="AWD542"/>
      <c r="AWE542"/>
      <c r="AWF542"/>
      <c r="AWG542"/>
      <c r="AWH542"/>
      <c r="AWI542"/>
      <c r="AWJ542"/>
      <c r="AWK542"/>
      <c r="AWL542"/>
      <c r="AWM542"/>
      <c r="AWN542"/>
      <c r="AWO542"/>
      <c r="AWP542"/>
      <c r="AWQ542"/>
      <c r="AWR542"/>
      <c r="AWS542"/>
      <c r="AWT542"/>
      <c r="AWU542"/>
      <c r="AWV542"/>
      <c r="AWW542"/>
      <c r="AWX542"/>
      <c r="AWY542"/>
      <c r="AWZ542"/>
      <c r="AXA542"/>
      <c r="AXB542"/>
      <c r="AXC542"/>
      <c r="AXD542"/>
      <c r="AXE542"/>
      <c r="AXF542"/>
      <c r="AXG542"/>
      <c r="AXH542"/>
      <c r="AXI542"/>
      <c r="AXJ542"/>
      <c r="AXK542"/>
      <c r="AXL542"/>
      <c r="AXM542"/>
      <c r="AXN542"/>
      <c r="AXO542"/>
      <c r="AXP542"/>
      <c r="AXQ542"/>
      <c r="AXR542"/>
      <c r="AXS542"/>
      <c r="AXT542"/>
      <c r="AXU542"/>
      <c r="AXV542"/>
      <c r="AXW542"/>
      <c r="AXX542"/>
      <c r="AXY542"/>
      <c r="AXZ542"/>
      <c r="AYA542"/>
      <c r="AYB542"/>
      <c r="AYC542"/>
      <c r="AYD542"/>
      <c r="AYE542"/>
      <c r="AYF542"/>
      <c r="AYG542"/>
      <c r="AYH542"/>
      <c r="AYI542"/>
      <c r="AYJ542"/>
      <c r="AYK542"/>
      <c r="AYL542"/>
      <c r="AYM542"/>
      <c r="AYN542"/>
      <c r="AYO542"/>
      <c r="AYP542"/>
      <c r="AYQ542"/>
      <c r="AYR542"/>
      <c r="AYS542"/>
      <c r="AYT542"/>
      <c r="AYU542"/>
      <c r="AYV542"/>
      <c r="AYW542"/>
      <c r="AYX542"/>
      <c r="AYY542"/>
      <c r="AYZ542"/>
      <c r="AZA542"/>
      <c r="AZB542"/>
      <c r="AZC542"/>
      <c r="AZD542"/>
      <c r="AZE542"/>
      <c r="AZF542"/>
      <c r="AZG542"/>
      <c r="AZH542"/>
      <c r="AZI542"/>
      <c r="AZJ542"/>
      <c r="AZK542"/>
      <c r="AZL542"/>
      <c r="AZM542"/>
      <c r="AZN542"/>
      <c r="AZO542"/>
      <c r="AZP542"/>
      <c r="AZQ542"/>
      <c r="AZR542"/>
      <c r="AZS542"/>
      <c r="AZT542"/>
      <c r="AZU542"/>
      <c r="AZV542"/>
      <c r="AZW542"/>
      <c r="AZX542"/>
      <c r="AZY542"/>
      <c r="AZZ542"/>
      <c r="BAA542"/>
      <c r="BAB542"/>
      <c r="BAC542"/>
      <c r="BAD542"/>
      <c r="BAE542"/>
      <c r="BAF542"/>
      <c r="BAG542"/>
      <c r="BAH542"/>
      <c r="BAI542"/>
      <c r="BAJ542"/>
      <c r="BAK542"/>
      <c r="BAL542"/>
      <c r="BAM542"/>
      <c r="BAN542"/>
      <c r="BAO542"/>
      <c r="BAP542"/>
      <c r="BAQ542"/>
      <c r="BAR542"/>
      <c r="BAS542"/>
      <c r="BAT542"/>
      <c r="BAU542"/>
      <c r="BAV542"/>
      <c r="BAW542"/>
      <c r="BAX542"/>
      <c r="BAY542"/>
      <c r="BAZ542"/>
      <c r="BBA542"/>
      <c r="BBB542"/>
      <c r="BBC542"/>
      <c r="BBD542"/>
      <c r="BBE542"/>
      <c r="BBF542"/>
      <c r="BBG542"/>
      <c r="BBH542"/>
      <c r="BBI542"/>
      <c r="BBJ542"/>
      <c r="BBK542"/>
      <c r="BBL542"/>
      <c r="BBM542"/>
      <c r="BBN542"/>
      <c r="BBO542"/>
      <c r="BBP542"/>
      <c r="BBQ542"/>
      <c r="BBR542"/>
      <c r="BBS542"/>
      <c r="BBT542"/>
      <c r="BBU542"/>
      <c r="BBV542"/>
      <c r="BBW542"/>
      <c r="BBX542"/>
      <c r="BBY542"/>
      <c r="BBZ542"/>
      <c r="BCA542"/>
      <c r="BCB542"/>
      <c r="BCC542"/>
      <c r="BCD542"/>
      <c r="BCE542"/>
      <c r="BCF542"/>
      <c r="BCG542"/>
      <c r="BCH542"/>
      <c r="BCI542"/>
      <c r="BCJ542"/>
      <c r="BCK542"/>
      <c r="BCL542"/>
      <c r="BCM542"/>
      <c r="BCN542"/>
      <c r="BCO542"/>
      <c r="BCP542"/>
      <c r="BCQ542"/>
      <c r="BCR542"/>
      <c r="BCS542"/>
      <c r="BCT542"/>
      <c r="BCU542"/>
      <c r="BCV542"/>
      <c r="BCW542"/>
      <c r="BCX542"/>
      <c r="BCY542"/>
      <c r="BCZ542"/>
      <c r="BDA542"/>
      <c r="BDB542"/>
      <c r="BDC542"/>
      <c r="BDD542"/>
      <c r="BDE542"/>
      <c r="BDF542"/>
      <c r="BDG542"/>
      <c r="BDH542"/>
      <c r="BDI542"/>
      <c r="BDJ542"/>
      <c r="BDK542"/>
      <c r="BDL542"/>
      <c r="BDM542"/>
      <c r="BDN542"/>
      <c r="BDO542"/>
      <c r="BDP542"/>
      <c r="BDQ542"/>
      <c r="BDR542"/>
      <c r="BDS542"/>
      <c r="BDT542"/>
      <c r="BDU542"/>
      <c r="BDV542"/>
      <c r="BDW542"/>
      <c r="BDX542"/>
      <c r="BDY542"/>
      <c r="BDZ542"/>
      <c r="BEA542"/>
      <c r="BEB542"/>
      <c r="BEC542"/>
      <c r="BED542"/>
      <c r="BEE542"/>
      <c r="BEF542"/>
      <c r="BEG542"/>
      <c r="BEH542"/>
      <c r="BEI542"/>
      <c r="BEJ542"/>
      <c r="BEK542"/>
      <c r="BEL542"/>
      <c r="BEM542"/>
      <c r="BEN542"/>
      <c r="BEO542"/>
      <c r="BEP542"/>
      <c r="BEQ542"/>
      <c r="BER542"/>
      <c r="BES542"/>
      <c r="BET542"/>
      <c r="BEU542"/>
      <c r="BEV542"/>
      <c r="BEW542"/>
      <c r="BEX542"/>
      <c r="BEY542"/>
      <c r="BEZ542"/>
      <c r="BFA542"/>
      <c r="BFB542"/>
      <c r="BFC542"/>
      <c r="BFD542"/>
      <c r="BFE542"/>
      <c r="BFF542"/>
      <c r="BFG542"/>
      <c r="BFH542"/>
      <c r="BFI542"/>
      <c r="BFJ542"/>
      <c r="BFK542"/>
      <c r="BFL542"/>
      <c r="BFM542"/>
      <c r="BFN542"/>
      <c r="BFO542"/>
      <c r="BFP542"/>
      <c r="BFQ542"/>
      <c r="BFR542"/>
      <c r="BFS542"/>
      <c r="BFT542"/>
      <c r="BFU542"/>
      <c r="BFV542"/>
      <c r="BFW542"/>
      <c r="BFX542"/>
      <c r="BFY542"/>
      <c r="BFZ542"/>
      <c r="BGA542"/>
      <c r="BGB542"/>
      <c r="BGC542"/>
      <c r="BGD542"/>
      <c r="BGE542"/>
      <c r="BGF542"/>
      <c r="BGG542"/>
      <c r="BGH542"/>
      <c r="BGI542"/>
      <c r="BGJ542"/>
      <c r="BGK542"/>
      <c r="BGL542"/>
      <c r="BGM542"/>
      <c r="BGN542"/>
      <c r="BGO542"/>
      <c r="BGP542"/>
      <c r="BGQ542"/>
      <c r="BGR542"/>
      <c r="BGS542"/>
      <c r="BGT542"/>
      <c r="BGU542"/>
      <c r="BGV542"/>
      <c r="BGW542"/>
      <c r="BGX542"/>
      <c r="BGY542"/>
      <c r="BGZ542"/>
      <c r="BHA542"/>
      <c r="BHB542"/>
      <c r="BHC542"/>
      <c r="BHD542"/>
      <c r="BHE542"/>
      <c r="BHF542"/>
      <c r="BHG542"/>
      <c r="BHH542"/>
      <c r="BHI542"/>
      <c r="BHJ542"/>
      <c r="BHK542"/>
      <c r="BHL542"/>
      <c r="BHM542"/>
      <c r="BHN542"/>
      <c r="BHO542"/>
      <c r="BHP542"/>
      <c r="BHQ542"/>
      <c r="BHR542"/>
      <c r="BHS542"/>
      <c r="BHT542"/>
      <c r="BHU542"/>
      <c r="BHV542"/>
      <c r="BHW542"/>
      <c r="BHX542"/>
      <c r="BHY542"/>
      <c r="BHZ542"/>
      <c r="BIA542"/>
      <c r="BIB542"/>
      <c r="BIC542"/>
      <c r="BID542"/>
      <c r="BIE542"/>
      <c r="BIF542"/>
      <c r="BIG542"/>
      <c r="BIH542"/>
      <c r="BII542"/>
      <c r="BIJ542"/>
      <c r="BIK542"/>
      <c r="BIL542"/>
      <c r="BIM542"/>
      <c r="BIN542"/>
      <c r="BIO542"/>
      <c r="BIP542"/>
      <c r="BIQ542"/>
      <c r="BIR542"/>
      <c r="BIS542"/>
      <c r="BIT542"/>
      <c r="BIU542"/>
      <c r="BIV542"/>
      <c r="BIW542"/>
      <c r="BIX542"/>
      <c r="BIY542"/>
      <c r="BIZ542"/>
      <c r="BJA542"/>
      <c r="BJB542"/>
      <c r="BJC542"/>
      <c r="BJD542"/>
      <c r="BJE542"/>
      <c r="BJF542"/>
      <c r="BJG542"/>
      <c r="BJH542"/>
      <c r="BJI542"/>
      <c r="BJJ542"/>
      <c r="BJK542"/>
      <c r="BJL542"/>
      <c r="BJM542"/>
      <c r="BJN542"/>
      <c r="BJO542"/>
      <c r="BJP542"/>
      <c r="BJQ542"/>
      <c r="BJR542"/>
      <c r="BJS542"/>
      <c r="BJT542"/>
      <c r="BJU542"/>
      <c r="BJV542"/>
      <c r="BJW542"/>
      <c r="BJX542"/>
      <c r="BJY542"/>
      <c r="BJZ542"/>
      <c r="BKA542"/>
      <c r="BKB542"/>
      <c r="BKC542"/>
      <c r="BKD542"/>
      <c r="BKE542"/>
      <c r="BKF542"/>
      <c r="BKG542"/>
      <c r="BKH542"/>
      <c r="BKI542"/>
      <c r="BKJ542"/>
      <c r="BKK542"/>
      <c r="BKL542"/>
      <c r="BKM542"/>
      <c r="BKN542"/>
      <c r="BKO542"/>
      <c r="BKP542"/>
      <c r="BKQ542"/>
      <c r="BKR542"/>
      <c r="BKS542"/>
      <c r="BKT542"/>
      <c r="BKU542"/>
      <c r="BKV542"/>
      <c r="BKW542"/>
      <c r="BKX542"/>
      <c r="BKY542"/>
      <c r="BKZ542"/>
      <c r="BLA542"/>
      <c r="BLB542"/>
      <c r="BLC542"/>
      <c r="BLD542"/>
      <c r="BLE542"/>
      <c r="BLF542"/>
      <c r="BLG542"/>
      <c r="BLH542"/>
      <c r="BLI542"/>
      <c r="BLJ542"/>
      <c r="BLK542"/>
      <c r="BLL542"/>
      <c r="BLM542"/>
      <c r="BLN542"/>
      <c r="BLO542"/>
      <c r="BLP542"/>
      <c r="BLQ542"/>
      <c r="BLR542"/>
      <c r="BLS542"/>
      <c r="BLT542"/>
      <c r="BLU542"/>
      <c r="BLV542"/>
      <c r="BLW542"/>
      <c r="BLX542"/>
      <c r="BLY542"/>
      <c r="BLZ542"/>
      <c r="BMA542"/>
      <c r="BMB542"/>
      <c r="BMC542"/>
      <c r="BMD542"/>
      <c r="BME542"/>
      <c r="BMF542"/>
      <c r="BMG542"/>
      <c r="BMH542"/>
      <c r="BMI542"/>
      <c r="BMJ542"/>
      <c r="BMK542"/>
      <c r="BML542"/>
      <c r="BMM542"/>
      <c r="BMN542"/>
      <c r="BMO542"/>
      <c r="BMP542"/>
      <c r="BMQ542"/>
      <c r="BMR542"/>
      <c r="BMS542"/>
      <c r="BMT542"/>
      <c r="BMU542"/>
      <c r="BMV542"/>
      <c r="BMW542"/>
      <c r="BMX542"/>
      <c r="BMY542"/>
      <c r="BMZ542"/>
      <c r="BNA542"/>
      <c r="BNB542"/>
      <c r="BNC542"/>
      <c r="BND542"/>
      <c r="BNE542"/>
      <c r="BNF542"/>
      <c r="BNG542"/>
      <c r="BNH542"/>
      <c r="BNI542"/>
      <c r="BNJ542"/>
      <c r="BNK542"/>
      <c r="BNL542"/>
      <c r="BNM542"/>
      <c r="BNN542"/>
      <c r="BNO542"/>
      <c r="BNP542"/>
      <c r="BNQ542"/>
      <c r="BNR542"/>
      <c r="BNS542"/>
      <c r="BNT542"/>
      <c r="BNU542"/>
      <c r="BNV542"/>
      <c r="BNW542"/>
      <c r="BNX542"/>
      <c r="BNY542"/>
      <c r="BNZ542"/>
      <c r="BOA542"/>
      <c r="BOB542"/>
      <c r="BOC542"/>
      <c r="BOD542"/>
      <c r="BOE542"/>
      <c r="BOF542"/>
      <c r="BOG542"/>
      <c r="BOH542"/>
      <c r="BOI542"/>
      <c r="BOJ542"/>
      <c r="BOK542"/>
      <c r="BOL542"/>
      <c r="BOM542"/>
      <c r="BON542"/>
      <c r="BOO542"/>
      <c r="BOP542"/>
      <c r="BOQ542"/>
      <c r="BOR542"/>
      <c r="BOS542"/>
      <c r="BOT542"/>
      <c r="BOU542"/>
      <c r="BOV542"/>
      <c r="BOW542"/>
      <c r="BOX542"/>
      <c r="BOY542"/>
      <c r="BOZ542"/>
      <c r="BPA542"/>
      <c r="BPB542"/>
      <c r="BPC542"/>
      <c r="BPD542"/>
      <c r="BPE542"/>
      <c r="BPF542"/>
      <c r="BPG542"/>
      <c r="BPH542"/>
      <c r="BPI542"/>
      <c r="BPJ542"/>
      <c r="BPK542"/>
      <c r="BPL542"/>
      <c r="BPM542"/>
      <c r="BPN542"/>
      <c r="BPO542"/>
      <c r="BPP542"/>
      <c r="BPQ542"/>
      <c r="BPR542"/>
      <c r="BPS542"/>
      <c r="BPT542"/>
      <c r="BPU542"/>
      <c r="BPV542"/>
      <c r="BPW542"/>
      <c r="BPX542"/>
      <c r="BPY542"/>
      <c r="BPZ542"/>
      <c r="BQA542"/>
      <c r="BQB542"/>
      <c r="BQC542"/>
      <c r="BQD542"/>
      <c r="BQE542"/>
      <c r="BQF542"/>
      <c r="BQG542"/>
      <c r="BQH542"/>
      <c r="BQI542"/>
      <c r="BQJ542"/>
      <c r="BQK542"/>
      <c r="BQL542"/>
      <c r="BQM542"/>
      <c r="BQN542"/>
      <c r="BQO542"/>
      <c r="BQP542"/>
      <c r="BQQ542"/>
      <c r="BQR542"/>
      <c r="BQS542"/>
      <c r="BQT542"/>
      <c r="BQU542"/>
      <c r="BQV542"/>
      <c r="BQW542"/>
      <c r="BQX542"/>
      <c r="BQY542"/>
      <c r="BQZ542"/>
      <c r="BRA542"/>
      <c r="BRB542"/>
      <c r="BRC542"/>
      <c r="BRD542"/>
      <c r="BRE542"/>
      <c r="BRF542"/>
      <c r="BRG542"/>
      <c r="BRH542"/>
      <c r="BRI542"/>
      <c r="BRJ542"/>
      <c r="BRK542"/>
      <c r="BRL542"/>
      <c r="BRM542"/>
      <c r="BRN542"/>
      <c r="BRO542"/>
      <c r="BRP542"/>
      <c r="BRQ542"/>
      <c r="BRR542"/>
      <c r="BRS542"/>
      <c r="BRT542"/>
      <c r="BRU542"/>
      <c r="BRV542"/>
      <c r="BRW542"/>
      <c r="BRX542"/>
      <c r="BRY542"/>
      <c r="BRZ542"/>
      <c r="BSA542"/>
      <c r="BSB542"/>
      <c r="BSC542"/>
      <c r="BSD542"/>
      <c r="BSE542"/>
      <c r="BSF542"/>
      <c r="BSG542"/>
      <c r="BSH542"/>
      <c r="BSI542"/>
      <c r="BSJ542"/>
      <c r="BSK542"/>
      <c r="BSL542"/>
      <c r="BSM542"/>
      <c r="BSN542"/>
      <c r="BSO542"/>
      <c r="BSP542"/>
      <c r="BSQ542"/>
      <c r="BSR542"/>
      <c r="BSS542"/>
      <c r="BST542"/>
      <c r="BSU542"/>
      <c r="BSV542"/>
      <c r="BSW542"/>
      <c r="BSX542"/>
      <c r="BSY542"/>
      <c r="BSZ542"/>
      <c r="BTA542"/>
      <c r="BTB542"/>
      <c r="BTC542"/>
      <c r="BTD542"/>
      <c r="BTE542"/>
      <c r="BTF542"/>
      <c r="BTG542"/>
      <c r="BTH542"/>
      <c r="BTI542"/>
      <c r="BTJ542"/>
      <c r="BTK542"/>
      <c r="BTL542"/>
      <c r="BTM542"/>
      <c r="BTN542"/>
      <c r="BTO542"/>
      <c r="BTP542"/>
      <c r="BTQ542"/>
      <c r="BTR542"/>
      <c r="BTS542"/>
      <c r="BTT542"/>
      <c r="BTU542"/>
      <c r="BTV542"/>
      <c r="BTW542"/>
      <c r="BTX542"/>
      <c r="BTY542"/>
      <c r="BTZ542"/>
      <c r="BUA542"/>
      <c r="BUB542"/>
      <c r="BUC542"/>
      <c r="BUD542"/>
      <c r="BUE542"/>
      <c r="BUF542"/>
      <c r="BUG542"/>
      <c r="BUH542"/>
      <c r="BUI542"/>
      <c r="BUJ542"/>
      <c r="BUK542"/>
      <c r="BUL542"/>
      <c r="BUM542"/>
      <c r="BUN542"/>
      <c r="BUO542"/>
      <c r="BUP542"/>
      <c r="BUQ542"/>
      <c r="BUR542"/>
      <c r="BUS542"/>
      <c r="BUT542"/>
      <c r="BUU542"/>
      <c r="BUV542"/>
      <c r="BUW542"/>
      <c r="BUX542"/>
      <c r="BUY542"/>
      <c r="BUZ542"/>
      <c r="BVA542"/>
      <c r="BVB542"/>
      <c r="BVC542"/>
      <c r="BVD542"/>
      <c r="BVE542"/>
      <c r="BVF542"/>
      <c r="BVG542"/>
      <c r="BVH542"/>
      <c r="BVI542"/>
      <c r="BVJ542"/>
      <c r="BVK542"/>
      <c r="BVL542"/>
      <c r="BVM542"/>
      <c r="BVN542"/>
      <c r="BVO542"/>
      <c r="BVP542"/>
      <c r="BVQ542"/>
      <c r="BVR542"/>
      <c r="BVS542"/>
      <c r="BVT542"/>
      <c r="BVU542"/>
      <c r="BVV542"/>
      <c r="BVW542"/>
      <c r="BVX542"/>
      <c r="BVY542"/>
      <c r="BVZ542"/>
      <c r="BWA542"/>
      <c r="BWB542"/>
      <c r="BWC542"/>
      <c r="BWD542"/>
      <c r="BWE542"/>
      <c r="BWF542"/>
      <c r="BWG542"/>
      <c r="BWH542"/>
      <c r="BWI542"/>
      <c r="BWJ542"/>
      <c r="BWK542"/>
      <c r="BWL542"/>
      <c r="BWM542"/>
      <c r="BWN542"/>
      <c r="BWO542"/>
      <c r="BWP542"/>
      <c r="BWQ542"/>
      <c r="BWR542"/>
      <c r="BWS542"/>
      <c r="BWT542"/>
      <c r="BWU542"/>
      <c r="BWV542"/>
      <c r="BWW542"/>
      <c r="BWX542"/>
      <c r="BWY542"/>
      <c r="BWZ542"/>
      <c r="BXA542"/>
      <c r="BXB542"/>
      <c r="BXC542"/>
      <c r="BXD542"/>
      <c r="BXE542"/>
      <c r="BXF542"/>
      <c r="BXG542"/>
      <c r="BXH542"/>
      <c r="BXI542"/>
      <c r="BXJ542"/>
      <c r="BXK542"/>
      <c r="BXL542"/>
      <c r="BXM542"/>
      <c r="BXN542"/>
      <c r="BXO542"/>
      <c r="BXP542"/>
      <c r="BXQ542"/>
      <c r="BXR542"/>
      <c r="BXS542"/>
      <c r="BXT542"/>
      <c r="BXU542"/>
      <c r="BXV542"/>
      <c r="BXW542"/>
      <c r="BXX542"/>
      <c r="BXY542"/>
      <c r="BXZ542"/>
      <c r="BYA542"/>
      <c r="BYB542"/>
      <c r="BYC542"/>
      <c r="BYD542"/>
      <c r="BYE542"/>
      <c r="BYF542"/>
      <c r="BYG542"/>
      <c r="BYH542"/>
      <c r="BYI542"/>
      <c r="BYJ542"/>
      <c r="BYK542"/>
      <c r="BYL542"/>
      <c r="BYM542"/>
      <c r="BYN542"/>
      <c r="BYO542"/>
      <c r="BYP542"/>
      <c r="BYQ542"/>
      <c r="BYR542"/>
      <c r="BYS542"/>
      <c r="BYT542"/>
      <c r="BYU542"/>
      <c r="BYV542"/>
      <c r="BYW542"/>
      <c r="BYX542"/>
      <c r="BYY542"/>
      <c r="BYZ542"/>
      <c r="BZA542"/>
      <c r="BZB542"/>
      <c r="BZC542"/>
      <c r="BZD542"/>
      <c r="BZE542"/>
      <c r="BZF542"/>
      <c r="BZG542"/>
      <c r="BZH542"/>
      <c r="BZI542"/>
      <c r="BZJ542"/>
      <c r="BZK542"/>
      <c r="BZL542"/>
      <c r="BZM542"/>
      <c r="BZN542"/>
      <c r="BZO542"/>
      <c r="BZP542"/>
      <c r="BZQ542"/>
      <c r="BZR542"/>
      <c r="BZS542"/>
      <c r="BZT542"/>
      <c r="BZU542"/>
      <c r="BZV542"/>
      <c r="BZW542"/>
      <c r="BZX542"/>
      <c r="BZY542"/>
      <c r="BZZ542"/>
      <c r="CAA542"/>
      <c r="CAB542"/>
      <c r="CAC542"/>
      <c r="CAD542"/>
      <c r="CAE542"/>
      <c r="CAF542"/>
      <c r="CAG542"/>
      <c r="CAH542"/>
      <c r="CAI542"/>
      <c r="CAJ542"/>
      <c r="CAK542"/>
      <c r="CAL542"/>
      <c r="CAM542"/>
      <c r="CAN542"/>
      <c r="CAO542"/>
      <c r="CAP542"/>
      <c r="CAQ542"/>
      <c r="CAR542"/>
      <c r="CAS542"/>
      <c r="CAT542"/>
      <c r="CAU542"/>
      <c r="CAV542"/>
      <c r="CAW542"/>
      <c r="CAX542"/>
      <c r="CAY542"/>
      <c r="CAZ542"/>
      <c r="CBA542"/>
      <c r="CBB542"/>
      <c r="CBC542"/>
      <c r="CBD542"/>
      <c r="CBE542"/>
      <c r="CBF542"/>
      <c r="CBG542"/>
      <c r="CBH542"/>
      <c r="CBI542"/>
      <c r="CBJ542"/>
      <c r="CBK542"/>
      <c r="CBL542"/>
      <c r="CBM542"/>
      <c r="CBN542"/>
      <c r="CBO542"/>
      <c r="CBP542"/>
      <c r="CBQ542"/>
      <c r="CBR542"/>
      <c r="CBS542"/>
      <c r="CBT542"/>
      <c r="CBU542"/>
      <c r="CBV542"/>
      <c r="CBW542"/>
      <c r="CBX542"/>
      <c r="CBY542"/>
      <c r="CBZ542"/>
      <c r="CCA542"/>
      <c r="CCB542"/>
      <c r="CCC542"/>
      <c r="CCD542"/>
      <c r="CCE542"/>
      <c r="CCF542"/>
      <c r="CCG542"/>
      <c r="CCH542"/>
      <c r="CCI542"/>
      <c r="CCJ542"/>
      <c r="CCK542"/>
      <c r="CCL542"/>
      <c r="CCM542"/>
      <c r="CCN542"/>
      <c r="CCO542"/>
      <c r="CCP542"/>
      <c r="CCQ542"/>
      <c r="CCR542"/>
      <c r="CCS542"/>
      <c r="CCT542"/>
      <c r="CCU542"/>
      <c r="CCV542"/>
      <c r="CCW542"/>
      <c r="CCX542"/>
      <c r="CCY542"/>
      <c r="CCZ542"/>
      <c r="CDA542"/>
      <c r="CDB542"/>
      <c r="CDC542"/>
      <c r="CDD542"/>
      <c r="CDE542"/>
      <c r="CDF542"/>
      <c r="CDG542"/>
      <c r="CDH542"/>
      <c r="CDI542"/>
      <c r="CDJ542"/>
      <c r="CDK542"/>
      <c r="CDL542"/>
      <c r="CDM542"/>
      <c r="CDN542"/>
      <c r="CDO542"/>
      <c r="CDP542"/>
      <c r="CDQ542"/>
      <c r="CDR542"/>
      <c r="CDS542"/>
      <c r="CDT542"/>
      <c r="CDU542"/>
      <c r="CDV542"/>
      <c r="CDW542"/>
      <c r="CDX542"/>
      <c r="CDY542"/>
      <c r="CDZ542"/>
      <c r="CEA542"/>
      <c r="CEB542"/>
      <c r="CEC542"/>
      <c r="CED542"/>
      <c r="CEE542"/>
      <c r="CEF542"/>
      <c r="CEG542"/>
      <c r="CEH542"/>
      <c r="CEI542"/>
      <c r="CEJ542"/>
      <c r="CEK542"/>
      <c r="CEL542"/>
      <c r="CEM542"/>
      <c r="CEN542"/>
      <c r="CEO542"/>
      <c r="CEP542"/>
      <c r="CEQ542"/>
      <c r="CER542"/>
      <c r="CES542"/>
      <c r="CET542"/>
      <c r="CEU542"/>
      <c r="CEV542"/>
      <c r="CEW542"/>
      <c r="CEX542"/>
      <c r="CEY542"/>
      <c r="CEZ542"/>
      <c r="CFA542"/>
      <c r="CFB542"/>
      <c r="CFC542"/>
      <c r="CFD542"/>
      <c r="CFE542"/>
      <c r="CFF542"/>
      <c r="CFG542"/>
      <c r="CFH542"/>
      <c r="CFI542"/>
      <c r="CFJ542"/>
      <c r="CFK542"/>
      <c r="CFL542"/>
      <c r="CFM542"/>
      <c r="CFN542"/>
      <c r="CFO542"/>
      <c r="CFP542"/>
      <c r="CFQ542"/>
      <c r="CFR542"/>
      <c r="CFS542"/>
      <c r="CFT542"/>
      <c r="CFU542"/>
      <c r="CFV542"/>
      <c r="CFW542"/>
      <c r="CFX542"/>
      <c r="CFY542"/>
      <c r="CFZ542"/>
      <c r="CGA542"/>
      <c r="CGB542"/>
      <c r="CGC542"/>
      <c r="CGD542"/>
      <c r="CGE542"/>
      <c r="CGF542"/>
      <c r="CGG542"/>
      <c r="CGH542"/>
      <c r="CGI542"/>
      <c r="CGJ542"/>
      <c r="CGK542"/>
      <c r="CGL542"/>
      <c r="CGM542"/>
      <c r="CGN542"/>
      <c r="CGO542"/>
      <c r="CGP542"/>
      <c r="CGQ542"/>
      <c r="CGR542"/>
      <c r="CGS542"/>
      <c r="CGT542"/>
      <c r="CGU542"/>
      <c r="CGV542"/>
      <c r="CGW542"/>
      <c r="CGX542"/>
      <c r="CGY542"/>
      <c r="CGZ542"/>
      <c r="CHA542"/>
      <c r="CHB542"/>
      <c r="CHC542"/>
      <c r="CHD542"/>
      <c r="CHE542"/>
      <c r="CHF542"/>
      <c r="CHG542"/>
      <c r="CHH542"/>
      <c r="CHI542"/>
      <c r="CHJ542"/>
      <c r="CHK542"/>
      <c r="CHL542"/>
      <c r="CHM542"/>
      <c r="CHN542"/>
      <c r="CHO542"/>
      <c r="CHP542"/>
      <c r="CHQ542"/>
      <c r="CHR542"/>
      <c r="CHS542"/>
      <c r="CHT542"/>
      <c r="CHU542"/>
      <c r="CHV542"/>
      <c r="CHW542"/>
      <c r="CHX542"/>
      <c r="CHY542"/>
      <c r="CHZ542"/>
      <c r="CIA542"/>
      <c r="CIB542"/>
      <c r="CIC542"/>
      <c r="CID542"/>
      <c r="CIE542"/>
      <c r="CIF542"/>
      <c r="CIG542"/>
      <c r="CIH542"/>
      <c r="CII542"/>
      <c r="CIJ542"/>
      <c r="CIK542"/>
      <c r="CIL542"/>
      <c r="CIM542"/>
      <c r="CIN542"/>
      <c r="CIO542"/>
      <c r="CIP542"/>
      <c r="CIQ542"/>
      <c r="CIR542"/>
      <c r="CIS542"/>
      <c r="CIT542"/>
      <c r="CIU542"/>
      <c r="CIV542"/>
      <c r="CIW542"/>
      <c r="CIX542"/>
      <c r="CIY542"/>
      <c r="CIZ542"/>
      <c r="CJA542"/>
      <c r="CJB542"/>
      <c r="CJC542"/>
      <c r="CJD542"/>
      <c r="CJE542"/>
      <c r="CJF542"/>
      <c r="CJG542"/>
      <c r="CJH542"/>
      <c r="CJI542"/>
      <c r="CJJ542"/>
      <c r="CJK542"/>
      <c r="CJL542"/>
      <c r="CJM542"/>
      <c r="CJN542"/>
      <c r="CJO542"/>
      <c r="CJP542"/>
      <c r="CJQ542"/>
      <c r="CJR542"/>
      <c r="CJS542"/>
      <c r="CJT542"/>
      <c r="CJU542"/>
      <c r="CJV542"/>
      <c r="CJW542"/>
      <c r="CJX542"/>
      <c r="CJY542"/>
      <c r="CJZ542"/>
      <c r="CKA542"/>
      <c r="CKB542"/>
      <c r="CKC542"/>
      <c r="CKD542"/>
      <c r="CKE542"/>
      <c r="CKF542"/>
      <c r="CKG542"/>
      <c r="CKH542"/>
      <c r="CKI542"/>
      <c r="CKJ542"/>
      <c r="CKK542"/>
      <c r="CKL542"/>
      <c r="CKM542"/>
      <c r="CKN542"/>
      <c r="CKO542"/>
      <c r="CKP542"/>
      <c r="CKQ542"/>
      <c r="CKR542"/>
      <c r="CKS542"/>
      <c r="CKT542"/>
      <c r="CKU542"/>
      <c r="CKV542"/>
      <c r="CKW542"/>
      <c r="CKX542"/>
      <c r="CKY542"/>
      <c r="CKZ542"/>
      <c r="CLA542"/>
      <c r="CLB542"/>
      <c r="CLC542"/>
      <c r="CLD542"/>
      <c r="CLE542"/>
      <c r="CLF542"/>
      <c r="CLG542"/>
      <c r="CLH542"/>
      <c r="CLI542"/>
      <c r="CLJ542"/>
      <c r="CLK542"/>
      <c r="CLL542"/>
      <c r="CLM542"/>
      <c r="CLN542"/>
      <c r="CLO542"/>
      <c r="CLP542"/>
      <c r="CLQ542"/>
      <c r="CLR542"/>
      <c r="CLS542"/>
      <c r="CLT542"/>
      <c r="CLU542"/>
      <c r="CLV542"/>
      <c r="CLW542"/>
      <c r="CLX542"/>
      <c r="CLY542"/>
      <c r="CLZ542"/>
      <c r="CMA542"/>
      <c r="CMB542"/>
      <c r="CMC542"/>
      <c r="CMD542"/>
      <c r="CME542"/>
      <c r="CMF542"/>
      <c r="CMG542"/>
      <c r="CMH542"/>
      <c r="CMI542"/>
      <c r="CMJ542"/>
      <c r="CMK542"/>
      <c r="CML542"/>
      <c r="CMM542"/>
      <c r="CMN542"/>
      <c r="CMO542"/>
      <c r="CMP542"/>
      <c r="CMQ542"/>
      <c r="CMR542"/>
      <c r="CMS542"/>
      <c r="CMT542"/>
      <c r="CMU542"/>
      <c r="CMV542"/>
      <c r="CMW542"/>
      <c r="CMX542"/>
      <c r="CMY542"/>
      <c r="CMZ542"/>
      <c r="CNA542"/>
      <c r="CNB542"/>
      <c r="CNC542"/>
      <c r="CND542"/>
      <c r="CNE542"/>
      <c r="CNF542"/>
      <c r="CNG542"/>
      <c r="CNH542"/>
      <c r="CNI542"/>
      <c r="CNJ542"/>
      <c r="CNK542"/>
      <c r="CNL542"/>
      <c r="CNM542"/>
      <c r="CNN542"/>
      <c r="CNO542"/>
      <c r="CNP542"/>
      <c r="CNQ542"/>
      <c r="CNR542"/>
      <c r="CNS542"/>
      <c r="CNT542"/>
      <c r="CNU542"/>
      <c r="CNV542"/>
      <c r="CNW542"/>
      <c r="CNX542"/>
      <c r="CNY542"/>
      <c r="CNZ542"/>
      <c r="COA542"/>
      <c r="COB542"/>
      <c r="COC542"/>
      <c r="COD542"/>
      <c r="COE542"/>
      <c r="COF542"/>
      <c r="COG542"/>
      <c r="COH542"/>
      <c r="COI542"/>
      <c r="COJ542"/>
      <c r="COK542"/>
      <c r="COL542"/>
      <c r="COM542"/>
      <c r="CON542"/>
      <c r="COO542"/>
      <c r="COP542"/>
      <c r="COQ542"/>
      <c r="COR542"/>
      <c r="COS542"/>
      <c r="COT542"/>
      <c r="COU542"/>
      <c r="COV542"/>
      <c r="COW542"/>
      <c r="COX542"/>
      <c r="COY542"/>
      <c r="COZ542"/>
      <c r="CPA542"/>
      <c r="CPB542"/>
      <c r="CPC542"/>
      <c r="CPD542"/>
      <c r="CPE542"/>
      <c r="CPF542"/>
      <c r="CPG542"/>
      <c r="CPH542"/>
      <c r="CPI542"/>
      <c r="CPJ542"/>
      <c r="CPK542"/>
      <c r="CPL542"/>
      <c r="CPM542"/>
      <c r="CPN542"/>
      <c r="CPO542"/>
      <c r="CPP542"/>
      <c r="CPQ542"/>
      <c r="CPR542"/>
      <c r="CPS542"/>
      <c r="CPT542"/>
      <c r="CPU542"/>
      <c r="CPV542"/>
      <c r="CPW542"/>
      <c r="CPX542"/>
      <c r="CPY542"/>
      <c r="CPZ542"/>
      <c r="CQA542"/>
      <c r="CQB542"/>
      <c r="CQC542"/>
      <c r="CQD542"/>
      <c r="CQE542"/>
      <c r="CQF542"/>
      <c r="CQG542"/>
      <c r="CQH542"/>
      <c r="CQI542"/>
      <c r="CQJ542"/>
      <c r="CQK542"/>
      <c r="CQL542"/>
      <c r="CQM542"/>
      <c r="CQN542"/>
      <c r="CQO542"/>
      <c r="CQP542"/>
      <c r="CQQ542"/>
      <c r="CQR542"/>
      <c r="CQS542"/>
      <c r="CQT542"/>
      <c r="CQU542"/>
      <c r="CQV542"/>
      <c r="CQW542"/>
      <c r="CQX542"/>
      <c r="CQY542"/>
      <c r="CQZ542"/>
      <c r="CRA542"/>
      <c r="CRB542"/>
      <c r="CRC542"/>
      <c r="CRD542"/>
      <c r="CRE542"/>
      <c r="CRF542"/>
      <c r="CRG542"/>
      <c r="CRH542"/>
      <c r="CRI542"/>
      <c r="CRJ542"/>
      <c r="CRK542"/>
      <c r="CRL542"/>
      <c r="CRM542"/>
      <c r="CRN542"/>
      <c r="CRO542"/>
      <c r="CRP542"/>
      <c r="CRQ542"/>
      <c r="CRR542"/>
      <c r="CRS542"/>
      <c r="CRT542"/>
      <c r="CRU542"/>
      <c r="CRV542"/>
      <c r="CRW542"/>
      <c r="CRX542"/>
      <c r="CRY542"/>
      <c r="CRZ542"/>
      <c r="CSA542"/>
      <c r="CSB542"/>
      <c r="CSC542"/>
      <c r="CSD542"/>
      <c r="CSE542"/>
      <c r="CSF542"/>
      <c r="CSG542"/>
      <c r="CSH542"/>
      <c r="CSI542"/>
      <c r="CSJ542"/>
      <c r="CSK542"/>
      <c r="CSL542"/>
      <c r="CSM542"/>
      <c r="CSN542"/>
      <c r="CSO542"/>
      <c r="CSP542"/>
      <c r="CSQ542"/>
      <c r="CSR542"/>
      <c r="CSS542"/>
      <c r="CST542"/>
      <c r="CSU542"/>
      <c r="CSV542"/>
      <c r="CSW542"/>
      <c r="CSX542"/>
      <c r="CSY542"/>
      <c r="CSZ542"/>
      <c r="CTA542"/>
      <c r="CTB542"/>
      <c r="CTC542"/>
      <c r="CTD542"/>
      <c r="CTE542"/>
      <c r="CTF542"/>
      <c r="CTG542"/>
      <c r="CTH542"/>
      <c r="CTI542"/>
      <c r="CTJ542"/>
      <c r="CTK542"/>
      <c r="CTL542"/>
      <c r="CTM542"/>
      <c r="CTN542"/>
      <c r="CTO542"/>
      <c r="CTP542"/>
      <c r="CTQ542"/>
      <c r="CTR542"/>
      <c r="CTS542"/>
      <c r="CTT542"/>
      <c r="CTU542"/>
      <c r="CTV542"/>
      <c r="CTW542"/>
      <c r="CTX542"/>
      <c r="CTY542"/>
      <c r="CTZ542"/>
      <c r="CUA542"/>
      <c r="CUB542"/>
      <c r="CUC542"/>
      <c r="CUD542"/>
      <c r="CUE542"/>
      <c r="CUF542"/>
      <c r="CUG542"/>
      <c r="CUH542"/>
      <c r="CUI542"/>
      <c r="CUJ542"/>
      <c r="CUK542"/>
      <c r="CUL542"/>
      <c r="CUM542"/>
      <c r="CUN542"/>
      <c r="CUO542"/>
      <c r="CUP542"/>
      <c r="CUQ542"/>
      <c r="CUR542"/>
      <c r="CUS542"/>
      <c r="CUT542"/>
      <c r="CUU542"/>
      <c r="CUV542"/>
      <c r="CUW542"/>
      <c r="CUX542"/>
      <c r="CUY542"/>
      <c r="CUZ542"/>
      <c r="CVA542"/>
      <c r="CVB542"/>
      <c r="CVC542"/>
      <c r="CVD542"/>
      <c r="CVE542"/>
      <c r="CVF542"/>
      <c r="CVG542"/>
      <c r="CVH542"/>
      <c r="CVI542"/>
      <c r="CVJ542"/>
      <c r="CVK542"/>
      <c r="CVL542"/>
      <c r="CVM542"/>
      <c r="CVN542"/>
      <c r="CVO542"/>
      <c r="CVP542"/>
      <c r="CVQ542"/>
      <c r="CVR542"/>
      <c r="CVS542"/>
      <c r="CVT542"/>
      <c r="CVU542"/>
      <c r="CVV542"/>
      <c r="CVW542"/>
      <c r="CVX542"/>
      <c r="CVY542"/>
      <c r="CVZ542"/>
      <c r="CWA542"/>
      <c r="CWB542"/>
      <c r="CWC542"/>
      <c r="CWD542"/>
      <c r="CWE542"/>
      <c r="CWF542"/>
      <c r="CWG542"/>
      <c r="CWH542"/>
      <c r="CWI542"/>
      <c r="CWJ542"/>
      <c r="CWK542"/>
      <c r="CWL542"/>
      <c r="CWM542"/>
      <c r="CWN542"/>
      <c r="CWO542"/>
      <c r="CWP542"/>
      <c r="CWQ542"/>
      <c r="CWR542"/>
      <c r="CWS542"/>
      <c r="CWT542"/>
      <c r="CWU542"/>
      <c r="CWV542"/>
      <c r="CWW542"/>
      <c r="CWX542"/>
      <c r="CWY542"/>
      <c r="CWZ542"/>
      <c r="CXA542"/>
      <c r="CXB542"/>
      <c r="CXC542"/>
      <c r="CXD542"/>
      <c r="CXE542"/>
      <c r="CXF542"/>
      <c r="CXG542"/>
      <c r="CXH542"/>
      <c r="CXI542"/>
      <c r="CXJ542"/>
      <c r="CXK542"/>
      <c r="CXL542"/>
      <c r="CXM542"/>
      <c r="CXN542"/>
      <c r="CXO542"/>
      <c r="CXP542"/>
      <c r="CXQ542"/>
      <c r="CXR542"/>
      <c r="CXS542"/>
      <c r="CXT542"/>
      <c r="CXU542"/>
      <c r="CXV542"/>
      <c r="CXW542"/>
      <c r="CXX542"/>
      <c r="CXY542"/>
      <c r="CXZ542"/>
      <c r="CYA542"/>
      <c r="CYB542"/>
      <c r="CYC542"/>
      <c r="CYD542"/>
      <c r="CYE542"/>
      <c r="CYF542"/>
      <c r="CYG542"/>
      <c r="CYH542"/>
      <c r="CYI542"/>
      <c r="CYJ542"/>
      <c r="CYK542"/>
      <c r="CYL542"/>
      <c r="CYM542"/>
      <c r="CYN542"/>
      <c r="CYO542"/>
      <c r="CYP542"/>
      <c r="CYQ542"/>
      <c r="CYR542"/>
      <c r="CYS542"/>
      <c r="CYT542"/>
      <c r="CYU542"/>
      <c r="CYV542"/>
      <c r="CYW542"/>
      <c r="CYX542"/>
      <c r="CYY542"/>
      <c r="CYZ542"/>
      <c r="CZA542"/>
      <c r="CZB542"/>
      <c r="CZC542"/>
      <c r="CZD542"/>
      <c r="CZE542"/>
      <c r="CZF542"/>
      <c r="CZG542"/>
      <c r="CZH542"/>
      <c r="CZI542"/>
      <c r="CZJ542"/>
      <c r="CZK542"/>
      <c r="CZL542"/>
      <c r="CZM542"/>
      <c r="CZN542"/>
      <c r="CZO542"/>
      <c r="CZP542"/>
      <c r="CZQ542"/>
      <c r="CZR542"/>
      <c r="CZS542"/>
      <c r="CZT542"/>
      <c r="CZU542"/>
      <c r="CZV542"/>
      <c r="CZW542"/>
      <c r="CZX542"/>
      <c r="CZY542"/>
      <c r="CZZ542"/>
      <c r="DAA542"/>
      <c r="DAB542"/>
      <c r="DAC542"/>
      <c r="DAD542"/>
      <c r="DAE542"/>
      <c r="DAF542"/>
      <c r="DAG542"/>
      <c r="DAH542"/>
      <c r="DAI542"/>
      <c r="DAJ542"/>
      <c r="DAK542"/>
      <c r="DAL542"/>
      <c r="DAM542"/>
      <c r="DAN542"/>
      <c r="DAO542"/>
      <c r="DAP542"/>
      <c r="DAQ542"/>
      <c r="DAR542"/>
      <c r="DAS542"/>
      <c r="DAT542"/>
      <c r="DAU542"/>
      <c r="DAV542"/>
      <c r="DAW542"/>
      <c r="DAX542"/>
      <c r="DAY542"/>
      <c r="DAZ542"/>
      <c r="DBA542"/>
      <c r="DBB542"/>
      <c r="DBC542"/>
      <c r="DBD542"/>
      <c r="DBE542"/>
      <c r="DBF542"/>
      <c r="DBG542"/>
      <c r="DBH542"/>
      <c r="DBI542"/>
      <c r="DBJ542"/>
      <c r="DBK542"/>
      <c r="DBL542"/>
      <c r="DBM542"/>
      <c r="DBN542"/>
      <c r="DBO542"/>
      <c r="DBP542"/>
      <c r="DBQ542"/>
      <c r="DBR542"/>
      <c r="DBS542"/>
      <c r="DBT542"/>
      <c r="DBU542"/>
      <c r="DBV542"/>
      <c r="DBW542"/>
      <c r="DBX542"/>
      <c r="DBY542"/>
      <c r="DBZ542"/>
      <c r="DCA542"/>
      <c r="DCB542"/>
      <c r="DCC542"/>
      <c r="DCD542"/>
      <c r="DCE542"/>
      <c r="DCF542"/>
      <c r="DCG542"/>
      <c r="DCH542"/>
      <c r="DCI542"/>
      <c r="DCJ542"/>
      <c r="DCK542"/>
      <c r="DCL542"/>
      <c r="DCM542"/>
      <c r="DCN542"/>
      <c r="DCO542"/>
      <c r="DCP542"/>
      <c r="DCQ542"/>
      <c r="DCR542"/>
      <c r="DCS542"/>
      <c r="DCT542"/>
      <c r="DCU542"/>
      <c r="DCV542"/>
      <c r="DCW542"/>
      <c r="DCX542"/>
      <c r="DCY542"/>
      <c r="DCZ542"/>
      <c r="DDA542"/>
      <c r="DDB542"/>
      <c r="DDC542"/>
      <c r="DDD542"/>
      <c r="DDE542"/>
      <c r="DDF542"/>
      <c r="DDG542"/>
      <c r="DDH542"/>
      <c r="DDI542"/>
      <c r="DDJ542"/>
      <c r="DDK542"/>
      <c r="DDL542"/>
      <c r="DDM542"/>
      <c r="DDN542"/>
      <c r="DDO542"/>
      <c r="DDP542"/>
      <c r="DDQ542"/>
      <c r="DDR542"/>
      <c r="DDS542"/>
      <c r="DDT542"/>
      <c r="DDU542"/>
      <c r="DDV542"/>
      <c r="DDW542"/>
      <c r="DDX542"/>
      <c r="DDY542"/>
      <c r="DDZ542"/>
      <c r="DEA542"/>
      <c r="DEB542"/>
      <c r="DEC542"/>
      <c r="DED542"/>
      <c r="DEE542"/>
      <c r="DEF542"/>
      <c r="DEG542"/>
      <c r="DEH542"/>
      <c r="DEI542"/>
      <c r="DEJ542"/>
      <c r="DEK542"/>
      <c r="DEL542"/>
      <c r="DEM542"/>
      <c r="DEN542"/>
      <c r="DEO542"/>
      <c r="DEP542"/>
      <c r="DEQ542"/>
      <c r="DER542"/>
      <c r="DES542"/>
      <c r="DET542"/>
      <c r="DEU542"/>
      <c r="DEV542"/>
      <c r="DEW542"/>
      <c r="DEX542"/>
      <c r="DEY542"/>
      <c r="DEZ542"/>
      <c r="DFA542"/>
      <c r="DFB542"/>
      <c r="DFC542"/>
      <c r="DFD542"/>
      <c r="DFE542"/>
      <c r="DFF542"/>
      <c r="DFG542"/>
      <c r="DFH542"/>
      <c r="DFI542"/>
      <c r="DFJ542"/>
      <c r="DFK542"/>
      <c r="DFL542"/>
      <c r="DFM542"/>
      <c r="DFN542"/>
      <c r="DFO542"/>
      <c r="DFP542"/>
      <c r="DFQ542"/>
      <c r="DFR542"/>
      <c r="DFS542"/>
      <c r="DFT542"/>
      <c r="DFU542"/>
      <c r="DFV542"/>
      <c r="DFW542"/>
      <c r="DFX542"/>
      <c r="DFY542"/>
      <c r="DFZ542"/>
      <c r="DGA542"/>
      <c r="DGB542"/>
      <c r="DGC542"/>
      <c r="DGD542"/>
      <c r="DGE542"/>
      <c r="DGF542"/>
      <c r="DGG542"/>
      <c r="DGH542"/>
      <c r="DGI542"/>
      <c r="DGJ542"/>
      <c r="DGK542"/>
      <c r="DGL542"/>
      <c r="DGM542"/>
      <c r="DGN542"/>
      <c r="DGO542"/>
      <c r="DGP542"/>
      <c r="DGQ542"/>
      <c r="DGR542"/>
      <c r="DGS542"/>
      <c r="DGT542"/>
      <c r="DGU542"/>
      <c r="DGV542"/>
      <c r="DGW542"/>
      <c r="DGX542"/>
      <c r="DGY542"/>
      <c r="DGZ542"/>
      <c r="DHA542"/>
      <c r="DHB542"/>
      <c r="DHC542"/>
      <c r="DHD542"/>
      <c r="DHE542"/>
      <c r="DHF542"/>
      <c r="DHG542"/>
      <c r="DHH542"/>
      <c r="DHI542"/>
      <c r="DHJ542"/>
      <c r="DHK542"/>
      <c r="DHL542"/>
      <c r="DHM542"/>
      <c r="DHN542"/>
      <c r="DHO542"/>
      <c r="DHP542"/>
      <c r="DHQ542"/>
      <c r="DHR542"/>
      <c r="DHS542"/>
      <c r="DHT542"/>
      <c r="DHU542"/>
      <c r="DHV542"/>
      <c r="DHW542"/>
      <c r="DHX542"/>
      <c r="DHY542"/>
      <c r="DHZ542"/>
      <c r="DIA542"/>
      <c r="DIB542"/>
      <c r="DIC542"/>
      <c r="DID542"/>
      <c r="DIE542"/>
      <c r="DIF542"/>
      <c r="DIG542"/>
      <c r="DIH542"/>
      <c r="DII542"/>
      <c r="DIJ542"/>
      <c r="DIK542"/>
      <c r="DIL542"/>
      <c r="DIM542"/>
      <c r="DIN542"/>
      <c r="DIO542"/>
      <c r="DIP542"/>
      <c r="DIQ542"/>
      <c r="DIR542"/>
      <c r="DIS542"/>
      <c r="DIT542"/>
      <c r="DIU542"/>
      <c r="DIV542"/>
      <c r="DIW542"/>
      <c r="DIX542"/>
      <c r="DIY542"/>
      <c r="DIZ542"/>
      <c r="DJA542"/>
      <c r="DJB542"/>
      <c r="DJC542"/>
      <c r="DJD542"/>
      <c r="DJE542"/>
      <c r="DJF542"/>
      <c r="DJG542"/>
      <c r="DJH542"/>
      <c r="DJI542"/>
      <c r="DJJ542"/>
      <c r="DJK542"/>
      <c r="DJL542"/>
      <c r="DJM542"/>
      <c r="DJN542"/>
      <c r="DJO542"/>
      <c r="DJP542"/>
      <c r="DJQ542"/>
      <c r="DJR542"/>
      <c r="DJS542"/>
      <c r="DJT542"/>
      <c r="DJU542"/>
      <c r="DJV542"/>
      <c r="DJW542"/>
      <c r="DJX542"/>
      <c r="DJY542"/>
      <c r="DJZ542"/>
      <c r="DKA542"/>
      <c r="DKB542"/>
      <c r="DKC542"/>
      <c r="DKD542"/>
      <c r="DKE542"/>
      <c r="DKF542"/>
      <c r="DKG542"/>
      <c r="DKH542"/>
      <c r="DKI542"/>
      <c r="DKJ542"/>
      <c r="DKK542"/>
      <c r="DKL542"/>
      <c r="DKM542"/>
      <c r="DKN542"/>
      <c r="DKO542"/>
      <c r="DKP542"/>
      <c r="DKQ542"/>
      <c r="DKR542"/>
      <c r="DKS542"/>
      <c r="DKT542"/>
      <c r="DKU542"/>
      <c r="DKV542"/>
      <c r="DKW542"/>
      <c r="DKX542"/>
      <c r="DKY542"/>
      <c r="DKZ542"/>
      <c r="DLA542"/>
      <c r="DLB542"/>
      <c r="DLC542"/>
      <c r="DLD542"/>
      <c r="DLE542"/>
      <c r="DLF542"/>
      <c r="DLG542"/>
      <c r="DLH542"/>
      <c r="DLI542"/>
      <c r="DLJ542"/>
      <c r="DLK542"/>
      <c r="DLL542"/>
      <c r="DLM542"/>
      <c r="DLN542"/>
      <c r="DLO542"/>
      <c r="DLP542"/>
      <c r="DLQ542"/>
      <c r="DLR542"/>
      <c r="DLS542"/>
      <c r="DLT542"/>
      <c r="DLU542"/>
      <c r="DLV542"/>
      <c r="DLW542"/>
      <c r="DLX542"/>
      <c r="DLY542"/>
      <c r="DLZ542"/>
      <c r="DMA542"/>
      <c r="DMB542"/>
      <c r="DMC542"/>
      <c r="DMD542"/>
      <c r="DME542"/>
      <c r="DMF542"/>
      <c r="DMG542"/>
      <c r="DMH542"/>
      <c r="DMI542"/>
      <c r="DMJ542"/>
      <c r="DMK542"/>
      <c r="DML542"/>
      <c r="DMM542"/>
      <c r="DMN542"/>
      <c r="DMO542"/>
      <c r="DMP542"/>
      <c r="DMQ542"/>
      <c r="DMR542"/>
      <c r="DMS542"/>
      <c r="DMT542"/>
      <c r="DMU542"/>
      <c r="DMV542"/>
      <c r="DMW542"/>
      <c r="DMX542"/>
      <c r="DMY542"/>
      <c r="DMZ542"/>
      <c r="DNA542"/>
      <c r="DNB542"/>
      <c r="DNC542"/>
      <c r="DND542"/>
      <c r="DNE542"/>
      <c r="DNF542"/>
      <c r="DNG542"/>
      <c r="DNH542"/>
      <c r="DNI542"/>
      <c r="DNJ542"/>
      <c r="DNK542"/>
      <c r="DNL542"/>
      <c r="DNM542"/>
      <c r="DNN542"/>
      <c r="DNO542"/>
      <c r="DNP542"/>
      <c r="DNQ542"/>
      <c r="DNR542"/>
      <c r="DNS542"/>
      <c r="DNT542"/>
      <c r="DNU542"/>
      <c r="DNV542"/>
      <c r="DNW542"/>
      <c r="DNX542"/>
      <c r="DNY542"/>
      <c r="DNZ542"/>
      <c r="DOA542"/>
      <c r="DOB542"/>
      <c r="DOC542"/>
      <c r="DOD542"/>
      <c r="DOE542"/>
      <c r="DOF542"/>
      <c r="DOG542"/>
      <c r="DOH542"/>
      <c r="DOI542"/>
      <c r="DOJ542"/>
      <c r="DOK542"/>
      <c r="DOL542"/>
      <c r="DOM542"/>
      <c r="DON542"/>
      <c r="DOO542"/>
      <c r="DOP542"/>
      <c r="DOQ542"/>
      <c r="DOR542"/>
      <c r="DOS542"/>
      <c r="DOT542"/>
      <c r="DOU542"/>
      <c r="DOV542"/>
      <c r="DOW542"/>
      <c r="DOX542"/>
      <c r="DOY542"/>
      <c r="DOZ542"/>
      <c r="DPA542"/>
      <c r="DPB542"/>
      <c r="DPC542"/>
      <c r="DPD542"/>
      <c r="DPE542"/>
      <c r="DPF542"/>
      <c r="DPG542"/>
      <c r="DPH542"/>
      <c r="DPI542"/>
      <c r="DPJ542"/>
      <c r="DPK542"/>
      <c r="DPL542"/>
      <c r="DPM542"/>
      <c r="DPN542"/>
      <c r="DPO542"/>
      <c r="DPP542"/>
      <c r="DPQ542"/>
      <c r="DPR542"/>
      <c r="DPS542"/>
      <c r="DPT542"/>
      <c r="DPU542"/>
      <c r="DPV542"/>
      <c r="DPW542"/>
      <c r="DPX542"/>
      <c r="DPY542"/>
      <c r="DPZ542"/>
      <c r="DQA542"/>
      <c r="DQB542"/>
      <c r="DQC542"/>
      <c r="DQD542"/>
      <c r="DQE542"/>
      <c r="DQF542"/>
      <c r="DQG542"/>
      <c r="DQH542"/>
      <c r="DQI542"/>
      <c r="DQJ542"/>
      <c r="DQK542"/>
      <c r="DQL542"/>
      <c r="DQM542"/>
      <c r="DQN542"/>
      <c r="DQO542"/>
      <c r="DQP542"/>
      <c r="DQQ542"/>
      <c r="DQR542"/>
      <c r="DQS542"/>
      <c r="DQT542"/>
      <c r="DQU542"/>
      <c r="DQV542"/>
      <c r="DQW542"/>
      <c r="DQX542"/>
      <c r="DQY542"/>
      <c r="DQZ542"/>
      <c r="DRA542"/>
      <c r="DRB542"/>
      <c r="DRC542"/>
      <c r="DRD542"/>
      <c r="DRE542"/>
      <c r="DRF542"/>
      <c r="DRG542"/>
      <c r="DRH542"/>
      <c r="DRI542"/>
      <c r="DRJ542"/>
      <c r="DRK542"/>
      <c r="DRL542"/>
      <c r="DRM542"/>
      <c r="DRN542"/>
      <c r="DRO542"/>
      <c r="DRP542"/>
      <c r="DRQ542"/>
      <c r="DRR542"/>
      <c r="DRS542"/>
      <c r="DRT542"/>
      <c r="DRU542"/>
      <c r="DRV542"/>
      <c r="DRW542"/>
      <c r="DRX542"/>
      <c r="DRY542"/>
      <c r="DRZ542"/>
      <c r="DSA542"/>
      <c r="DSB542"/>
      <c r="DSC542"/>
      <c r="DSD542"/>
      <c r="DSE542"/>
      <c r="DSF542"/>
      <c r="DSG542"/>
      <c r="DSH542"/>
      <c r="DSI542"/>
      <c r="DSJ542"/>
      <c r="DSK542"/>
      <c r="DSL542"/>
      <c r="DSM542"/>
      <c r="DSN542"/>
      <c r="DSO542"/>
      <c r="DSP542"/>
      <c r="DSQ542"/>
      <c r="DSR542"/>
      <c r="DSS542"/>
      <c r="DST542"/>
      <c r="DSU542"/>
      <c r="DSV542"/>
      <c r="DSW542"/>
      <c r="DSX542"/>
      <c r="DSY542"/>
      <c r="DSZ542"/>
      <c r="DTA542"/>
      <c r="DTB542"/>
      <c r="DTC542"/>
      <c r="DTD542"/>
      <c r="DTE542"/>
      <c r="DTF542"/>
      <c r="DTG542"/>
      <c r="DTH542"/>
      <c r="DTI542"/>
      <c r="DTJ542"/>
      <c r="DTK542"/>
      <c r="DTL542"/>
      <c r="DTM542"/>
      <c r="DTN542"/>
      <c r="DTO542"/>
      <c r="DTP542"/>
      <c r="DTQ542"/>
      <c r="DTR542"/>
      <c r="DTS542"/>
      <c r="DTT542"/>
      <c r="DTU542"/>
      <c r="DTV542"/>
      <c r="DTW542"/>
      <c r="DTX542"/>
      <c r="DTY542"/>
      <c r="DTZ542"/>
      <c r="DUA542"/>
      <c r="DUB542"/>
      <c r="DUC542"/>
      <c r="DUD542"/>
      <c r="DUE542"/>
      <c r="DUF542"/>
      <c r="DUG542"/>
      <c r="DUH542"/>
      <c r="DUI542"/>
      <c r="DUJ542"/>
      <c r="DUK542"/>
      <c r="DUL542"/>
      <c r="DUM542"/>
      <c r="DUN542"/>
      <c r="DUO542"/>
      <c r="DUP542"/>
      <c r="DUQ542"/>
      <c r="DUR542"/>
      <c r="DUS542"/>
      <c r="DUT542"/>
      <c r="DUU542"/>
      <c r="DUV542"/>
      <c r="DUW542"/>
      <c r="DUX542"/>
      <c r="DUY542"/>
      <c r="DUZ542"/>
      <c r="DVA542"/>
      <c r="DVB542"/>
      <c r="DVC542"/>
      <c r="DVD542"/>
      <c r="DVE542"/>
      <c r="DVF542"/>
      <c r="DVG542"/>
      <c r="DVH542"/>
      <c r="DVI542"/>
      <c r="DVJ542"/>
      <c r="DVK542"/>
      <c r="DVL542"/>
      <c r="DVM542"/>
      <c r="DVN542"/>
      <c r="DVO542"/>
      <c r="DVP542"/>
      <c r="DVQ542"/>
      <c r="DVR542"/>
      <c r="DVS542"/>
      <c r="DVT542"/>
      <c r="DVU542"/>
      <c r="DVV542"/>
      <c r="DVW542"/>
      <c r="DVX542"/>
      <c r="DVY542"/>
      <c r="DVZ542"/>
      <c r="DWA542"/>
      <c r="DWB542"/>
      <c r="DWC542"/>
      <c r="DWD542"/>
      <c r="DWE542"/>
      <c r="DWF542"/>
      <c r="DWG542"/>
      <c r="DWH542"/>
      <c r="DWI542"/>
      <c r="DWJ542"/>
      <c r="DWK542"/>
      <c r="DWL542"/>
      <c r="DWM542"/>
      <c r="DWN542"/>
      <c r="DWO542"/>
      <c r="DWP542"/>
      <c r="DWQ542"/>
      <c r="DWR542"/>
      <c r="DWS542"/>
      <c r="DWT542"/>
      <c r="DWU542"/>
      <c r="DWV542"/>
      <c r="DWW542"/>
      <c r="DWX542"/>
      <c r="DWY542"/>
      <c r="DWZ542"/>
      <c r="DXA542"/>
      <c r="DXB542"/>
      <c r="DXC542"/>
      <c r="DXD542"/>
      <c r="DXE542"/>
      <c r="DXF542"/>
      <c r="DXG542"/>
      <c r="DXH542"/>
      <c r="DXI542"/>
      <c r="DXJ542"/>
      <c r="DXK542"/>
      <c r="DXL542"/>
      <c r="DXM542"/>
      <c r="DXN542"/>
      <c r="DXO542"/>
      <c r="DXP542"/>
      <c r="DXQ542"/>
      <c r="DXR542"/>
      <c r="DXS542"/>
      <c r="DXT542"/>
      <c r="DXU542"/>
      <c r="DXV542"/>
      <c r="DXW542"/>
      <c r="DXX542"/>
      <c r="DXY542"/>
      <c r="DXZ542"/>
      <c r="DYA542"/>
      <c r="DYB542"/>
      <c r="DYC542"/>
      <c r="DYD542"/>
      <c r="DYE542"/>
      <c r="DYF542"/>
      <c r="DYG542"/>
      <c r="DYH542"/>
      <c r="DYI542"/>
      <c r="DYJ542"/>
      <c r="DYK542"/>
      <c r="DYL542"/>
      <c r="DYM542"/>
      <c r="DYN542"/>
      <c r="DYO542"/>
      <c r="DYP542"/>
      <c r="DYQ542"/>
      <c r="DYR542"/>
      <c r="DYS542"/>
      <c r="DYT542"/>
      <c r="DYU542"/>
      <c r="DYV542"/>
      <c r="DYW542"/>
      <c r="DYX542"/>
      <c r="DYY542"/>
      <c r="DYZ542"/>
      <c r="DZA542"/>
      <c r="DZB542"/>
      <c r="DZC542"/>
      <c r="DZD542"/>
      <c r="DZE542"/>
      <c r="DZF542"/>
      <c r="DZG542"/>
      <c r="DZH542"/>
      <c r="DZI542"/>
      <c r="DZJ542"/>
      <c r="DZK542"/>
      <c r="DZL542"/>
      <c r="DZM542"/>
      <c r="DZN542"/>
      <c r="DZO542"/>
      <c r="DZP542"/>
      <c r="DZQ542"/>
      <c r="DZR542"/>
      <c r="DZS542"/>
      <c r="DZT542"/>
      <c r="DZU542"/>
      <c r="DZV542"/>
      <c r="DZW542"/>
      <c r="DZX542"/>
      <c r="DZY542"/>
      <c r="DZZ542"/>
      <c r="EAA542"/>
      <c r="EAB542"/>
      <c r="EAC542"/>
      <c r="EAD542"/>
      <c r="EAE542"/>
      <c r="EAF542"/>
      <c r="EAG542"/>
      <c r="EAH542"/>
      <c r="EAI542"/>
      <c r="EAJ542"/>
      <c r="EAK542"/>
      <c r="EAL542"/>
      <c r="EAM542"/>
      <c r="EAN542"/>
      <c r="EAO542"/>
      <c r="EAP542"/>
      <c r="EAQ542"/>
      <c r="EAR542"/>
      <c r="EAS542"/>
      <c r="EAT542"/>
      <c r="EAU542"/>
      <c r="EAV542"/>
      <c r="EAW542"/>
      <c r="EAX542"/>
      <c r="EAY542"/>
      <c r="EAZ542"/>
      <c r="EBA542"/>
      <c r="EBB542"/>
      <c r="EBC542"/>
      <c r="EBD542"/>
      <c r="EBE542"/>
      <c r="EBF542"/>
      <c r="EBG542"/>
      <c r="EBH542"/>
      <c r="EBI542"/>
      <c r="EBJ542"/>
      <c r="EBK542"/>
      <c r="EBL542"/>
      <c r="EBM542"/>
      <c r="EBN542"/>
      <c r="EBO542"/>
      <c r="EBP542"/>
      <c r="EBQ542"/>
      <c r="EBR542"/>
      <c r="EBS542"/>
      <c r="EBT542"/>
      <c r="EBU542"/>
      <c r="EBV542"/>
      <c r="EBW542"/>
      <c r="EBX542"/>
      <c r="EBY542"/>
      <c r="EBZ542"/>
      <c r="ECA542"/>
      <c r="ECB542"/>
      <c r="ECC542"/>
      <c r="ECD542"/>
      <c r="ECE542"/>
      <c r="ECF542"/>
      <c r="ECG542"/>
      <c r="ECH542"/>
      <c r="ECI542"/>
      <c r="ECJ542"/>
      <c r="ECK542"/>
      <c r="ECL542"/>
      <c r="ECM542"/>
      <c r="ECN542"/>
      <c r="ECO542"/>
      <c r="ECP542"/>
      <c r="ECQ542"/>
      <c r="ECR542"/>
      <c r="ECS542"/>
      <c r="ECT542"/>
      <c r="ECU542"/>
      <c r="ECV542"/>
      <c r="ECW542"/>
      <c r="ECX542"/>
      <c r="ECY542"/>
      <c r="ECZ542"/>
      <c r="EDA542"/>
      <c r="EDB542"/>
      <c r="EDC542"/>
      <c r="EDD542"/>
      <c r="EDE542"/>
      <c r="EDF542"/>
      <c r="EDG542"/>
      <c r="EDH542"/>
      <c r="EDI542"/>
      <c r="EDJ542"/>
      <c r="EDK542"/>
      <c r="EDL542"/>
      <c r="EDM542"/>
      <c r="EDN542"/>
      <c r="EDO542"/>
      <c r="EDP542"/>
      <c r="EDQ542"/>
      <c r="EDR542"/>
      <c r="EDS542"/>
      <c r="EDT542"/>
      <c r="EDU542"/>
      <c r="EDV542"/>
      <c r="EDW542"/>
      <c r="EDX542"/>
      <c r="EDY542"/>
      <c r="EDZ542"/>
      <c r="EEA542"/>
      <c r="EEB542"/>
      <c r="EEC542"/>
      <c r="EED542"/>
      <c r="EEE542"/>
      <c r="EEF542"/>
      <c r="EEG542"/>
      <c r="EEH542"/>
      <c r="EEI542"/>
      <c r="EEJ542"/>
      <c r="EEK542"/>
      <c r="EEL542"/>
      <c r="EEM542"/>
      <c r="EEN542"/>
      <c r="EEO542"/>
      <c r="EEP542"/>
      <c r="EEQ542"/>
      <c r="EER542"/>
      <c r="EES542"/>
      <c r="EET542"/>
      <c r="EEU542"/>
      <c r="EEV542"/>
      <c r="EEW542"/>
      <c r="EEX542"/>
      <c r="EEY542"/>
      <c r="EEZ542"/>
      <c r="EFA542"/>
      <c r="EFB542"/>
      <c r="EFC542"/>
      <c r="EFD542"/>
      <c r="EFE542"/>
      <c r="EFF542"/>
      <c r="EFG542"/>
      <c r="EFH542"/>
      <c r="EFI542"/>
      <c r="EFJ542"/>
      <c r="EFK542"/>
      <c r="EFL542"/>
      <c r="EFM542"/>
      <c r="EFN542"/>
      <c r="EFO542"/>
      <c r="EFP542"/>
      <c r="EFQ542"/>
      <c r="EFR542"/>
      <c r="EFS542"/>
      <c r="EFT542"/>
      <c r="EFU542"/>
      <c r="EFV542"/>
      <c r="EFW542"/>
      <c r="EFX542"/>
      <c r="EFY542"/>
      <c r="EFZ542"/>
      <c r="EGA542"/>
      <c r="EGB542"/>
      <c r="EGC542"/>
      <c r="EGD542"/>
      <c r="EGE542"/>
      <c r="EGF542"/>
      <c r="EGG542"/>
      <c r="EGH542"/>
      <c r="EGI542"/>
      <c r="EGJ542"/>
      <c r="EGK542"/>
      <c r="EGL542"/>
      <c r="EGM542"/>
      <c r="EGN542"/>
      <c r="EGO542"/>
      <c r="EGP542"/>
      <c r="EGQ542"/>
      <c r="EGR542"/>
      <c r="EGS542"/>
      <c r="EGT542"/>
      <c r="EGU542"/>
      <c r="EGV542"/>
      <c r="EGW542"/>
      <c r="EGX542"/>
      <c r="EGY542"/>
      <c r="EGZ542"/>
      <c r="EHA542"/>
      <c r="EHB542"/>
      <c r="EHC542"/>
      <c r="EHD542"/>
      <c r="EHE542"/>
      <c r="EHF542"/>
      <c r="EHG542"/>
      <c r="EHH542"/>
      <c r="EHI542"/>
      <c r="EHJ542"/>
      <c r="EHK542"/>
      <c r="EHL542"/>
      <c r="EHM542"/>
      <c r="EHN542"/>
      <c r="EHO542"/>
      <c r="EHP542"/>
      <c r="EHQ542"/>
      <c r="EHR542"/>
      <c r="EHS542"/>
      <c r="EHT542"/>
      <c r="EHU542"/>
      <c r="EHV542"/>
      <c r="EHW542"/>
      <c r="EHX542"/>
      <c r="EHY542"/>
      <c r="EHZ542"/>
      <c r="EIA542"/>
      <c r="EIB542"/>
      <c r="EIC542"/>
      <c r="EID542"/>
      <c r="EIE542"/>
      <c r="EIF542"/>
      <c r="EIG542"/>
      <c r="EIH542"/>
      <c r="EII542"/>
      <c r="EIJ542"/>
      <c r="EIK542"/>
      <c r="EIL542"/>
      <c r="EIM542"/>
      <c r="EIN542"/>
      <c r="EIO542"/>
      <c r="EIP542"/>
      <c r="EIQ542"/>
      <c r="EIR542"/>
      <c r="EIS542"/>
      <c r="EIT542"/>
      <c r="EIU542"/>
      <c r="EIV542"/>
      <c r="EIW542"/>
      <c r="EIX542"/>
      <c r="EIY542"/>
      <c r="EIZ542"/>
      <c r="EJA542"/>
      <c r="EJB542"/>
      <c r="EJC542"/>
      <c r="EJD542"/>
      <c r="EJE542"/>
      <c r="EJF542"/>
      <c r="EJG542"/>
      <c r="EJH542"/>
      <c r="EJI542"/>
      <c r="EJJ542"/>
      <c r="EJK542"/>
      <c r="EJL542"/>
      <c r="EJM542"/>
      <c r="EJN542"/>
      <c r="EJO542"/>
      <c r="EJP542"/>
      <c r="EJQ542"/>
      <c r="EJR542"/>
      <c r="EJS542"/>
      <c r="EJT542"/>
      <c r="EJU542"/>
      <c r="EJV542"/>
      <c r="EJW542"/>
      <c r="EJX542"/>
      <c r="EJY542"/>
      <c r="EJZ542"/>
      <c r="EKA542"/>
      <c r="EKB542"/>
      <c r="EKC542"/>
      <c r="EKD542"/>
      <c r="EKE542"/>
      <c r="EKF542"/>
      <c r="EKG542"/>
      <c r="EKH542"/>
      <c r="EKI542"/>
      <c r="EKJ542"/>
      <c r="EKK542"/>
      <c r="EKL542"/>
      <c r="EKM542"/>
      <c r="EKN542"/>
      <c r="EKO542"/>
      <c r="EKP542"/>
      <c r="EKQ542"/>
      <c r="EKR542"/>
      <c r="EKS542"/>
      <c r="EKT542"/>
      <c r="EKU542"/>
      <c r="EKV542"/>
      <c r="EKW542"/>
      <c r="EKX542"/>
      <c r="EKY542"/>
      <c r="EKZ542"/>
      <c r="ELA542"/>
      <c r="ELB542"/>
      <c r="ELC542"/>
      <c r="ELD542"/>
      <c r="ELE542"/>
      <c r="ELF542"/>
      <c r="ELG542"/>
      <c r="ELH542"/>
      <c r="ELI542"/>
      <c r="ELJ542"/>
      <c r="ELK542"/>
      <c r="ELL542"/>
      <c r="ELM542"/>
      <c r="ELN542"/>
      <c r="ELO542"/>
      <c r="ELP542"/>
      <c r="ELQ542"/>
      <c r="ELR542"/>
      <c r="ELS542"/>
      <c r="ELT542"/>
      <c r="ELU542"/>
      <c r="ELV542"/>
      <c r="ELW542"/>
      <c r="ELX542"/>
      <c r="ELY542"/>
      <c r="ELZ542"/>
      <c r="EMA542"/>
      <c r="EMB542"/>
      <c r="EMC542"/>
      <c r="EMD542"/>
      <c r="EME542"/>
      <c r="EMF542"/>
      <c r="EMG542"/>
      <c r="EMH542"/>
      <c r="EMI542"/>
      <c r="EMJ542"/>
      <c r="EMK542"/>
      <c r="EML542"/>
      <c r="EMM542"/>
      <c r="EMN542"/>
      <c r="EMO542"/>
      <c r="EMP542"/>
      <c r="EMQ542"/>
      <c r="EMR542"/>
      <c r="EMS542"/>
      <c r="EMT542"/>
      <c r="EMU542"/>
      <c r="EMV542"/>
      <c r="EMW542"/>
      <c r="EMX542"/>
      <c r="EMY542"/>
      <c r="EMZ542"/>
      <c r="ENA542"/>
      <c r="ENB542"/>
      <c r="ENC542"/>
      <c r="END542"/>
      <c r="ENE542"/>
      <c r="ENF542"/>
      <c r="ENG542"/>
      <c r="ENH542"/>
      <c r="ENI542"/>
      <c r="ENJ542"/>
      <c r="ENK542"/>
      <c r="ENL542"/>
      <c r="ENM542"/>
      <c r="ENN542"/>
      <c r="ENO542"/>
      <c r="ENP542"/>
      <c r="ENQ542"/>
      <c r="ENR542"/>
      <c r="ENS542"/>
      <c r="ENT542"/>
      <c r="ENU542"/>
      <c r="ENV542"/>
      <c r="ENW542"/>
      <c r="ENX542"/>
      <c r="ENY542"/>
      <c r="ENZ542"/>
      <c r="EOA542"/>
      <c r="EOB542"/>
      <c r="EOC542"/>
      <c r="EOD542"/>
      <c r="EOE542"/>
      <c r="EOF542"/>
      <c r="EOG542"/>
      <c r="EOH542"/>
      <c r="EOI542"/>
      <c r="EOJ542"/>
      <c r="EOK542"/>
      <c r="EOL542"/>
      <c r="EOM542"/>
      <c r="EON542"/>
      <c r="EOO542"/>
      <c r="EOP542"/>
      <c r="EOQ542"/>
      <c r="EOR542"/>
      <c r="EOS542"/>
      <c r="EOT542"/>
      <c r="EOU542"/>
      <c r="EOV542"/>
      <c r="EOW542"/>
      <c r="EOX542"/>
      <c r="EOY542"/>
      <c r="EOZ542"/>
      <c r="EPA542"/>
      <c r="EPB542"/>
      <c r="EPC542"/>
      <c r="EPD542"/>
      <c r="EPE542"/>
      <c r="EPF542"/>
      <c r="EPG542"/>
      <c r="EPH542"/>
      <c r="EPI542"/>
      <c r="EPJ542"/>
      <c r="EPK542"/>
      <c r="EPL542"/>
      <c r="EPM542"/>
      <c r="EPN542"/>
      <c r="EPO542"/>
      <c r="EPP542"/>
      <c r="EPQ542"/>
      <c r="EPR542"/>
      <c r="EPS542"/>
      <c r="EPT542"/>
      <c r="EPU542"/>
      <c r="EPV542"/>
      <c r="EPW542"/>
      <c r="EPX542"/>
      <c r="EPY542"/>
      <c r="EPZ542"/>
      <c r="EQA542"/>
      <c r="EQB542"/>
      <c r="EQC542"/>
      <c r="EQD542"/>
      <c r="EQE542"/>
      <c r="EQF542"/>
      <c r="EQG542"/>
      <c r="EQH542"/>
      <c r="EQI542"/>
      <c r="EQJ542"/>
      <c r="EQK542"/>
      <c r="EQL542"/>
      <c r="EQM542"/>
      <c r="EQN542"/>
      <c r="EQO542"/>
      <c r="EQP542"/>
      <c r="EQQ542"/>
      <c r="EQR542"/>
      <c r="EQS542"/>
      <c r="EQT542"/>
      <c r="EQU542"/>
      <c r="EQV542"/>
      <c r="EQW542"/>
      <c r="EQX542"/>
      <c r="EQY542"/>
      <c r="EQZ542"/>
      <c r="ERA542"/>
      <c r="ERB542"/>
      <c r="ERC542"/>
      <c r="ERD542"/>
      <c r="ERE542"/>
      <c r="ERF542"/>
      <c r="ERG542"/>
      <c r="ERH542"/>
      <c r="ERI542"/>
      <c r="ERJ542"/>
      <c r="ERK542"/>
      <c r="ERL542"/>
      <c r="ERM542"/>
      <c r="ERN542"/>
      <c r="ERO542"/>
      <c r="ERP542"/>
      <c r="ERQ542"/>
      <c r="ERR542"/>
      <c r="ERS542"/>
      <c r="ERT542"/>
      <c r="ERU542"/>
      <c r="ERV542"/>
      <c r="ERW542"/>
      <c r="ERX542"/>
      <c r="ERY542"/>
      <c r="ERZ542"/>
      <c r="ESA542"/>
      <c r="ESB542"/>
      <c r="ESC542"/>
      <c r="ESD542"/>
      <c r="ESE542"/>
      <c r="ESF542"/>
      <c r="ESG542"/>
      <c r="ESH542"/>
      <c r="ESI542"/>
      <c r="ESJ542"/>
      <c r="ESK542"/>
      <c r="ESL542"/>
      <c r="ESM542"/>
      <c r="ESN542"/>
      <c r="ESO542"/>
      <c r="ESP542"/>
      <c r="ESQ542"/>
      <c r="ESR542"/>
      <c r="ESS542"/>
      <c r="EST542"/>
      <c r="ESU542"/>
      <c r="ESV542"/>
      <c r="ESW542"/>
      <c r="ESX542"/>
      <c r="ESY542"/>
      <c r="ESZ542"/>
      <c r="ETA542"/>
      <c r="ETB542"/>
      <c r="ETC542"/>
      <c r="ETD542"/>
      <c r="ETE542"/>
      <c r="ETF542"/>
      <c r="ETG542"/>
      <c r="ETH542"/>
      <c r="ETI542"/>
      <c r="ETJ542"/>
      <c r="ETK542"/>
      <c r="ETL542"/>
      <c r="ETM542"/>
      <c r="ETN542"/>
      <c r="ETO542"/>
      <c r="ETP542"/>
      <c r="ETQ542"/>
      <c r="ETR542"/>
      <c r="ETS542"/>
      <c r="ETT542"/>
      <c r="ETU542"/>
      <c r="ETV542"/>
      <c r="ETW542"/>
      <c r="ETX542"/>
      <c r="ETY542"/>
      <c r="ETZ542"/>
      <c r="EUA542"/>
      <c r="EUB542"/>
      <c r="EUC542"/>
      <c r="EUD542"/>
      <c r="EUE542"/>
      <c r="EUF542"/>
      <c r="EUG542"/>
      <c r="EUH542"/>
      <c r="EUI542"/>
      <c r="EUJ542"/>
      <c r="EUK542"/>
      <c r="EUL542"/>
      <c r="EUM542"/>
      <c r="EUN542"/>
      <c r="EUO542"/>
      <c r="EUP542"/>
      <c r="EUQ542"/>
      <c r="EUR542"/>
      <c r="EUS542"/>
      <c r="EUT542"/>
      <c r="EUU542"/>
      <c r="EUV542"/>
      <c r="EUW542"/>
      <c r="EUX542"/>
      <c r="EUY542"/>
      <c r="EUZ542"/>
      <c r="EVA542"/>
      <c r="EVB542"/>
      <c r="EVC542"/>
      <c r="EVD542"/>
      <c r="EVE542"/>
      <c r="EVF542"/>
      <c r="EVG542"/>
      <c r="EVH542"/>
      <c r="EVI542"/>
      <c r="EVJ542"/>
      <c r="EVK542"/>
      <c r="EVL542"/>
      <c r="EVM542"/>
      <c r="EVN542"/>
      <c r="EVO542"/>
      <c r="EVP542"/>
      <c r="EVQ542"/>
      <c r="EVR542"/>
      <c r="EVS542"/>
      <c r="EVT542"/>
      <c r="EVU542"/>
      <c r="EVV542"/>
      <c r="EVW542"/>
      <c r="EVX542"/>
      <c r="EVY542"/>
      <c r="EVZ542"/>
      <c r="EWA542"/>
      <c r="EWB542"/>
      <c r="EWC542"/>
      <c r="EWD542"/>
      <c r="EWE542"/>
      <c r="EWF542"/>
      <c r="EWG542"/>
      <c r="EWH542"/>
      <c r="EWI542"/>
      <c r="EWJ542"/>
      <c r="EWK542"/>
      <c r="EWL542"/>
      <c r="EWM542"/>
      <c r="EWN542"/>
      <c r="EWO542"/>
      <c r="EWP542"/>
      <c r="EWQ542"/>
      <c r="EWR542"/>
      <c r="EWS542"/>
      <c r="EWT542"/>
      <c r="EWU542"/>
      <c r="EWV542"/>
      <c r="EWW542"/>
      <c r="EWX542"/>
      <c r="EWY542"/>
      <c r="EWZ542"/>
      <c r="EXA542"/>
      <c r="EXB542"/>
      <c r="EXC542"/>
      <c r="EXD542"/>
      <c r="EXE542"/>
      <c r="EXF542"/>
      <c r="EXG542"/>
      <c r="EXH542"/>
      <c r="EXI542"/>
      <c r="EXJ542"/>
      <c r="EXK542"/>
      <c r="EXL542"/>
      <c r="EXM542"/>
      <c r="EXN542"/>
      <c r="EXO542"/>
      <c r="EXP542"/>
      <c r="EXQ542"/>
      <c r="EXR542"/>
      <c r="EXS542"/>
      <c r="EXT542"/>
      <c r="EXU542"/>
      <c r="EXV542"/>
      <c r="EXW542"/>
      <c r="EXX542"/>
      <c r="EXY542"/>
      <c r="EXZ542"/>
      <c r="EYA542"/>
      <c r="EYB542"/>
      <c r="EYC542"/>
      <c r="EYD542"/>
      <c r="EYE542"/>
      <c r="EYF542"/>
      <c r="EYG542"/>
      <c r="EYH542"/>
      <c r="EYI542"/>
      <c r="EYJ542"/>
      <c r="EYK542"/>
      <c r="EYL542"/>
      <c r="EYM542"/>
      <c r="EYN542"/>
      <c r="EYO542"/>
      <c r="EYP542"/>
      <c r="EYQ542"/>
      <c r="EYR542"/>
      <c r="EYS542"/>
      <c r="EYT542"/>
      <c r="EYU542"/>
      <c r="EYV542"/>
      <c r="EYW542"/>
      <c r="EYX542"/>
      <c r="EYY542"/>
      <c r="EYZ542"/>
      <c r="EZA542"/>
      <c r="EZB542"/>
      <c r="EZC542"/>
      <c r="EZD542"/>
      <c r="EZE542"/>
      <c r="EZF542"/>
      <c r="EZG542"/>
      <c r="EZH542"/>
      <c r="EZI542"/>
      <c r="EZJ542"/>
      <c r="EZK542"/>
      <c r="EZL542"/>
      <c r="EZM542"/>
      <c r="EZN542"/>
      <c r="EZO542"/>
      <c r="EZP542"/>
      <c r="EZQ542"/>
      <c r="EZR542"/>
      <c r="EZS542"/>
      <c r="EZT542"/>
      <c r="EZU542"/>
      <c r="EZV542"/>
      <c r="EZW542"/>
      <c r="EZX542"/>
      <c r="EZY542"/>
      <c r="EZZ542"/>
      <c r="FAA542"/>
      <c r="FAB542"/>
      <c r="FAC542"/>
      <c r="FAD542"/>
      <c r="FAE542"/>
      <c r="FAF542"/>
      <c r="FAG542"/>
      <c r="FAH542"/>
      <c r="FAI542"/>
      <c r="FAJ542"/>
      <c r="FAK542"/>
      <c r="FAL542"/>
      <c r="FAM542"/>
      <c r="FAN542"/>
      <c r="FAO542"/>
      <c r="FAP542"/>
      <c r="FAQ542"/>
      <c r="FAR542"/>
      <c r="FAS542"/>
      <c r="FAT542"/>
      <c r="FAU542"/>
      <c r="FAV542"/>
      <c r="FAW542"/>
      <c r="FAX542"/>
      <c r="FAY542"/>
      <c r="FAZ542"/>
      <c r="FBA542"/>
      <c r="FBB542"/>
      <c r="FBC542"/>
      <c r="FBD542"/>
      <c r="FBE542"/>
      <c r="FBF542"/>
      <c r="FBG542"/>
      <c r="FBH542"/>
      <c r="FBI542"/>
      <c r="FBJ542"/>
      <c r="FBK542"/>
      <c r="FBL542"/>
      <c r="FBM542"/>
      <c r="FBN542"/>
      <c r="FBO542"/>
      <c r="FBP542"/>
      <c r="FBQ542"/>
      <c r="FBR542"/>
      <c r="FBS542"/>
      <c r="FBT542"/>
      <c r="FBU542"/>
      <c r="FBV542"/>
      <c r="FBW542"/>
      <c r="FBX542"/>
      <c r="FBY542"/>
      <c r="FBZ542"/>
      <c r="FCA542"/>
      <c r="FCB542"/>
      <c r="FCC542"/>
      <c r="FCD542"/>
      <c r="FCE542"/>
      <c r="FCF542"/>
      <c r="FCG542"/>
      <c r="FCH542"/>
      <c r="FCI542"/>
      <c r="FCJ542"/>
      <c r="FCK542"/>
      <c r="FCL542"/>
      <c r="FCM542"/>
      <c r="FCN542"/>
      <c r="FCO542"/>
      <c r="FCP542"/>
      <c r="FCQ542"/>
      <c r="FCR542"/>
      <c r="FCS542"/>
      <c r="FCT542"/>
      <c r="FCU542"/>
      <c r="FCV542"/>
      <c r="FCW542"/>
      <c r="FCX542"/>
      <c r="FCY542"/>
      <c r="FCZ542"/>
      <c r="FDA542"/>
      <c r="FDB542"/>
      <c r="FDC542"/>
      <c r="FDD542"/>
      <c r="FDE542"/>
      <c r="FDF542"/>
      <c r="FDG542"/>
      <c r="FDH542"/>
      <c r="FDI542"/>
      <c r="FDJ542"/>
      <c r="FDK542"/>
      <c r="FDL542"/>
      <c r="FDM542"/>
      <c r="FDN542"/>
      <c r="FDO542"/>
      <c r="FDP542"/>
      <c r="FDQ542"/>
      <c r="FDR542"/>
      <c r="FDS542"/>
      <c r="FDT542"/>
      <c r="FDU542"/>
      <c r="FDV542"/>
      <c r="FDW542"/>
      <c r="FDX542"/>
      <c r="FDY542"/>
      <c r="FDZ542"/>
      <c r="FEA542"/>
      <c r="FEB542"/>
      <c r="FEC542"/>
      <c r="FED542"/>
      <c r="FEE542"/>
      <c r="FEF542"/>
      <c r="FEG542"/>
      <c r="FEH542"/>
      <c r="FEI542"/>
      <c r="FEJ542"/>
      <c r="FEK542"/>
      <c r="FEL542"/>
      <c r="FEM542"/>
      <c r="FEN542"/>
      <c r="FEO542"/>
      <c r="FEP542"/>
      <c r="FEQ542"/>
      <c r="FER542"/>
      <c r="FES542"/>
      <c r="FET542"/>
      <c r="FEU542"/>
      <c r="FEV542"/>
      <c r="FEW542"/>
      <c r="FEX542"/>
      <c r="FEY542"/>
      <c r="FEZ542"/>
      <c r="FFA542"/>
      <c r="FFB542"/>
      <c r="FFC542"/>
      <c r="FFD542"/>
      <c r="FFE542"/>
      <c r="FFF542"/>
      <c r="FFG542"/>
      <c r="FFH542"/>
      <c r="FFI542"/>
      <c r="FFJ542"/>
      <c r="FFK542"/>
      <c r="FFL542"/>
      <c r="FFM542"/>
      <c r="FFN542"/>
      <c r="FFO542"/>
      <c r="FFP542"/>
      <c r="FFQ542"/>
      <c r="FFR542"/>
      <c r="FFS542"/>
      <c r="FFT542"/>
      <c r="FFU542"/>
      <c r="FFV542"/>
      <c r="FFW542"/>
      <c r="FFX542"/>
      <c r="FFY542"/>
      <c r="FFZ542"/>
      <c r="FGA542"/>
      <c r="FGB542"/>
      <c r="FGC542"/>
      <c r="FGD542"/>
      <c r="FGE542"/>
      <c r="FGF542"/>
      <c r="FGG542"/>
      <c r="FGH542"/>
      <c r="FGI542"/>
      <c r="FGJ542"/>
      <c r="FGK542"/>
      <c r="FGL542"/>
      <c r="FGM542"/>
      <c r="FGN542"/>
      <c r="FGO542"/>
      <c r="FGP542"/>
      <c r="FGQ542"/>
      <c r="FGR542"/>
      <c r="FGS542"/>
      <c r="FGT542"/>
      <c r="FGU542"/>
      <c r="FGV542"/>
      <c r="FGW542"/>
      <c r="FGX542"/>
      <c r="FGY542"/>
      <c r="FGZ542"/>
      <c r="FHA542"/>
      <c r="FHB542"/>
      <c r="FHC542"/>
      <c r="FHD542"/>
      <c r="FHE542"/>
      <c r="FHF542"/>
      <c r="FHG542"/>
      <c r="FHH542"/>
      <c r="FHI542"/>
      <c r="FHJ542"/>
      <c r="FHK542"/>
      <c r="FHL542"/>
      <c r="FHM542"/>
      <c r="FHN542"/>
      <c r="FHO542"/>
      <c r="FHP542"/>
      <c r="FHQ542"/>
      <c r="FHR542"/>
      <c r="FHS542"/>
      <c r="FHT542"/>
      <c r="FHU542"/>
      <c r="FHV542"/>
      <c r="FHW542"/>
      <c r="FHX542"/>
      <c r="FHY542"/>
      <c r="FHZ542"/>
      <c r="FIA542"/>
      <c r="FIB542"/>
      <c r="FIC542"/>
      <c r="FID542"/>
      <c r="FIE542"/>
      <c r="FIF542"/>
      <c r="FIG542"/>
      <c r="FIH542"/>
      <c r="FII542"/>
      <c r="FIJ542"/>
      <c r="FIK542"/>
      <c r="FIL542"/>
      <c r="FIM542"/>
      <c r="FIN542"/>
      <c r="FIO542"/>
      <c r="FIP542"/>
      <c r="FIQ542"/>
      <c r="FIR542"/>
      <c r="FIS542"/>
      <c r="FIT542"/>
      <c r="FIU542"/>
      <c r="FIV542"/>
      <c r="FIW542"/>
      <c r="FIX542"/>
      <c r="FIY542"/>
      <c r="FIZ542"/>
      <c r="FJA542"/>
      <c r="FJB542"/>
      <c r="FJC542"/>
      <c r="FJD542"/>
      <c r="FJE542"/>
      <c r="FJF542"/>
      <c r="FJG542"/>
      <c r="FJH542"/>
      <c r="FJI542"/>
      <c r="FJJ542"/>
      <c r="FJK542"/>
      <c r="FJL542"/>
      <c r="FJM542"/>
      <c r="FJN542"/>
      <c r="FJO542"/>
      <c r="FJP542"/>
      <c r="FJQ542"/>
      <c r="FJR542"/>
      <c r="FJS542"/>
      <c r="FJT542"/>
      <c r="FJU542"/>
      <c r="FJV542"/>
      <c r="FJW542"/>
      <c r="FJX542"/>
      <c r="FJY542"/>
      <c r="FJZ542"/>
      <c r="FKA542"/>
      <c r="FKB542"/>
      <c r="FKC542"/>
      <c r="FKD542"/>
      <c r="FKE542"/>
      <c r="FKF542"/>
      <c r="FKG542"/>
      <c r="FKH542"/>
      <c r="FKI542"/>
      <c r="FKJ542"/>
      <c r="FKK542"/>
      <c r="FKL542"/>
      <c r="FKM542"/>
      <c r="FKN542"/>
      <c r="FKO542"/>
      <c r="FKP542"/>
      <c r="FKQ542"/>
      <c r="FKR542"/>
      <c r="FKS542"/>
      <c r="FKT542"/>
      <c r="FKU542"/>
      <c r="FKV542"/>
      <c r="FKW542"/>
      <c r="FKX542"/>
      <c r="FKY542"/>
      <c r="FKZ542"/>
      <c r="FLA542"/>
      <c r="FLB542"/>
      <c r="FLC542"/>
      <c r="FLD542"/>
      <c r="FLE542"/>
      <c r="FLF542"/>
      <c r="FLG542"/>
      <c r="FLH542"/>
      <c r="FLI542"/>
      <c r="FLJ542"/>
      <c r="FLK542"/>
      <c r="FLL542"/>
      <c r="FLM542"/>
      <c r="FLN542"/>
      <c r="FLO542"/>
      <c r="FLP542"/>
      <c r="FLQ542"/>
      <c r="FLR542"/>
      <c r="FLS542"/>
      <c r="FLT542"/>
      <c r="FLU542"/>
      <c r="FLV542"/>
      <c r="FLW542"/>
      <c r="FLX542"/>
      <c r="FLY542"/>
      <c r="FLZ542"/>
      <c r="FMA542"/>
      <c r="FMB542"/>
      <c r="FMC542"/>
      <c r="FMD542"/>
      <c r="FME542"/>
      <c r="FMF542"/>
      <c r="FMG542"/>
      <c r="FMH542"/>
      <c r="FMI542"/>
      <c r="FMJ542"/>
      <c r="FMK542"/>
      <c r="FML542"/>
      <c r="FMM542"/>
      <c r="FMN542"/>
      <c r="FMO542"/>
      <c r="FMP542"/>
      <c r="FMQ542"/>
      <c r="FMR542"/>
      <c r="FMS542"/>
      <c r="FMT542"/>
      <c r="FMU542"/>
      <c r="FMV542"/>
      <c r="FMW542"/>
      <c r="FMX542"/>
      <c r="FMY542"/>
      <c r="FMZ542"/>
      <c r="FNA542"/>
      <c r="FNB542"/>
      <c r="FNC542"/>
      <c r="FND542"/>
      <c r="FNE542"/>
      <c r="FNF542"/>
      <c r="FNG542"/>
      <c r="FNH542"/>
      <c r="FNI542"/>
      <c r="FNJ542"/>
      <c r="FNK542"/>
      <c r="FNL542"/>
      <c r="FNM542"/>
      <c r="FNN542"/>
      <c r="FNO542"/>
      <c r="FNP542"/>
      <c r="FNQ542"/>
      <c r="FNR542"/>
      <c r="FNS542"/>
      <c r="FNT542"/>
      <c r="FNU542"/>
      <c r="FNV542"/>
      <c r="FNW542"/>
      <c r="FNX542"/>
      <c r="FNY542"/>
      <c r="FNZ542"/>
      <c r="FOA542"/>
      <c r="FOB542"/>
      <c r="FOC542"/>
      <c r="FOD542"/>
      <c r="FOE542"/>
      <c r="FOF542"/>
      <c r="FOG542"/>
      <c r="FOH542"/>
      <c r="FOI542"/>
      <c r="FOJ542"/>
      <c r="FOK542"/>
      <c r="FOL542"/>
      <c r="FOM542"/>
      <c r="FON542"/>
      <c r="FOO542"/>
      <c r="FOP542"/>
      <c r="FOQ542"/>
      <c r="FOR542"/>
      <c r="FOS542"/>
      <c r="FOT542"/>
      <c r="FOU542"/>
      <c r="FOV542"/>
      <c r="FOW542"/>
      <c r="FOX542"/>
      <c r="FOY542"/>
      <c r="FOZ542"/>
      <c r="FPA542"/>
      <c r="FPB542"/>
      <c r="FPC542"/>
      <c r="FPD542"/>
      <c r="FPE542"/>
      <c r="FPF542"/>
      <c r="FPG542"/>
      <c r="FPH542"/>
      <c r="FPI542"/>
      <c r="FPJ542"/>
      <c r="FPK542"/>
      <c r="FPL542"/>
      <c r="FPM542"/>
      <c r="FPN542"/>
      <c r="FPO542"/>
      <c r="FPP542"/>
      <c r="FPQ542"/>
      <c r="FPR542"/>
      <c r="FPS542"/>
      <c r="FPT542"/>
      <c r="FPU542"/>
      <c r="FPV542"/>
      <c r="FPW542"/>
      <c r="FPX542"/>
      <c r="FPY542"/>
      <c r="FPZ542"/>
      <c r="FQA542"/>
      <c r="FQB542"/>
      <c r="FQC542"/>
      <c r="FQD542"/>
      <c r="FQE542"/>
      <c r="FQF542"/>
      <c r="FQG542"/>
      <c r="FQH542"/>
      <c r="FQI542"/>
      <c r="FQJ542"/>
      <c r="FQK542"/>
      <c r="FQL542"/>
      <c r="FQM542"/>
      <c r="FQN542"/>
      <c r="FQO542"/>
      <c r="FQP542"/>
      <c r="FQQ542"/>
      <c r="FQR542"/>
      <c r="FQS542"/>
      <c r="FQT542"/>
      <c r="FQU542"/>
      <c r="FQV542"/>
      <c r="FQW542"/>
      <c r="FQX542"/>
      <c r="FQY542"/>
      <c r="FQZ542"/>
      <c r="FRA542"/>
      <c r="FRB542"/>
      <c r="FRC542"/>
      <c r="FRD542"/>
      <c r="FRE542"/>
      <c r="FRF542"/>
      <c r="FRG542"/>
      <c r="FRH542"/>
      <c r="FRI542"/>
      <c r="FRJ542"/>
      <c r="FRK542"/>
      <c r="FRL542"/>
      <c r="FRM542"/>
      <c r="FRN542"/>
      <c r="FRO542"/>
      <c r="FRP542"/>
      <c r="FRQ542"/>
      <c r="FRR542"/>
      <c r="FRS542"/>
      <c r="FRT542"/>
      <c r="FRU542"/>
      <c r="FRV542"/>
      <c r="FRW542"/>
      <c r="FRX542"/>
      <c r="FRY542"/>
      <c r="FRZ542"/>
      <c r="FSA542"/>
      <c r="FSB542"/>
      <c r="FSC542"/>
      <c r="FSD542"/>
      <c r="FSE542"/>
      <c r="FSF542"/>
      <c r="FSG542"/>
      <c r="FSH542"/>
      <c r="FSI542"/>
      <c r="FSJ542"/>
      <c r="FSK542"/>
      <c r="FSL542"/>
      <c r="FSM542"/>
      <c r="FSN542"/>
      <c r="FSO542"/>
      <c r="FSP542"/>
      <c r="FSQ542"/>
      <c r="FSR542"/>
      <c r="FSS542"/>
      <c r="FST542"/>
      <c r="FSU542"/>
      <c r="FSV542"/>
      <c r="FSW542"/>
      <c r="FSX542"/>
      <c r="FSY542"/>
      <c r="FSZ542"/>
      <c r="FTA542"/>
      <c r="FTB542"/>
      <c r="FTC542"/>
      <c r="FTD542"/>
      <c r="FTE542"/>
      <c r="FTF542"/>
      <c r="FTG542"/>
      <c r="FTH542"/>
      <c r="FTI542"/>
      <c r="FTJ542"/>
      <c r="FTK542"/>
      <c r="FTL542"/>
      <c r="FTM542"/>
      <c r="FTN542"/>
      <c r="FTO542"/>
      <c r="FTP542"/>
      <c r="FTQ542"/>
      <c r="FTR542"/>
      <c r="FTS542"/>
      <c r="FTT542"/>
      <c r="FTU542"/>
      <c r="FTV542"/>
      <c r="FTW542"/>
      <c r="FTX542"/>
      <c r="FTY542"/>
      <c r="FTZ542"/>
      <c r="FUA542"/>
      <c r="FUB542"/>
      <c r="FUC542"/>
      <c r="FUD542"/>
      <c r="FUE542"/>
      <c r="FUF542"/>
      <c r="FUG542"/>
      <c r="FUH542"/>
      <c r="FUI542"/>
      <c r="FUJ542"/>
      <c r="FUK542"/>
      <c r="FUL542"/>
      <c r="FUM542"/>
      <c r="FUN542"/>
      <c r="FUO542"/>
      <c r="FUP542"/>
      <c r="FUQ542"/>
      <c r="FUR542"/>
      <c r="FUS542"/>
      <c r="FUT542"/>
      <c r="FUU542"/>
      <c r="FUV542"/>
      <c r="FUW542"/>
      <c r="FUX542"/>
      <c r="FUY542"/>
      <c r="FUZ542"/>
      <c r="FVA542"/>
      <c r="FVB542"/>
      <c r="FVC542"/>
      <c r="FVD542"/>
      <c r="FVE542"/>
      <c r="FVF542"/>
      <c r="FVG542"/>
      <c r="FVH542"/>
      <c r="FVI542"/>
      <c r="FVJ542"/>
      <c r="FVK542"/>
      <c r="FVL542"/>
      <c r="FVM542"/>
      <c r="FVN542"/>
      <c r="FVO542"/>
      <c r="FVP542"/>
      <c r="FVQ542"/>
      <c r="FVR542"/>
      <c r="FVS542"/>
      <c r="FVT542"/>
      <c r="FVU542"/>
      <c r="FVV542"/>
      <c r="FVW542"/>
      <c r="FVX542"/>
      <c r="FVY542"/>
      <c r="FVZ542"/>
      <c r="FWA542"/>
      <c r="FWB542"/>
      <c r="FWC542"/>
      <c r="FWD542"/>
      <c r="FWE542"/>
      <c r="FWF542"/>
      <c r="FWG542"/>
      <c r="FWH542"/>
      <c r="FWI542"/>
      <c r="FWJ542"/>
      <c r="FWK542"/>
      <c r="FWL542"/>
      <c r="FWM542"/>
      <c r="FWN542"/>
      <c r="FWO542"/>
      <c r="FWP542"/>
      <c r="FWQ542"/>
      <c r="FWR542"/>
      <c r="FWS542"/>
      <c r="FWT542"/>
      <c r="FWU542"/>
      <c r="FWV542"/>
      <c r="FWW542"/>
      <c r="FWX542"/>
      <c r="FWY542"/>
      <c r="FWZ542"/>
      <c r="FXA542"/>
      <c r="FXB542"/>
      <c r="FXC542"/>
      <c r="FXD542"/>
      <c r="FXE542"/>
      <c r="FXF542"/>
      <c r="FXG542"/>
      <c r="FXH542"/>
      <c r="FXI542"/>
      <c r="FXJ542"/>
      <c r="FXK542"/>
      <c r="FXL542"/>
      <c r="FXM542"/>
      <c r="FXN542"/>
      <c r="FXO542"/>
      <c r="FXP542"/>
      <c r="FXQ542"/>
      <c r="FXR542"/>
      <c r="FXS542"/>
      <c r="FXT542"/>
      <c r="FXU542"/>
      <c r="FXV542"/>
      <c r="FXW542"/>
      <c r="FXX542"/>
      <c r="FXY542"/>
      <c r="FXZ542"/>
      <c r="FYA542"/>
      <c r="FYB542"/>
      <c r="FYC542"/>
      <c r="FYD542"/>
      <c r="FYE542"/>
      <c r="FYF542"/>
      <c r="FYG542"/>
      <c r="FYH542"/>
      <c r="FYI542"/>
      <c r="FYJ542"/>
      <c r="FYK542"/>
      <c r="FYL542"/>
      <c r="FYM542"/>
      <c r="FYN542"/>
      <c r="FYO542"/>
      <c r="FYP542"/>
      <c r="FYQ542"/>
      <c r="FYR542"/>
      <c r="FYS542"/>
      <c r="FYT542"/>
      <c r="FYU542"/>
      <c r="FYV542"/>
      <c r="FYW542"/>
      <c r="FYX542"/>
      <c r="FYY542"/>
      <c r="FYZ542"/>
      <c r="FZA542"/>
      <c r="FZB542"/>
      <c r="FZC542"/>
      <c r="FZD542"/>
      <c r="FZE542"/>
      <c r="FZF542"/>
      <c r="FZG542"/>
      <c r="FZH542"/>
      <c r="FZI542"/>
      <c r="FZJ542"/>
      <c r="FZK542"/>
      <c r="FZL542"/>
      <c r="FZM542"/>
      <c r="FZN542"/>
      <c r="FZO542"/>
      <c r="FZP542"/>
      <c r="FZQ542"/>
      <c r="FZR542"/>
      <c r="FZS542"/>
      <c r="FZT542"/>
      <c r="FZU542"/>
      <c r="FZV542"/>
      <c r="FZW542"/>
      <c r="FZX542"/>
      <c r="FZY542"/>
      <c r="FZZ542"/>
      <c r="GAA542"/>
      <c r="GAB542"/>
      <c r="GAC542"/>
      <c r="GAD542"/>
      <c r="GAE542"/>
      <c r="GAF542"/>
      <c r="GAG542"/>
      <c r="GAH542"/>
      <c r="GAI542"/>
      <c r="GAJ542"/>
      <c r="GAK542"/>
      <c r="GAL542"/>
      <c r="GAM542"/>
      <c r="GAN542"/>
      <c r="GAO542"/>
      <c r="GAP542"/>
      <c r="GAQ542"/>
      <c r="GAR542"/>
      <c r="GAS542"/>
      <c r="GAT542"/>
      <c r="GAU542"/>
      <c r="GAV542"/>
      <c r="GAW542"/>
      <c r="GAX542"/>
      <c r="GAY542"/>
      <c r="GAZ542"/>
      <c r="GBA542"/>
      <c r="GBB542"/>
      <c r="GBC542"/>
      <c r="GBD542"/>
      <c r="GBE542"/>
      <c r="GBF542"/>
      <c r="GBG542"/>
      <c r="GBH542"/>
      <c r="GBI542"/>
      <c r="GBJ542"/>
      <c r="GBK542"/>
      <c r="GBL542"/>
      <c r="GBM542"/>
      <c r="GBN542"/>
      <c r="GBO542"/>
      <c r="GBP542"/>
      <c r="GBQ542"/>
      <c r="GBR542"/>
      <c r="GBS542"/>
      <c r="GBT542"/>
      <c r="GBU542"/>
      <c r="GBV542"/>
      <c r="GBW542"/>
      <c r="GBX542"/>
      <c r="GBY542"/>
      <c r="GBZ542"/>
      <c r="GCA542"/>
      <c r="GCB542"/>
      <c r="GCC542"/>
      <c r="GCD542"/>
      <c r="GCE542"/>
      <c r="GCF542"/>
      <c r="GCG542"/>
      <c r="GCH542"/>
      <c r="GCI542"/>
      <c r="GCJ542"/>
      <c r="GCK542"/>
      <c r="GCL542"/>
      <c r="GCM542"/>
      <c r="GCN542"/>
      <c r="GCO542"/>
      <c r="GCP542"/>
      <c r="GCQ542"/>
      <c r="GCR542"/>
      <c r="GCS542"/>
      <c r="GCT542"/>
      <c r="GCU542"/>
      <c r="GCV542"/>
      <c r="GCW542"/>
      <c r="GCX542"/>
      <c r="GCY542"/>
      <c r="GCZ542"/>
      <c r="GDA542"/>
      <c r="GDB542"/>
      <c r="GDC542"/>
      <c r="GDD542"/>
      <c r="GDE542"/>
      <c r="GDF542"/>
      <c r="GDG542"/>
      <c r="GDH542"/>
      <c r="GDI542"/>
      <c r="GDJ542"/>
      <c r="GDK542"/>
      <c r="GDL542"/>
      <c r="GDM542"/>
      <c r="GDN542"/>
      <c r="GDO542"/>
      <c r="GDP542"/>
      <c r="GDQ542"/>
      <c r="GDR542"/>
      <c r="GDS542"/>
      <c r="GDT542"/>
      <c r="GDU542"/>
      <c r="GDV542"/>
      <c r="GDW542"/>
      <c r="GDX542"/>
      <c r="GDY542"/>
      <c r="GDZ542"/>
      <c r="GEA542"/>
      <c r="GEB542"/>
      <c r="GEC542"/>
      <c r="GED542"/>
      <c r="GEE542"/>
      <c r="GEF542"/>
      <c r="GEG542"/>
      <c r="GEH542"/>
      <c r="GEI542"/>
      <c r="GEJ542"/>
      <c r="GEK542"/>
      <c r="GEL542"/>
      <c r="GEM542"/>
      <c r="GEN542"/>
      <c r="GEO542"/>
      <c r="GEP542"/>
      <c r="GEQ542"/>
      <c r="GER542"/>
      <c r="GES542"/>
      <c r="GET542"/>
      <c r="GEU542"/>
      <c r="GEV542"/>
      <c r="GEW542"/>
      <c r="GEX542"/>
      <c r="GEY542"/>
      <c r="GEZ542"/>
      <c r="GFA542"/>
      <c r="GFB542"/>
      <c r="GFC542"/>
      <c r="GFD542"/>
      <c r="GFE542"/>
      <c r="GFF542"/>
      <c r="GFG542"/>
      <c r="GFH542"/>
      <c r="GFI542"/>
      <c r="GFJ542"/>
      <c r="GFK542"/>
      <c r="GFL542"/>
      <c r="GFM542"/>
      <c r="GFN542"/>
      <c r="GFO542"/>
      <c r="GFP542"/>
      <c r="GFQ542"/>
      <c r="GFR542"/>
      <c r="GFS542"/>
      <c r="GFT542"/>
      <c r="GFU542"/>
      <c r="GFV542"/>
      <c r="GFW542"/>
      <c r="GFX542"/>
      <c r="GFY542"/>
      <c r="GFZ542"/>
      <c r="GGA542"/>
      <c r="GGB542"/>
      <c r="GGC542"/>
      <c r="GGD542"/>
      <c r="GGE542"/>
      <c r="GGF542"/>
      <c r="GGG542"/>
      <c r="GGH542"/>
      <c r="GGI542"/>
      <c r="GGJ542"/>
      <c r="GGK542"/>
      <c r="GGL542"/>
      <c r="GGM542"/>
      <c r="GGN542"/>
      <c r="GGO542"/>
      <c r="GGP542"/>
      <c r="GGQ542"/>
      <c r="GGR542"/>
      <c r="GGS542"/>
      <c r="GGT542"/>
      <c r="GGU542"/>
      <c r="GGV542"/>
      <c r="GGW542"/>
      <c r="GGX542"/>
      <c r="GGY542"/>
      <c r="GGZ542"/>
      <c r="GHA542"/>
      <c r="GHB542"/>
      <c r="GHC542"/>
      <c r="GHD542"/>
      <c r="GHE542"/>
      <c r="GHF542"/>
      <c r="GHG542"/>
      <c r="GHH542"/>
      <c r="GHI542"/>
      <c r="GHJ542"/>
      <c r="GHK542"/>
      <c r="GHL542"/>
      <c r="GHM542"/>
      <c r="GHN542"/>
      <c r="GHO542"/>
      <c r="GHP542"/>
      <c r="GHQ542"/>
      <c r="GHR542"/>
      <c r="GHS542"/>
      <c r="GHT542"/>
      <c r="GHU542"/>
      <c r="GHV542"/>
      <c r="GHW542"/>
      <c r="GHX542"/>
      <c r="GHY542"/>
      <c r="GHZ542"/>
      <c r="GIA542"/>
      <c r="GIB542"/>
      <c r="GIC542"/>
      <c r="GID542"/>
      <c r="GIE542"/>
      <c r="GIF542"/>
      <c r="GIG542"/>
      <c r="GIH542"/>
      <c r="GII542"/>
      <c r="GIJ542"/>
      <c r="GIK542"/>
      <c r="GIL542"/>
      <c r="GIM542"/>
      <c r="GIN542"/>
      <c r="GIO542"/>
      <c r="GIP542"/>
      <c r="GIQ542"/>
      <c r="GIR542"/>
      <c r="GIS542"/>
      <c r="GIT542"/>
      <c r="GIU542"/>
      <c r="GIV542"/>
      <c r="GIW542"/>
      <c r="GIX542"/>
      <c r="GIY542"/>
      <c r="GIZ542"/>
      <c r="GJA542"/>
      <c r="GJB542"/>
      <c r="GJC542"/>
      <c r="GJD542"/>
      <c r="GJE542"/>
      <c r="GJF542"/>
      <c r="GJG542"/>
      <c r="GJH542"/>
      <c r="GJI542"/>
      <c r="GJJ542"/>
      <c r="GJK542"/>
      <c r="GJL542"/>
      <c r="GJM542"/>
      <c r="GJN542"/>
      <c r="GJO542"/>
      <c r="GJP542"/>
      <c r="GJQ542"/>
      <c r="GJR542"/>
      <c r="GJS542"/>
      <c r="GJT542"/>
      <c r="GJU542"/>
      <c r="GJV542"/>
      <c r="GJW542"/>
      <c r="GJX542"/>
      <c r="GJY542"/>
      <c r="GJZ542"/>
      <c r="GKA542"/>
      <c r="GKB542"/>
      <c r="GKC542"/>
      <c r="GKD542"/>
      <c r="GKE542"/>
      <c r="GKF542"/>
      <c r="GKG542"/>
      <c r="GKH542"/>
      <c r="GKI542"/>
      <c r="GKJ542"/>
      <c r="GKK542"/>
      <c r="GKL542"/>
      <c r="GKM542"/>
      <c r="GKN542"/>
      <c r="GKO542"/>
      <c r="GKP542"/>
      <c r="GKQ542"/>
      <c r="GKR542"/>
      <c r="GKS542"/>
      <c r="GKT542"/>
      <c r="GKU542"/>
      <c r="GKV542"/>
      <c r="GKW542"/>
      <c r="GKX542"/>
      <c r="GKY542"/>
      <c r="GKZ542"/>
      <c r="GLA542"/>
      <c r="GLB542"/>
      <c r="GLC542"/>
      <c r="GLD542"/>
      <c r="GLE542"/>
      <c r="GLF542"/>
      <c r="GLG542"/>
      <c r="GLH542"/>
      <c r="GLI542"/>
      <c r="GLJ542"/>
      <c r="GLK542"/>
      <c r="GLL542"/>
      <c r="GLM542"/>
      <c r="GLN542"/>
      <c r="GLO542"/>
      <c r="GLP542"/>
      <c r="GLQ542"/>
      <c r="GLR542"/>
      <c r="GLS542"/>
      <c r="GLT542"/>
      <c r="GLU542"/>
      <c r="GLV542"/>
      <c r="GLW542"/>
      <c r="GLX542"/>
      <c r="GLY542"/>
      <c r="GLZ542"/>
      <c r="GMA542"/>
      <c r="GMB542"/>
      <c r="GMC542"/>
      <c r="GMD542"/>
      <c r="GME542"/>
      <c r="GMF542"/>
      <c r="GMG542"/>
      <c r="GMH542"/>
      <c r="GMI542"/>
      <c r="GMJ542"/>
      <c r="GMK542"/>
      <c r="GML542"/>
      <c r="GMM542"/>
      <c r="GMN542"/>
      <c r="GMO542"/>
      <c r="GMP542"/>
      <c r="GMQ542"/>
      <c r="GMR542"/>
      <c r="GMS542"/>
      <c r="GMT542"/>
      <c r="GMU542"/>
      <c r="GMV542"/>
      <c r="GMW542"/>
      <c r="GMX542"/>
      <c r="GMY542"/>
      <c r="GMZ542"/>
      <c r="GNA542"/>
      <c r="GNB542"/>
      <c r="GNC542"/>
      <c r="GND542"/>
      <c r="GNE542"/>
      <c r="GNF542"/>
      <c r="GNG542"/>
      <c r="GNH542"/>
      <c r="GNI542"/>
      <c r="GNJ542"/>
      <c r="GNK542"/>
      <c r="GNL542"/>
      <c r="GNM542"/>
      <c r="GNN542"/>
      <c r="GNO542"/>
      <c r="GNP542"/>
      <c r="GNQ542"/>
      <c r="GNR542"/>
      <c r="GNS542"/>
      <c r="GNT542"/>
      <c r="GNU542"/>
      <c r="GNV542"/>
      <c r="GNW542"/>
      <c r="GNX542"/>
      <c r="GNY542"/>
      <c r="GNZ542"/>
      <c r="GOA542"/>
      <c r="GOB542"/>
      <c r="GOC542"/>
      <c r="GOD542"/>
      <c r="GOE542"/>
      <c r="GOF542"/>
      <c r="GOG542"/>
      <c r="GOH542"/>
      <c r="GOI542"/>
      <c r="GOJ542"/>
      <c r="GOK542"/>
      <c r="GOL542"/>
      <c r="GOM542"/>
      <c r="GON542"/>
      <c r="GOO542"/>
      <c r="GOP542"/>
      <c r="GOQ542"/>
      <c r="GOR542"/>
      <c r="GOS542"/>
      <c r="GOT542"/>
      <c r="GOU542"/>
      <c r="GOV542"/>
      <c r="GOW542"/>
      <c r="GOX542"/>
      <c r="GOY542"/>
      <c r="GOZ542"/>
      <c r="GPA542"/>
      <c r="GPB542"/>
      <c r="GPC542"/>
      <c r="GPD542"/>
      <c r="GPE542"/>
      <c r="GPF542"/>
      <c r="GPG542"/>
      <c r="GPH542"/>
      <c r="GPI542"/>
      <c r="GPJ542"/>
      <c r="GPK542"/>
      <c r="GPL542"/>
      <c r="GPM542"/>
      <c r="GPN542"/>
      <c r="GPO542"/>
      <c r="GPP542"/>
      <c r="GPQ542"/>
      <c r="GPR542"/>
      <c r="GPS542"/>
      <c r="GPT542"/>
      <c r="GPU542"/>
      <c r="GPV542"/>
      <c r="GPW542"/>
      <c r="GPX542"/>
      <c r="GPY542"/>
      <c r="GPZ542"/>
      <c r="GQA542"/>
      <c r="GQB542"/>
      <c r="GQC542"/>
      <c r="GQD542"/>
      <c r="GQE542"/>
      <c r="GQF542"/>
      <c r="GQG542"/>
      <c r="GQH542"/>
      <c r="GQI542"/>
      <c r="GQJ542"/>
      <c r="GQK542"/>
      <c r="GQL542"/>
      <c r="GQM542"/>
      <c r="GQN542"/>
      <c r="GQO542"/>
      <c r="GQP542"/>
      <c r="GQQ542"/>
      <c r="GQR542"/>
      <c r="GQS542"/>
      <c r="GQT542"/>
      <c r="GQU542"/>
      <c r="GQV542"/>
      <c r="GQW542"/>
      <c r="GQX542"/>
      <c r="GQY542"/>
      <c r="GQZ542"/>
      <c r="GRA542"/>
      <c r="GRB542"/>
      <c r="GRC542"/>
      <c r="GRD542"/>
      <c r="GRE542"/>
      <c r="GRF542"/>
      <c r="GRG542"/>
      <c r="GRH542"/>
      <c r="GRI542"/>
      <c r="GRJ542"/>
      <c r="GRK542"/>
      <c r="GRL542"/>
      <c r="GRM542"/>
      <c r="GRN542"/>
      <c r="GRO542"/>
      <c r="GRP542"/>
      <c r="GRQ542"/>
      <c r="GRR542"/>
      <c r="GRS542"/>
      <c r="GRT542"/>
      <c r="GRU542"/>
      <c r="GRV542"/>
      <c r="GRW542"/>
      <c r="GRX542"/>
      <c r="GRY542"/>
      <c r="GRZ542"/>
      <c r="GSA542"/>
      <c r="GSB542"/>
      <c r="GSC542"/>
      <c r="GSD542"/>
      <c r="GSE542"/>
      <c r="GSF542"/>
      <c r="GSG542"/>
      <c r="GSH542"/>
      <c r="GSI542"/>
      <c r="GSJ542"/>
      <c r="GSK542"/>
      <c r="GSL542"/>
      <c r="GSM542"/>
      <c r="GSN542"/>
      <c r="GSO542"/>
      <c r="GSP542"/>
      <c r="GSQ542"/>
      <c r="GSR542"/>
      <c r="GSS542"/>
      <c r="GST542"/>
      <c r="GSU542"/>
      <c r="GSV542"/>
      <c r="GSW542"/>
      <c r="GSX542"/>
      <c r="GSY542"/>
      <c r="GSZ542"/>
      <c r="GTA542"/>
      <c r="GTB542"/>
      <c r="GTC542"/>
      <c r="GTD542"/>
      <c r="GTE542"/>
      <c r="GTF542"/>
      <c r="GTG542"/>
      <c r="GTH542"/>
      <c r="GTI542"/>
      <c r="GTJ542"/>
      <c r="GTK542"/>
      <c r="GTL542"/>
      <c r="GTM542"/>
      <c r="GTN542"/>
      <c r="GTO542"/>
      <c r="GTP542"/>
      <c r="GTQ542"/>
      <c r="GTR542"/>
      <c r="GTS542"/>
      <c r="GTT542"/>
      <c r="GTU542"/>
      <c r="GTV542"/>
      <c r="GTW542"/>
      <c r="GTX542"/>
      <c r="GTY542"/>
      <c r="GTZ542"/>
      <c r="GUA542"/>
      <c r="GUB542"/>
      <c r="GUC542"/>
      <c r="GUD542"/>
      <c r="GUE542"/>
      <c r="GUF542"/>
      <c r="GUG542"/>
      <c r="GUH542"/>
      <c r="GUI542"/>
      <c r="GUJ542"/>
      <c r="GUK542"/>
      <c r="GUL542"/>
      <c r="GUM542"/>
      <c r="GUN542"/>
      <c r="GUO542"/>
      <c r="GUP542"/>
      <c r="GUQ542"/>
      <c r="GUR542"/>
      <c r="GUS542"/>
      <c r="GUT542"/>
      <c r="GUU542"/>
      <c r="GUV542"/>
      <c r="GUW542"/>
      <c r="GUX542"/>
      <c r="GUY542"/>
      <c r="GUZ542"/>
      <c r="GVA542"/>
      <c r="GVB542"/>
      <c r="GVC542"/>
      <c r="GVD542"/>
      <c r="GVE542"/>
      <c r="GVF542"/>
      <c r="GVG542"/>
      <c r="GVH542"/>
      <c r="GVI542"/>
      <c r="GVJ542"/>
      <c r="GVK542"/>
      <c r="GVL542"/>
      <c r="GVM542"/>
      <c r="GVN542"/>
      <c r="GVO542"/>
      <c r="GVP542"/>
      <c r="GVQ542"/>
      <c r="GVR542"/>
      <c r="GVS542"/>
      <c r="GVT542"/>
      <c r="GVU542"/>
      <c r="GVV542"/>
      <c r="GVW542"/>
      <c r="GVX542"/>
      <c r="GVY542"/>
      <c r="GVZ542"/>
      <c r="GWA542"/>
      <c r="GWB542"/>
      <c r="GWC542"/>
      <c r="GWD542"/>
      <c r="GWE542"/>
      <c r="GWF542"/>
      <c r="GWG542"/>
      <c r="GWH542"/>
      <c r="GWI542"/>
      <c r="GWJ542"/>
      <c r="GWK542"/>
      <c r="GWL542"/>
      <c r="GWM542"/>
      <c r="GWN542"/>
      <c r="GWO542"/>
      <c r="GWP542"/>
      <c r="GWQ542"/>
      <c r="GWR542"/>
      <c r="GWS542"/>
      <c r="GWT542"/>
      <c r="GWU542"/>
      <c r="GWV542"/>
      <c r="GWW542"/>
      <c r="GWX542"/>
      <c r="GWY542"/>
      <c r="GWZ542"/>
      <c r="GXA542"/>
      <c r="GXB542"/>
      <c r="GXC542"/>
      <c r="GXD542"/>
      <c r="GXE542"/>
      <c r="GXF542"/>
      <c r="GXG542"/>
      <c r="GXH542"/>
      <c r="GXI542"/>
      <c r="GXJ542"/>
      <c r="GXK542"/>
      <c r="GXL542"/>
      <c r="GXM542"/>
      <c r="GXN542"/>
      <c r="GXO542"/>
      <c r="GXP542"/>
      <c r="GXQ542"/>
      <c r="GXR542"/>
      <c r="GXS542"/>
      <c r="GXT542"/>
      <c r="GXU542"/>
      <c r="GXV542"/>
      <c r="GXW542"/>
      <c r="GXX542"/>
      <c r="GXY542"/>
      <c r="GXZ542"/>
      <c r="GYA542"/>
      <c r="GYB542"/>
      <c r="GYC542"/>
      <c r="GYD542"/>
      <c r="GYE542"/>
      <c r="GYF542"/>
      <c r="GYG542"/>
      <c r="GYH542"/>
      <c r="GYI542"/>
      <c r="GYJ542"/>
      <c r="GYK542"/>
      <c r="GYL542"/>
      <c r="GYM542"/>
      <c r="GYN542"/>
      <c r="GYO542"/>
      <c r="GYP542"/>
      <c r="GYQ542"/>
      <c r="GYR542"/>
      <c r="GYS542"/>
      <c r="GYT542"/>
      <c r="GYU542"/>
      <c r="GYV542"/>
      <c r="GYW542"/>
      <c r="GYX542"/>
      <c r="GYY542"/>
      <c r="GYZ542"/>
      <c r="GZA542"/>
      <c r="GZB542"/>
      <c r="GZC542"/>
      <c r="GZD542"/>
      <c r="GZE542"/>
      <c r="GZF542"/>
      <c r="GZG542"/>
      <c r="GZH542"/>
      <c r="GZI542"/>
      <c r="GZJ542"/>
      <c r="GZK542"/>
      <c r="GZL542"/>
      <c r="GZM542"/>
      <c r="GZN542"/>
      <c r="GZO542"/>
      <c r="GZP542"/>
      <c r="GZQ542"/>
      <c r="GZR542"/>
      <c r="GZS542"/>
      <c r="GZT542"/>
      <c r="GZU542"/>
      <c r="GZV542"/>
      <c r="GZW542"/>
      <c r="GZX542"/>
      <c r="GZY542"/>
      <c r="GZZ542"/>
      <c r="HAA542"/>
      <c r="HAB542"/>
      <c r="HAC542"/>
      <c r="HAD542"/>
      <c r="HAE542"/>
      <c r="HAF542"/>
      <c r="HAG542"/>
      <c r="HAH542"/>
      <c r="HAI542"/>
      <c r="HAJ542"/>
      <c r="HAK542"/>
      <c r="HAL542"/>
      <c r="HAM542"/>
      <c r="HAN542"/>
      <c r="HAO542"/>
      <c r="HAP542"/>
      <c r="HAQ542"/>
      <c r="HAR542"/>
      <c r="HAS542"/>
      <c r="HAT542"/>
      <c r="HAU542"/>
      <c r="HAV542"/>
      <c r="HAW542"/>
      <c r="HAX542"/>
      <c r="HAY542"/>
      <c r="HAZ542"/>
      <c r="HBA542"/>
      <c r="HBB542"/>
      <c r="HBC542"/>
      <c r="HBD542"/>
      <c r="HBE542"/>
      <c r="HBF542"/>
      <c r="HBG542"/>
      <c r="HBH542"/>
      <c r="HBI542"/>
      <c r="HBJ542"/>
      <c r="HBK542"/>
      <c r="HBL542"/>
      <c r="HBM542"/>
      <c r="HBN542"/>
      <c r="HBO542"/>
      <c r="HBP542"/>
      <c r="HBQ542"/>
      <c r="HBR542"/>
      <c r="HBS542"/>
      <c r="HBT542"/>
      <c r="HBU542"/>
      <c r="HBV542"/>
      <c r="HBW542"/>
      <c r="HBX542"/>
      <c r="HBY542"/>
      <c r="HBZ542"/>
      <c r="HCA542"/>
      <c r="HCB542"/>
      <c r="HCC542"/>
      <c r="HCD542"/>
      <c r="HCE542"/>
      <c r="HCF542"/>
      <c r="HCG542"/>
      <c r="HCH542"/>
      <c r="HCI542"/>
      <c r="HCJ542"/>
      <c r="HCK542"/>
      <c r="HCL542"/>
      <c r="HCM542"/>
      <c r="HCN542"/>
      <c r="HCO542"/>
      <c r="HCP542"/>
      <c r="HCQ542"/>
      <c r="HCR542"/>
      <c r="HCS542"/>
      <c r="HCT542"/>
      <c r="HCU542"/>
      <c r="HCV542"/>
      <c r="HCW542"/>
      <c r="HCX542"/>
      <c r="HCY542"/>
      <c r="HCZ542"/>
      <c r="HDA542"/>
      <c r="HDB542"/>
      <c r="HDC542"/>
      <c r="HDD542"/>
      <c r="HDE542"/>
      <c r="HDF542"/>
      <c r="HDG542"/>
      <c r="HDH542"/>
      <c r="HDI542"/>
      <c r="HDJ542"/>
      <c r="HDK542"/>
      <c r="HDL542"/>
      <c r="HDM542"/>
      <c r="HDN542"/>
      <c r="HDO542"/>
      <c r="HDP542"/>
      <c r="HDQ542"/>
      <c r="HDR542"/>
      <c r="HDS542"/>
      <c r="HDT542"/>
      <c r="HDU542"/>
      <c r="HDV542"/>
      <c r="HDW542"/>
      <c r="HDX542"/>
      <c r="HDY542"/>
      <c r="HDZ542"/>
      <c r="HEA542"/>
      <c r="HEB542"/>
      <c r="HEC542"/>
      <c r="HED542"/>
      <c r="HEE542"/>
      <c r="HEF542"/>
      <c r="HEG542"/>
      <c r="HEH542"/>
      <c r="HEI542"/>
      <c r="HEJ542"/>
      <c r="HEK542"/>
      <c r="HEL542"/>
      <c r="HEM542"/>
      <c r="HEN542"/>
      <c r="HEO542"/>
      <c r="HEP542"/>
      <c r="HEQ542"/>
      <c r="HER542"/>
      <c r="HES542"/>
      <c r="HET542"/>
      <c r="HEU542"/>
      <c r="HEV542"/>
      <c r="HEW542"/>
      <c r="HEX542"/>
      <c r="HEY542"/>
      <c r="HEZ542"/>
      <c r="HFA542"/>
      <c r="HFB542"/>
      <c r="HFC542"/>
      <c r="HFD542"/>
      <c r="HFE542"/>
      <c r="HFF542"/>
      <c r="HFG542"/>
      <c r="HFH542"/>
      <c r="HFI542"/>
      <c r="HFJ542"/>
      <c r="HFK542"/>
      <c r="HFL542"/>
      <c r="HFM542"/>
      <c r="HFN542"/>
      <c r="HFO542"/>
      <c r="HFP542"/>
      <c r="HFQ542"/>
      <c r="HFR542"/>
      <c r="HFS542"/>
      <c r="HFT542"/>
      <c r="HFU542"/>
      <c r="HFV542"/>
      <c r="HFW542"/>
      <c r="HFX542"/>
      <c r="HFY542"/>
      <c r="HFZ542"/>
      <c r="HGA542"/>
      <c r="HGB542"/>
      <c r="HGC542"/>
      <c r="HGD542"/>
      <c r="HGE542"/>
      <c r="HGF542"/>
      <c r="HGG542"/>
      <c r="HGH542"/>
      <c r="HGI542"/>
      <c r="HGJ542"/>
      <c r="HGK542"/>
      <c r="HGL542"/>
      <c r="HGM542"/>
      <c r="HGN542"/>
      <c r="HGO542"/>
      <c r="HGP542"/>
      <c r="HGQ542"/>
      <c r="HGR542"/>
      <c r="HGS542"/>
      <c r="HGT542"/>
      <c r="HGU542"/>
      <c r="HGV542"/>
      <c r="HGW542"/>
      <c r="HGX542"/>
      <c r="HGY542"/>
      <c r="HGZ542"/>
      <c r="HHA542"/>
      <c r="HHB542"/>
      <c r="HHC542"/>
      <c r="HHD542"/>
      <c r="HHE542"/>
      <c r="HHF542"/>
      <c r="HHG542"/>
      <c r="HHH542"/>
      <c r="HHI542"/>
      <c r="HHJ542"/>
      <c r="HHK542"/>
      <c r="HHL542"/>
      <c r="HHM542"/>
      <c r="HHN542"/>
      <c r="HHO542"/>
      <c r="HHP542"/>
      <c r="HHQ542"/>
      <c r="HHR542"/>
      <c r="HHS542"/>
      <c r="HHT542"/>
      <c r="HHU542"/>
      <c r="HHV542"/>
      <c r="HHW542"/>
      <c r="HHX542"/>
      <c r="HHY542"/>
      <c r="HHZ542"/>
      <c r="HIA542"/>
      <c r="HIB542"/>
      <c r="HIC542"/>
      <c r="HID542"/>
      <c r="HIE542"/>
      <c r="HIF542"/>
      <c r="HIG542"/>
      <c r="HIH542"/>
      <c r="HII542"/>
      <c r="HIJ542"/>
      <c r="HIK542"/>
      <c r="HIL542"/>
      <c r="HIM542"/>
      <c r="HIN542"/>
      <c r="HIO542"/>
      <c r="HIP542"/>
      <c r="HIQ542"/>
      <c r="HIR542"/>
      <c r="HIS542"/>
      <c r="HIT542"/>
      <c r="HIU542"/>
      <c r="HIV542"/>
      <c r="HIW542"/>
      <c r="HIX542"/>
      <c r="HIY542"/>
      <c r="HIZ542"/>
      <c r="HJA542"/>
      <c r="HJB542"/>
      <c r="HJC542"/>
      <c r="HJD542"/>
      <c r="HJE542"/>
      <c r="HJF542"/>
      <c r="HJG542"/>
      <c r="HJH542"/>
      <c r="HJI542"/>
      <c r="HJJ542"/>
      <c r="HJK542"/>
      <c r="HJL542"/>
      <c r="HJM542"/>
      <c r="HJN542"/>
      <c r="HJO542"/>
      <c r="HJP542"/>
      <c r="HJQ542"/>
      <c r="HJR542"/>
      <c r="HJS542"/>
      <c r="HJT542"/>
      <c r="HJU542"/>
      <c r="HJV542"/>
      <c r="HJW542"/>
      <c r="HJX542"/>
      <c r="HJY542"/>
      <c r="HJZ542"/>
      <c r="HKA542"/>
      <c r="HKB542"/>
      <c r="HKC542"/>
      <c r="HKD542"/>
      <c r="HKE542"/>
      <c r="HKF542"/>
      <c r="HKG542"/>
      <c r="HKH542"/>
      <c r="HKI542"/>
      <c r="HKJ542"/>
      <c r="HKK542"/>
      <c r="HKL542"/>
      <c r="HKM542"/>
      <c r="HKN542"/>
      <c r="HKO542"/>
      <c r="HKP542"/>
      <c r="HKQ542"/>
      <c r="HKR542"/>
      <c r="HKS542"/>
      <c r="HKT542"/>
      <c r="HKU542"/>
      <c r="HKV542"/>
      <c r="HKW542"/>
      <c r="HKX542"/>
      <c r="HKY542"/>
      <c r="HKZ542"/>
      <c r="HLA542"/>
      <c r="HLB542"/>
      <c r="HLC542"/>
      <c r="HLD542"/>
      <c r="HLE542"/>
      <c r="HLF542"/>
      <c r="HLG542"/>
      <c r="HLH542"/>
      <c r="HLI542"/>
      <c r="HLJ542"/>
      <c r="HLK542"/>
      <c r="HLL542"/>
      <c r="HLM542"/>
      <c r="HLN542"/>
      <c r="HLO542"/>
      <c r="HLP542"/>
      <c r="HLQ542"/>
      <c r="HLR542"/>
      <c r="HLS542"/>
      <c r="HLT542"/>
      <c r="HLU542"/>
      <c r="HLV542"/>
      <c r="HLW542"/>
      <c r="HLX542"/>
      <c r="HLY542"/>
      <c r="HLZ542"/>
      <c r="HMA542"/>
      <c r="HMB542"/>
      <c r="HMC542"/>
      <c r="HMD542"/>
      <c r="HME542"/>
      <c r="HMF542"/>
      <c r="HMG542"/>
      <c r="HMH542"/>
      <c r="HMI542"/>
      <c r="HMJ542"/>
      <c r="HMK542"/>
      <c r="HML542"/>
      <c r="HMM542"/>
      <c r="HMN542"/>
      <c r="HMO542"/>
      <c r="HMP542"/>
      <c r="HMQ542"/>
      <c r="HMR542"/>
      <c r="HMS542"/>
      <c r="HMT542"/>
      <c r="HMU542"/>
      <c r="HMV542"/>
      <c r="HMW542"/>
      <c r="HMX542"/>
      <c r="HMY542"/>
      <c r="HMZ542"/>
      <c r="HNA542"/>
      <c r="HNB542"/>
      <c r="HNC542"/>
      <c r="HND542"/>
      <c r="HNE542"/>
      <c r="HNF542"/>
      <c r="HNG542"/>
      <c r="HNH542"/>
      <c r="HNI542"/>
      <c r="HNJ542"/>
      <c r="HNK542"/>
      <c r="HNL542"/>
      <c r="HNM542"/>
      <c r="HNN542"/>
      <c r="HNO542"/>
      <c r="HNP542"/>
      <c r="HNQ542"/>
      <c r="HNR542"/>
      <c r="HNS542"/>
      <c r="HNT542"/>
      <c r="HNU542"/>
      <c r="HNV542"/>
      <c r="HNW542"/>
      <c r="HNX542"/>
      <c r="HNY542"/>
      <c r="HNZ542"/>
      <c r="HOA542"/>
      <c r="HOB542"/>
      <c r="HOC542"/>
      <c r="HOD542"/>
      <c r="HOE542"/>
      <c r="HOF542"/>
      <c r="HOG542"/>
      <c r="HOH542"/>
      <c r="HOI542"/>
      <c r="HOJ542"/>
      <c r="HOK542"/>
      <c r="HOL542"/>
      <c r="HOM542"/>
      <c r="HON542"/>
      <c r="HOO542"/>
      <c r="HOP542"/>
      <c r="HOQ542"/>
      <c r="HOR542"/>
      <c r="HOS542"/>
      <c r="HOT542"/>
      <c r="HOU542"/>
      <c r="HOV542"/>
      <c r="HOW542"/>
      <c r="HOX542"/>
      <c r="HOY542"/>
      <c r="HOZ542"/>
      <c r="HPA542"/>
      <c r="HPB542"/>
      <c r="HPC542"/>
      <c r="HPD542"/>
      <c r="HPE542"/>
      <c r="HPF542"/>
      <c r="HPG542"/>
      <c r="HPH542"/>
      <c r="HPI542"/>
      <c r="HPJ542"/>
      <c r="HPK542"/>
      <c r="HPL542"/>
      <c r="HPM542"/>
      <c r="HPN542"/>
      <c r="HPO542"/>
      <c r="HPP542"/>
      <c r="HPQ542"/>
      <c r="HPR542"/>
      <c r="HPS542"/>
      <c r="HPT542"/>
      <c r="HPU542"/>
      <c r="HPV542"/>
      <c r="HPW542"/>
      <c r="HPX542"/>
      <c r="HPY542"/>
      <c r="HPZ542"/>
      <c r="HQA542"/>
      <c r="HQB542"/>
      <c r="HQC542"/>
      <c r="HQD542"/>
      <c r="HQE542"/>
      <c r="HQF542"/>
      <c r="HQG542"/>
      <c r="HQH542"/>
      <c r="HQI542"/>
      <c r="HQJ542"/>
      <c r="HQK542"/>
      <c r="HQL542"/>
      <c r="HQM542"/>
      <c r="HQN542"/>
      <c r="HQO542"/>
      <c r="HQP542"/>
      <c r="HQQ542"/>
      <c r="HQR542"/>
      <c r="HQS542"/>
      <c r="HQT542"/>
      <c r="HQU542"/>
      <c r="HQV542"/>
      <c r="HQW542"/>
      <c r="HQX542"/>
      <c r="HQY542"/>
      <c r="HQZ542"/>
      <c r="HRA542"/>
      <c r="HRB542"/>
      <c r="HRC542"/>
      <c r="HRD542"/>
      <c r="HRE542"/>
      <c r="HRF542"/>
      <c r="HRG542"/>
      <c r="HRH542"/>
      <c r="HRI542"/>
      <c r="HRJ542"/>
      <c r="HRK542"/>
      <c r="HRL542"/>
      <c r="HRM542"/>
      <c r="HRN542"/>
      <c r="HRO542"/>
      <c r="HRP542"/>
      <c r="HRQ542"/>
      <c r="HRR542"/>
      <c r="HRS542"/>
      <c r="HRT542"/>
      <c r="HRU542"/>
      <c r="HRV542"/>
      <c r="HRW542"/>
      <c r="HRX542"/>
      <c r="HRY542"/>
      <c r="HRZ542"/>
      <c r="HSA542"/>
      <c r="HSB542"/>
      <c r="HSC542"/>
      <c r="HSD542"/>
      <c r="HSE542"/>
      <c r="HSF542"/>
      <c r="HSG542"/>
      <c r="HSH542"/>
      <c r="HSI542"/>
      <c r="HSJ542"/>
      <c r="HSK542"/>
      <c r="HSL542"/>
      <c r="HSM542"/>
      <c r="HSN542"/>
      <c r="HSO542"/>
      <c r="HSP542"/>
      <c r="HSQ542"/>
      <c r="HSR542"/>
      <c r="HSS542"/>
      <c r="HST542"/>
      <c r="HSU542"/>
      <c r="HSV542"/>
      <c r="HSW542"/>
      <c r="HSX542"/>
      <c r="HSY542"/>
      <c r="HSZ542"/>
      <c r="HTA542"/>
      <c r="HTB542"/>
      <c r="HTC542"/>
      <c r="HTD542"/>
      <c r="HTE542"/>
      <c r="HTF542"/>
      <c r="HTG542"/>
      <c r="HTH542"/>
      <c r="HTI542"/>
      <c r="HTJ542"/>
      <c r="HTK542"/>
      <c r="HTL542"/>
      <c r="HTM542"/>
      <c r="HTN542"/>
      <c r="HTO542"/>
      <c r="HTP542"/>
      <c r="HTQ542"/>
      <c r="HTR542"/>
      <c r="HTS542"/>
      <c r="HTT542"/>
      <c r="HTU542"/>
      <c r="HTV542"/>
      <c r="HTW542"/>
      <c r="HTX542"/>
      <c r="HTY542"/>
      <c r="HTZ542"/>
      <c r="HUA542"/>
      <c r="HUB542"/>
      <c r="HUC542"/>
      <c r="HUD542"/>
      <c r="HUE542"/>
      <c r="HUF542"/>
      <c r="HUG542"/>
      <c r="HUH542"/>
      <c r="HUI542"/>
      <c r="HUJ542"/>
      <c r="HUK542"/>
      <c r="HUL542"/>
      <c r="HUM542"/>
      <c r="HUN542"/>
      <c r="HUO542"/>
      <c r="HUP542"/>
      <c r="HUQ542"/>
      <c r="HUR542"/>
      <c r="HUS542"/>
      <c r="HUT542"/>
      <c r="HUU542"/>
      <c r="HUV542"/>
      <c r="HUW542"/>
      <c r="HUX542"/>
      <c r="HUY542"/>
      <c r="HUZ542"/>
      <c r="HVA542"/>
      <c r="HVB542"/>
      <c r="HVC542"/>
      <c r="HVD542"/>
      <c r="HVE542"/>
      <c r="HVF542"/>
      <c r="HVG542"/>
      <c r="HVH542"/>
      <c r="HVI542"/>
      <c r="HVJ542"/>
      <c r="HVK542"/>
      <c r="HVL542"/>
      <c r="HVM542"/>
      <c r="HVN542"/>
      <c r="HVO542"/>
      <c r="HVP542"/>
      <c r="HVQ542"/>
      <c r="HVR542"/>
      <c r="HVS542"/>
      <c r="HVT542"/>
      <c r="HVU542"/>
      <c r="HVV542"/>
      <c r="HVW542"/>
      <c r="HVX542"/>
      <c r="HVY542"/>
      <c r="HVZ542"/>
      <c r="HWA542"/>
      <c r="HWB542"/>
      <c r="HWC542"/>
      <c r="HWD542"/>
      <c r="HWE542"/>
      <c r="HWF542"/>
      <c r="HWG542"/>
      <c r="HWH542"/>
      <c r="HWI542"/>
      <c r="HWJ542"/>
      <c r="HWK542"/>
      <c r="HWL542"/>
      <c r="HWM542"/>
      <c r="HWN542"/>
      <c r="HWO542"/>
      <c r="HWP542"/>
      <c r="HWQ542"/>
      <c r="HWR542"/>
      <c r="HWS542"/>
      <c r="HWT542"/>
      <c r="HWU542"/>
      <c r="HWV542"/>
      <c r="HWW542"/>
      <c r="HWX542"/>
      <c r="HWY542"/>
      <c r="HWZ542"/>
      <c r="HXA542"/>
      <c r="HXB542"/>
      <c r="HXC542"/>
      <c r="HXD542"/>
      <c r="HXE542"/>
      <c r="HXF542"/>
      <c r="HXG542"/>
      <c r="HXH542"/>
      <c r="HXI542"/>
      <c r="HXJ542"/>
      <c r="HXK542"/>
      <c r="HXL542"/>
      <c r="HXM542"/>
      <c r="HXN542"/>
      <c r="HXO542"/>
      <c r="HXP542"/>
      <c r="HXQ542"/>
      <c r="HXR542"/>
      <c r="HXS542"/>
      <c r="HXT542"/>
      <c r="HXU542"/>
      <c r="HXV542"/>
      <c r="HXW542"/>
      <c r="HXX542"/>
      <c r="HXY542"/>
      <c r="HXZ542"/>
      <c r="HYA542"/>
      <c r="HYB542"/>
      <c r="HYC542"/>
      <c r="HYD542"/>
      <c r="HYE542"/>
      <c r="HYF542"/>
      <c r="HYG542"/>
      <c r="HYH542"/>
      <c r="HYI542"/>
      <c r="HYJ542"/>
      <c r="HYK542"/>
      <c r="HYL542"/>
      <c r="HYM542"/>
      <c r="HYN542"/>
      <c r="HYO542"/>
      <c r="HYP542"/>
      <c r="HYQ542"/>
      <c r="HYR542"/>
      <c r="HYS542"/>
      <c r="HYT542"/>
      <c r="HYU542"/>
      <c r="HYV542"/>
      <c r="HYW542"/>
      <c r="HYX542"/>
      <c r="HYY542"/>
      <c r="HYZ542"/>
      <c r="HZA542"/>
      <c r="HZB542"/>
      <c r="HZC542"/>
      <c r="HZD542"/>
      <c r="HZE542"/>
      <c r="HZF542"/>
      <c r="HZG542"/>
      <c r="HZH542"/>
      <c r="HZI542"/>
      <c r="HZJ542"/>
      <c r="HZK542"/>
      <c r="HZL542"/>
      <c r="HZM542"/>
      <c r="HZN542"/>
      <c r="HZO542"/>
      <c r="HZP542"/>
      <c r="HZQ542"/>
      <c r="HZR542"/>
      <c r="HZS542"/>
      <c r="HZT542"/>
      <c r="HZU542"/>
      <c r="HZV542"/>
      <c r="HZW542"/>
      <c r="HZX542"/>
      <c r="HZY542"/>
      <c r="HZZ542"/>
      <c r="IAA542"/>
      <c r="IAB542"/>
      <c r="IAC542"/>
      <c r="IAD542"/>
      <c r="IAE542"/>
      <c r="IAF542"/>
      <c r="IAG542"/>
      <c r="IAH542"/>
      <c r="IAI542"/>
      <c r="IAJ542"/>
      <c r="IAK542"/>
      <c r="IAL542"/>
      <c r="IAM542"/>
      <c r="IAN542"/>
      <c r="IAO542"/>
      <c r="IAP542"/>
      <c r="IAQ542"/>
      <c r="IAR542"/>
      <c r="IAS542"/>
      <c r="IAT542"/>
      <c r="IAU542"/>
      <c r="IAV542"/>
      <c r="IAW542"/>
      <c r="IAX542"/>
      <c r="IAY542"/>
      <c r="IAZ542"/>
      <c r="IBA542"/>
      <c r="IBB542"/>
      <c r="IBC542"/>
      <c r="IBD542"/>
      <c r="IBE542"/>
      <c r="IBF542"/>
      <c r="IBG542"/>
      <c r="IBH542"/>
      <c r="IBI542"/>
      <c r="IBJ542"/>
      <c r="IBK542"/>
      <c r="IBL542"/>
      <c r="IBM542"/>
      <c r="IBN542"/>
      <c r="IBO542"/>
      <c r="IBP542"/>
      <c r="IBQ542"/>
      <c r="IBR542"/>
      <c r="IBS542"/>
      <c r="IBT542"/>
      <c r="IBU542"/>
      <c r="IBV542"/>
      <c r="IBW542"/>
      <c r="IBX542"/>
      <c r="IBY542"/>
      <c r="IBZ542"/>
      <c r="ICA542"/>
      <c r="ICB542"/>
      <c r="ICC542"/>
      <c r="ICD542"/>
      <c r="ICE542"/>
      <c r="ICF542"/>
      <c r="ICG542"/>
      <c r="ICH542"/>
      <c r="ICI542"/>
      <c r="ICJ542"/>
      <c r="ICK542"/>
      <c r="ICL542"/>
      <c r="ICM542"/>
      <c r="ICN542"/>
      <c r="ICO542"/>
      <c r="ICP542"/>
      <c r="ICQ542"/>
      <c r="ICR542"/>
      <c r="ICS542"/>
      <c r="ICT542"/>
      <c r="ICU542"/>
      <c r="ICV542"/>
      <c r="ICW542"/>
      <c r="ICX542"/>
      <c r="ICY542"/>
      <c r="ICZ542"/>
      <c r="IDA542"/>
      <c r="IDB542"/>
      <c r="IDC542"/>
      <c r="IDD542"/>
      <c r="IDE542"/>
      <c r="IDF542"/>
      <c r="IDG542"/>
      <c r="IDH542"/>
      <c r="IDI542"/>
      <c r="IDJ542"/>
      <c r="IDK542"/>
      <c r="IDL542"/>
      <c r="IDM542"/>
      <c r="IDN542"/>
      <c r="IDO542"/>
      <c r="IDP542"/>
      <c r="IDQ542"/>
      <c r="IDR542"/>
      <c r="IDS542"/>
      <c r="IDT542"/>
      <c r="IDU542"/>
      <c r="IDV542"/>
      <c r="IDW542"/>
      <c r="IDX542"/>
      <c r="IDY542"/>
      <c r="IDZ542"/>
      <c r="IEA542"/>
      <c r="IEB542"/>
      <c r="IEC542"/>
      <c r="IED542"/>
      <c r="IEE542"/>
      <c r="IEF542"/>
      <c r="IEG542"/>
      <c r="IEH542"/>
      <c r="IEI542"/>
      <c r="IEJ542"/>
      <c r="IEK542"/>
      <c r="IEL542"/>
      <c r="IEM542"/>
      <c r="IEN542"/>
      <c r="IEO542"/>
      <c r="IEP542"/>
      <c r="IEQ542"/>
      <c r="IER542"/>
      <c r="IES542"/>
      <c r="IET542"/>
      <c r="IEU542"/>
      <c r="IEV542"/>
      <c r="IEW542"/>
      <c r="IEX542"/>
      <c r="IEY542"/>
      <c r="IEZ542"/>
      <c r="IFA542"/>
      <c r="IFB542"/>
      <c r="IFC542"/>
      <c r="IFD542"/>
      <c r="IFE542"/>
      <c r="IFF542"/>
      <c r="IFG542"/>
      <c r="IFH542"/>
      <c r="IFI542"/>
      <c r="IFJ542"/>
      <c r="IFK542"/>
      <c r="IFL542"/>
      <c r="IFM542"/>
      <c r="IFN542"/>
      <c r="IFO542"/>
      <c r="IFP542"/>
      <c r="IFQ542"/>
      <c r="IFR542"/>
      <c r="IFS542"/>
      <c r="IFT542"/>
      <c r="IFU542"/>
      <c r="IFV542"/>
      <c r="IFW542"/>
      <c r="IFX542"/>
      <c r="IFY542"/>
      <c r="IFZ542"/>
      <c r="IGA542"/>
      <c r="IGB542"/>
      <c r="IGC542"/>
      <c r="IGD542"/>
      <c r="IGE542"/>
      <c r="IGF542"/>
      <c r="IGG542"/>
      <c r="IGH542"/>
      <c r="IGI542"/>
      <c r="IGJ542"/>
      <c r="IGK542"/>
      <c r="IGL542"/>
      <c r="IGM542"/>
      <c r="IGN542"/>
      <c r="IGO542"/>
      <c r="IGP542"/>
      <c r="IGQ542"/>
      <c r="IGR542"/>
      <c r="IGS542"/>
      <c r="IGT542"/>
      <c r="IGU542"/>
      <c r="IGV542"/>
      <c r="IGW542"/>
      <c r="IGX542"/>
      <c r="IGY542"/>
      <c r="IGZ542"/>
      <c r="IHA542"/>
      <c r="IHB542"/>
      <c r="IHC542"/>
      <c r="IHD542"/>
      <c r="IHE542"/>
      <c r="IHF542"/>
      <c r="IHG542"/>
      <c r="IHH542"/>
      <c r="IHI542"/>
      <c r="IHJ542"/>
      <c r="IHK542"/>
      <c r="IHL542"/>
      <c r="IHM542"/>
      <c r="IHN542"/>
      <c r="IHO542"/>
      <c r="IHP542"/>
      <c r="IHQ542"/>
      <c r="IHR542"/>
      <c r="IHS542"/>
      <c r="IHT542"/>
      <c r="IHU542"/>
      <c r="IHV542"/>
      <c r="IHW542"/>
      <c r="IHX542"/>
      <c r="IHY542"/>
      <c r="IHZ542"/>
      <c r="IIA542"/>
      <c r="IIB542"/>
      <c r="IIC542"/>
      <c r="IID542"/>
      <c r="IIE542"/>
      <c r="IIF542"/>
      <c r="IIG542"/>
      <c r="IIH542"/>
      <c r="III542"/>
      <c r="IIJ542"/>
      <c r="IIK542"/>
      <c r="IIL542"/>
      <c r="IIM542"/>
      <c r="IIN542"/>
      <c r="IIO542"/>
      <c r="IIP542"/>
      <c r="IIQ542"/>
      <c r="IIR542"/>
      <c r="IIS542"/>
      <c r="IIT542"/>
      <c r="IIU542"/>
      <c r="IIV542"/>
      <c r="IIW542"/>
      <c r="IIX542"/>
      <c r="IIY542"/>
      <c r="IIZ542"/>
      <c r="IJA542"/>
      <c r="IJB542"/>
      <c r="IJC542"/>
      <c r="IJD542"/>
      <c r="IJE542"/>
      <c r="IJF542"/>
      <c r="IJG542"/>
      <c r="IJH542"/>
      <c r="IJI542"/>
      <c r="IJJ542"/>
      <c r="IJK542"/>
      <c r="IJL542"/>
      <c r="IJM542"/>
      <c r="IJN542"/>
      <c r="IJO542"/>
      <c r="IJP542"/>
      <c r="IJQ542"/>
      <c r="IJR542"/>
      <c r="IJS542"/>
      <c r="IJT542"/>
      <c r="IJU542"/>
      <c r="IJV542"/>
      <c r="IJW542"/>
      <c r="IJX542"/>
      <c r="IJY542"/>
      <c r="IJZ542"/>
      <c r="IKA542"/>
      <c r="IKB542"/>
      <c r="IKC542"/>
      <c r="IKD542"/>
      <c r="IKE542"/>
      <c r="IKF542"/>
      <c r="IKG542"/>
      <c r="IKH542"/>
      <c r="IKI542"/>
      <c r="IKJ542"/>
      <c r="IKK542"/>
      <c r="IKL542"/>
      <c r="IKM542"/>
      <c r="IKN542"/>
      <c r="IKO542"/>
      <c r="IKP542"/>
      <c r="IKQ542"/>
      <c r="IKR542"/>
      <c r="IKS542"/>
      <c r="IKT542"/>
      <c r="IKU542"/>
      <c r="IKV542"/>
      <c r="IKW542"/>
      <c r="IKX542"/>
      <c r="IKY542"/>
      <c r="IKZ542"/>
      <c r="ILA542"/>
      <c r="ILB542"/>
      <c r="ILC542"/>
      <c r="ILD542"/>
      <c r="ILE542"/>
      <c r="ILF542"/>
      <c r="ILG542"/>
      <c r="ILH542"/>
      <c r="ILI542"/>
      <c r="ILJ542"/>
      <c r="ILK542"/>
      <c r="ILL542"/>
      <c r="ILM542"/>
      <c r="ILN542"/>
      <c r="ILO542"/>
      <c r="ILP542"/>
      <c r="ILQ542"/>
      <c r="ILR542"/>
      <c r="ILS542"/>
      <c r="ILT542"/>
      <c r="ILU542"/>
      <c r="ILV542"/>
      <c r="ILW542"/>
      <c r="ILX542"/>
      <c r="ILY542"/>
      <c r="ILZ542"/>
      <c r="IMA542"/>
      <c r="IMB542"/>
      <c r="IMC542"/>
      <c r="IMD542"/>
      <c r="IME542"/>
      <c r="IMF542"/>
      <c r="IMG542"/>
      <c r="IMH542"/>
      <c r="IMI542"/>
      <c r="IMJ542"/>
      <c r="IMK542"/>
      <c r="IML542"/>
      <c r="IMM542"/>
      <c r="IMN542"/>
      <c r="IMO542"/>
      <c r="IMP542"/>
      <c r="IMQ542"/>
      <c r="IMR542"/>
      <c r="IMS542"/>
      <c r="IMT542"/>
      <c r="IMU542"/>
      <c r="IMV542"/>
      <c r="IMW542"/>
      <c r="IMX542"/>
      <c r="IMY542"/>
      <c r="IMZ542"/>
      <c r="INA542"/>
      <c r="INB542"/>
      <c r="INC542"/>
      <c r="IND542"/>
      <c r="INE542"/>
      <c r="INF542"/>
      <c r="ING542"/>
      <c r="INH542"/>
      <c r="INI542"/>
      <c r="INJ542"/>
      <c r="INK542"/>
      <c r="INL542"/>
      <c r="INM542"/>
      <c r="INN542"/>
      <c r="INO542"/>
      <c r="INP542"/>
      <c r="INQ542"/>
      <c r="INR542"/>
      <c r="INS542"/>
      <c r="INT542"/>
      <c r="INU542"/>
      <c r="INV542"/>
      <c r="INW542"/>
      <c r="INX542"/>
      <c r="INY542"/>
      <c r="INZ542"/>
      <c r="IOA542"/>
      <c r="IOB542"/>
      <c r="IOC542"/>
      <c r="IOD542"/>
      <c r="IOE542"/>
      <c r="IOF542"/>
      <c r="IOG542"/>
      <c r="IOH542"/>
      <c r="IOI542"/>
      <c r="IOJ542"/>
      <c r="IOK542"/>
      <c r="IOL542"/>
      <c r="IOM542"/>
      <c r="ION542"/>
      <c r="IOO542"/>
      <c r="IOP542"/>
      <c r="IOQ542"/>
      <c r="IOR542"/>
      <c r="IOS542"/>
      <c r="IOT542"/>
      <c r="IOU542"/>
      <c r="IOV542"/>
      <c r="IOW542"/>
      <c r="IOX542"/>
      <c r="IOY542"/>
      <c r="IOZ542"/>
      <c r="IPA542"/>
      <c r="IPB542"/>
      <c r="IPC542"/>
      <c r="IPD542"/>
      <c r="IPE542"/>
      <c r="IPF542"/>
      <c r="IPG542"/>
      <c r="IPH542"/>
      <c r="IPI542"/>
      <c r="IPJ542"/>
      <c r="IPK542"/>
      <c r="IPL542"/>
      <c r="IPM542"/>
      <c r="IPN542"/>
      <c r="IPO542"/>
      <c r="IPP542"/>
      <c r="IPQ542"/>
      <c r="IPR542"/>
      <c r="IPS542"/>
      <c r="IPT542"/>
      <c r="IPU542"/>
      <c r="IPV542"/>
      <c r="IPW542"/>
      <c r="IPX542"/>
      <c r="IPY542"/>
      <c r="IPZ542"/>
      <c r="IQA542"/>
      <c r="IQB542"/>
      <c r="IQC542"/>
      <c r="IQD542"/>
      <c r="IQE542"/>
      <c r="IQF542"/>
      <c r="IQG542"/>
      <c r="IQH542"/>
      <c r="IQI542"/>
      <c r="IQJ542"/>
      <c r="IQK542"/>
      <c r="IQL542"/>
      <c r="IQM542"/>
      <c r="IQN542"/>
      <c r="IQO542"/>
      <c r="IQP542"/>
      <c r="IQQ542"/>
      <c r="IQR542"/>
      <c r="IQS542"/>
      <c r="IQT542"/>
      <c r="IQU542"/>
      <c r="IQV542"/>
      <c r="IQW542"/>
      <c r="IQX542"/>
      <c r="IQY542"/>
      <c r="IQZ542"/>
      <c r="IRA542"/>
      <c r="IRB542"/>
      <c r="IRC542"/>
      <c r="IRD542"/>
      <c r="IRE542"/>
      <c r="IRF542"/>
      <c r="IRG542"/>
      <c r="IRH542"/>
      <c r="IRI542"/>
      <c r="IRJ542"/>
      <c r="IRK542"/>
      <c r="IRL542"/>
      <c r="IRM542"/>
      <c r="IRN542"/>
      <c r="IRO542"/>
      <c r="IRP542"/>
      <c r="IRQ542"/>
      <c r="IRR542"/>
      <c r="IRS542"/>
      <c r="IRT542"/>
      <c r="IRU542"/>
      <c r="IRV542"/>
      <c r="IRW542"/>
      <c r="IRX542"/>
      <c r="IRY542"/>
      <c r="IRZ542"/>
      <c r="ISA542"/>
      <c r="ISB542"/>
      <c r="ISC542"/>
      <c r="ISD542"/>
      <c r="ISE542"/>
      <c r="ISF542"/>
      <c r="ISG542"/>
      <c r="ISH542"/>
      <c r="ISI542"/>
      <c r="ISJ542"/>
      <c r="ISK542"/>
      <c r="ISL542"/>
      <c r="ISM542"/>
      <c r="ISN542"/>
      <c r="ISO542"/>
      <c r="ISP542"/>
      <c r="ISQ542"/>
      <c r="ISR542"/>
      <c r="ISS542"/>
      <c r="IST542"/>
      <c r="ISU542"/>
      <c r="ISV542"/>
      <c r="ISW542"/>
      <c r="ISX542"/>
      <c r="ISY542"/>
      <c r="ISZ542"/>
      <c r="ITA542"/>
      <c r="ITB542"/>
      <c r="ITC542"/>
      <c r="ITD542"/>
      <c r="ITE542"/>
      <c r="ITF542"/>
      <c r="ITG542"/>
      <c r="ITH542"/>
      <c r="ITI542"/>
      <c r="ITJ542"/>
      <c r="ITK542"/>
      <c r="ITL542"/>
      <c r="ITM542"/>
      <c r="ITN542"/>
      <c r="ITO542"/>
      <c r="ITP542"/>
      <c r="ITQ542"/>
      <c r="ITR542"/>
      <c r="ITS542"/>
      <c r="ITT542"/>
      <c r="ITU542"/>
      <c r="ITV542"/>
      <c r="ITW542"/>
      <c r="ITX542"/>
      <c r="ITY542"/>
      <c r="ITZ542"/>
      <c r="IUA542"/>
      <c r="IUB542"/>
      <c r="IUC542"/>
      <c r="IUD542"/>
      <c r="IUE542"/>
      <c r="IUF542"/>
      <c r="IUG542"/>
      <c r="IUH542"/>
      <c r="IUI542"/>
      <c r="IUJ542"/>
      <c r="IUK542"/>
      <c r="IUL542"/>
      <c r="IUM542"/>
      <c r="IUN542"/>
      <c r="IUO542"/>
      <c r="IUP542"/>
      <c r="IUQ542"/>
      <c r="IUR542"/>
      <c r="IUS542"/>
      <c r="IUT542"/>
      <c r="IUU542"/>
      <c r="IUV542"/>
      <c r="IUW542"/>
      <c r="IUX542"/>
      <c r="IUY542"/>
      <c r="IUZ542"/>
      <c r="IVA542"/>
      <c r="IVB542"/>
      <c r="IVC542"/>
      <c r="IVD542"/>
      <c r="IVE542"/>
      <c r="IVF542"/>
      <c r="IVG542"/>
      <c r="IVH542"/>
      <c r="IVI542"/>
      <c r="IVJ542"/>
      <c r="IVK542"/>
      <c r="IVL542"/>
      <c r="IVM542"/>
      <c r="IVN542"/>
      <c r="IVO542"/>
      <c r="IVP542"/>
      <c r="IVQ542"/>
      <c r="IVR542"/>
      <c r="IVS542"/>
      <c r="IVT542"/>
      <c r="IVU542"/>
      <c r="IVV542"/>
      <c r="IVW542"/>
      <c r="IVX542"/>
      <c r="IVY542"/>
      <c r="IVZ542"/>
      <c r="IWA542"/>
      <c r="IWB542"/>
      <c r="IWC542"/>
      <c r="IWD542"/>
      <c r="IWE542"/>
      <c r="IWF542"/>
      <c r="IWG542"/>
      <c r="IWH542"/>
      <c r="IWI542"/>
      <c r="IWJ542"/>
      <c r="IWK542"/>
      <c r="IWL542"/>
      <c r="IWM542"/>
      <c r="IWN542"/>
      <c r="IWO542"/>
      <c r="IWP542"/>
      <c r="IWQ542"/>
      <c r="IWR542"/>
      <c r="IWS542"/>
      <c r="IWT542"/>
      <c r="IWU542"/>
      <c r="IWV542"/>
      <c r="IWW542"/>
      <c r="IWX542"/>
      <c r="IWY542"/>
      <c r="IWZ542"/>
      <c r="IXA542"/>
      <c r="IXB542"/>
      <c r="IXC542"/>
      <c r="IXD542"/>
      <c r="IXE542"/>
      <c r="IXF542"/>
      <c r="IXG542"/>
      <c r="IXH542"/>
      <c r="IXI542"/>
      <c r="IXJ542"/>
      <c r="IXK542"/>
      <c r="IXL542"/>
      <c r="IXM542"/>
      <c r="IXN542"/>
      <c r="IXO542"/>
      <c r="IXP542"/>
      <c r="IXQ542"/>
      <c r="IXR542"/>
      <c r="IXS542"/>
      <c r="IXT542"/>
      <c r="IXU542"/>
      <c r="IXV542"/>
      <c r="IXW542"/>
      <c r="IXX542"/>
      <c r="IXY542"/>
      <c r="IXZ542"/>
      <c r="IYA542"/>
      <c r="IYB542"/>
      <c r="IYC542"/>
      <c r="IYD542"/>
      <c r="IYE542"/>
      <c r="IYF542"/>
      <c r="IYG542"/>
      <c r="IYH542"/>
      <c r="IYI542"/>
      <c r="IYJ542"/>
      <c r="IYK542"/>
      <c r="IYL542"/>
      <c r="IYM542"/>
      <c r="IYN542"/>
      <c r="IYO542"/>
      <c r="IYP542"/>
      <c r="IYQ542"/>
      <c r="IYR542"/>
      <c r="IYS542"/>
      <c r="IYT542"/>
      <c r="IYU542"/>
      <c r="IYV542"/>
      <c r="IYW542"/>
      <c r="IYX542"/>
      <c r="IYY542"/>
      <c r="IYZ542"/>
      <c r="IZA542"/>
      <c r="IZB542"/>
      <c r="IZC542"/>
      <c r="IZD542"/>
      <c r="IZE542"/>
      <c r="IZF542"/>
      <c r="IZG542"/>
      <c r="IZH542"/>
      <c r="IZI542"/>
      <c r="IZJ542"/>
      <c r="IZK542"/>
      <c r="IZL542"/>
      <c r="IZM542"/>
      <c r="IZN542"/>
      <c r="IZO542"/>
      <c r="IZP542"/>
      <c r="IZQ542"/>
      <c r="IZR542"/>
      <c r="IZS542"/>
      <c r="IZT542"/>
      <c r="IZU542"/>
      <c r="IZV542"/>
      <c r="IZW542"/>
      <c r="IZX542"/>
      <c r="IZY542"/>
      <c r="IZZ542"/>
      <c r="JAA542"/>
      <c r="JAB542"/>
      <c r="JAC542"/>
      <c r="JAD542"/>
      <c r="JAE542"/>
      <c r="JAF542"/>
      <c r="JAG542"/>
      <c r="JAH542"/>
      <c r="JAI542"/>
      <c r="JAJ542"/>
      <c r="JAK542"/>
      <c r="JAL542"/>
      <c r="JAM542"/>
      <c r="JAN542"/>
      <c r="JAO542"/>
      <c r="JAP542"/>
      <c r="JAQ542"/>
      <c r="JAR542"/>
      <c r="JAS542"/>
      <c r="JAT542"/>
      <c r="JAU542"/>
      <c r="JAV542"/>
      <c r="JAW542"/>
      <c r="JAX542"/>
      <c r="JAY542"/>
      <c r="JAZ542"/>
      <c r="JBA542"/>
      <c r="JBB542"/>
      <c r="JBC542"/>
      <c r="JBD542"/>
      <c r="JBE542"/>
      <c r="JBF542"/>
      <c r="JBG542"/>
      <c r="JBH542"/>
      <c r="JBI542"/>
      <c r="JBJ542"/>
      <c r="JBK542"/>
      <c r="JBL542"/>
      <c r="JBM542"/>
      <c r="JBN542"/>
      <c r="JBO542"/>
      <c r="JBP542"/>
      <c r="JBQ542"/>
      <c r="JBR542"/>
      <c r="JBS542"/>
      <c r="JBT542"/>
      <c r="JBU542"/>
      <c r="JBV542"/>
      <c r="JBW542"/>
      <c r="JBX542"/>
      <c r="JBY542"/>
      <c r="JBZ542"/>
      <c r="JCA542"/>
      <c r="JCB542"/>
      <c r="JCC542"/>
      <c r="JCD542"/>
      <c r="JCE542"/>
      <c r="JCF542"/>
      <c r="JCG542"/>
      <c r="JCH542"/>
      <c r="JCI542"/>
      <c r="JCJ542"/>
      <c r="JCK542"/>
      <c r="JCL542"/>
      <c r="JCM542"/>
      <c r="JCN542"/>
      <c r="JCO542"/>
      <c r="JCP542"/>
      <c r="JCQ542"/>
      <c r="JCR542"/>
      <c r="JCS542"/>
      <c r="JCT542"/>
      <c r="JCU542"/>
      <c r="JCV542"/>
      <c r="JCW542"/>
      <c r="JCX542"/>
      <c r="JCY542"/>
      <c r="JCZ542"/>
      <c r="JDA542"/>
      <c r="JDB542"/>
      <c r="JDC542"/>
      <c r="JDD542"/>
      <c r="JDE542"/>
      <c r="JDF542"/>
      <c r="JDG542"/>
      <c r="JDH542"/>
      <c r="JDI542"/>
      <c r="JDJ542"/>
      <c r="JDK542"/>
      <c r="JDL542"/>
      <c r="JDM542"/>
      <c r="JDN542"/>
      <c r="JDO542"/>
      <c r="JDP542"/>
      <c r="JDQ542"/>
      <c r="JDR542"/>
      <c r="JDS542"/>
      <c r="JDT542"/>
      <c r="JDU542"/>
      <c r="JDV542"/>
      <c r="JDW542"/>
      <c r="JDX542"/>
      <c r="JDY542"/>
      <c r="JDZ542"/>
      <c r="JEA542"/>
      <c r="JEB542"/>
      <c r="JEC542"/>
      <c r="JED542"/>
      <c r="JEE542"/>
      <c r="JEF542"/>
      <c r="JEG542"/>
      <c r="JEH542"/>
      <c r="JEI542"/>
      <c r="JEJ542"/>
      <c r="JEK542"/>
      <c r="JEL542"/>
      <c r="JEM542"/>
      <c r="JEN542"/>
      <c r="JEO542"/>
      <c r="JEP542"/>
      <c r="JEQ542"/>
      <c r="JER542"/>
      <c r="JES542"/>
      <c r="JET542"/>
      <c r="JEU542"/>
      <c r="JEV542"/>
      <c r="JEW542"/>
      <c r="JEX542"/>
      <c r="JEY542"/>
      <c r="JEZ542"/>
      <c r="JFA542"/>
      <c r="JFB542"/>
      <c r="JFC542"/>
      <c r="JFD542"/>
      <c r="JFE542"/>
      <c r="JFF542"/>
      <c r="JFG542"/>
      <c r="JFH542"/>
      <c r="JFI542"/>
      <c r="JFJ542"/>
      <c r="JFK542"/>
      <c r="JFL542"/>
      <c r="JFM542"/>
      <c r="JFN542"/>
      <c r="JFO542"/>
      <c r="JFP542"/>
      <c r="JFQ542"/>
      <c r="JFR542"/>
      <c r="JFS542"/>
      <c r="JFT542"/>
      <c r="JFU542"/>
      <c r="JFV542"/>
      <c r="JFW542"/>
      <c r="JFX542"/>
      <c r="JFY542"/>
      <c r="JFZ542"/>
      <c r="JGA542"/>
      <c r="JGB542"/>
      <c r="JGC542"/>
      <c r="JGD542"/>
      <c r="JGE542"/>
      <c r="JGF542"/>
      <c r="JGG542"/>
      <c r="JGH542"/>
      <c r="JGI542"/>
      <c r="JGJ542"/>
      <c r="JGK542"/>
      <c r="JGL542"/>
      <c r="JGM542"/>
      <c r="JGN542"/>
      <c r="JGO542"/>
      <c r="JGP542"/>
      <c r="JGQ542"/>
      <c r="JGR542"/>
      <c r="JGS542"/>
      <c r="JGT542"/>
      <c r="JGU542"/>
      <c r="JGV542"/>
      <c r="JGW542"/>
      <c r="JGX542"/>
      <c r="JGY542"/>
      <c r="JGZ542"/>
      <c r="JHA542"/>
      <c r="JHB542"/>
      <c r="JHC542"/>
      <c r="JHD542"/>
      <c r="JHE542"/>
      <c r="JHF542"/>
      <c r="JHG542"/>
      <c r="JHH542"/>
      <c r="JHI542"/>
      <c r="JHJ542"/>
      <c r="JHK542"/>
      <c r="JHL542"/>
      <c r="JHM542"/>
      <c r="JHN542"/>
      <c r="JHO542"/>
      <c r="JHP542"/>
      <c r="JHQ542"/>
      <c r="JHR542"/>
      <c r="JHS542"/>
      <c r="JHT542"/>
      <c r="JHU542"/>
      <c r="JHV542"/>
      <c r="JHW542"/>
      <c r="JHX542"/>
      <c r="JHY542"/>
      <c r="JHZ542"/>
      <c r="JIA542"/>
      <c r="JIB542"/>
      <c r="JIC542"/>
      <c r="JID542"/>
      <c r="JIE542"/>
      <c r="JIF542"/>
      <c r="JIG542"/>
      <c r="JIH542"/>
      <c r="JII542"/>
      <c r="JIJ542"/>
      <c r="JIK542"/>
      <c r="JIL542"/>
      <c r="JIM542"/>
      <c r="JIN542"/>
      <c r="JIO542"/>
      <c r="JIP542"/>
      <c r="JIQ542"/>
      <c r="JIR542"/>
      <c r="JIS542"/>
      <c r="JIT542"/>
      <c r="JIU542"/>
      <c r="JIV542"/>
      <c r="JIW542"/>
      <c r="JIX542"/>
      <c r="JIY542"/>
      <c r="JIZ542"/>
      <c r="JJA542"/>
      <c r="JJB542"/>
      <c r="JJC542"/>
      <c r="JJD542"/>
      <c r="JJE542"/>
      <c r="JJF542"/>
      <c r="JJG542"/>
      <c r="JJH542"/>
      <c r="JJI542"/>
      <c r="JJJ542"/>
      <c r="JJK542"/>
      <c r="JJL542"/>
      <c r="JJM542"/>
      <c r="JJN542"/>
      <c r="JJO542"/>
      <c r="JJP542"/>
      <c r="JJQ542"/>
      <c r="JJR542"/>
      <c r="JJS542"/>
      <c r="JJT542"/>
      <c r="JJU542"/>
      <c r="JJV542"/>
      <c r="JJW542"/>
      <c r="JJX542"/>
      <c r="JJY542"/>
      <c r="JJZ542"/>
      <c r="JKA542"/>
      <c r="JKB542"/>
      <c r="JKC542"/>
      <c r="JKD542"/>
      <c r="JKE542"/>
      <c r="JKF542"/>
      <c r="JKG542"/>
      <c r="JKH542"/>
      <c r="JKI542"/>
      <c r="JKJ542"/>
      <c r="JKK542"/>
      <c r="JKL542"/>
      <c r="JKM542"/>
      <c r="JKN542"/>
      <c r="JKO542"/>
      <c r="JKP542"/>
      <c r="JKQ542"/>
      <c r="JKR542"/>
      <c r="JKS542"/>
      <c r="JKT542"/>
      <c r="JKU542"/>
      <c r="JKV542"/>
      <c r="JKW542"/>
      <c r="JKX542"/>
      <c r="JKY542"/>
      <c r="JKZ542"/>
      <c r="JLA542"/>
      <c r="JLB542"/>
      <c r="JLC542"/>
      <c r="JLD542"/>
      <c r="JLE542"/>
      <c r="JLF542"/>
      <c r="JLG542"/>
      <c r="JLH542"/>
      <c r="JLI542"/>
      <c r="JLJ542"/>
      <c r="JLK542"/>
      <c r="JLL542"/>
      <c r="JLM542"/>
      <c r="JLN542"/>
      <c r="JLO542"/>
      <c r="JLP542"/>
      <c r="JLQ542"/>
      <c r="JLR542"/>
      <c r="JLS542"/>
      <c r="JLT542"/>
      <c r="JLU542"/>
      <c r="JLV542"/>
      <c r="JLW542"/>
      <c r="JLX542"/>
      <c r="JLY542"/>
      <c r="JLZ542"/>
      <c r="JMA542"/>
      <c r="JMB542"/>
      <c r="JMC542"/>
      <c r="JMD542"/>
      <c r="JME542"/>
      <c r="JMF542"/>
      <c r="JMG542"/>
      <c r="JMH542"/>
      <c r="JMI542"/>
      <c r="JMJ542"/>
      <c r="JMK542"/>
      <c r="JML542"/>
      <c r="JMM542"/>
      <c r="JMN542"/>
      <c r="JMO542"/>
      <c r="JMP542"/>
      <c r="JMQ542"/>
      <c r="JMR542"/>
      <c r="JMS542"/>
      <c r="JMT542"/>
      <c r="JMU542"/>
      <c r="JMV542"/>
      <c r="JMW542"/>
      <c r="JMX542"/>
      <c r="JMY542"/>
      <c r="JMZ542"/>
      <c r="JNA542"/>
      <c r="JNB542"/>
      <c r="JNC542"/>
      <c r="JND542"/>
      <c r="JNE542"/>
      <c r="JNF542"/>
      <c r="JNG542"/>
      <c r="JNH542"/>
      <c r="JNI542"/>
      <c r="JNJ542"/>
      <c r="JNK542"/>
      <c r="JNL542"/>
      <c r="JNM542"/>
      <c r="JNN542"/>
      <c r="JNO542"/>
      <c r="JNP542"/>
      <c r="JNQ542"/>
      <c r="JNR542"/>
      <c r="JNS542"/>
      <c r="JNT542"/>
      <c r="JNU542"/>
      <c r="JNV542"/>
      <c r="JNW542"/>
      <c r="JNX542"/>
      <c r="JNY542"/>
      <c r="JNZ542"/>
      <c r="JOA542"/>
      <c r="JOB542"/>
      <c r="JOC542"/>
      <c r="JOD542"/>
      <c r="JOE542"/>
      <c r="JOF542"/>
      <c r="JOG542"/>
      <c r="JOH542"/>
      <c r="JOI542"/>
      <c r="JOJ542"/>
      <c r="JOK542"/>
      <c r="JOL542"/>
      <c r="JOM542"/>
      <c r="JON542"/>
      <c r="JOO542"/>
      <c r="JOP542"/>
      <c r="JOQ542"/>
      <c r="JOR542"/>
      <c r="JOS542"/>
      <c r="JOT542"/>
      <c r="JOU542"/>
      <c r="JOV542"/>
      <c r="JOW542"/>
      <c r="JOX542"/>
      <c r="JOY542"/>
      <c r="JOZ542"/>
      <c r="JPA542"/>
      <c r="JPB542"/>
      <c r="JPC542"/>
      <c r="JPD542"/>
      <c r="JPE542"/>
      <c r="JPF542"/>
      <c r="JPG542"/>
      <c r="JPH542"/>
      <c r="JPI542"/>
      <c r="JPJ542"/>
      <c r="JPK542"/>
      <c r="JPL542"/>
      <c r="JPM542"/>
      <c r="JPN542"/>
      <c r="JPO542"/>
      <c r="JPP542"/>
      <c r="JPQ542"/>
      <c r="JPR542"/>
      <c r="JPS542"/>
      <c r="JPT542"/>
      <c r="JPU542"/>
      <c r="JPV542"/>
      <c r="JPW542"/>
      <c r="JPX542"/>
      <c r="JPY542"/>
      <c r="JPZ542"/>
      <c r="JQA542"/>
      <c r="JQB542"/>
      <c r="JQC542"/>
      <c r="JQD542"/>
      <c r="JQE542"/>
      <c r="JQF542"/>
      <c r="JQG542"/>
      <c r="JQH542"/>
      <c r="JQI542"/>
      <c r="JQJ542"/>
      <c r="JQK542"/>
      <c r="JQL542"/>
      <c r="JQM542"/>
      <c r="JQN542"/>
      <c r="JQO542"/>
      <c r="JQP542"/>
      <c r="JQQ542"/>
      <c r="JQR542"/>
      <c r="JQS542"/>
      <c r="JQT542"/>
      <c r="JQU542"/>
      <c r="JQV542"/>
      <c r="JQW542"/>
      <c r="JQX542"/>
      <c r="JQY542"/>
      <c r="JQZ542"/>
      <c r="JRA542"/>
      <c r="JRB542"/>
      <c r="JRC542"/>
      <c r="JRD542"/>
      <c r="JRE542"/>
      <c r="JRF542"/>
      <c r="JRG542"/>
      <c r="JRH542"/>
      <c r="JRI542"/>
      <c r="JRJ542"/>
      <c r="JRK542"/>
      <c r="JRL542"/>
      <c r="JRM542"/>
      <c r="JRN542"/>
      <c r="JRO542"/>
      <c r="JRP542"/>
      <c r="JRQ542"/>
      <c r="JRR542"/>
      <c r="JRS542"/>
      <c r="JRT542"/>
      <c r="JRU542"/>
      <c r="JRV542"/>
      <c r="JRW542"/>
      <c r="JRX542"/>
      <c r="JRY542"/>
      <c r="JRZ542"/>
      <c r="JSA542"/>
      <c r="JSB542"/>
      <c r="JSC542"/>
      <c r="JSD542"/>
      <c r="JSE542"/>
      <c r="JSF542"/>
      <c r="JSG542"/>
      <c r="JSH542"/>
      <c r="JSI542"/>
      <c r="JSJ542"/>
      <c r="JSK542"/>
      <c r="JSL542"/>
      <c r="JSM542"/>
      <c r="JSN542"/>
      <c r="JSO542"/>
      <c r="JSP542"/>
      <c r="JSQ542"/>
      <c r="JSR542"/>
      <c r="JSS542"/>
      <c r="JST542"/>
      <c r="JSU542"/>
      <c r="JSV542"/>
      <c r="JSW542"/>
      <c r="JSX542"/>
      <c r="JSY542"/>
      <c r="JSZ542"/>
      <c r="JTA542"/>
      <c r="JTB542"/>
      <c r="JTC542"/>
      <c r="JTD542"/>
      <c r="JTE542"/>
      <c r="JTF542"/>
      <c r="JTG542"/>
      <c r="JTH542"/>
      <c r="JTI542"/>
      <c r="JTJ542"/>
      <c r="JTK542"/>
      <c r="JTL542"/>
      <c r="JTM542"/>
      <c r="JTN542"/>
      <c r="JTO542"/>
      <c r="JTP542"/>
      <c r="JTQ542"/>
      <c r="JTR542"/>
      <c r="JTS542"/>
      <c r="JTT542"/>
      <c r="JTU542"/>
      <c r="JTV542"/>
      <c r="JTW542"/>
      <c r="JTX542"/>
      <c r="JTY542"/>
      <c r="JTZ542"/>
      <c r="JUA542"/>
      <c r="JUB542"/>
      <c r="JUC542"/>
      <c r="JUD542"/>
      <c r="JUE542"/>
      <c r="JUF542"/>
      <c r="JUG542"/>
      <c r="JUH542"/>
      <c r="JUI542"/>
      <c r="JUJ542"/>
      <c r="JUK542"/>
      <c r="JUL542"/>
      <c r="JUM542"/>
      <c r="JUN542"/>
      <c r="JUO542"/>
      <c r="JUP542"/>
      <c r="JUQ542"/>
      <c r="JUR542"/>
      <c r="JUS542"/>
      <c r="JUT542"/>
      <c r="JUU542"/>
      <c r="JUV542"/>
      <c r="JUW542"/>
      <c r="JUX542"/>
      <c r="JUY542"/>
      <c r="JUZ542"/>
      <c r="JVA542"/>
      <c r="JVB542"/>
      <c r="JVC542"/>
      <c r="JVD542"/>
      <c r="JVE542"/>
      <c r="JVF542"/>
      <c r="JVG542"/>
      <c r="JVH542"/>
      <c r="JVI542"/>
      <c r="JVJ542"/>
      <c r="JVK542"/>
      <c r="JVL542"/>
      <c r="JVM542"/>
      <c r="JVN542"/>
      <c r="JVO542"/>
      <c r="JVP542"/>
      <c r="JVQ542"/>
      <c r="JVR542"/>
      <c r="JVS542"/>
      <c r="JVT542"/>
      <c r="JVU542"/>
      <c r="JVV542"/>
      <c r="JVW542"/>
      <c r="JVX542"/>
      <c r="JVY542"/>
      <c r="JVZ542"/>
      <c r="JWA542"/>
      <c r="JWB542"/>
      <c r="JWC542"/>
      <c r="JWD542"/>
      <c r="JWE542"/>
      <c r="JWF542"/>
      <c r="JWG542"/>
      <c r="JWH542"/>
      <c r="JWI542"/>
      <c r="JWJ542"/>
      <c r="JWK542"/>
      <c r="JWL542"/>
      <c r="JWM542"/>
      <c r="JWN542"/>
      <c r="JWO542"/>
      <c r="JWP542"/>
      <c r="JWQ542"/>
      <c r="JWR542"/>
      <c r="JWS542"/>
      <c r="JWT542"/>
      <c r="JWU542"/>
      <c r="JWV542"/>
      <c r="JWW542"/>
      <c r="JWX542"/>
      <c r="JWY542"/>
      <c r="JWZ542"/>
      <c r="JXA542"/>
      <c r="JXB542"/>
      <c r="JXC542"/>
      <c r="JXD542"/>
      <c r="JXE542"/>
      <c r="JXF542"/>
      <c r="JXG542"/>
      <c r="JXH542"/>
      <c r="JXI542"/>
      <c r="JXJ542"/>
      <c r="JXK542"/>
      <c r="JXL542"/>
      <c r="JXM542"/>
      <c r="JXN542"/>
      <c r="JXO542"/>
      <c r="JXP542"/>
      <c r="JXQ542"/>
      <c r="JXR542"/>
      <c r="JXS542"/>
      <c r="JXT542"/>
      <c r="JXU542"/>
      <c r="JXV542"/>
      <c r="JXW542"/>
      <c r="JXX542"/>
      <c r="JXY542"/>
      <c r="JXZ542"/>
      <c r="JYA542"/>
      <c r="JYB542"/>
      <c r="JYC542"/>
      <c r="JYD542"/>
      <c r="JYE542"/>
      <c r="JYF542"/>
      <c r="JYG542"/>
      <c r="JYH542"/>
      <c r="JYI542"/>
      <c r="JYJ542"/>
      <c r="JYK542"/>
      <c r="JYL542"/>
      <c r="JYM542"/>
      <c r="JYN542"/>
      <c r="JYO542"/>
      <c r="JYP542"/>
      <c r="JYQ542"/>
      <c r="JYR542"/>
      <c r="JYS542"/>
      <c r="JYT542"/>
      <c r="JYU542"/>
      <c r="JYV542"/>
      <c r="JYW542"/>
      <c r="JYX542"/>
      <c r="JYY542"/>
      <c r="JYZ542"/>
      <c r="JZA542"/>
      <c r="JZB542"/>
      <c r="JZC542"/>
      <c r="JZD542"/>
      <c r="JZE542"/>
      <c r="JZF542"/>
      <c r="JZG542"/>
      <c r="JZH542"/>
      <c r="JZI542"/>
      <c r="JZJ542"/>
      <c r="JZK542"/>
      <c r="JZL542"/>
      <c r="JZM542"/>
      <c r="JZN542"/>
      <c r="JZO542"/>
      <c r="JZP542"/>
      <c r="JZQ542"/>
      <c r="JZR542"/>
      <c r="JZS542"/>
      <c r="JZT542"/>
      <c r="JZU542"/>
      <c r="JZV542"/>
      <c r="JZW542"/>
      <c r="JZX542"/>
      <c r="JZY542"/>
      <c r="JZZ542"/>
      <c r="KAA542"/>
      <c r="KAB542"/>
      <c r="KAC542"/>
      <c r="KAD542"/>
      <c r="KAE542"/>
      <c r="KAF542"/>
      <c r="KAG542"/>
      <c r="KAH542"/>
      <c r="KAI542"/>
      <c r="KAJ542"/>
      <c r="KAK542"/>
      <c r="KAL542"/>
      <c r="KAM542"/>
      <c r="KAN542"/>
      <c r="KAO542"/>
      <c r="KAP542"/>
      <c r="KAQ542"/>
      <c r="KAR542"/>
      <c r="KAS542"/>
      <c r="KAT542"/>
      <c r="KAU542"/>
      <c r="KAV542"/>
      <c r="KAW542"/>
      <c r="KAX542"/>
      <c r="KAY542"/>
      <c r="KAZ542"/>
      <c r="KBA542"/>
      <c r="KBB542"/>
      <c r="KBC542"/>
      <c r="KBD542"/>
      <c r="KBE542"/>
      <c r="KBF542"/>
      <c r="KBG542"/>
      <c r="KBH542"/>
      <c r="KBI542"/>
      <c r="KBJ542"/>
      <c r="KBK542"/>
      <c r="KBL542"/>
      <c r="KBM542"/>
      <c r="KBN542"/>
      <c r="KBO542"/>
      <c r="KBP542"/>
      <c r="KBQ542"/>
      <c r="KBR542"/>
      <c r="KBS542"/>
      <c r="KBT542"/>
      <c r="KBU542"/>
      <c r="KBV542"/>
      <c r="KBW542"/>
      <c r="KBX542"/>
      <c r="KBY542"/>
      <c r="KBZ542"/>
      <c r="KCA542"/>
      <c r="KCB542"/>
      <c r="KCC542"/>
      <c r="KCD542"/>
      <c r="KCE542"/>
      <c r="KCF542"/>
      <c r="KCG542"/>
      <c r="KCH542"/>
      <c r="KCI542"/>
      <c r="KCJ542"/>
      <c r="KCK542"/>
      <c r="KCL542"/>
      <c r="KCM542"/>
      <c r="KCN542"/>
      <c r="KCO542"/>
      <c r="KCP542"/>
      <c r="KCQ542"/>
      <c r="KCR542"/>
      <c r="KCS542"/>
      <c r="KCT542"/>
      <c r="KCU542"/>
      <c r="KCV542"/>
      <c r="KCW542"/>
      <c r="KCX542"/>
      <c r="KCY542"/>
      <c r="KCZ542"/>
      <c r="KDA542"/>
      <c r="KDB542"/>
      <c r="KDC542"/>
      <c r="KDD542"/>
      <c r="KDE542"/>
      <c r="KDF542"/>
      <c r="KDG542"/>
      <c r="KDH542"/>
      <c r="KDI542"/>
      <c r="KDJ542"/>
      <c r="KDK542"/>
      <c r="KDL542"/>
      <c r="KDM542"/>
      <c r="KDN542"/>
      <c r="KDO542"/>
      <c r="KDP542"/>
      <c r="KDQ542"/>
      <c r="KDR542"/>
      <c r="KDS542"/>
      <c r="KDT542"/>
      <c r="KDU542"/>
      <c r="KDV542"/>
      <c r="KDW542"/>
      <c r="KDX542"/>
      <c r="KDY542"/>
      <c r="KDZ542"/>
      <c r="KEA542"/>
      <c r="KEB542"/>
      <c r="KEC542"/>
      <c r="KED542"/>
      <c r="KEE542"/>
      <c r="KEF542"/>
      <c r="KEG542"/>
      <c r="KEH542"/>
      <c r="KEI542"/>
      <c r="KEJ542"/>
      <c r="KEK542"/>
      <c r="KEL542"/>
      <c r="KEM542"/>
      <c r="KEN542"/>
      <c r="KEO542"/>
      <c r="KEP542"/>
      <c r="KEQ542"/>
      <c r="KER542"/>
      <c r="KES542"/>
      <c r="KET542"/>
      <c r="KEU542"/>
      <c r="KEV542"/>
      <c r="KEW542"/>
      <c r="KEX542"/>
      <c r="KEY542"/>
      <c r="KEZ542"/>
      <c r="KFA542"/>
      <c r="KFB542"/>
      <c r="KFC542"/>
      <c r="KFD542"/>
      <c r="KFE542"/>
      <c r="KFF542"/>
      <c r="KFG542"/>
      <c r="KFH542"/>
      <c r="KFI542"/>
      <c r="KFJ542"/>
      <c r="KFK542"/>
      <c r="KFL542"/>
      <c r="KFM542"/>
      <c r="KFN542"/>
      <c r="KFO542"/>
      <c r="KFP542"/>
      <c r="KFQ542"/>
      <c r="KFR542"/>
      <c r="KFS542"/>
      <c r="KFT542"/>
      <c r="KFU542"/>
      <c r="KFV542"/>
      <c r="KFW542"/>
      <c r="KFX542"/>
      <c r="KFY542"/>
      <c r="KFZ542"/>
      <c r="KGA542"/>
      <c r="KGB542"/>
      <c r="KGC542"/>
      <c r="KGD542"/>
      <c r="KGE542"/>
      <c r="KGF542"/>
      <c r="KGG542"/>
      <c r="KGH542"/>
      <c r="KGI542"/>
      <c r="KGJ542"/>
      <c r="KGK542"/>
      <c r="KGL542"/>
      <c r="KGM542"/>
      <c r="KGN542"/>
      <c r="KGO542"/>
      <c r="KGP542"/>
      <c r="KGQ542"/>
      <c r="KGR542"/>
      <c r="KGS542"/>
      <c r="KGT542"/>
      <c r="KGU542"/>
      <c r="KGV542"/>
      <c r="KGW542"/>
      <c r="KGX542"/>
      <c r="KGY542"/>
      <c r="KGZ542"/>
      <c r="KHA542"/>
      <c r="KHB542"/>
      <c r="KHC542"/>
      <c r="KHD542"/>
      <c r="KHE542"/>
      <c r="KHF542"/>
      <c r="KHG542"/>
      <c r="KHH542"/>
      <c r="KHI542"/>
      <c r="KHJ542"/>
      <c r="KHK542"/>
      <c r="KHL542"/>
      <c r="KHM542"/>
      <c r="KHN542"/>
      <c r="KHO542"/>
      <c r="KHP542"/>
      <c r="KHQ542"/>
      <c r="KHR542"/>
      <c r="KHS542"/>
      <c r="KHT542"/>
      <c r="KHU542"/>
      <c r="KHV542"/>
      <c r="KHW542"/>
      <c r="KHX542"/>
      <c r="KHY542"/>
      <c r="KHZ542"/>
      <c r="KIA542"/>
      <c r="KIB542"/>
      <c r="KIC542"/>
      <c r="KID542"/>
      <c r="KIE542"/>
      <c r="KIF542"/>
      <c r="KIG542"/>
      <c r="KIH542"/>
      <c r="KII542"/>
      <c r="KIJ542"/>
      <c r="KIK542"/>
      <c r="KIL542"/>
      <c r="KIM542"/>
      <c r="KIN542"/>
      <c r="KIO542"/>
      <c r="KIP542"/>
      <c r="KIQ542"/>
      <c r="KIR542"/>
      <c r="KIS542"/>
      <c r="KIT542"/>
      <c r="KIU542"/>
      <c r="KIV542"/>
      <c r="KIW542"/>
      <c r="KIX542"/>
      <c r="KIY542"/>
      <c r="KIZ542"/>
      <c r="KJA542"/>
      <c r="KJB542"/>
      <c r="KJC542"/>
      <c r="KJD542"/>
      <c r="KJE542"/>
      <c r="KJF542"/>
      <c r="KJG542"/>
      <c r="KJH542"/>
      <c r="KJI542"/>
      <c r="KJJ542"/>
      <c r="KJK542"/>
      <c r="KJL542"/>
      <c r="KJM542"/>
      <c r="KJN542"/>
      <c r="KJO542"/>
      <c r="KJP542"/>
      <c r="KJQ542"/>
      <c r="KJR542"/>
      <c r="KJS542"/>
      <c r="KJT542"/>
      <c r="KJU542"/>
      <c r="KJV542"/>
      <c r="KJW542"/>
      <c r="KJX542"/>
      <c r="KJY542"/>
      <c r="KJZ542"/>
      <c r="KKA542"/>
      <c r="KKB542"/>
      <c r="KKC542"/>
      <c r="KKD542"/>
      <c r="KKE542"/>
      <c r="KKF542"/>
      <c r="KKG542"/>
      <c r="KKH542"/>
      <c r="KKI542"/>
      <c r="KKJ542"/>
      <c r="KKK542"/>
      <c r="KKL542"/>
      <c r="KKM542"/>
      <c r="KKN542"/>
      <c r="KKO542"/>
      <c r="KKP542"/>
      <c r="KKQ542"/>
      <c r="KKR542"/>
      <c r="KKS542"/>
      <c r="KKT542"/>
      <c r="KKU542"/>
      <c r="KKV542"/>
      <c r="KKW542"/>
      <c r="KKX542"/>
      <c r="KKY542"/>
      <c r="KKZ542"/>
      <c r="KLA542"/>
      <c r="KLB542"/>
      <c r="KLC542"/>
      <c r="KLD542"/>
      <c r="KLE542"/>
      <c r="KLF542"/>
      <c r="KLG542"/>
      <c r="KLH542"/>
      <c r="KLI542"/>
      <c r="KLJ542"/>
      <c r="KLK542"/>
      <c r="KLL542"/>
      <c r="KLM542"/>
      <c r="KLN542"/>
      <c r="KLO542"/>
      <c r="KLP542"/>
      <c r="KLQ542"/>
      <c r="KLR542"/>
      <c r="KLS542"/>
      <c r="KLT542"/>
      <c r="KLU542"/>
      <c r="KLV542"/>
      <c r="KLW542"/>
      <c r="KLX542"/>
      <c r="KLY542"/>
      <c r="KLZ542"/>
      <c r="KMA542"/>
      <c r="KMB542"/>
      <c r="KMC542"/>
      <c r="KMD542"/>
      <c r="KME542"/>
      <c r="KMF542"/>
      <c r="KMG542"/>
      <c r="KMH542"/>
      <c r="KMI542"/>
      <c r="KMJ542"/>
      <c r="KMK542"/>
      <c r="KML542"/>
      <c r="KMM542"/>
      <c r="KMN542"/>
      <c r="KMO542"/>
      <c r="KMP542"/>
      <c r="KMQ542"/>
      <c r="KMR542"/>
      <c r="KMS542"/>
      <c r="KMT542"/>
      <c r="KMU542"/>
      <c r="KMV542"/>
      <c r="KMW542"/>
      <c r="KMX542"/>
      <c r="KMY542"/>
      <c r="KMZ542"/>
      <c r="KNA542"/>
      <c r="KNB542"/>
      <c r="KNC542"/>
      <c r="KND542"/>
      <c r="KNE542"/>
      <c r="KNF542"/>
      <c r="KNG542"/>
      <c r="KNH542"/>
      <c r="KNI542"/>
      <c r="KNJ542"/>
      <c r="KNK542"/>
      <c r="KNL542"/>
      <c r="KNM542"/>
      <c r="KNN542"/>
      <c r="KNO542"/>
      <c r="KNP542"/>
      <c r="KNQ542"/>
      <c r="KNR542"/>
      <c r="KNS542"/>
      <c r="KNT542"/>
      <c r="KNU542"/>
      <c r="KNV542"/>
      <c r="KNW542"/>
      <c r="KNX542"/>
      <c r="KNY542"/>
      <c r="KNZ542"/>
      <c r="KOA542"/>
      <c r="KOB542"/>
      <c r="KOC542"/>
      <c r="KOD542"/>
      <c r="KOE542"/>
      <c r="KOF542"/>
      <c r="KOG542"/>
      <c r="KOH542"/>
      <c r="KOI542"/>
      <c r="KOJ542"/>
      <c r="KOK542"/>
      <c r="KOL542"/>
      <c r="KOM542"/>
      <c r="KON542"/>
      <c r="KOO542"/>
      <c r="KOP542"/>
      <c r="KOQ542"/>
      <c r="KOR542"/>
      <c r="KOS542"/>
      <c r="KOT542"/>
      <c r="KOU542"/>
      <c r="KOV542"/>
      <c r="KOW542"/>
      <c r="KOX542"/>
      <c r="KOY542"/>
      <c r="KOZ542"/>
      <c r="KPA542"/>
      <c r="KPB542"/>
      <c r="KPC542"/>
      <c r="KPD542"/>
      <c r="KPE542"/>
      <c r="KPF542"/>
      <c r="KPG542"/>
      <c r="KPH542"/>
      <c r="KPI542"/>
      <c r="KPJ542"/>
      <c r="KPK542"/>
      <c r="KPL542"/>
      <c r="KPM542"/>
      <c r="KPN542"/>
      <c r="KPO542"/>
      <c r="KPP542"/>
      <c r="KPQ542"/>
      <c r="KPR542"/>
      <c r="KPS542"/>
      <c r="KPT542"/>
      <c r="KPU542"/>
      <c r="KPV542"/>
      <c r="KPW542"/>
      <c r="KPX542"/>
      <c r="KPY542"/>
      <c r="KPZ542"/>
      <c r="KQA542"/>
      <c r="KQB542"/>
      <c r="KQC542"/>
      <c r="KQD542"/>
      <c r="KQE542"/>
      <c r="KQF542"/>
      <c r="KQG542"/>
      <c r="KQH542"/>
      <c r="KQI542"/>
      <c r="KQJ542"/>
      <c r="KQK542"/>
      <c r="KQL542"/>
      <c r="KQM542"/>
      <c r="KQN542"/>
      <c r="KQO542"/>
      <c r="KQP542"/>
      <c r="KQQ542"/>
      <c r="KQR542"/>
      <c r="KQS542"/>
      <c r="KQT542"/>
      <c r="KQU542"/>
      <c r="KQV542"/>
      <c r="KQW542"/>
      <c r="KQX542"/>
      <c r="KQY542"/>
      <c r="KQZ542"/>
      <c r="KRA542"/>
      <c r="KRB542"/>
      <c r="KRC542"/>
      <c r="KRD542"/>
      <c r="KRE542"/>
      <c r="KRF542"/>
      <c r="KRG542"/>
      <c r="KRH542"/>
      <c r="KRI542"/>
      <c r="KRJ542"/>
      <c r="KRK542"/>
      <c r="KRL542"/>
      <c r="KRM542"/>
      <c r="KRN542"/>
      <c r="KRO542"/>
      <c r="KRP542"/>
      <c r="KRQ542"/>
      <c r="KRR542"/>
      <c r="KRS542"/>
      <c r="KRT542"/>
      <c r="KRU542"/>
      <c r="KRV542"/>
      <c r="KRW542"/>
      <c r="KRX542"/>
      <c r="KRY542"/>
      <c r="KRZ542"/>
      <c r="KSA542"/>
      <c r="KSB542"/>
      <c r="KSC542"/>
      <c r="KSD542"/>
      <c r="KSE542"/>
      <c r="KSF542"/>
      <c r="KSG542"/>
      <c r="KSH542"/>
      <c r="KSI542"/>
      <c r="KSJ542"/>
      <c r="KSK542"/>
      <c r="KSL542"/>
      <c r="KSM542"/>
      <c r="KSN542"/>
      <c r="KSO542"/>
      <c r="KSP542"/>
      <c r="KSQ542"/>
      <c r="KSR542"/>
      <c r="KSS542"/>
      <c r="KST542"/>
      <c r="KSU542"/>
      <c r="KSV542"/>
      <c r="KSW542"/>
      <c r="KSX542"/>
      <c r="KSY542"/>
      <c r="KSZ542"/>
      <c r="KTA542"/>
      <c r="KTB542"/>
      <c r="KTC542"/>
      <c r="KTD542"/>
      <c r="KTE542"/>
      <c r="KTF542"/>
      <c r="KTG542"/>
      <c r="KTH542"/>
      <c r="KTI542"/>
      <c r="KTJ542"/>
      <c r="KTK542"/>
      <c r="KTL542"/>
      <c r="KTM542"/>
      <c r="KTN542"/>
      <c r="KTO542"/>
      <c r="KTP542"/>
      <c r="KTQ542"/>
      <c r="KTR542"/>
      <c r="KTS542"/>
      <c r="KTT542"/>
      <c r="KTU542"/>
      <c r="KTV542"/>
      <c r="KTW542"/>
      <c r="KTX542"/>
      <c r="KTY542"/>
      <c r="KTZ542"/>
      <c r="KUA542"/>
      <c r="KUB542"/>
      <c r="KUC542"/>
      <c r="KUD542"/>
      <c r="KUE542"/>
      <c r="KUF542"/>
      <c r="KUG542"/>
      <c r="KUH542"/>
      <c r="KUI542"/>
      <c r="KUJ542"/>
      <c r="KUK542"/>
      <c r="KUL542"/>
      <c r="KUM542"/>
      <c r="KUN542"/>
      <c r="KUO542"/>
      <c r="KUP542"/>
      <c r="KUQ542"/>
      <c r="KUR542"/>
      <c r="KUS542"/>
      <c r="KUT542"/>
      <c r="KUU542"/>
      <c r="KUV542"/>
      <c r="KUW542"/>
      <c r="KUX542"/>
      <c r="KUY542"/>
      <c r="KUZ542"/>
      <c r="KVA542"/>
      <c r="KVB542"/>
      <c r="KVC542"/>
      <c r="KVD542"/>
      <c r="KVE542"/>
      <c r="KVF542"/>
      <c r="KVG542"/>
      <c r="KVH542"/>
      <c r="KVI542"/>
      <c r="KVJ542"/>
      <c r="KVK542"/>
      <c r="KVL542"/>
      <c r="KVM542"/>
      <c r="KVN542"/>
      <c r="KVO542"/>
      <c r="KVP542"/>
      <c r="KVQ542"/>
      <c r="KVR542"/>
      <c r="KVS542"/>
      <c r="KVT542"/>
      <c r="KVU542"/>
      <c r="KVV542"/>
      <c r="KVW542"/>
      <c r="KVX542"/>
      <c r="KVY542"/>
      <c r="KVZ542"/>
      <c r="KWA542"/>
      <c r="KWB542"/>
      <c r="KWC542"/>
      <c r="KWD542"/>
      <c r="KWE542"/>
      <c r="KWF542"/>
      <c r="KWG542"/>
      <c r="KWH542"/>
      <c r="KWI542"/>
      <c r="KWJ542"/>
      <c r="KWK542"/>
      <c r="KWL542"/>
      <c r="KWM542"/>
      <c r="KWN542"/>
      <c r="KWO542"/>
      <c r="KWP542"/>
      <c r="KWQ542"/>
      <c r="KWR542"/>
      <c r="KWS542"/>
      <c r="KWT542"/>
      <c r="KWU542"/>
      <c r="KWV542"/>
      <c r="KWW542"/>
      <c r="KWX542"/>
      <c r="KWY542"/>
      <c r="KWZ542"/>
      <c r="KXA542"/>
      <c r="KXB542"/>
      <c r="KXC542"/>
      <c r="KXD542"/>
      <c r="KXE542"/>
      <c r="KXF542"/>
      <c r="KXG542"/>
      <c r="KXH542"/>
      <c r="KXI542"/>
      <c r="KXJ542"/>
      <c r="KXK542"/>
      <c r="KXL542"/>
      <c r="KXM542"/>
      <c r="KXN542"/>
      <c r="KXO542"/>
      <c r="KXP542"/>
      <c r="KXQ542"/>
      <c r="KXR542"/>
      <c r="KXS542"/>
      <c r="KXT542"/>
      <c r="KXU542"/>
      <c r="KXV542"/>
      <c r="KXW542"/>
      <c r="KXX542"/>
      <c r="KXY542"/>
      <c r="KXZ542"/>
      <c r="KYA542"/>
      <c r="KYB542"/>
      <c r="KYC542"/>
      <c r="KYD542"/>
      <c r="KYE542"/>
      <c r="KYF542"/>
      <c r="KYG542"/>
      <c r="KYH542"/>
      <c r="KYI542"/>
      <c r="KYJ542"/>
      <c r="KYK542"/>
      <c r="KYL542"/>
      <c r="KYM542"/>
      <c r="KYN542"/>
      <c r="KYO542"/>
      <c r="KYP542"/>
      <c r="KYQ542"/>
      <c r="KYR542"/>
      <c r="KYS542"/>
      <c r="KYT542"/>
      <c r="KYU542"/>
      <c r="KYV542"/>
      <c r="KYW542"/>
      <c r="KYX542"/>
      <c r="KYY542"/>
      <c r="KYZ542"/>
      <c r="KZA542"/>
      <c r="KZB542"/>
      <c r="KZC542"/>
      <c r="KZD542"/>
      <c r="KZE542"/>
      <c r="KZF542"/>
      <c r="KZG542"/>
      <c r="KZH542"/>
      <c r="KZI542"/>
      <c r="KZJ542"/>
      <c r="KZK542"/>
      <c r="KZL542"/>
      <c r="KZM542"/>
      <c r="KZN542"/>
      <c r="KZO542"/>
      <c r="KZP542"/>
      <c r="KZQ542"/>
      <c r="KZR542"/>
      <c r="KZS542"/>
      <c r="KZT542"/>
      <c r="KZU542"/>
      <c r="KZV542"/>
      <c r="KZW542"/>
      <c r="KZX542"/>
      <c r="KZY542"/>
      <c r="KZZ542"/>
      <c r="LAA542"/>
      <c r="LAB542"/>
      <c r="LAC542"/>
      <c r="LAD542"/>
      <c r="LAE542"/>
      <c r="LAF542"/>
      <c r="LAG542"/>
      <c r="LAH542"/>
      <c r="LAI542"/>
      <c r="LAJ542"/>
      <c r="LAK542"/>
      <c r="LAL542"/>
      <c r="LAM542"/>
      <c r="LAN542"/>
      <c r="LAO542"/>
      <c r="LAP542"/>
      <c r="LAQ542"/>
      <c r="LAR542"/>
      <c r="LAS542"/>
      <c r="LAT542"/>
      <c r="LAU542"/>
      <c r="LAV542"/>
      <c r="LAW542"/>
      <c r="LAX542"/>
      <c r="LAY542"/>
      <c r="LAZ542"/>
      <c r="LBA542"/>
      <c r="LBB542"/>
      <c r="LBC542"/>
      <c r="LBD542"/>
      <c r="LBE542"/>
      <c r="LBF542"/>
      <c r="LBG542"/>
      <c r="LBH542"/>
      <c r="LBI542"/>
      <c r="LBJ542"/>
      <c r="LBK542"/>
      <c r="LBL542"/>
      <c r="LBM542"/>
      <c r="LBN542"/>
      <c r="LBO542"/>
      <c r="LBP542"/>
      <c r="LBQ542"/>
      <c r="LBR542"/>
      <c r="LBS542"/>
      <c r="LBT542"/>
      <c r="LBU542"/>
      <c r="LBV542"/>
      <c r="LBW542"/>
      <c r="LBX542"/>
      <c r="LBY542"/>
      <c r="LBZ542"/>
      <c r="LCA542"/>
      <c r="LCB542"/>
      <c r="LCC542"/>
      <c r="LCD542"/>
      <c r="LCE542"/>
      <c r="LCF542"/>
      <c r="LCG542"/>
      <c r="LCH542"/>
      <c r="LCI542"/>
      <c r="LCJ542"/>
      <c r="LCK542"/>
      <c r="LCL542"/>
      <c r="LCM542"/>
      <c r="LCN542"/>
      <c r="LCO542"/>
      <c r="LCP542"/>
      <c r="LCQ542"/>
      <c r="LCR542"/>
      <c r="LCS542"/>
      <c r="LCT542"/>
      <c r="LCU542"/>
      <c r="LCV542"/>
      <c r="LCW542"/>
      <c r="LCX542"/>
      <c r="LCY542"/>
      <c r="LCZ542"/>
      <c r="LDA542"/>
      <c r="LDB542"/>
      <c r="LDC542"/>
      <c r="LDD542"/>
      <c r="LDE542"/>
      <c r="LDF542"/>
      <c r="LDG542"/>
      <c r="LDH542"/>
      <c r="LDI542"/>
      <c r="LDJ542"/>
      <c r="LDK542"/>
      <c r="LDL542"/>
      <c r="LDM542"/>
      <c r="LDN542"/>
      <c r="LDO542"/>
      <c r="LDP542"/>
      <c r="LDQ542"/>
      <c r="LDR542"/>
      <c r="LDS542"/>
      <c r="LDT542"/>
      <c r="LDU542"/>
      <c r="LDV542"/>
      <c r="LDW542"/>
      <c r="LDX542"/>
      <c r="LDY542"/>
      <c r="LDZ542"/>
      <c r="LEA542"/>
      <c r="LEB542"/>
      <c r="LEC542"/>
      <c r="LED542"/>
      <c r="LEE542"/>
      <c r="LEF542"/>
      <c r="LEG542"/>
      <c r="LEH542"/>
      <c r="LEI542"/>
      <c r="LEJ542"/>
      <c r="LEK542"/>
      <c r="LEL542"/>
      <c r="LEM542"/>
      <c r="LEN542"/>
      <c r="LEO542"/>
      <c r="LEP542"/>
      <c r="LEQ542"/>
      <c r="LER542"/>
      <c r="LES542"/>
      <c r="LET542"/>
      <c r="LEU542"/>
      <c r="LEV542"/>
      <c r="LEW542"/>
      <c r="LEX542"/>
      <c r="LEY542"/>
      <c r="LEZ542"/>
      <c r="LFA542"/>
      <c r="LFB542"/>
      <c r="LFC542"/>
      <c r="LFD542"/>
      <c r="LFE542"/>
      <c r="LFF542"/>
      <c r="LFG542"/>
      <c r="LFH542"/>
      <c r="LFI542"/>
      <c r="LFJ542"/>
      <c r="LFK542"/>
      <c r="LFL542"/>
      <c r="LFM542"/>
      <c r="LFN542"/>
      <c r="LFO542"/>
      <c r="LFP542"/>
      <c r="LFQ542"/>
      <c r="LFR542"/>
      <c r="LFS542"/>
      <c r="LFT542"/>
      <c r="LFU542"/>
      <c r="LFV542"/>
      <c r="LFW542"/>
      <c r="LFX542"/>
      <c r="LFY542"/>
      <c r="LFZ542"/>
      <c r="LGA542"/>
      <c r="LGB542"/>
      <c r="LGC542"/>
      <c r="LGD542"/>
      <c r="LGE542"/>
      <c r="LGF542"/>
      <c r="LGG542"/>
      <c r="LGH542"/>
      <c r="LGI542"/>
      <c r="LGJ542"/>
      <c r="LGK542"/>
      <c r="LGL542"/>
      <c r="LGM542"/>
      <c r="LGN542"/>
      <c r="LGO542"/>
      <c r="LGP542"/>
      <c r="LGQ542"/>
      <c r="LGR542"/>
      <c r="LGS542"/>
      <c r="LGT542"/>
      <c r="LGU542"/>
      <c r="LGV542"/>
      <c r="LGW542"/>
      <c r="LGX542"/>
      <c r="LGY542"/>
      <c r="LGZ542"/>
      <c r="LHA542"/>
      <c r="LHB542"/>
      <c r="LHC542"/>
      <c r="LHD542"/>
      <c r="LHE542"/>
      <c r="LHF542"/>
      <c r="LHG542"/>
      <c r="LHH542"/>
      <c r="LHI542"/>
      <c r="LHJ542"/>
      <c r="LHK542"/>
      <c r="LHL542"/>
      <c r="LHM542"/>
      <c r="LHN542"/>
      <c r="LHO542"/>
      <c r="LHP542"/>
      <c r="LHQ542"/>
      <c r="LHR542"/>
      <c r="LHS542"/>
      <c r="LHT542"/>
      <c r="LHU542"/>
      <c r="LHV542"/>
      <c r="LHW542"/>
      <c r="LHX542"/>
      <c r="LHY542"/>
      <c r="LHZ542"/>
      <c r="LIA542"/>
      <c r="LIB542"/>
      <c r="LIC542"/>
      <c r="LID542"/>
      <c r="LIE542"/>
      <c r="LIF542"/>
      <c r="LIG542"/>
      <c r="LIH542"/>
      <c r="LII542"/>
      <c r="LIJ542"/>
      <c r="LIK542"/>
      <c r="LIL542"/>
      <c r="LIM542"/>
      <c r="LIN542"/>
      <c r="LIO542"/>
      <c r="LIP542"/>
      <c r="LIQ542"/>
      <c r="LIR542"/>
      <c r="LIS542"/>
      <c r="LIT542"/>
      <c r="LIU542"/>
      <c r="LIV542"/>
      <c r="LIW542"/>
      <c r="LIX542"/>
      <c r="LIY542"/>
      <c r="LIZ542"/>
      <c r="LJA542"/>
      <c r="LJB542"/>
      <c r="LJC542"/>
      <c r="LJD542"/>
      <c r="LJE542"/>
      <c r="LJF542"/>
      <c r="LJG542"/>
      <c r="LJH542"/>
      <c r="LJI542"/>
      <c r="LJJ542"/>
      <c r="LJK542"/>
      <c r="LJL542"/>
      <c r="LJM542"/>
      <c r="LJN542"/>
      <c r="LJO542"/>
      <c r="LJP542"/>
      <c r="LJQ542"/>
      <c r="LJR542"/>
      <c r="LJS542"/>
      <c r="LJT542"/>
      <c r="LJU542"/>
      <c r="LJV542"/>
      <c r="LJW542"/>
      <c r="LJX542"/>
      <c r="LJY542"/>
      <c r="LJZ542"/>
      <c r="LKA542"/>
      <c r="LKB542"/>
      <c r="LKC542"/>
      <c r="LKD542"/>
      <c r="LKE542"/>
      <c r="LKF542"/>
      <c r="LKG542"/>
      <c r="LKH542"/>
      <c r="LKI542"/>
      <c r="LKJ542"/>
      <c r="LKK542"/>
      <c r="LKL542"/>
      <c r="LKM542"/>
      <c r="LKN542"/>
      <c r="LKO542"/>
      <c r="LKP542"/>
      <c r="LKQ542"/>
      <c r="LKR542"/>
      <c r="LKS542"/>
      <c r="LKT542"/>
      <c r="LKU542"/>
      <c r="LKV542"/>
      <c r="LKW542"/>
      <c r="LKX542"/>
      <c r="LKY542"/>
      <c r="LKZ542"/>
      <c r="LLA542"/>
      <c r="LLB542"/>
      <c r="LLC542"/>
      <c r="LLD542"/>
      <c r="LLE542"/>
      <c r="LLF542"/>
      <c r="LLG542"/>
      <c r="LLH542"/>
      <c r="LLI542"/>
      <c r="LLJ542"/>
      <c r="LLK542"/>
      <c r="LLL542"/>
      <c r="LLM542"/>
      <c r="LLN542"/>
      <c r="LLO542"/>
      <c r="LLP542"/>
      <c r="LLQ542"/>
      <c r="LLR542"/>
      <c r="LLS542"/>
      <c r="LLT542"/>
      <c r="LLU542"/>
      <c r="LLV542"/>
      <c r="LLW542"/>
      <c r="LLX542"/>
      <c r="LLY542"/>
      <c r="LLZ542"/>
      <c r="LMA542"/>
      <c r="LMB542"/>
      <c r="LMC542"/>
      <c r="LMD542"/>
      <c r="LME542"/>
      <c r="LMF542"/>
      <c r="LMG542"/>
      <c r="LMH542"/>
      <c r="LMI542"/>
      <c r="LMJ542"/>
      <c r="LMK542"/>
      <c r="LML542"/>
      <c r="LMM542"/>
      <c r="LMN542"/>
      <c r="LMO542"/>
      <c r="LMP542"/>
      <c r="LMQ542"/>
      <c r="LMR542"/>
      <c r="LMS542"/>
      <c r="LMT542"/>
      <c r="LMU542"/>
      <c r="LMV542"/>
      <c r="LMW542"/>
      <c r="LMX542"/>
      <c r="LMY542"/>
      <c r="LMZ542"/>
      <c r="LNA542"/>
      <c r="LNB542"/>
      <c r="LNC542"/>
      <c r="LND542"/>
      <c r="LNE542"/>
      <c r="LNF542"/>
      <c r="LNG542"/>
      <c r="LNH542"/>
      <c r="LNI542"/>
      <c r="LNJ542"/>
      <c r="LNK542"/>
      <c r="LNL542"/>
      <c r="LNM542"/>
      <c r="LNN542"/>
      <c r="LNO542"/>
      <c r="LNP542"/>
      <c r="LNQ542"/>
      <c r="LNR542"/>
      <c r="LNS542"/>
      <c r="LNT542"/>
      <c r="LNU542"/>
      <c r="LNV542"/>
      <c r="LNW542"/>
      <c r="LNX542"/>
      <c r="LNY542"/>
      <c r="LNZ542"/>
      <c r="LOA542"/>
      <c r="LOB542"/>
      <c r="LOC542"/>
      <c r="LOD542"/>
      <c r="LOE542"/>
      <c r="LOF542"/>
      <c r="LOG542"/>
      <c r="LOH542"/>
      <c r="LOI542"/>
      <c r="LOJ542"/>
      <c r="LOK542"/>
      <c r="LOL542"/>
      <c r="LOM542"/>
      <c r="LON542"/>
      <c r="LOO542"/>
      <c r="LOP542"/>
      <c r="LOQ542"/>
      <c r="LOR542"/>
      <c r="LOS542"/>
      <c r="LOT542"/>
      <c r="LOU542"/>
      <c r="LOV542"/>
      <c r="LOW542"/>
      <c r="LOX542"/>
      <c r="LOY542"/>
      <c r="LOZ542"/>
      <c r="LPA542"/>
      <c r="LPB542"/>
      <c r="LPC542"/>
      <c r="LPD542"/>
      <c r="LPE542"/>
      <c r="LPF542"/>
      <c r="LPG542"/>
      <c r="LPH542"/>
      <c r="LPI542"/>
      <c r="LPJ542"/>
      <c r="LPK542"/>
      <c r="LPL542"/>
      <c r="LPM542"/>
      <c r="LPN542"/>
      <c r="LPO542"/>
      <c r="LPP542"/>
      <c r="LPQ542"/>
      <c r="LPR542"/>
      <c r="LPS542"/>
      <c r="LPT542"/>
      <c r="LPU542"/>
      <c r="LPV542"/>
      <c r="LPW542"/>
      <c r="LPX542"/>
      <c r="LPY542"/>
      <c r="LPZ542"/>
      <c r="LQA542"/>
      <c r="LQB542"/>
      <c r="LQC542"/>
      <c r="LQD542"/>
      <c r="LQE542"/>
      <c r="LQF542"/>
      <c r="LQG542"/>
      <c r="LQH542"/>
      <c r="LQI542"/>
      <c r="LQJ542"/>
      <c r="LQK542"/>
      <c r="LQL542"/>
      <c r="LQM542"/>
      <c r="LQN542"/>
      <c r="LQO542"/>
      <c r="LQP542"/>
      <c r="LQQ542"/>
      <c r="LQR542"/>
      <c r="LQS542"/>
      <c r="LQT542"/>
      <c r="LQU542"/>
      <c r="LQV542"/>
      <c r="LQW542"/>
      <c r="LQX542"/>
      <c r="LQY542"/>
      <c r="LQZ542"/>
      <c r="LRA542"/>
      <c r="LRB542"/>
      <c r="LRC542"/>
      <c r="LRD542"/>
      <c r="LRE542"/>
      <c r="LRF542"/>
      <c r="LRG542"/>
      <c r="LRH542"/>
      <c r="LRI542"/>
      <c r="LRJ542"/>
      <c r="LRK542"/>
      <c r="LRL542"/>
      <c r="LRM542"/>
      <c r="LRN542"/>
      <c r="LRO542"/>
      <c r="LRP542"/>
      <c r="LRQ542"/>
      <c r="LRR542"/>
      <c r="LRS542"/>
      <c r="LRT542"/>
      <c r="LRU542"/>
      <c r="LRV542"/>
      <c r="LRW542"/>
      <c r="LRX542"/>
      <c r="LRY542"/>
      <c r="LRZ542"/>
      <c r="LSA542"/>
      <c r="LSB542"/>
      <c r="LSC542"/>
      <c r="LSD542"/>
      <c r="LSE542"/>
      <c r="LSF542"/>
      <c r="LSG542"/>
      <c r="LSH542"/>
      <c r="LSI542"/>
      <c r="LSJ542"/>
      <c r="LSK542"/>
      <c r="LSL542"/>
      <c r="LSM542"/>
      <c r="LSN542"/>
      <c r="LSO542"/>
      <c r="LSP542"/>
      <c r="LSQ542"/>
      <c r="LSR542"/>
      <c r="LSS542"/>
      <c r="LST542"/>
      <c r="LSU542"/>
      <c r="LSV542"/>
      <c r="LSW542"/>
      <c r="LSX542"/>
      <c r="LSY542"/>
      <c r="LSZ542"/>
      <c r="LTA542"/>
      <c r="LTB542"/>
      <c r="LTC542"/>
      <c r="LTD542"/>
      <c r="LTE542"/>
      <c r="LTF542"/>
      <c r="LTG542"/>
      <c r="LTH542"/>
      <c r="LTI542"/>
      <c r="LTJ542"/>
      <c r="LTK542"/>
      <c r="LTL542"/>
      <c r="LTM542"/>
      <c r="LTN542"/>
      <c r="LTO542"/>
      <c r="LTP542"/>
      <c r="LTQ542"/>
      <c r="LTR542"/>
      <c r="LTS542"/>
      <c r="LTT542"/>
      <c r="LTU542"/>
      <c r="LTV542"/>
      <c r="LTW542"/>
      <c r="LTX542"/>
      <c r="LTY542"/>
      <c r="LTZ542"/>
      <c r="LUA542"/>
      <c r="LUB542"/>
      <c r="LUC542"/>
      <c r="LUD542"/>
      <c r="LUE542"/>
      <c r="LUF542"/>
      <c r="LUG542"/>
      <c r="LUH542"/>
      <c r="LUI542"/>
      <c r="LUJ542"/>
      <c r="LUK542"/>
      <c r="LUL542"/>
      <c r="LUM542"/>
      <c r="LUN542"/>
      <c r="LUO542"/>
      <c r="LUP542"/>
      <c r="LUQ542"/>
      <c r="LUR542"/>
      <c r="LUS542"/>
      <c r="LUT542"/>
      <c r="LUU542"/>
      <c r="LUV542"/>
      <c r="LUW542"/>
      <c r="LUX542"/>
      <c r="LUY542"/>
      <c r="LUZ542"/>
      <c r="LVA542"/>
      <c r="LVB542"/>
      <c r="LVC542"/>
      <c r="LVD542"/>
      <c r="LVE542"/>
      <c r="LVF542"/>
      <c r="LVG542"/>
      <c r="LVH542"/>
      <c r="LVI542"/>
      <c r="LVJ542"/>
      <c r="LVK542"/>
      <c r="LVL542"/>
      <c r="LVM542"/>
      <c r="LVN542"/>
      <c r="LVO542"/>
      <c r="LVP542"/>
      <c r="LVQ542"/>
      <c r="LVR542"/>
      <c r="LVS542"/>
      <c r="LVT542"/>
      <c r="LVU542"/>
      <c r="LVV542"/>
      <c r="LVW542"/>
      <c r="LVX542"/>
      <c r="LVY542"/>
      <c r="LVZ542"/>
      <c r="LWA542"/>
      <c r="LWB542"/>
      <c r="LWC542"/>
      <c r="LWD542"/>
      <c r="LWE542"/>
      <c r="LWF542"/>
      <c r="LWG542"/>
      <c r="LWH542"/>
      <c r="LWI542"/>
      <c r="LWJ542"/>
      <c r="LWK542"/>
      <c r="LWL542"/>
      <c r="LWM542"/>
      <c r="LWN542"/>
      <c r="LWO542"/>
      <c r="LWP542"/>
      <c r="LWQ542"/>
      <c r="LWR542"/>
      <c r="LWS542"/>
      <c r="LWT542"/>
      <c r="LWU542"/>
      <c r="LWV542"/>
      <c r="LWW542"/>
      <c r="LWX542"/>
      <c r="LWY542"/>
      <c r="LWZ542"/>
      <c r="LXA542"/>
      <c r="LXB542"/>
      <c r="LXC542"/>
      <c r="LXD542"/>
      <c r="LXE542"/>
      <c r="LXF542"/>
      <c r="LXG542"/>
      <c r="LXH542"/>
      <c r="LXI542"/>
      <c r="LXJ542"/>
      <c r="LXK542"/>
      <c r="LXL542"/>
      <c r="LXM542"/>
      <c r="LXN542"/>
      <c r="LXO542"/>
      <c r="LXP542"/>
      <c r="LXQ542"/>
      <c r="LXR542"/>
      <c r="LXS542"/>
      <c r="LXT542"/>
      <c r="LXU542"/>
      <c r="LXV542"/>
      <c r="LXW542"/>
      <c r="LXX542"/>
      <c r="LXY542"/>
      <c r="LXZ542"/>
      <c r="LYA542"/>
      <c r="LYB542"/>
      <c r="LYC542"/>
      <c r="LYD542"/>
      <c r="LYE542"/>
      <c r="LYF542"/>
      <c r="LYG542"/>
      <c r="LYH542"/>
      <c r="LYI542"/>
      <c r="LYJ542"/>
      <c r="LYK542"/>
      <c r="LYL542"/>
      <c r="LYM542"/>
      <c r="LYN542"/>
      <c r="LYO542"/>
      <c r="LYP542"/>
      <c r="LYQ542"/>
      <c r="LYR542"/>
      <c r="LYS542"/>
      <c r="LYT542"/>
      <c r="LYU542"/>
      <c r="LYV542"/>
      <c r="LYW542"/>
      <c r="LYX542"/>
      <c r="LYY542"/>
      <c r="LYZ542"/>
      <c r="LZA542"/>
      <c r="LZB542"/>
      <c r="LZC542"/>
      <c r="LZD542"/>
      <c r="LZE542"/>
      <c r="LZF542"/>
      <c r="LZG542"/>
      <c r="LZH542"/>
      <c r="LZI542"/>
      <c r="LZJ542"/>
      <c r="LZK542"/>
      <c r="LZL542"/>
      <c r="LZM542"/>
      <c r="LZN542"/>
      <c r="LZO542"/>
      <c r="LZP542"/>
      <c r="LZQ542"/>
      <c r="LZR542"/>
      <c r="LZS542"/>
      <c r="LZT542"/>
      <c r="LZU542"/>
      <c r="LZV542"/>
      <c r="LZW542"/>
      <c r="LZX542"/>
      <c r="LZY542"/>
      <c r="LZZ542"/>
      <c r="MAA542"/>
      <c r="MAB542"/>
      <c r="MAC542"/>
      <c r="MAD542"/>
      <c r="MAE542"/>
      <c r="MAF542"/>
      <c r="MAG542"/>
      <c r="MAH542"/>
      <c r="MAI542"/>
      <c r="MAJ542"/>
      <c r="MAK542"/>
      <c r="MAL542"/>
      <c r="MAM542"/>
      <c r="MAN542"/>
      <c r="MAO542"/>
      <c r="MAP542"/>
      <c r="MAQ542"/>
      <c r="MAR542"/>
      <c r="MAS542"/>
      <c r="MAT542"/>
      <c r="MAU542"/>
      <c r="MAV542"/>
      <c r="MAW542"/>
      <c r="MAX542"/>
      <c r="MAY542"/>
      <c r="MAZ542"/>
      <c r="MBA542"/>
      <c r="MBB542"/>
      <c r="MBC542"/>
      <c r="MBD542"/>
      <c r="MBE542"/>
      <c r="MBF542"/>
      <c r="MBG542"/>
      <c r="MBH542"/>
      <c r="MBI542"/>
      <c r="MBJ542"/>
      <c r="MBK542"/>
      <c r="MBL542"/>
      <c r="MBM542"/>
      <c r="MBN542"/>
      <c r="MBO542"/>
      <c r="MBP542"/>
      <c r="MBQ542"/>
      <c r="MBR542"/>
      <c r="MBS542"/>
      <c r="MBT542"/>
      <c r="MBU542"/>
      <c r="MBV542"/>
      <c r="MBW542"/>
      <c r="MBX542"/>
      <c r="MBY542"/>
      <c r="MBZ542"/>
      <c r="MCA542"/>
      <c r="MCB542"/>
      <c r="MCC542"/>
      <c r="MCD542"/>
      <c r="MCE542"/>
      <c r="MCF542"/>
      <c r="MCG542"/>
      <c r="MCH542"/>
      <c r="MCI542"/>
      <c r="MCJ542"/>
      <c r="MCK542"/>
      <c r="MCL542"/>
      <c r="MCM542"/>
      <c r="MCN542"/>
      <c r="MCO542"/>
      <c r="MCP542"/>
      <c r="MCQ542"/>
      <c r="MCR542"/>
      <c r="MCS542"/>
      <c r="MCT542"/>
      <c r="MCU542"/>
      <c r="MCV542"/>
      <c r="MCW542"/>
      <c r="MCX542"/>
      <c r="MCY542"/>
      <c r="MCZ542"/>
      <c r="MDA542"/>
      <c r="MDB542"/>
      <c r="MDC542"/>
      <c r="MDD542"/>
      <c r="MDE542"/>
      <c r="MDF542"/>
      <c r="MDG542"/>
      <c r="MDH542"/>
      <c r="MDI542"/>
      <c r="MDJ542"/>
      <c r="MDK542"/>
      <c r="MDL542"/>
      <c r="MDM542"/>
      <c r="MDN542"/>
      <c r="MDO542"/>
      <c r="MDP542"/>
      <c r="MDQ542"/>
      <c r="MDR542"/>
      <c r="MDS542"/>
      <c r="MDT542"/>
      <c r="MDU542"/>
      <c r="MDV542"/>
      <c r="MDW542"/>
      <c r="MDX542"/>
      <c r="MDY542"/>
      <c r="MDZ542"/>
      <c r="MEA542"/>
      <c r="MEB542"/>
      <c r="MEC542"/>
      <c r="MED542"/>
      <c r="MEE542"/>
      <c r="MEF542"/>
      <c r="MEG542"/>
      <c r="MEH542"/>
      <c r="MEI542"/>
      <c r="MEJ542"/>
      <c r="MEK542"/>
      <c r="MEL542"/>
      <c r="MEM542"/>
      <c r="MEN542"/>
      <c r="MEO542"/>
      <c r="MEP542"/>
      <c r="MEQ542"/>
      <c r="MER542"/>
      <c r="MES542"/>
      <c r="MET542"/>
      <c r="MEU542"/>
      <c r="MEV542"/>
      <c r="MEW542"/>
      <c r="MEX542"/>
      <c r="MEY542"/>
      <c r="MEZ542"/>
      <c r="MFA542"/>
      <c r="MFB542"/>
      <c r="MFC542"/>
      <c r="MFD542"/>
      <c r="MFE542"/>
      <c r="MFF542"/>
      <c r="MFG542"/>
      <c r="MFH542"/>
      <c r="MFI542"/>
      <c r="MFJ542"/>
      <c r="MFK542"/>
      <c r="MFL542"/>
      <c r="MFM542"/>
      <c r="MFN542"/>
      <c r="MFO542"/>
      <c r="MFP542"/>
      <c r="MFQ542"/>
      <c r="MFR542"/>
      <c r="MFS542"/>
      <c r="MFT542"/>
      <c r="MFU542"/>
      <c r="MFV542"/>
      <c r="MFW542"/>
      <c r="MFX542"/>
      <c r="MFY542"/>
      <c r="MFZ542"/>
      <c r="MGA542"/>
      <c r="MGB542"/>
      <c r="MGC542"/>
      <c r="MGD542"/>
      <c r="MGE542"/>
      <c r="MGF542"/>
      <c r="MGG542"/>
      <c r="MGH542"/>
      <c r="MGI542"/>
      <c r="MGJ542"/>
      <c r="MGK542"/>
      <c r="MGL542"/>
      <c r="MGM542"/>
      <c r="MGN542"/>
      <c r="MGO542"/>
      <c r="MGP542"/>
      <c r="MGQ542"/>
      <c r="MGR542"/>
      <c r="MGS542"/>
      <c r="MGT542"/>
      <c r="MGU542"/>
      <c r="MGV542"/>
      <c r="MGW542"/>
      <c r="MGX542"/>
      <c r="MGY542"/>
      <c r="MGZ542"/>
      <c r="MHA542"/>
      <c r="MHB542"/>
      <c r="MHC542"/>
      <c r="MHD542"/>
      <c r="MHE542"/>
      <c r="MHF542"/>
      <c r="MHG542"/>
      <c r="MHH542"/>
      <c r="MHI542"/>
      <c r="MHJ542"/>
      <c r="MHK542"/>
      <c r="MHL542"/>
      <c r="MHM542"/>
      <c r="MHN542"/>
      <c r="MHO542"/>
      <c r="MHP542"/>
      <c r="MHQ542"/>
      <c r="MHR542"/>
      <c r="MHS542"/>
      <c r="MHT542"/>
      <c r="MHU542"/>
      <c r="MHV542"/>
      <c r="MHW542"/>
      <c r="MHX542"/>
      <c r="MHY542"/>
      <c r="MHZ542"/>
      <c r="MIA542"/>
      <c r="MIB542"/>
      <c r="MIC542"/>
      <c r="MID542"/>
      <c r="MIE542"/>
      <c r="MIF542"/>
      <c r="MIG542"/>
      <c r="MIH542"/>
      <c r="MII542"/>
      <c r="MIJ542"/>
      <c r="MIK542"/>
      <c r="MIL542"/>
      <c r="MIM542"/>
      <c r="MIN542"/>
      <c r="MIO542"/>
      <c r="MIP542"/>
      <c r="MIQ542"/>
      <c r="MIR542"/>
      <c r="MIS542"/>
      <c r="MIT542"/>
      <c r="MIU542"/>
      <c r="MIV542"/>
      <c r="MIW542"/>
      <c r="MIX542"/>
      <c r="MIY542"/>
      <c r="MIZ542"/>
      <c r="MJA542"/>
      <c r="MJB542"/>
      <c r="MJC542"/>
      <c r="MJD542"/>
      <c r="MJE542"/>
      <c r="MJF542"/>
      <c r="MJG542"/>
      <c r="MJH542"/>
      <c r="MJI542"/>
      <c r="MJJ542"/>
      <c r="MJK542"/>
      <c r="MJL542"/>
      <c r="MJM542"/>
      <c r="MJN542"/>
      <c r="MJO542"/>
      <c r="MJP542"/>
      <c r="MJQ542"/>
      <c r="MJR542"/>
      <c r="MJS542"/>
      <c r="MJT542"/>
      <c r="MJU542"/>
      <c r="MJV542"/>
      <c r="MJW542"/>
      <c r="MJX542"/>
      <c r="MJY542"/>
      <c r="MJZ542"/>
      <c r="MKA542"/>
      <c r="MKB542"/>
      <c r="MKC542"/>
      <c r="MKD542"/>
      <c r="MKE542"/>
      <c r="MKF542"/>
      <c r="MKG542"/>
      <c r="MKH542"/>
      <c r="MKI542"/>
      <c r="MKJ542"/>
      <c r="MKK542"/>
      <c r="MKL542"/>
      <c r="MKM542"/>
      <c r="MKN542"/>
      <c r="MKO542"/>
      <c r="MKP542"/>
      <c r="MKQ542"/>
      <c r="MKR542"/>
      <c r="MKS542"/>
      <c r="MKT542"/>
      <c r="MKU542"/>
      <c r="MKV542"/>
      <c r="MKW542"/>
      <c r="MKX542"/>
      <c r="MKY542"/>
      <c r="MKZ542"/>
      <c r="MLA542"/>
      <c r="MLB542"/>
      <c r="MLC542"/>
      <c r="MLD542"/>
      <c r="MLE542"/>
      <c r="MLF542"/>
      <c r="MLG542"/>
      <c r="MLH542"/>
      <c r="MLI542"/>
      <c r="MLJ542"/>
      <c r="MLK542"/>
      <c r="MLL542"/>
      <c r="MLM542"/>
      <c r="MLN542"/>
      <c r="MLO542"/>
      <c r="MLP542"/>
      <c r="MLQ542"/>
      <c r="MLR542"/>
      <c r="MLS542"/>
      <c r="MLT542"/>
      <c r="MLU542"/>
      <c r="MLV542"/>
      <c r="MLW542"/>
      <c r="MLX542"/>
      <c r="MLY542"/>
      <c r="MLZ542"/>
      <c r="MMA542"/>
      <c r="MMB542"/>
      <c r="MMC542"/>
      <c r="MMD542"/>
      <c r="MME542"/>
      <c r="MMF542"/>
      <c r="MMG542"/>
      <c r="MMH542"/>
      <c r="MMI542"/>
      <c r="MMJ542"/>
      <c r="MMK542"/>
      <c r="MML542"/>
      <c r="MMM542"/>
      <c r="MMN542"/>
      <c r="MMO542"/>
      <c r="MMP542"/>
      <c r="MMQ542"/>
      <c r="MMR542"/>
      <c r="MMS542"/>
      <c r="MMT542"/>
      <c r="MMU542"/>
      <c r="MMV542"/>
      <c r="MMW542"/>
      <c r="MMX542"/>
      <c r="MMY542"/>
      <c r="MMZ542"/>
      <c r="MNA542"/>
      <c r="MNB542"/>
      <c r="MNC542"/>
      <c r="MND542"/>
      <c r="MNE542"/>
      <c r="MNF542"/>
      <c r="MNG542"/>
      <c r="MNH542"/>
      <c r="MNI542"/>
      <c r="MNJ542"/>
      <c r="MNK542"/>
      <c r="MNL542"/>
      <c r="MNM542"/>
      <c r="MNN542"/>
      <c r="MNO542"/>
      <c r="MNP542"/>
      <c r="MNQ542"/>
      <c r="MNR542"/>
      <c r="MNS542"/>
      <c r="MNT542"/>
      <c r="MNU542"/>
      <c r="MNV542"/>
      <c r="MNW542"/>
      <c r="MNX542"/>
      <c r="MNY542"/>
      <c r="MNZ542"/>
      <c r="MOA542"/>
      <c r="MOB542"/>
      <c r="MOC542"/>
      <c r="MOD542"/>
      <c r="MOE542"/>
      <c r="MOF542"/>
      <c r="MOG542"/>
      <c r="MOH542"/>
      <c r="MOI542"/>
      <c r="MOJ542"/>
      <c r="MOK542"/>
      <c r="MOL542"/>
      <c r="MOM542"/>
      <c r="MON542"/>
      <c r="MOO542"/>
      <c r="MOP542"/>
      <c r="MOQ542"/>
      <c r="MOR542"/>
      <c r="MOS542"/>
      <c r="MOT542"/>
      <c r="MOU542"/>
      <c r="MOV542"/>
      <c r="MOW542"/>
      <c r="MOX542"/>
      <c r="MOY542"/>
      <c r="MOZ542"/>
      <c r="MPA542"/>
      <c r="MPB542"/>
      <c r="MPC542"/>
      <c r="MPD542"/>
      <c r="MPE542"/>
      <c r="MPF542"/>
      <c r="MPG542"/>
      <c r="MPH542"/>
      <c r="MPI542"/>
      <c r="MPJ542"/>
      <c r="MPK542"/>
      <c r="MPL542"/>
      <c r="MPM542"/>
      <c r="MPN542"/>
      <c r="MPO542"/>
      <c r="MPP542"/>
      <c r="MPQ542"/>
      <c r="MPR542"/>
      <c r="MPS542"/>
      <c r="MPT542"/>
      <c r="MPU542"/>
      <c r="MPV542"/>
      <c r="MPW542"/>
      <c r="MPX542"/>
      <c r="MPY542"/>
      <c r="MPZ542"/>
      <c r="MQA542"/>
      <c r="MQB542"/>
      <c r="MQC542"/>
      <c r="MQD542"/>
      <c r="MQE542"/>
      <c r="MQF542"/>
      <c r="MQG542"/>
      <c r="MQH542"/>
      <c r="MQI542"/>
      <c r="MQJ542"/>
      <c r="MQK542"/>
      <c r="MQL542"/>
      <c r="MQM542"/>
      <c r="MQN542"/>
      <c r="MQO542"/>
      <c r="MQP542"/>
      <c r="MQQ542"/>
      <c r="MQR542"/>
      <c r="MQS542"/>
      <c r="MQT542"/>
      <c r="MQU542"/>
      <c r="MQV542"/>
      <c r="MQW542"/>
      <c r="MQX542"/>
      <c r="MQY542"/>
      <c r="MQZ542"/>
      <c r="MRA542"/>
      <c r="MRB542"/>
      <c r="MRC542"/>
      <c r="MRD542"/>
      <c r="MRE542"/>
      <c r="MRF542"/>
      <c r="MRG542"/>
      <c r="MRH542"/>
      <c r="MRI542"/>
      <c r="MRJ542"/>
      <c r="MRK542"/>
      <c r="MRL542"/>
      <c r="MRM542"/>
      <c r="MRN542"/>
      <c r="MRO542"/>
      <c r="MRP542"/>
      <c r="MRQ542"/>
      <c r="MRR542"/>
      <c r="MRS542"/>
      <c r="MRT542"/>
      <c r="MRU542"/>
      <c r="MRV542"/>
      <c r="MRW542"/>
      <c r="MRX542"/>
      <c r="MRY542"/>
      <c r="MRZ542"/>
      <c r="MSA542"/>
      <c r="MSB542"/>
      <c r="MSC542"/>
      <c r="MSD542"/>
      <c r="MSE542"/>
      <c r="MSF542"/>
      <c r="MSG542"/>
      <c r="MSH542"/>
      <c r="MSI542"/>
      <c r="MSJ542"/>
      <c r="MSK542"/>
      <c r="MSL542"/>
      <c r="MSM542"/>
      <c r="MSN542"/>
      <c r="MSO542"/>
      <c r="MSP542"/>
      <c r="MSQ542"/>
      <c r="MSR542"/>
      <c r="MSS542"/>
      <c r="MST542"/>
      <c r="MSU542"/>
      <c r="MSV542"/>
      <c r="MSW542"/>
      <c r="MSX542"/>
      <c r="MSY542"/>
      <c r="MSZ542"/>
      <c r="MTA542"/>
      <c r="MTB542"/>
      <c r="MTC542"/>
      <c r="MTD542"/>
      <c r="MTE542"/>
      <c r="MTF542"/>
      <c r="MTG542"/>
      <c r="MTH542"/>
      <c r="MTI542"/>
      <c r="MTJ542"/>
      <c r="MTK542"/>
      <c r="MTL542"/>
      <c r="MTM542"/>
      <c r="MTN542"/>
      <c r="MTO542"/>
      <c r="MTP542"/>
      <c r="MTQ542"/>
      <c r="MTR542"/>
      <c r="MTS542"/>
      <c r="MTT542"/>
      <c r="MTU542"/>
      <c r="MTV542"/>
      <c r="MTW542"/>
      <c r="MTX542"/>
      <c r="MTY542"/>
      <c r="MTZ542"/>
      <c r="MUA542"/>
      <c r="MUB542"/>
      <c r="MUC542"/>
      <c r="MUD542"/>
      <c r="MUE542"/>
      <c r="MUF542"/>
      <c r="MUG542"/>
      <c r="MUH542"/>
      <c r="MUI542"/>
      <c r="MUJ542"/>
      <c r="MUK542"/>
      <c r="MUL542"/>
      <c r="MUM542"/>
      <c r="MUN542"/>
      <c r="MUO542"/>
      <c r="MUP542"/>
      <c r="MUQ542"/>
      <c r="MUR542"/>
      <c r="MUS542"/>
      <c r="MUT542"/>
      <c r="MUU542"/>
      <c r="MUV542"/>
      <c r="MUW542"/>
      <c r="MUX542"/>
      <c r="MUY542"/>
      <c r="MUZ542"/>
      <c r="MVA542"/>
      <c r="MVB542"/>
      <c r="MVC542"/>
      <c r="MVD542"/>
      <c r="MVE542"/>
      <c r="MVF542"/>
      <c r="MVG542"/>
      <c r="MVH542"/>
      <c r="MVI542"/>
      <c r="MVJ542"/>
      <c r="MVK542"/>
      <c r="MVL542"/>
      <c r="MVM542"/>
      <c r="MVN542"/>
      <c r="MVO542"/>
      <c r="MVP542"/>
      <c r="MVQ542"/>
      <c r="MVR542"/>
      <c r="MVS542"/>
      <c r="MVT542"/>
      <c r="MVU542"/>
      <c r="MVV542"/>
      <c r="MVW542"/>
      <c r="MVX542"/>
      <c r="MVY542"/>
      <c r="MVZ542"/>
      <c r="MWA542"/>
      <c r="MWB542"/>
      <c r="MWC542"/>
      <c r="MWD542"/>
      <c r="MWE542"/>
      <c r="MWF542"/>
      <c r="MWG542"/>
      <c r="MWH542"/>
      <c r="MWI542"/>
      <c r="MWJ542"/>
      <c r="MWK542"/>
      <c r="MWL542"/>
      <c r="MWM542"/>
      <c r="MWN542"/>
      <c r="MWO542"/>
      <c r="MWP542"/>
      <c r="MWQ542"/>
      <c r="MWR542"/>
      <c r="MWS542"/>
      <c r="MWT542"/>
      <c r="MWU542"/>
      <c r="MWV542"/>
      <c r="MWW542"/>
      <c r="MWX542"/>
      <c r="MWY542"/>
      <c r="MWZ542"/>
      <c r="MXA542"/>
      <c r="MXB542"/>
      <c r="MXC542"/>
      <c r="MXD542"/>
      <c r="MXE542"/>
      <c r="MXF542"/>
      <c r="MXG542"/>
      <c r="MXH542"/>
      <c r="MXI542"/>
      <c r="MXJ542"/>
      <c r="MXK542"/>
      <c r="MXL542"/>
      <c r="MXM542"/>
      <c r="MXN542"/>
      <c r="MXO542"/>
      <c r="MXP542"/>
      <c r="MXQ542"/>
      <c r="MXR542"/>
      <c r="MXS542"/>
      <c r="MXT542"/>
      <c r="MXU542"/>
      <c r="MXV542"/>
      <c r="MXW542"/>
      <c r="MXX542"/>
      <c r="MXY542"/>
      <c r="MXZ542"/>
      <c r="MYA542"/>
      <c r="MYB542"/>
      <c r="MYC542"/>
      <c r="MYD542"/>
      <c r="MYE542"/>
      <c r="MYF542"/>
      <c r="MYG542"/>
      <c r="MYH542"/>
      <c r="MYI542"/>
      <c r="MYJ542"/>
      <c r="MYK542"/>
      <c r="MYL542"/>
      <c r="MYM542"/>
      <c r="MYN542"/>
      <c r="MYO542"/>
      <c r="MYP542"/>
      <c r="MYQ542"/>
      <c r="MYR542"/>
      <c r="MYS542"/>
      <c r="MYT542"/>
      <c r="MYU542"/>
      <c r="MYV542"/>
      <c r="MYW542"/>
      <c r="MYX542"/>
      <c r="MYY542"/>
      <c r="MYZ542"/>
      <c r="MZA542"/>
      <c r="MZB542"/>
      <c r="MZC542"/>
      <c r="MZD542"/>
      <c r="MZE542"/>
      <c r="MZF542"/>
      <c r="MZG542"/>
      <c r="MZH542"/>
      <c r="MZI542"/>
      <c r="MZJ542"/>
      <c r="MZK542"/>
      <c r="MZL542"/>
      <c r="MZM542"/>
      <c r="MZN542"/>
      <c r="MZO542"/>
      <c r="MZP542"/>
      <c r="MZQ542"/>
      <c r="MZR542"/>
      <c r="MZS542"/>
      <c r="MZT542"/>
      <c r="MZU542"/>
      <c r="MZV542"/>
      <c r="MZW542"/>
      <c r="MZX542"/>
      <c r="MZY542"/>
      <c r="MZZ542"/>
      <c r="NAA542"/>
      <c r="NAB542"/>
      <c r="NAC542"/>
      <c r="NAD542"/>
      <c r="NAE542"/>
      <c r="NAF542"/>
      <c r="NAG542"/>
      <c r="NAH542"/>
      <c r="NAI542"/>
      <c r="NAJ542"/>
      <c r="NAK542"/>
      <c r="NAL542"/>
      <c r="NAM542"/>
      <c r="NAN542"/>
      <c r="NAO542"/>
      <c r="NAP542"/>
      <c r="NAQ542"/>
      <c r="NAR542"/>
      <c r="NAS542"/>
      <c r="NAT542"/>
      <c r="NAU542"/>
      <c r="NAV542"/>
      <c r="NAW542"/>
      <c r="NAX542"/>
      <c r="NAY542"/>
      <c r="NAZ542"/>
      <c r="NBA542"/>
      <c r="NBB542"/>
      <c r="NBC542"/>
      <c r="NBD542"/>
      <c r="NBE542"/>
      <c r="NBF542"/>
      <c r="NBG542"/>
      <c r="NBH542"/>
      <c r="NBI542"/>
      <c r="NBJ542"/>
      <c r="NBK542"/>
      <c r="NBL542"/>
      <c r="NBM542"/>
      <c r="NBN542"/>
      <c r="NBO542"/>
      <c r="NBP542"/>
      <c r="NBQ542"/>
      <c r="NBR542"/>
      <c r="NBS542"/>
      <c r="NBT542"/>
      <c r="NBU542"/>
      <c r="NBV542"/>
      <c r="NBW542"/>
      <c r="NBX542"/>
      <c r="NBY542"/>
      <c r="NBZ542"/>
      <c r="NCA542"/>
      <c r="NCB542"/>
      <c r="NCC542"/>
      <c r="NCD542"/>
      <c r="NCE542"/>
      <c r="NCF542"/>
      <c r="NCG542"/>
      <c r="NCH542"/>
      <c r="NCI542"/>
      <c r="NCJ542"/>
      <c r="NCK542"/>
      <c r="NCL542"/>
      <c r="NCM542"/>
      <c r="NCN542"/>
      <c r="NCO542"/>
      <c r="NCP542"/>
      <c r="NCQ542"/>
      <c r="NCR542"/>
      <c r="NCS542"/>
      <c r="NCT542"/>
      <c r="NCU542"/>
      <c r="NCV542"/>
      <c r="NCW542"/>
      <c r="NCX542"/>
      <c r="NCY542"/>
      <c r="NCZ542"/>
      <c r="NDA542"/>
      <c r="NDB542"/>
      <c r="NDC542"/>
      <c r="NDD542"/>
      <c r="NDE542"/>
      <c r="NDF542"/>
      <c r="NDG542"/>
      <c r="NDH542"/>
      <c r="NDI542"/>
      <c r="NDJ542"/>
      <c r="NDK542"/>
      <c r="NDL542"/>
      <c r="NDM542"/>
      <c r="NDN542"/>
      <c r="NDO542"/>
      <c r="NDP542"/>
      <c r="NDQ542"/>
      <c r="NDR542"/>
      <c r="NDS542"/>
      <c r="NDT542"/>
      <c r="NDU542"/>
      <c r="NDV542"/>
      <c r="NDW542"/>
      <c r="NDX542"/>
      <c r="NDY542"/>
      <c r="NDZ542"/>
      <c r="NEA542"/>
      <c r="NEB542"/>
      <c r="NEC542"/>
      <c r="NED542"/>
      <c r="NEE542"/>
      <c r="NEF542"/>
      <c r="NEG542"/>
      <c r="NEH542"/>
      <c r="NEI542"/>
      <c r="NEJ542"/>
      <c r="NEK542"/>
      <c r="NEL542"/>
      <c r="NEM542"/>
      <c r="NEN542"/>
      <c r="NEO542"/>
      <c r="NEP542"/>
      <c r="NEQ542"/>
      <c r="NER542"/>
      <c r="NES542"/>
      <c r="NET542"/>
      <c r="NEU542"/>
      <c r="NEV542"/>
      <c r="NEW542"/>
      <c r="NEX542"/>
      <c r="NEY542"/>
      <c r="NEZ542"/>
      <c r="NFA542"/>
      <c r="NFB542"/>
      <c r="NFC542"/>
      <c r="NFD542"/>
      <c r="NFE542"/>
      <c r="NFF542"/>
      <c r="NFG542"/>
      <c r="NFH542"/>
      <c r="NFI542"/>
      <c r="NFJ542"/>
      <c r="NFK542"/>
      <c r="NFL542"/>
      <c r="NFM542"/>
      <c r="NFN542"/>
      <c r="NFO542"/>
      <c r="NFP542"/>
      <c r="NFQ542"/>
      <c r="NFR542"/>
      <c r="NFS542"/>
      <c r="NFT542"/>
      <c r="NFU542"/>
      <c r="NFV542"/>
      <c r="NFW542"/>
      <c r="NFX542"/>
      <c r="NFY542"/>
      <c r="NFZ542"/>
      <c r="NGA542"/>
      <c r="NGB542"/>
      <c r="NGC542"/>
      <c r="NGD542"/>
      <c r="NGE542"/>
      <c r="NGF542"/>
      <c r="NGG542"/>
      <c r="NGH542"/>
      <c r="NGI542"/>
      <c r="NGJ542"/>
      <c r="NGK542"/>
      <c r="NGL542"/>
      <c r="NGM542"/>
      <c r="NGN542"/>
      <c r="NGO542"/>
      <c r="NGP542"/>
      <c r="NGQ542"/>
      <c r="NGR542"/>
      <c r="NGS542"/>
      <c r="NGT542"/>
      <c r="NGU542"/>
      <c r="NGV542"/>
      <c r="NGW542"/>
      <c r="NGX542"/>
      <c r="NGY542"/>
      <c r="NGZ542"/>
      <c r="NHA542"/>
      <c r="NHB542"/>
      <c r="NHC542"/>
      <c r="NHD542"/>
      <c r="NHE542"/>
      <c r="NHF542"/>
      <c r="NHG542"/>
      <c r="NHH542"/>
      <c r="NHI542"/>
      <c r="NHJ542"/>
      <c r="NHK542"/>
      <c r="NHL542"/>
      <c r="NHM542"/>
      <c r="NHN542"/>
      <c r="NHO542"/>
      <c r="NHP542"/>
      <c r="NHQ542"/>
      <c r="NHR542"/>
      <c r="NHS542"/>
      <c r="NHT542"/>
      <c r="NHU542"/>
      <c r="NHV542"/>
      <c r="NHW542"/>
      <c r="NHX542"/>
      <c r="NHY542"/>
      <c r="NHZ542"/>
      <c r="NIA542"/>
      <c r="NIB542"/>
      <c r="NIC542"/>
      <c r="NID542"/>
      <c r="NIE542"/>
      <c r="NIF542"/>
      <c r="NIG542"/>
      <c r="NIH542"/>
      <c r="NII542"/>
      <c r="NIJ542"/>
      <c r="NIK542"/>
      <c r="NIL542"/>
      <c r="NIM542"/>
      <c r="NIN542"/>
      <c r="NIO542"/>
      <c r="NIP542"/>
      <c r="NIQ542"/>
      <c r="NIR542"/>
      <c r="NIS542"/>
      <c r="NIT542"/>
      <c r="NIU542"/>
      <c r="NIV542"/>
      <c r="NIW542"/>
      <c r="NIX542"/>
      <c r="NIY542"/>
      <c r="NIZ542"/>
      <c r="NJA542"/>
      <c r="NJB542"/>
      <c r="NJC542"/>
      <c r="NJD542"/>
      <c r="NJE542"/>
      <c r="NJF542"/>
      <c r="NJG542"/>
      <c r="NJH542"/>
      <c r="NJI542"/>
      <c r="NJJ542"/>
      <c r="NJK542"/>
      <c r="NJL542"/>
      <c r="NJM542"/>
      <c r="NJN542"/>
      <c r="NJO542"/>
      <c r="NJP542"/>
      <c r="NJQ542"/>
      <c r="NJR542"/>
      <c r="NJS542"/>
      <c r="NJT542"/>
      <c r="NJU542"/>
      <c r="NJV542"/>
      <c r="NJW542"/>
      <c r="NJX542"/>
      <c r="NJY542"/>
      <c r="NJZ542"/>
      <c r="NKA542"/>
      <c r="NKB542"/>
      <c r="NKC542"/>
      <c r="NKD542"/>
      <c r="NKE542"/>
      <c r="NKF542"/>
      <c r="NKG542"/>
      <c r="NKH542"/>
      <c r="NKI542"/>
      <c r="NKJ542"/>
      <c r="NKK542"/>
      <c r="NKL542"/>
      <c r="NKM542"/>
      <c r="NKN542"/>
      <c r="NKO542"/>
      <c r="NKP542"/>
      <c r="NKQ542"/>
      <c r="NKR542"/>
      <c r="NKS542"/>
      <c r="NKT542"/>
      <c r="NKU542"/>
      <c r="NKV542"/>
      <c r="NKW542"/>
      <c r="NKX542"/>
      <c r="NKY542"/>
      <c r="NKZ542"/>
      <c r="NLA542"/>
      <c r="NLB542"/>
      <c r="NLC542"/>
      <c r="NLD542"/>
      <c r="NLE542"/>
      <c r="NLF542"/>
      <c r="NLG542"/>
      <c r="NLH542"/>
      <c r="NLI542"/>
      <c r="NLJ542"/>
      <c r="NLK542"/>
      <c r="NLL542"/>
      <c r="NLM542"/>
      <c r="NLN542"/>
      <c r="NLO542"/>
      <c r="NLP542"/>
      <c r="NLQ542"/>
      <c r="NLR542"/>
      <c r="NLS542"/>
      <c r="NLT542"/>
      <c r="NLU542"/>
      <c r="NLV542"/>
      <c r="NLW542"/>
      <c r="NLX542"/>
      <c r="NLY542"/>
      <c r="NLZ542"/>
      <c r="NMA542"/>
      <c r="NMB542"/>
      <c r="NMC542"/>
      <c r="NMD542"/>
      <c r="NME542"/>
      <c r="NMF542"/>
      <c r="NMG542"/>
      <c r="NMH542"/>
      <c r="NMI542"/>
      <c r="NMJ542"/>
      <c r="NMK542"/>
      <c r="NML542"/>
      <c r="NMM542"/>
      <c r="NMN542"/>
      <c r="NMO542"/>
      <c r="NMP542"/>
      <c r="NMQ542"/>
      <c r="NMR542"/>
      <c r="NMS542"/>
      <c r="NMT542"/>
      <c r="NMU542"/>
      <c r="NMV542"/>
      <c r="NMW542"/>
      <c r="NMX542"/>
      <c r="NMY542"/>
      <c r="NMZ542"/>
      <c r="NNA542"/>
      <c r="NNB542"/>
      <c r="NNC542"/>
      <c r="NND542"/>
      <c r="NNE542"/>
      <c r="NNF542"/>
      <c r="NNG542"/>
      <c r="NNH542"/>
      <c r="NNI542"/>
      <c r="NNJ542"/>
      <c r="NNK542"/>
      <c r="NNL542"/>
      <c r="NNM542"/>
      <c r="NNN542"/>
      <c r="NNO542"/>
      <c r="NNP542"/>
      <c r="NNQ542"/>
      <c r="NNR542"/>
      <c r="NNS542"/>
      <c r="NNT542"/>
      <c r="NNU542"/>
      <c r="NNV542"/>
      <c r="NNW542"/>
      <c r="NNX542"/>
      <c r="NNY542"/>
      <c r="NNZ542"/>
      <c r="NOA542"/>
      <c r="NOB542"/>
      <c r="NOC542"/>
      <c r="NOD542"/>
      <c r="NOE542"/>
      <c r="NOF542"/>
      <c r="NOG542"/>
      <c r="NOH542"/>
      <c r="NOI542"/>
      <c r="NOJ542"/>
      <c r="NOK542"/>
      <c r="NOL542"/>
      <c r="NOM542"/>
      <c r="NON542"/>
      <c r="NOO542"/>
      <c r="NOP542"/>
      <c r="NOQ542"/>
      <c r="NOR542"/>
      <c r="NOS542"/>
      <c r="NOT542"/>
      <c r="NOU542"/>
      <c r="NOV542"/>
      <c r="NOW542"/>
      <c r="NOX542"/>
      <c r="NOY542"/>
      <c r="NOZ542"/>
      <c r="NPA542"/>
      <c r="NPB542"/>
      <c r="NPC542"/>
      <c r="NPD542"/>
      <c r="NPE542"/>
      <c r="NPF542"/>
      <c r="NPG542"/>
      <c r="NPH542"/>
      <c r="NPI542"/>
      <c r="NPJ542"/>
      <c r="NPK542"/>
      <c r="NPL542"/>
      <c r="NPM542"/>
      <c r="NPN542"/>
      <c r="NPO542"/>
      <c r="NPP542"/>
      <c r="NPQ542"/>
      <c r="NPR542"/>
      <c r="NPS542"/>
      <c r="NPT542"/>
      <c r="NPU542"/>
      <c r="NPV542"/>
      <c r="NPW542"/>
      <c r="NPX542"/>
      <c r="NPY542"/>
      <c r="NPZ542"/>
      <c r="NQA542"/>
      <c r="NQB542"/>
      <c r="NQC542"/>
      <c r="NQD542"/>
      <c r="NQE542"/>
      <c r="NQF542"/>
      <c r="NQG542"/>
      <c r="NQH542"/>
      <c r="NQI542"/>
      <c r="NQJ542"/>
      <c r="NQK542"/>
      <c r="NQL542"/>
      <c r="NQM542"/>
      <c r="NQN542"/>
      <c r="NQO542"/>
      <c r="NQP542"/>
      <c r="NQQ542"/>
      <c r="NQR542"/>
      <c r="NQS542"/>
      <c r="NQT542"/>
      <c r="NQU542"/>
      <c r="NQV542"/>
      <c r="NQW542"/>
      <c r="NQX542"/>
      <c r="NQY542"/>
      <c r="NQZ542"/>
      <c r="NRA542"/>
      <c r="NRB542"/>
      <c r="NRC542"/>
      <c r="NRD542"/>
      <c r="NRE542"/>
      <c r="NRF542"/>
      <c r="NRG542"/>
      <c r="NRH542"/>
      <c r="NRI542"/>
      <c r="NRJ542"/>
      <c r="NRK542"/>
      <c r="NRL542"/>
      <c r="NRM542"/>
      <c r="NRN542"/>
      <c r="NRO542"/>
      <c r="NRP542"/>
      <c r="NRQ542"/>
      <c r="NRR542"/>
      <c r="NRS542"/>
      <c r="NRT542"/>
      <c r="NRU542"/>
      <c r="NRV542"/>
      <c r="NRW542"/>
      <c r="NRX542"/>
      <c r="NRY542"/>
      <c r="NRZ542"/>
      <c r="NSA542"/>
      <c r="NSB542"/>
      <c r="NSC542"/>
      <c r="NSD542"/>
      <c r="NSE542"/>
      <c r="NSF542"/>
      <c r="NSG542"/>
      <c r="NSH542"/>
      <c r="NSI542"/>
      <c r="NSJ542"/>
      <c r="NSK542"/>
      <c r="NSL542"/>
      <c r="NSM542"/>
      <c r="NSN542"/>
      <c r="NSO542"/>
      <c r="NSP542"/>
      <c r="NSQ542"/>
      <c r="NSR542"/>
      <c r="NSS542"/>
      <c r="NST542"/>
      <c r="NSU542"/>
      <c r="NSV542"/>
      <c r="NSW542"/>
      <c r="NSX542"/>
      <c r="NSY542"/>
      <c r="NSZ542"/>
      <c r="NTA542"/>
      <c r="NTB542"/>
      <c r="NTC542"/>
      <c r="NTD542"/>
      <c r="NTE542"/>
      <c r="NTF542"/>
      <c r="NTG542"/>
      <c r="NTH542"/>
      <c r="NTI542"/>
      <c r="NTJ542"/>
      <c r="NTK542"/>
      <c r="NTL542"/>
      <c r="NTM542"/>
      <c r="NTN542"/>
      <c r="NTO542"/>
      <c r="NTP542"/>
      <c r="NTQ542"/>
      <c r="NTR542"/>
      <c r="NTS542"/>
      <c r="NTT542"/>
      <c r="NTU542"/>
      <c r="NTV542"/>
      <c r="NTW542"/>
      <c r="NTX542"/>
      <c r="NTY542"/>
      <c r="NTZ542"/>
      <c r="NUA542"/>
      <c r="NUB542"/>
      <c r="NUC542"/>
      <c r="NUD542"/>
      <c r="NUE542"/>
      <c r="NUF542"/>
      <c r="NUG542"/>
      <c r="NUH542"/>
      <c r="NUI542"/>
      <c r="NUJ542"/>
      <c r="NUK542"/>
      <c r="NUL542"/>
      <c r="NUM542"/>
      <c r="NUN542"/>
      <c r="NUO542"/>
      <c r="NUP542"/>
      <c r="NUQ542"/>
      <c r="NUR542"/>
      <c r="NUS542"/>
      <c r="NUT542"/>
      <c r="NUU542"/>
      <c r="NUV542"/>
      <c r="NUW542"/>
      <c r="NUX542"/>
      <c r="NUY542"/>
      <c r="NUZ542"/>
      <c r="NVA542"/>
      <c r="NVB542"/>
      <c r="NVC542"/>
      <c r="NVD542"/>
      <c r="NVE542"/>
      <c r="NVF542"/>
      <c r="NVG542"/>
      <c r="NVH542"/>
      <c r="NVI542"/>
      <c r="NVJ542"/>
      <c r="NVK542"/>
      <c r="NVL542"/>
      <c r="NVM542"/>
      <c r="NVN542"/>
      <c r="NVO542"/>
      <c r="NVP542"/>
      <c r="NVQ542"/>
      <c r="NVR542"/>
      <c r="NVS542"/>
      <c r="NVT542"/>
      <c r="NVU542"/>
      <c r="NVV542"/>
      <c r="NVW542"/>
      <c r="NVX542"/>
      <c r="NVY542"/>
      <c r="NVZ542"/>
      <c r="NWA542"/>
      <c r="NWB542"/>
      <c r="NWC542"/>
      <c r="NWD542"/>
      <c r="NWE542"/>
      <c r="NWF542"/>
      <c r="NWG542"/>
      <c r="NWH542"/>
      <c r="NWI542"/>
      <c r="NWJ542"/>
      <c r="NWK542"/>
      <c r="NWL542"/>
      <c r="NWM542"/>
      <c r="NWN542"/>
      <c r="NWO542"/>
      <c r="NWP542"/>
      <c r="NWQ542"/>
      <c r="NWR542"/>
      <c r="NWS542"/>
      <c r="NWT542"/>
      <c r="NWU542"/>
      <c r="NWV542"/>
      <c r="NWW542"/>
      <c r="NWX542"/>
      <c r="NWY542"/>
      <c r="NWZ542"/>
      <c r="NXA542"/>
      <c r="NXB542"/>
      <c r="NXC542"/>
      <c r="NXD542"/>
      <c r="NXE542"/>
      <c r="NXF542"/>
      <c r="NXG542"/>
      <c r="NXH542"/>
      <c r="NXI542"/>
      <c r="NXJ542"/>
      <c r="NXK542"/>
      <c r="NXL542"/>
      <c r="NXM542"/>
      <c r="NXN542"/>
      <c r="NXO542"/>
      <c r="NXP542"/>
      <c r="NXQ542"/>
      <c r="NXR542"/>
      <c r="NXS542"/>
      <c r="NXT542"/>
      <c r="NXU542"/>
      <c r="NXV542"/>
      <c r="NXW542"/>
      <c r="NXX542"/>
      <c r="NXY542"/>
      <c r="NXZ542"/>
      <c r="NYA542"/>
      <c r="NYB542"/>
      <c r="NYC542"/>
      <c r="NYD542"/>
      <c r="NYE542"/>
      <c r="NYF542"/>
      <c r="NYG542"/>
      <c r="NYH542"/>
      <c r="NYI542"/>
      <c r="NYJ542"/>
      <c r="NYK542"/>
      <c r="NYL542"/>
      <c r="NYM542"/>
      <c r="NYN542"/>
      <c r="NYO542"/>
      <c r="NYP542"/>
      <c r="NYQ542"/>
      <c r="NYR542"/>
      <c r="NYS542"/>
      <c r="NYT542"/>
      <c r="NYU542"/>
      <c r="NYV542"/>
      <c r="NYW542"/>
      <c r="NYX542"/>
      <c r="NYY542"/>
      <c r="NYZ542"/>
      <c r="NZA542"/>
      <c r="NZB542"/>
      <c r="NZC542"/>
      <c r="NZD542"/>
      <c r="NZE542"/>
      <c r="NZF542"/>
      <c r="NZG542"/>
      <c r="NZH542"/>
      <c r="NZI542"/>
      <c r="NZJ542"/>
      <c r="NZK542"/>
      <c r="NZL542"/>
      <c r="NZM542"/>
      <c r="NZN542"/>
      <c r="NZO542"/>
      <c r="NZP542"/>
      <c r="NZQ542"/>
      <c r="NZR542"/>
      <c r="NZS542"/>
      <c r="NZT542"/>
      <c r="NZU542"/>
      <c r="NZV542"/>
      <c r="NZW542"/>
      <c r="NZX542"/>
      <c r="NZY542"/>
      <c r="NZZ542"/>
      <c r="OAA542"/>
      <c r="OAB542"/>
      <c r="OAC542"/>
      <c r="OAD542"/>
      <c r="OAE542"/>
      <c r="OAF542"/>
      <c r="OAG542"/>
      <c r="OAH542"/>
      <c r="OAI542"/>
      <c r="OAJ542"/>
      <c r="OAK542"/>
      <c r="OAL542"/>
      <c r="OAM542"/>
      <c r="OAN542"/>
      <c r="OAO542"/>
      <c r="OAP542"/>
      <c r="OAQ542"/>
      <c r="OAR542"/>
      <c r="OAS542"/>
      <c r="OAT542"/>
      <c r="OAU542"/>
      <c r="OAV542"/>
      <c r="OAW542"/>
      <c r="OAX542"/>
      <c r="OAY542"/>
      <c r="OAZ542"/>
      <c r="OBA542"/>
      <c r="OBB542"/>
      <c r="OBC542"/>
      <c r="OBD542"/>
      <c r="OBE542"/>
      <c r="OBF542"/>
      <c r="OBG542"/>
      <c r="OBH542"/>
      <c r="OBI542"/>
      <c r="OBJ542"/>
      <c r="OBK542"/>
      <c r="OBL542"/>
      <c r="OBM542"/>
      <c r="OBN542"/>
      <c r="OBO542"/>
      <c r="OBP542"/>
      <c r="OBQ542"/>
      <c r="OBR542"/>
      <c r="OBS542"/>
      <c r="OBT542"/>
      <c r="OBU542"/>
      <c r="OBV542"/>
      <c r="OBW542"/>
      <c r="OBX542"/>
      <c r="OBY542"/>
      <c r="OBZ542"/>
      <c r="OCA542"/>
      <c r="OCB542"/>
      <c r="OCC542"/>
      <c r="OCD542"/>
      <c r="OCE542"/>
      <c r="OCF542"/>
      <c r="OCG542"/>
      <c r="OCH542"/>
      <c r="OCI542"/>
      <c r="OCJ542"/>
      <c r="OCK542"/>
      <c r="OCL542"/>
      <c r="OCM542"/>
      <c r="OCN542"/>
      <c r="OCO542"/>
      <c r="OCP542"/>
      <c r="OCQ542"/>
      <c r="OCR542"/>
      <c r="OCS542"/>
      <c r="OCT542"/>
      <c r="OCU542"/>
      <c r="OCV542"/>
      <c r="OCW542"/>
      <c r="OCX542"/>
      <c r="OCY542"/>
      <c r="OCZ542"/>
      <c r="ODA542"/>
      <c r="ODB542"/>
      <c r="ODC542"/>
      <c r="ODD542"/>
      <c r="ODE542"/>
      <c r="ODF542"/>
      <c r="ODG542"/>
      <c r="ODH542"/>
      <c r="ODI542"/>
      <c r="ODJ542"/>
      <c r="ODK542"/>
      <c r="ODL542"/>
      <c r="ODM542"/>
      <c r="ODN542"/>
      <c r="ODO542"/>
      <c r="ODP542"/>
      <c r="ODQ542"/>
      <c r="ODR542"/>
      <c r="ODS542"/>
      <c r="ODT542"/>
      <c r="ODU542"/>
      <c r="ODV542"/>
      <c r="ODW542"/>
      <c r="ODX542"/>
      <c r="ODY542"/>
      <c r="ODZ542"/>
      <c r="OEA542"/>
      <c r="OEB542"/>
      <c r="OEC542"/>
      <c r="OED542"/>
      <c r="OEE542"/>
      <c r="OEF542"/>
      <c r="OEG542"/>
      <c r="OEH542"/>
      <c r="OEI542"/>
      <c r="OEJ542"/>
      <c r="OEK542"/>
      <c r="OEL542"/>
      <c r="OEM542"/>
      <c r="OEN542"/>
      <c r="OEO542"/>
      <c r="OEP542"/>
      <c r="OEQ542"/>
      <c r="OER542"/>
      <c r="OES542"/>
      <c r="OET542"/>
      <c r="OEU542"/>
      <c r="OEV542"/>
      <c r="OEW542"/>
      <c r="OEX542"/>
      <c r="OEY542"/>
      <c r="OEZ542"/>
      <c r="OFA542"/>
      <c r="OFB542"/>
      <c r="OFC542"/>
      <c r="OFD542"/>
      <c r="OFE542"/>
      <c r="OFF542"/>
      <c r="OFG542"/>
      <c r="OFH542"/>
      <c r="OFI542"/>
      <c r="OFJ542"/>
      <c r="OFK542"/>
      <c r="OFL542"/>
      <c r="OFM542"/>
      <c r="OFN542"/>
      <c r="OFO542"/>
      <c r="OFP542"/>
      <c r="OFQ542"/>
      <c r="OFR542"/>
      <c r="OFS542"/>
      <c r="OFT542"/>
      <c r="OFU542"/>
      <c r="OFV542"/>
      <c r="OFW542"/>
      <c r="OFX542"/>
      <c r="OFY542"/>
      <c r="OFZ542"/>
      <c r="OGA542"/>
      <c r="OGB542"/>
      <c r="OGC542"/>
      <c r="OGD542"/>
      <c r="OGE542"/>
      <c r="OGF542"/>
      <c r="OGG542"/>
      <c r="OGH542"/>
      <c r="OGI542"/>
      <c r="OGJ542"/>
      <c r="OGK542"/>
      <c r="OGL542"/>
      <c r="OGM542"/>
      <c r="OGN542"/>
      <c r="OGO542"/>
      <c r="OGP542"/>
      <c r="OGQ542"/>
      <c r="OGR542"/>
      <c r="OGS542"/>
      <c r="OGT542"/>
      <c r="OGU542"/>
      <c r="OGV542"/>
      <c r="OGW542"/>
      <c r="OGX542"/>
      <c r="OGY542"/>
      <c r="OGZ542"/>
      <c r="OHA542"/>
      <c r="OHB542"/>
      <c r="OHC542"/>
      <c r="OHD542"/>
      <c r="OHE542"/>
      <c r="OHF542"/>
      <c r="OHG542"/>
      <c r="OHH542"/>
      <c r="OHI542"/>
      <c r="OHJ542"/>
      <c r="OHK542"/>
      <c r="OHL542"/>
      <c r="OHM542"/>
      <c r="OHN542"/>
      <c r="OHO542"/>
      <c r="OHP542"/>
      <c r="OHQ542"/>
      <c r="OHR542"/>
      <c r="OHS542"/>
      <c r="OHT542"/>
      <c r="OHU542"/>
      <c r="OHV542"/>
      <c r="OHW542"/>
      <c r="OHX542"/>
      <c r="OHY542"/>
      <c r="OHZ542"/>
      <c r="OIA542"/>
      <c r="OIB542"/>
      <c r="OIC542"/>
      <c r="OID542"/>
      <c r="OIE542"/>
      <c r="OIF542"/>
      <c r="OIG542"/>
      <c r="OIH542"/>
      <c r="OII542"/>
      <c r="OIJ542"/>
      <c r="OIK542"/>
      <c r="OIL542"/>
      <c r="OIM542"/>
      <c r="OIN542"/>
      <c r="OIO542"/>
      <c r="OIP542"/>
      <c r="OIQ542"/>
      <c r="OIR542"/>
      <c r="OIS542"/>
      <c r="OIT542"/>
      <c r="OIU542"/>
      <c r="OIV542"/>
      <c r="OIW542"/>
      <c r="OIX542"/>
      <c r="OIY542"/>
      <c r="OIZ542"/>
      <c r="OJA542"/>
      <c r="OJB542"/>
      <c r="OJC542"/>
      <c r="OJD542"/>
      <c r="OJE542"/>
      <c r="OJF542"/>
      <c r="OJG542"/>
      <c r="OJH542"/>
      <c r="OJI542"/>
      <c r="OJJ542"/>
      <c r="OJK542"/>
      <c r="OJL542"/>
      <c r="OJM542"/>
      <c r="OJN542"/>
      <c r="OJO542"/>
      <c r="OJP542"/>
      <c r="OJQ542"/>
      <c r="OJR542"/>
      <c r="OJS542"/>
      <c r="OJT542"/>
      <c r="OJU542"/>
      <c r="OJV542"/>
      <c r="OJW542"/>
      <c r="OJX542"/>
      <c r="OJY542"/>
      <c r="OJZ542"/>
      <c r="OKA542"/>
      <c r="OKB542"/>
      <c r="OKC542"/>
      <c r="OKD542"/>
      <c r="OKE542"/>
      <c r="OKF542"/>
      <c r="OKG542"/>
      <c r="OKH542"/>
      <c r="OKI542"/>
      <c r="OKJ542"/>
      <c r="OKK542"/>
      <c r="OKL542"/>
      <c r="OKM542"/>
      <c r="OKN542"/>
      <c r="OKO542"/>
      <c r="OKP542"/>
      <c r="OKQ542"/>
      <c r="OKR542"/>
      <c r="OKS542"/>
      <c r="OKT542"/>
      <c r="OKU542"/>
      <c r="OKV542"/>
      <c r="OKW542"/>
      <c r="OKX542"/>
      <c r="OKY542"/>
      <c r="OKZ542"/>
      <c r="OLA542"/>
      <c r="OLB542"/>
      <c r="OLC542"/>
      <c r="OLD542"/>
      <c r="OLE542"/>
      <c r="OLF542"/>
      <c r="OLG542"/>
      <c r="OLH542"/>
      <c r="OLI542"/>
      <c r="OLJ542"/>
      <c r="OLK542"/>
      <c r="OLL542"/>
      <c r="OLM542"/>
      <c r="OLN542"/>
      <c r="OLO542"/>
      <c r="OLP542"/>
      <c r="OLQ542"/>
      <c r="OLR542"/>
      <c r="OLS542"/>
      <c r="OLT542"/>
      <c r="OLU542"/>
      <c r="OLV542"/>
      <c r="OLW542"/>
      <c r="OLX542"/>
      <c r="OLY542"/>
      <c r="OLZ542"/>
      <c r="OMA542"/>
      <c r="OMB542"/>
      <c r="OMC542"/>
      <c r="OMD542"/>
      <c r="OME542"/>
      <c r="OMF542"/>
      <c r="OMG542"/>
      <c r="OMH542"/>
      <c r="OMI542"/>
      <c r="OMJ542"/>
      <c r="OMK542"/>
      <c r="OML542"/>
      <c r="OMM542"/>
      <c r="OMN542"/>
      <c r="OMO542"/>
      <c r="OMP542"/>
      <c r="OMQ542"/>
      <c r="OMR542"/>
      <c r="OMS542"/>
      <c r="OMT542"/>
      <c r="OMU542"/>
      <c r="OMV542"/>
      <c r="OMW542"/>
      <c r="OMX542"/>
      <c r="OMY542"/>
      <c r="OMZ542"/>
      <c r="ONA542"/>
      <c r="ONB542"/>
      <c r="ONC542"/>
      <c r="OND542"/>
      <c r="ONE542"/>
      <c r="ONF542"/>
      <c r="ONG542"/>
      <c r="ONH542"/>
      <c r="ONI542"/>
      <c r="ONJ542"/>
      <c r="ONK542"/>
      <c r="ONL542"/>
      <c r="ONM542"/>
      <c r="ONN542"/>
      <c r="ONO542"/>
      <c r="ONP542"/>
      <c r="ONQ542"/>
      <c r="ONR542"/>
      <c r="ONS542"/>
      <c r="ONT542"/>
      <c r="ONU542"/>
      <c r="ONV542"/>
      <c r="ONW542"/>
      <c r="ONX542"/>
      <c r="ONY542"/>
      <c r="ONZ542"/>
      <c r="OOA542"/>
      <c r="OOB542"/>
      <c r="OOC542"/>
      <c r="OOD542"/>
      <c r="OOE542"/>
      <c r="OOF542"/>
      <c r="OOG542"/>
      <c r="OOH542"/>
      <c r="OOI542"/>
      <c r="OOJ542"/>
      <c r="OOK542"/>
      <c r="OOL542"/>
      <c r="OOM542"/>
      <c r="OON542"/>
      <c r="OOO542"/>
      <c r="OOP542"/>
      <c r="OOQ542"/>
      <c r="OOR542"/>
      <c r="OOS542"/>
      <c r="OOT542"/>
      <c r="OOU542"/>
      <c r="OOV542"/>
      <c r="OOW542"/>
      <c r="OOX542"/>
      <c r="OOY542"/>
      <c r="OOZ542"/>
      <c r="OPA542"/>
      <c r="OPB542"/>
      <c r="OPC542"/>
      <c r="OPD542"/>
      <c r="OPE542"/>
      <c r="OPF542"/>
      <c r="OPG542"/>
      <c r="OPH542"/>
      <c r="OPI542"/>
      <c r="OPJ542"/>
      <c r="OPK542"/>
      <c r="OPL542"/>
      <c r="OPM542"/>
      <c r="OPN542"/>
      <c r="OPO542"/>
      <c r="OPP542"/>
      <c r="OPQ542"/>
      <c r="OPR542"/>
      <c r="OPS542"/>
      <c r="OPT542"/>
      <c r="OPU542"/>
      <c r="OPV542"/>
      <c r="OPW542"/>
      <c r="OPX542"/>
      <c r="OPY542"/>
      <c r="OPZ542"/>
      <c r="OQA542"/>
      <c r="OQB542"/>
      <c r="OQC542"/>
      <c r="OQD542"/>
      <c r="OQE542"/>
      <c r="OQF542"/>
      <c r="OQG542"/>
      <c r="OQH542"/>
      <c r="OQI542"/>
      <c r="OQJ542"/>
      <c r="OQK542"/>
      <c r="OQL542"/>
      <c r="OQM542"/>
      <c r="OQN542"/>
      <c r="OQO542"/>
      <c r="OQP542"/>
      <c r="OQQ542"/>
      <c r="OQR542"/>
      <c r="OQS542"/>
      <c r="OQT542"/>
      <c r="OQU542"/>
      <c r="OQV542"/>
      <c r="OQW542"/>
      <c r="OQX542"/>
      <c r="OQY542"/>
      <c r="OQZ542"/>
      <c r="ORA542"/>
      <c r="ORB542"/>
      <c r="ORC542"/>
      <c r="ORD542"/>
      <c r="ORE542"/>
      <c r="ORF542"/>
      <c r="ORG542"/>
      <c r="ORH542"/>
      <c r="ORI542"/>
      <c r="ORJ542"/>
      <c r="ORK542"/>
      <c r="ORL542"/>
      <c r="ORM542"/>
      <c r="ORN542"/>
      <c r="ORO542"/>
      <c r="ORP542"/>
      <c r="ORQ542"/>
      <c r="ORR542"/>
      <c r="ORS542"/>
      <c r="ORT542"/>
      <c r="ORU542"/>
      <c r="ORV542"/>
      <c r="ORW542"/>
      <c r="ORX542"/>
      <c r="ORY542"/>
      <c r="ORZ542"/>
      <c r="OSA542"/>
      <c r="OSB542"/>
      <c r="OSC542"/>
      <c r="OSD542"/>
      <c r="OSE542"/>
      <c r="OSF542"/>
      <c r="OSG542"/>
      <c r="OSH542"/>
      <c r="OSI542"/>
      <c r="OSJ542"/>
      <c r="OSK542"/>
      <c r="OSL542"/>
      <c r="OSM542"/>
      <c r="OSN542"/>
      <c r="OSO542"/>
      <c r="OSP542"/>
      <c r="OSQ542"/>
      <c r="OSR542"/>
      <c r="OSS542"/>
      <c r="OST542"/>
      <c r="OSU542"/>
      <c r="OSV542"/>
      <c r="OSW542"/>
      <c r="OSX542"/>
      <c r="OSY542"/>
      <c r="OSZ542"/>
      <c r="OTA542"/>
      <c r="OTB542"/>
      <c r="OTC542"/>
      <c r="OTD542"/>
      <c r="OTE542"/>
      <c r="OTF542"/>
      <c r="OTG542"/>
      <c r="OTH542"/>
      <c r="OTI542"/>
      <c r="OTJ542"/>
      <c r="OTK542"/>
      <c r="OTL542"/>
      <c r="OTM542"/>
      <c r="OTN542"/>
      <c r="OTO542"/>
      <c r="OTP542"/>
      <c r="OTQ542"/>
      <c r="OTR542"/>
      <c r="OTS542"/>
      <c r="OTT542"/>
      <c r="OTU542"/>
      <c r="OTV542"/>
      <c r="OTW542"/>
      <c r="OTX542"/>
      <c r="OTY542"/>
      <c r="OTZ542"/>
      <c r="OUA542"/>
      <c r="OUB542"/>
      <c r="OUC542"/>
      <c r="OUD542"/>
      <c r="OUE542"/>
      <c r="OUF542"/>
      <c r="OUG542"/>
      <c r="OUH542"/>
      <c r="OUI542"/>
      <c r="OUJ542"/>
      <c r="OUK542"/>
      <c r="OUL542"/>
      <c r="OUM542"/>
      <c r="OUN542"/>
      <c r="OUO542"/>
      <c r="OUP542"/>
      <c r="OUQ542"/>
      <c r="OUR542"/>
      <c r="OUS542"/>
      <c r="OUT542"/>
      <c r="OUU542"/>
      <c r="OUV542"/>
      <c r="OUW542"/>
      <c r="OUX542"/>
      <c r="OUY542"/>
      <c r="OUZ542"/>
      <c r="OVA542"/>
      <c r="OVB542"/>
      <c r="OVC542"/>
      <c r="OVD542"/>
      <c r="OVE542"/>
      <c r="OVF542"/>
      <c r="OVG542"/>
      <c r="OVH542"/>
      <c r="OVI542"/>
      <c r="OVJ542"/>
      <c r="OVK542"/>
      <c r="OVL542"/>
      <c r="OVM542"/>
      <c r="OVN542"/>
      <c r="OVO542"/>
      <c r="OVP542"/>
      <c r="OVQ542"/>
      <c r="OVR542"/>
      <c r="OVS542"/>
      <c r="OVT542"/>
      <c r="OVU542"/>
      <c r="OVV542"/>
      <c r="OVW542"/>
      <c r="OVX542"/>
      <c r="OVY542"/>
      <c r="OVZ542"/>
      <c r="OWA542"/>
      <c r="OWB542"/>
      <c r="OWC542"/>
      <c r="OWD542"/>
      <c r="OWE542"/>
      <c r="OWF542"/>
      <c r="OWG542"/>
      <c r="OWH542"/>
      <c r="OWI542"/>
      <c r="OWJ542"/>
      <c r="OWK542"/>
      <c r="OWL542"/>
      <c r="OWM542"/>
      <c r="OWN542"/>
      <c r="OWO542"/>
      <c r="OWP542"/>
      <c r="OWQ542"/>
      <c r="OWR542"/>
      <c r="OWS542"/>
      <c r="OWT542"/>
      <c r="OWU542"/>
      <c r="OWV542"/>
      <c r="OWW542"/>
      <c r="OWX542"/>
      <c r="OWY542"/>
      <c r="OWZ542"/>
      <c r="OXA542"/>
      <c r="OXB542"/>
      <c r="OXC542"/>
      <c r="OXD542"/>
      <c r="OXE542"/>
      <c r="OXF542"/>
      <c r="OXG542"/>
      <c r="OXH542"/>
      <c r="OXI542"/>
      <c r="OXJ542"/>
      <c r="OXK542"/>
      <c r="OXL542"/>
      <c r="OXM542"/>
      <c r="OXN542"/>
      <c r="OXO542"/>
      <c r="OXP542"/>
      <c r="OXQ542"/>
      <c r="OXR542"/>
      <c r="OXS542"/>
      <c r="OXT542"/>
      <c r="OXU542"/>
      <c r="OXV542"/>
      <c r="OXW542"/>
      <c r="OXX542"/>
      <c r="OXY542"/>
      <c r="OXZ542"/>
      <c r="OYA542"/>
      <c r="OYB542"/>
      <c r="OYC542"/>
      <c r="OYD542"/>
      <c r="OYE542"/>
      <c r="OYF542"/>
      <c r="OYG542"/>
      <c r="OYH542"/>
      <c r="OYI542"/>
      <c r="OYJ542"/>
      <c r="OYK542"/>
      <c r="OYL542"/>
      <c r="OYM542"/>
      <c r="OYN542"/>
      <c r="OYO542"/>
      <c r="OYP542"/>
      <c r="OYQ542"/>
      <c r="OYR542"/>
      <c r="OYS542"/>
      <c r="OYT542"/>
      <c r="OYU542"/>
      <c r="OYV542"/>
      <c r="OYW542"/>
      <c r="OYX542"/>
      <c r="OYY542"/>
      <c r="OYZ542"/>
      <c r="OZA542"/>
      <c r="OZB542"/>
      <c r="OZC542"/>
      <c r="OZD542"/>
      <c r="OZE542"/>
      <c r="OZF542"/>
      <c r="OZG542"/>
      <c r="OZH542"/>
      <c r="OZI542"/>
      <c r="OZJ542"/>
      <c r="OZK542"/>
      <c r="OZL542"/>
      <c r="OZM542"/>
      <c r="OZN542"/>
      <c r="OZO542"/>
      <c r="OZP542"/>
      <c r="OZQ542"/>
      <c r="OZR542"/>
      <c r="OZS542"/>
      <c r="OZT542"/>
      <c r="OZU542"/>
      <c r="OZV542"/>
      <c r="OZW542"/>
      <c r="OZX542"/>
      <c r="OZY542"/>
      <c r="OZZ542"/>
      <c r="PAA542"/>
      <c r="PAB542"/>
      <c r="PAC542"/>
      <c r="PAD542"/>
      <c r="PAE542"/>
      <c r="PAF542"/>
      <c r="PAG542"/>
      <c r="PAH542"/>
      <c r="PAI542"/>
      <c r="PAJ542"/>
      <c r="PAK542"/>
      <c r="PAL542"/>
      <c r="PAM542"/>
      <c r="PAN542"/>
      <c r="PAO542"/>
      <c r="PAP542"/>
      <c r="PAQ542"/>
      <c r="PAR542"/>
      <c r="PAS542"/>
      <c r="PAT542"/>
      <c r="PAU542"/>
      <c r="PAV542"/>
      <c r="PAW542"/>
      <c r="PAX542"/>
      <c r="PAY542"/>
      <c r="PAZ542"/>
      <c r="PBA542"/>
      <c r="PBB542"/>
      <c r="PBC542"/>
      <c r="PBD542"/>
      <c r="PBE542"/>
      <c r="PBF542"/>
      <c r="PBG542"/>
      <c r="PBH542"/>
      <c r="PBI542"/>
      <c r="PBJ542"/>
      <c r="PBK542"/>
      <c r="PBL542"/>
      <c r="PBM542"/>
      <c r="PBN542"/>
      <c r="PBO542"/>
      <c r="PBP542"/>
      <c r="PBQ542"/>
      <c r="PBR542"/>
      <c r="PBS542"/>
      <c r="PBT542"/>
      <c r="PBU542"/>
      <c r="PBV542"/>
      <c r="PBW542"/>
      <c r="PBX542"/>
      <c r="PBY542"/>
      <c r="PBZ542"/>
      <c r="PCA542"/>
      <c r="PCB542"/>
      <c r="PCC542"/>
      <c r="PCD542"/>
      <c r="PCE542"/>
      <c r="PCF542"/>
      <c r="PCG542"/>
      <c r="PCH542"/>
      <c r="PCI542"/>
      <c r="PCJ542"/>
      <c r="PCK542"/>
      <c r="PCL542"/>
      <c r="PCM542"/>
      <c r="PCN542"/>
      <c r="PCO542"/>
      <c r="PCP542"/>
      <c r="PCQ542"/>
      <c r="PCR542"/>
      <c r="PCS542"/>
      <c r="PCT542"/>
      <c r="PCU542"/>
      <c r="PCV542"/>
      <c r="PCW542"/>
      <c r="PCX542"/>
      <c r="PCY542"/>
      <c r="PCZ542"/>
      <c r="PDA542"/>
      <c r="PDB542"/>
      <c r="PDC542"/>
      <c r="PDD542"/>
      <c r="PDE542"/>
      <c r="PDF542"/>
      <c r="PDG542"/>
      <c r="PDH542"/>
      <c r="PDI542"/>
      <c r="PDJ542"/>
      <c r="PDK542"/>
      <c r="PDL542"/>
      <c r="PDM542"/>
      <c r="PDN542"/>
      <c r="PDO542"/>
      <c r="PDP542"/>
      <c r="PDQ542"/>
      <c r="PDR542"/>
      <c r="PDS542"/>
      <c r="PDT542"/>
      <c r="PDU542"/>
      <c r="PDV542"/>
      <c r="PDW542"/>
      <c r="PDX542"/>
      <c r="PDY542"/>
      <c r="PDZ542"/>
      <c r="PEA542"/>
      <c r="PEB542"/>
      <c r="PEC542"/>
      <c r="PED542"/>
      <c r="PEE542"/>
      <c r="PEF542"/>
      <c r="PEG542"/>
      <c r="PEH542"/>
      <c r="PEI542"/>
      <c r="PEJ542"/>
      <c r="PEK542"/>
      <c r="PEL542"/>
      <c r="PEM542"/>
      <c r="PEN542"/>
      <c r="PEO542"/>
      <c r="PEP542"/>
      <c r="PEQ542"/>
      <c r="PER542"/>
      <c r="PES542"/>
      <c r="PET542"/>
      <c r="PEU542"/>
      <c r="PEV542"/>
      <c r="PEW542"/>
      <c r="PEX542"/>
      <c r="PEY542"/>
      <c r="PEZ542"/>
      <c r="PFA542"/>
      <c r="PFB542"/>
      <c r="PFC542"/>
      <c r="PFD542"/>
      <c r="PFE542"/>
      <c r="PFF542"/>
      <c r="PFG542"/>
      <c r="PFH542"/>
      <c r="PFI542"/>
      <c r="PFJ542"/>
      <c r="PFK542"/>
      <c r="PFL542"/>
      <c r="PFM542"/>
      <c r="PFN542"/>
      <c r="PFO542"/>
      <c r="PFP542"/>
      <c r="PFQ542"/>
      <c r="PFR542"/>
      <c r="PFS542"/>
      <c r="PFT542"/>
      <c r="PFU542"/>
      <c r="PFV542"/>
      <c r="PFW542"/>
      <c r="PFX542"/>
      <c r="PFY542"/>
      <c r="PFZ542"/>
      <c r="PGA542"/>
      <c r="PGB542"/>
      <c r="PGC542"/>
      <c r="PGD542"/>
      <c r="PGE542"/>
      <c r="PGF542"/>
      <c r="PGG542"/>
      <c r="PGH542"/>
      <c r="PGI542"/>
      <c r="PGJ542"/>
      <c r="PGK542"/>
      <c r="PGL542"/>
      <c r="PGM542"/>
      <c r="PGN542"/>
      <c r="PGO542"/>
      <c r="PGP542"/>
      <c r="PGQ542"/>
      <c r="PGR542"/>
      <c r="PGS542"/>
      <c r="PGT542"/>
      <c r="PGU542"/>
      <c r="PGV542"/>
      <c r="PGW542"/>
      <c r="PGX542"/>
      <c r="PGY542"/>
      <c r="PGZ542"/>
      <c r="PHA542"/>
      <c r="PHB542"/>
      <c r="PHC542"/>
      <c r="PHD542"/>
      <c r="PHE542"/>
      <c r="PHF542"/>
      <c r="PHG542"/>
      <c r="PHH542"/>
      <c r="PHI542"/>
      <c r="PHJ542"/>
      <c r="PHK542"/>
      <c r="PHL542"/>
      <c r="PHM542"/>
      <c r="PHN542"/>
      <c r="PHO542"/>
      <c r="PHP542"/>
      <c r="PHQ542"/>
      <c r="PHR542"/>
      <c r="PHS542"/>
      <c r="PHT542"/>
      <c r="PHU542"/>
      <c r="PHV542"/>
      <c r="PHW542"/>
      <c r="PHX542"/>
      <c r="PHY542"/>
      <c r="PHZ542"/>
      <c r="PIA542"/>
      <c r="PIB542"/>
      <c r="PIC542"/>
      <c r="PID542"/>
      <c r="PIE542"/>
      <c r="PIF542"/>
      <c r="PIG542"/>
      <c r="PIH542"/>
      <c r="PII542"/>
      <c r="PIJ542"/>
      <c r="PIK542"/>
      <c r="PIL542"/>
      <c r="PIM542"/>
      <c r="PIN542"/>
      <c r="PIO542"/>
      <c r="PIP542"/>
      <c r="PIQ542"/>
      <c r="PIR542"/>
      <c r="PIS542"/>
      <c r="PIT542"/>
      <c r="PIU542"/>
      <c r="PIV542"/>
      <c r="PIW542"/>
      <c r="PIX542"/>
      <c r="PIY542"/>
      <c r="PIZ542"/>
      <c r="PJA542"/>
      <c r="PJB542"/>
      <c r="PJC542"/>
      <c r="PJD542"/>
      <c r="PJE542"/>
      <c r="PJF542"/>
      <c r="PJG542"/>
      <c r="PJH542"/>
      <c r="PJI542"/>
      <c r="PJJ542"/>
      <c r="PJK542"/>
      <c r="PJL542"/>
      <c r="PJM542"/>
      <c r="PJN542"/>
      <c r="PJO542"/>
      <c r="PJP542"/>
      <c r="PJQ542"/>
      <c r="PJR542"/>
      <c r="PJS542"/>
      <c r="PJT542"/>
      <c r="PJU542"/>
      <c r="PJV542"/>
      <c r="PJW542"/>
      <c r="PJX542"/>
      <c r="PJY542"/>
      <c r="PJZ542"/>
      <c r="PKA542"/>
      <c r="PKB542"/>
      <c r="PKC542"/>
      <c r="PKD542"/>
      <c r="PKE542"/>
      <c r="PKF542"/>
      <c r="PKG542"/>
      <c r="PKH542"/>
      <c r="PKI542"/>
      <c r="PKJ542"/>
      <c r="PKK542"/>
      <c r="PKL542"/>
      <c r="PKM542"/>
      <c r="PKN542"/>
      <c r="PKO542"/>
      <c r="PKP542"/>
      <c r="PKQ542"/>
      <c r="PKR542"/>
      <c r="PKS542"/>
      <c r="PKT542"/>
      <c r="PKU542"/>
      <c r="PKV542"/>
      <c r="PKW542"/>
      <c r="PKX542"/>
      <c r="PKY542"/>
      <c r="PKZ542"/>
      <c r="PLA542"/>
      <c r="PLB542"/>
      <c r="PLC542"/>
      <c r="PLD542"/>
      <c r="PLE542"/>
      <c r="PLF542"/>
      <c r="PLG542"/>
      <c r="PLH542"/>
      <c r="PLI542"/>
      <c r="PLJ542"/>
      <c r="PLK542"/>
      <c r="PLL542"/>
      <c r="PLM542"/>
      <c r="PLN542"/>
      <c r="PLO542"/>
      <c r="PLP542"/>
      <c r="PLQ542"/>
      <c r="PLR542"/>
      <c r="PLS542"/>
      <c r="PLT542"/>
      <c r="PLU542"/>
      <c r="PLV542"/>
      <c r="PLW542"/>
      <c r="PLX542"/>
      <c r="PLY542"/>
      <c r="PLZ542"/>
      <c r="PMA542"/>
      <c r="PMB542"/>
      <c r="PMC542"/>
      <c r="PMD542"/>
      <c r="PME542"/>
      <c r="PMF542"/>
      <c r="PMG542"/>
      <c r="PMH542"/>
      <c r="PMI542"/>
      <c r="PMJ542"/>
      <c r="PMK542"/>
      <c r="PML542"/>
      <c r="PMM542"/>
      <c r="PMN542"/>
      <c r="PMO542"/>
      <c r="PMP542"/>
      <c r="PMQ542"/>
      <c r="PMR542"/>
      <c r="PMS542"/>
      <c r="PMT542"/>
      <c r="PMU542"/>
      <c r="PMV542"/>
      <c r="PMW542"/>
      <c r="PMX542"/>
      <c r="PMY542"/>
      <c r="PMZ542"/>
      <c r="PNA542"/>
      <c r="PNB542"/>
      <c r="PNC542"/>
      <c r="PND542"/>
      <c r="PNE542"/>
      <c r="PNF542"/>
      <c r="PNG542"/>
      <c r="PNH542"/>
      <c r="PNI542"/>
      <c r="PNJ542"/>
      <c r="PNK542"/>
      <c r="PNL542"/>
      <c r="PNM542"/>
      <c r="PNN542"/>
      <c r="PNO542"/>
      <c r="PNP542"/>
      <c r="PNQ542"/>
      <c r="PNR542"/>
      <c r="PNS542"/>
      <c r="PNT542"/>
      <c r="PNU542"/>
      <c r="PNV542"/>
      <c r="PNW542"/>
      <c r="PNX542"/>
      <c r="PNY542"/>
      <c r="PNZ542"/>
      <c r="POA542"/>
      <c r="POB542"/>
      <c r="POC542"/>
      <c r="POD542"/>
      <c r="POE542"/>
      <c r="POF542"/>
      <c r="POG542"/>
      <c r="POH542"/>
      <c r="POI542"/>
      <c r="POJ542"/>
      <c r="POK542"/>
      <c r="POL542"/>
      <c r="POM542"/>
      <c r="PON542"/>
      <c r="POO542"/>
      <c r="POP542"/>
      <c r="POQ542"/>
      <c r="POR542"/>
      <c r="POS542"/>
      <c r="POT542"/>
      <c r="POU542"/>
      <c r="POV542"/>
      <c r="POW542"/>
      <c r="POX542"/>
      <c r="POY542"/>
      <c r="POZ542"/>
      <c r="PPA542"/>
      <c r="PPB542"/>
      <c r="PPC542"/>
      <c r="PPD542"/>
      <c r="PPE542"/>
      <c r="PPF542"/>
      <c r="PPG542"/>
      <c r="PPH542"/>
      <c r="PPI542"/>
      <c r="PPJ542"/>
      <c r="PPK542"/>
      <c r="PPL542"/>
      <c r="PPM542"/>
      <c r="PPN542"/>
      <c r="PPO542"/>
      <c r="PPP542"/>
      <c r="PPQ542"/>
      <c r="PPR542"/>
      <c r="PPS542"/>
      <c r="PPT542"/>
      <c r="PPU542"/>
      <c r="PPV542"/>
      <c r="PPW542"/>
      <c r="PPX542"/>
      <c r="PPY542"/>
      <c r="PPZ542"/>
      <c r="PQA542"/>
      <c r="PQB542"/>
      <c r="PQC542"/>
      <c r="PQD542"/>
      <c r="PQE542"/>
      <c r="PQF542"/>
      <c r="PQG542"/>
      <c r="PQH542"/>
      <c r="PQI542"/>
      <c r="PQJ542"/>
      <c r="PQK542"/>
      <c r="PQL542"/>
      <c r="PQM542"/>
      <c r="PQN542"/>
      <c r="PQO542"/>
      <c r="PQP542"/>
      <c r="PQQ542"/>
      <c r="PQR542"/>
      <c r="PQS542"/>
      <c r="PQT542"/>
      <c r="PQU542"/>
      <c r="PQV542"/>
      <c r="PQW542"/>
      <c r="PQX542"/>
      <c r="PQY542"/>
      <c r="PQZ542"/>
      <c r="PRA542"/>
      <c r="PRB542"/>
      <c r="PRC542"/>
      <c r="PRD542"/>
      <c r="PRE542"/>
      <c r="PRF542"/>
      <c r="PRG542"/>
      <c r="PRH542"/>
      <c r="PRI542"/>
      <c r="PRJ542"/>
      <c r="PRK542"/>
      <c r="PRL542"/>
      <c r="PRM542"/>
      <c r="PRN542"/>
      <c r="PRO542"/>
      <c r="PRP542"/>
      <c r="PRQ542"/>
      <c r="PRR542"/>
      <c r="PRS542"/>
      <c r="PRT542"/>
      <c r="PRU542"/>
      <c r="PRV542"/>
      <c r="PRW542"/>
      <c r="PRX542"/>
      <c r="PRY542"/>
      <c r="PRZ542"/>
      <c r="PSA542"/>
      <c r="PSB542"/>
      <c r="PSC542"/>
      <c r="PSD542"/>
      <c r="PSE542"/>
      <c r="PSF542"/>
      <c r="PSG542"/>
      <c r="PSH542"/>
      <c r="PSI542"/>
      <c r="PSJ542"/>
      <c r="PSK542"/>
      <c r="PSL542"/>
      <c r="PSM542"/>
      <c r="PSN542"/>
      <c r="PSO542"/>
      <c r="PSP542"/>
      <c r="PSQ542"/>
      <c r="PSR542"/>
      <c r="PSS542"/>
      <c r="PST542"/>
      <c r="PSU542"/>
      <c r="PSV542"/>
      <c r="PSW542"/>
      <c r="PSX542"/>
      <c r="PSY542"/>
      <c r="PSZ542"/>
      <c r="PTA542"/>
      <c r="PTB542"/>
      <c r="PTC542"/>
      <c r="PTD542"/>
      <c r="PTE542"/>
      <c r="PTF542"/>
      <c r="PTG542"/>
      <c r="PTH542"/>
      <c r="PTI542"/>
      <c r="PTJ542"/>
      <c r="PTK542"/>
      <c r="PTL542"/>
      <c r="PTM542"/>
      <c r="PTN542"/>
      <c r="PTO542"/>
      <c r="PTP542"/>
      <c r="PTQ542"/>
      <c r="PTR542"/>
      <c r="PTS542"/>
      <c r="PTT542"/>
      <c r="PTU542"/>
      <c r="PTV542"/>
      <c r="PTW542"/>
      <c r="PTX542"/>
      <c r="PTY542"/>
      <c r="PTZ542"/>
      <c r="PUA542"/>
      <c r="PUB542"/>
      <c r="PUC542"/>
      <c r="PUD542"/>
      <c r="PUE542"/>
      <c r="PUF542"/>
      <c r="PUG542"/>
      <c r="PUH542"/>
      <c r="PUI542"/>
      <c r="PUJ542"/>
      <c r="PUK542"/>
      <c r="PUL542"/>
      <c r="PUM542"/>
      <c r="PUN542"/>
      <c r="PUO542"/>
      <c r="PUP542"/>
      <c r="PUQ542"/>
      <c r="PUR542"/>
      <c r="PUS542"/>
      <c r="PUT542"/>
      <c r="PUU542"/>
      <c r="PUV542"/>
      <c r="PUW542"/>
      <c r="PUX542"/>
      <c r="PUY542"/>
      <c r="PUZ542"/>
      <c r="PVA542"/>
      <c r="PVB542"/>
      <c r="PVC542"/>
      <c r="PVD542"/>
      <c r="PVE542"/>
      <c r="PVF542"/>
      <c r="PVG542"/>
      <c r="PVH542"/>
      <c r="PVI542"/>
      <c r="PVJ542"/>
      <c r="PVK542"/>
      <c r="PVL542"/>
      <c r="PVM542"/>
      <c r="PVN542"/>
      <c r="PVO542"/>
      <c r="PVP542"/>
      <c r="PVQ542"/>
      <c r="PVR542"/>
      <c r="PVS542"/>
      <c r="PVT542"/>
      <c r="PVU542"/>
      <c r="PVV542"/>
      <c r="PVW542"/>
      <c r="PVX542"/>
      <c r="PVY542"/>
      <c r="PVZ542"/>
      <c r="PWA542"/>
      <c r="PWB542"/>
      <c r="PWC542"/>
      <c r="PWD542"/>
      <c r="PWE542"/>
      <c r="PWF542"/>
      <c r="PWG542"/>
      <c r="PWH542"/>
      <c r="PWI542"/>
      <c r="PWJ542"/>
      <c r="PWK542"/>
      <c r="PWL542"/>
      <c r="PWM542"/>
      <c r="PWN542"/>
      <c r="PWO542"/>
      <c r="PWP542"/>
      <c r="PWQ542"/>
      <c r="PWR542"/>
      <c r="PWS542"/>
      <c r="PWT542"/>
      <c r="PWU542"/>
      <c r="PWV542"/>
      <c r="PWW542"/>
      <c r="PWX542"/>
      <c r="PWY542"/>
      <c r="PWZ542"/>
      <c r="PXA542"/>
      <c r="PXB542"/>
      <c r="PXC542"/>
      <c r="PXD542"/>
      <c r="PXE542"/>
      <c r="PXF542"/>
      <c r="PXG542"/>
      <c r="PXH542"/>
      <c r="PXI542"/>
      <c r="PXJ542"/>
      <c r="PXK542"/>
      <c r="PXL542"/>
      <c r="PXM542"/>
      <c r="PXN542"/>
      <c r="PXO542"/>
      <c r="PXP542"/>
      <c r="PXQ542"/>
      <c r="PXR542"/>
      <c r="PXS542"/>
      <c r="PXT542"/>
      <c r="PXU542"/>
      <c r="PXV542"/>
      <c r="PXW542"/>
      <c r="PXX542"/>
      <c r="PXY542"/>
      <c r="PXZ542"/>
      <c r="PYA542"/>
      <c r="PYB542"/>
      <c r="PYC542"/>
      <c r="PYD542"/>
      <c r="PYE542"/>
      <c r="PYF542"/>
      <c r="PYG542"/>
      <c r="PYH542"/>
      <c r="PYI542"/>
      <c r="PYJ542"/>
      <c r="PYK542"/>
      <c r="PYL542"/>
      <c r="PYM542"/>
      <c r="PYN542"/>
      <c r="PYO542"/>
      <c r="PYP542"/>
      <c r="PYQ542"/>
      <c r="PYR542"/>
      <c r="PYS542"/>
      <c r="PYT542"/>
      <c r="PYU542"/>
      <c r="PYV542"/>
      <c r="PYW542"/>
      <c r="PYX542"/>
      <c r="PYY542"/>
      <c r="PYZ542"/>
      <c r="PZA542"/>
      <c r="PZB542"/>
      <c r="PZC542"/>
      <c r="PZD542"/>
      <c r="PZE542"/>
      <c r="PZF542"/>
      <c r="PZG542"/>
      <c r="PZH542"/>
      <c r="PZI542"/>
      <c r="PZJ542"/>
      <c r="PZK542"/>
      <c r="PZL542"/>
      <c r="PZM542"/>
      <c r="PZN542"/>
      <c r="PZO542"/>
      <c r="PZP542"/>
      <c r="PZQ542"/>
      <c r="PZR542"/>
      <c r="PZS542"/>
      <c r="PZT542"/>
      <c r="PZU542"/>
      <c r="PZV542"/>
      <c r="PZW542"/>
      <c r="PZX542"/>
      <c r="PZY542"/>
      <c r="PZZ542"/>
      <c r="QAA542"/>
      <c r="QAB542"/>
      <c r="QAC542"/>
      <c r="QAD542"/>
      <c r="QAE542"/>
      <c r="QAF542"/>
      <c r="QAG542"/>
      <c r="QAH542"/>
      <c r="QAI542"/>
      <c r="QAJ542"/>
      <c r="QAK542"/>
      <c r="QAL542"/>
      <c r="QAM542"/>
      <c r="QAN542"/>
      <c r="QAO542"/>
      <c r="QAP542"/>
      <c r="QAQ542"/>
      <c r="QAR542"/>
      <c r="QAS542"/>
      <c r="QAT542"/>
      <c r="QAU542"/>
      <c r="QAV542"/>
      <c r="QAW542"/>
      <c r="QAX542"/>
      <c r="QAY542"/>
      <c r="QAZ542"/>
      <c r="QBA542"/>
      <c r="QBB542"/>
      <c r="QBC542"/>
      <c r="QBD542"/>
      <c r="QBE542"/>
      <c r="QBF542"/>
      <c r="QBG542"/>
      <c r="QBH542"/>
      <c r="QBI542"/>
      <c r="QBJ542"/>
      <c r="QBK542"/>
      <c r="QBL542"/>
      <c r="QBM542"/>
      <c r="QBN542"/>
      <c r="QBO542"/>
      <c r="QBP542"/>
      <c r="QBQ542"/>
      <c r="QBR542"/>
      <c r="QBS542"/>
      <c r="QBT542"/>
      <c r="QBU542"/>
      <c r="QBV542"/>
      <c r="QBW542"/>
      <c r="QBX542"/>
      <c r="QBY542"/>
      <c r="QBZ542"/>
      <c r="QCA542"/>
      <c r="QCB542"/>
      <c r="QCC542"/>
      <c r="QCD542"/>
      <c r="QCE542"/>
      <c r="QCF542"/>
      <c r="QCG542"/>
      <c r="QCH542"/>
      <c r="QCI542"/>
      <c r="QCJ542"/>
      <c r="QCK542"/>
      <c r="QCL542"/>
      <c r="QCM542"/>
      <c r="QCN542"/>
      <c r="QCO542"/>
      <c r="QCP542"/>
      <c r="QCQ542"/>
      <c r="QCR542"/>
      <c r="QCS542"/>
      <c r="QCT542"/>
      <c r="QCU542"/>
      <c r="QCV542"/>
      <c r="QCW542"/>
      <c r="QCX542"/>
      <c r="QCY542"/>
      <c r="QCZ542"/>
      <c r="QDA542"/>
      <c r="QDB542"/>
      <c r="QDC542"/>
      <c r="QDD542"/>
      <c r="QDE542"/>
      <c r="QDF542"/>
      <c r="QDG542"/>
      <c r="QDH542"/>
      <c r="QDI542"/>
      <c r="QDJ542"/>
      <c r="QDK542"/>
      <c r="QDL542"/>
      <c r="QDM542"/>
      <c r="QDN542"/>
      <c r="QDO542"/>
      <c r="QDP542"/>
      <c r="QDQ542"/>
      <c r="QDR542"/>
      <c r="QDS542"/>
      <c r="QDT542"/>
      <c r="QDU542"/>
      <c r="QDV542"/>
      <c r="QDW542"/>
      <c r="QDX542"/>
      <c r="QDY542"/>
      <c r="QDZ542"/>
      <c r="QEA542"/>
      <c r="QEB542"/>
      <c r="QEC542"/>
      <c r="QED542"/>
      <c r="QEE542"/>
      <c r="QEF542"/>
      <c r="QEG542"/>
      <c r="QEH542"/>
      <c r="QEI542"/>
      <c r="QEJ542"/>
      <c r="QEK542"/>
      <c r="QEL542"/>
      <c r="QEM542"/>
      <c r="QEN542"/>
      <c r="QEO542"/>
      <c r="QEP542"/>
      <c r="QEQ542"/>
      <c r="QER542"/>
      <c r="QES542"/>
      <c r="QET542"/>
      <c r="QEU542"/>
      <c r="QEV542"/>
      <c r="QEW542"/>
      <c r="QEX542"/>
      <c r="QEY542"/>
      <c r="QEZ542"/>
      <c r="QFA542"/>
      <c r="QFB542"/>
      <c r="QFC542"/>
      <c r="QFD542"/>
      <c r="QFE542"/>
      <c r="QFF542"/>
      <c r="QFG542"/>
      <c r="QFH542"/>
      <c r="QFI542"/>
      <c r="QFJ542"/>
      <c r="QFK542"/>
      <c r="QFL542"/>
      <c r="QFM542"/>
      <c r="QFN542"/>
      <c r="QFO542"/>
      <c r="QFP542"/>
      <c r="QFQ542"/>
      <c r="QFR542"/>
      <c r="QFS542"/>
      <c r="QFT542"/>
      <c r="QFU542"/>
      <c r="QFV542"/>
      <c r="QFW542"/>
      <c r="QFX542"/>
      <c r="QFY542"/>
      <c r="QFZ542"/>
      <c r="QGA542"/>
      <c r="QGB542"/>
      <c r="QGC542"/>
      <c r="QGD542"/>
      <c r="QGE542"/>
      <c r="QGF542"/>
      <c r="QGG542"/>
      <c r="QGH542"/>
      <c r="QGI542"/>
      <c r="QGJ542"/>
      <c r="QGK542"/>
      <c r="QGL542"/>
      <c r="QGM542"/>
      <c r="QGN542"/>
      <c r="QGO542"/>
      <c r="QGP542"/>
      <c r="QGQ542"/>
      <c r="QGR542"/>
      <c r="QGS542"/>
      <c r="QGT542"/>
      <c r="QGU542"/>
      <c r="QGV542"/>
      <c r="QGW542"/>
      <c r="QGX542"/>
      <c r="QGY542"/>
      <c r="QGZ542"/>
      <c r="QHA542"/>
      <c r="QHB542"/>
      <c r="QHC542"/>
      <c r="QHD542"/>
      <c r="QHE542"/>
      <c r="QHF542"/>
      <c r="QHG542"/>
      <c r="QHH542"/>
      <c r="QHI542"/>
      <c r="QHJ542"/>
      <c r="QHK542"/>
      <c r="QHL542"/>
      <c r="QHM542"/>
      <c r="QHN542"/>
      <c r="QHO542"/>
      <c r="QHP542"/>
      <c r="QHQ542"/>
      <c r="QHR542"/>
      <c r="QHS542"/>
      <c r="QHT542"/>
      <c r="QHU542"/>
      <c r="QHV542"/>
      <c r="QHW542"/>
      <c r="QHX542"/>
      <c r="QHY542"/>
      <c r="QHZ542"/>
      <c r="QIA542"/>
      <c r="QIB542"/>
      <c r="QIC542"/>
      <c r="QID542"/>
      <c r="QIE542"/>
      <c r="QIF542"/>
      <c r="QIG542"/>
      <c r="QIH542"/>
      <c r="QII542"/>
      <c r="QIJ542"/>
      <c r="QIK542"/>
      <c r="QIL542"/>
      <c r="QIM542"/>
      <c r="QIN542"/>
      <c r="QIO542"/>
      <c r="QIP542"/>
      <c r="QIQ542"/>
      <c r="QIR542"/>
      <c r="QIS542"/>
      <c r="QIT542"/>
      <c r="QIU542"/>
      <c r="QIV542"/>
      <c r="QIW542"/>
      <c r="QIX542"/>
      <c r="QIY542"/>
      <c r="QIZ542"/>
      <c r="QJA542"/>
      <c r="QJB542"/>
      <c r="QJC542"/>
      <c r="QJD542"/>
      <c r="QJE542"/>
      <c r="QJF542"/>
      <c r="QJG542"/>
      <c r="QJH542"/>
      <c r="QJI542"/>
      <c r="QJJ542"/>
      <c r="QJK542"/>
      <c r="QJL542"/>
      <c r="QJM542"/>
      <c r="QJN542"/>
      <c r="QJO542"/>
      <c r="QJP542"/>
      <c r="QJQ542"/>
      <c r="QJR542"/>
      <c r="QJS542"/>
      <c r="QJT542"/>
      <c r="QJU542"/>
      <c r="QJV542"/>
      <c r="QJW542"/>
      <c r="QJX542"/>
      <c r="QJY542"/>
      <c r="QJZ542"/>
      <c r="QKA542"/>
      <c r="QKB542"/>
      <c r="QKC542"/>
      <c r="QKD542"/>
      <c r="QKE542"/>
      <c r="QKF542"/>
      <c r="QKG542"/>
      <c r="QKH542"/>
      <c r="QKI542"/>
      <c r="QKJ542"/>
      <c r="QKK542"/>
      <c r="QKL542"/>
      <c r="QKM542"/>
      <c r="QKN542"/>
      <c r="QKO542"/>
      <c r="QKP542"/>
      <c r="QKQ542"/>
      <c r="QKR542"/>
      <c r="QKS542"/>
      <c r="QKT542"/>
      <c r="QKU542"/>
      <c r="QKV542"/>
      <c r="QKW542"/>
      <c r="QKX542"/>
      <c r="QKY542"/>
      <c r="QKZ542"/>
      <c r="QLA542"/>
      <c r="QLB542"/>
      <c r="QLC542"/>
      <c r="QLD542"/>
      <c r="QLE542"/>
      <c r="QLF542"/>
      <c r="QLG542"/>
      <c r="QLH542"/>
      <c r="QLI542"/>
      <c r="QLJ542"/>
      <c r="QLK542"/>
      <c r="QLL542"/>
      <c r="QLM542"/>
      <c r="QLN542"/>
      <c r="QLO542"/>
      <c r="QLP542"/>
      <c r="QLQ542"/>
      <c r="QLR542"/>
      <c r="QLS542"/>
      <c r="QLT542"/>
      <c r="QLU542"/>
      <c r="QLV542"/>
      <c r="QLW542"/>
      <c r="QLX542"/>
      <c r="QLY542"/>
      <c r="QLZ542"/>
      <c r="QMA542"/>
      <c r="QMB542"/>
      <c r="QMC542"/>
      <c r="QMD542"/>
      <c r="QME542"/>
      <c r="QMF542"/>
      <c r="QMG542"/>
      <c r="QMH542"/>
      <c r="QMI542"/>
      <c r="QMJ542"/>
      <c r="QMK542"/>
      <c r="QML542"/>
      <c r="QMM542"/>
      <c r="QMN542"/>
      <c r="QMO542"/>
      <c r="QMP542"/>
      <c r="QMQ542"/>
      <c r="QMR542"/>
      <c r="QMS542"/>
      <c r="QMT542"/>
      <c r="QMU542"/>
      <c r="QMV542"/>
      <c r="QMW542"/>
      <c r="QMX542"/>
      <c r="QMY542"/>
      <c r="QMZ542"/>
      <c r="QNA542"/>
      <c r="QNB542"/>
      <c r="QNC542"/>
      <c r="QND542"/>
      <c r="QNE542"/>
      <c r="QNF542"/>
      <c r="QNG542"/>
      <c r="QNH542"/>
      <c r="QNI542"/>
      <c r="QNJ542"/>
      <c r="QNK542"/>
      <c r="QNL542"/>
      <c r="QNM542"/>
      <c r="QNN542"/>
      <c r="QNO542"/>
      <c r="QNP542"/>
      <c r="QNQ542"/>
      <c r="QNR542"/>
      <c r="QNS542"/>
      <c r="QNT542"/>
      <c r="QNU542"/>
      <c r="QNV542"/>
      <c r="QNW542"/>
      <c r="QNX542"/>
      <c r="QNY542"/>
      <c r="QNZ542"/>
      <c r="QOA542"/>
      <c r="QOB542"/>
      <c r="QOC542"/>
      <c r="QOD542"/>
      <c r="QOE542"/>
      <c r="QOF542"/>
      <c r="QOG542"/>
      <c r="QOH542"/>
      <c r="QOI542"/>
      <c r="QOJ542"/>
      <c r="QOK542"/>
      <c r="QOL542"/>
      <c r="QOM542"/>
      <c r="QON542"/>
      <c r="QOO542"/>
      <c r="QOP542"/>
      <c r="QOQ542"/>
      <c r="QOR542"/>
      <c r="QOS542"/>
      <c r="QOT542"/>
      <c r="QOU542"/>
      <c r="QOV542"/>
      <c r="QOW542"/>
      <c r="QOX542"/>
      <c r="QOY542"/>
      <c r="QOZ542"/>
      <c r="QPA542"/>
      <c r="QPB542"/>
      <c r="QPC542"/>
      <c r="QPD542"/>
      <c r="QPE542"/>
      <c r="QPF542"/>
      <c r="QPG542"/>
      <c r="QPH542"/>
      <c r="QPI542"/>
      <c r="QPJ542"/>
      <c r="QPK542"/>
      <c r="QPL542"/>
      <c r="QPM542"/>
      <c r="QPN542"/>
      <c r="QPO542"/>
      <c r="QPP542"/>
      <c r="QPQ542"/>
      <c r="QPR542"/>
      <c r="QPS542"/>
      <c r="QPT542"/>
      <c r="QPU542"/>
      <c r="QPV542"/>
      <c r="QPW542"/>
      <c r="QPX542"/>
      <c r="QPY542"/>
      <c r="QPZ542"/>
      <c r="QQA542"/>
      <c r="QQB542"/>
      <c r="QQC542"/>
      <c r="QQD542"/>
      <c r="QQE542"/>
      <c r="QQF542"/>
      <c r="QQG542"/>
      <c r="QQH542"/>
      <c r="QQI542"/>
      <c r="QQJ542"/>
      <c r="QQK542"/>
      <c r="QQL542"/>
      <c r="QQM542"/>
      <c r="QQN542"/>
      <c r="QQO542"/>
      <c r="QQP542"/>
      <c r="QQQ542"/>
      <c r="QQR542"/>
      <c r="QQS542"/>
      <c r="QQT542"/>
      <c r="QQU542"/>
      <c r="QQV542"/>
      <c r="QQW542"/>
      <c r="QQX542"/>
      <c r="QQY542"/>
      <c r="QQZ542"/>
      <c r="QRA542"/>
      <c r="QRB542"/>
      <c r="QRC542"/>
      <c r="QRD542"/>
      <c r="QRE542"/>
      <c r="QRF542"/>
      <c r="QRG542"/>
      <c r="QRH542"/>
      <c r="QRI542"/>
      <c r="QRJ542"/>
      <c r="QRK542"/>
      <c r="QRL542"/>
      <c r="QRM542"/>
      <c r="QRN542"/>
      <c r="QRO542"/>
      <c r="QRP542"/>
      <c r="QRQ542"/>
      <c r="QRR542"/>
      <c r="QRS542"/>
      <c r="QRT542"/>
      <c r="QRU542"/>
      <c r="QRV542"/>
      <c r="QRW542"/>
      <c r="QRX542"/>
      <c r="QRY542"/>
      <c r="QRZ542"/>
      <c r="QSA542"/>
      <c r="QSB542"/>
      <c r="QSC542"/>
      <c r="QSD542"/>
      <c r="QSE542"/>
      <c r="QSF542"/>
      <c r="QSG542"/>
      <c r="QSH542"/>
      <c r="QSI542"/>
      <c r="QSJ542"/>
      <c r="QSK542"/>
      <c r="QSL542"/>
      <c r="QSM542"/>
      <c r="QSN542"/>
      <c r="QSO542"/>
      <c r="QSP542"/>
      <c r="QSQ542"/>
      <c r="QSR542"/>
      <c r="QSS542"/>
      <c r="QST542"/>
      <c r="QSU542"/>
      <c r="QSV542"/>
      <c r="QSW542"/>
      <c r="QSX542"/>
      <c r="QSY542"/>
      <c r="QSZ542"/>
      <c r="QTA542"/>
      <c r="QTB542"/>
      <c r="QTC542"/>
      <c r="QTD542"/>
      <c r="QTE542"/>
      <c r="QTF542"/>
      <c r="QTG542"/>
      <c r="QTH542"/>
      <c r="QTI542"/>
      <c r="QTJ542"/>
      <c r="QTK542"/>
      <c r="QTL542"/>
      <c r="QTM542"/>
      <c r="QTN542"/>
      <c r="QTO542"/>
      <c r="QTP542"/>
      <c r="QTQ542"/>
      <c r="QTR542"/>
      <c r="QTS542"/>
      <c r="QTT542"/>
      <c r="QTU542"/>
      <c r="QTV542"/>
      <c r="QTW542"/>
      <c r="QTX542"/>
      <c r="QTY542"/>
      <c r="QTZ542"/>
      <c r="QUA542"/>
      <c r="QUB542"/>
      <c r="QUC542"/>
      <c r="QUD542"/>
      <c r="QUE542"/>
      <c r="QUF542"/>
      <c r="QUG542"/>
      <c r="QUH542"/>
      <c r="QUI542"/>
      <c r="QUJ542"/>
      <c r="QUK542"/>
      <c r="QUL542"/>
      <c r="QUM542"/>
      <c r="QUN542"/>
      <c r="QUO542"/>
      <c r="QUP542"/>
      <c r="QUQ542"/>
      <c r="QUR542"/>
      <c r="QUS542"/>
      <c r="QUT542"/>
      <c r="QUU542"/>
      <c r="QUV542"/>
      <c r="QUW542"/>
      <c r="QUX542"/>
      <c r="QUY542"/>
      <c r="QUZ542"/>
      <c r="QVA542"/>
      <c r="QVB542"/>
      <c r="QVC542"/>
      <c r="QVD542"/>
      <c r="QVE542"/>
      <c r="QVF542"/>
      <c r="QVG542"/>
      <c r="QVH542"/>
      <c r="QVI542"/>
      <c r="QVJ542"/>
      <c r="QVK542"/>
      <c r="QVL542"/>
      <c r="QVM542"/>
      <c r="QVN542"/>
      <c r="QVO542"/>
      <c r="QVP542"/>
      <c r="QVQ542"/>
      <c r="QVR542"/>
      <c r="QVS542"/>
      <c r="QVT542"/>
      <c r="QVU542"/>
      <c r="QVV542"/>
      <c r="QVW542"/>
      <c r="QVX542"/>
      <c r="QVY542"/>
      <c r="QVZ542"/>
      <c r="QWA542"/>
      <c r="QWB542"/>
      <c r="QWC542"/>
      <c r="QWD542"/>
      <c r="QWE542"/>
      <c r="QWF542"/>
      <c r="QWG542"/>
      <c r="QWH542"/>
      <c r="QWI542"/>
      <c r="QWJ542"/>
      <c r="QWK542"/>
      <c r="QWL542"/>
      <c r="QWM542"/>
      <c r="QWN542"/>
      <c r="QWO542"/>
      <c r="QWP542"/>
      <c r="QWQ542"/>
      <c r="QWR542"/>
      <c r="QWS542"/>
      <c r="QWT542"/>
      <c r="QWU542"/>
      <c r="QWV542"/>
      <c r="QWW542"/>
      <c r="QWX542"/>
      <c r="QWY542"/>
      <c r="QWZ542"/>
      <c r="QXA542"/>
      <c r="QXB542"/>
      <c r="QXC542"/>
      <c r="QXD542"/>
      <c r="QXE542"/>
      <c r="QXF542"/>
      <c r="QXG542"/>
      <c r="QXH542"/>
      <c r="QXI542"/>
      <c r="QXJ542"/>
      <c r="QXK542"/>
      <c r="QXL542"/>
      <c r="QXM542"/>
      <c r="QXN542"/>
      <c r="QXO542"/>
      <c r="QXP542"/>
      <c r="QXQ542"/>
      <c r="QXR542"/>
      <c r="QXS542"/>
      <c r="QXT542"/>
      <c r="QXU542"/>
      <c r="QXV542"/>
      <c r="QXW542"/>
      <c r="QXX542"/>
      <c r="QXY542"/>
      <c r="QXZ542"/>
      <c r="QYA542"/>
      <c r="QYB542"/>
      <c r="QYC542"/>
      <c r="QYD542"/>
      <c r="QYE542"/>
      <c r="QYF542"/>
      <c r="QYG542"/>
      <c r="QYH542"/>
      <c r="QYI542"/>
      <c r="QYJ542"/>
      <c r="QYK542"/>
      <c r="QYL542"/>
      <c r="QYM542"/>
      <c r="QYN542"/>
      <c r="QYO542"/>
      <c r="QYP542"/>
      <c r="QYQ542"/>
      <c r="QYR542"/>
      <c r="QYS542"/>
      <c r="QYT542"/>
      <c r="QYU542"/>
      <c r="QYV542"/>
      <c r="QYW542"/>
      <c r="QYX542"/>
      <c r="QYY542"/>
      <c r="QYZ542"/>
      <c r="QZA542"/>
      <c r="QZB542"/>
      <c r="QZC542"/>
      <c r="QZD542"/>
      <c r="QZE542"/>
      <c r="QZF542"/>
      <c r="QZG542"/>
      <c r="QZH542"/>
      <c r="QZI542"/>
      <c r="QZJ542"/>
      <c r="QZK542"/>
      <c r="QZL542"/>
      <c r="QZM542"/>
      <c r="QZN542"/>
      <c r="QZO542"/>
      <c r="QZP542"/>
      <c r="QZQ542"/>
      <c r="QZR542"/>
      <c r="QZS542"/>
      <c r="QZT542"/>
      <c r="QZU542"/>
      <c r="QZV542"/>
      <c r="QZW542"/>
      <c r="QZX542"/>
      <c r="QZY542"/>
      <c r="QZZ542"/>
      <c r="RAA542"/>
      <c r="RAB542"/>
      <c r="RAC542"/>
      <c r="RAD542"/>
      <c r="RAE542"/>
      <c r="RAF542"/>
      <c r="RAG542"/>
      <c r="RAH542"/>
      <c r="RAI542"/>
      <c r="RAJ542"/>
      <c r="RAK542"/>
      <c r="RAL542"/>
      <c r="RAM542"/>
      <c r="RAN542"/>
      <c r="RAO542"/>
      <c r="RAP542"/>
      <c r="RAQ542"/>
      <c r="RAR542"/>
      <c r="RAS542"/>
      <c r="RAT542"/>
      <c r="RAU542"/>
      <c r="RAV542"/>
      <c r="RAW542"/>
      <c r="RAX542"/>
      <c r="RAY542"/>
      <c r="RAZ542"/>
      <c r="RBA542"/>
      <c r="RBB542"/>
      <c r="RBC542"/>
      <c r="RBD542"/>
      <c r="RBE542"/>
      <c r="RBF542"/>
      <c r="RBG542"/>
      <c r="RBH542"/>
      <c r="RBI542"/>
      <c r="RBJ542"/>
      <c r="RBK542"/>
      <c r="RBL542"/>
      <c r="RBM542"/>
      <c r="RBN542"/>
      <c r="RBO542"/>
      <c r="RBP542"/>
      <c r="RBQ542"/>
      <c r="RBR542"/>
      <c r="RBS542"/>
      <c r="RBT542"/>
      <c r="RBU542"/>
      <c r="RBV542"/>
      <c r="RBW542"/>
      <c r="RBX542"/>
      <c r="RBY542"/>
      <c r="RBZ542"/>
      <c r="RCA542"/>
      <c r="RCB542"/>
      <c r="RCC542"/>
      <c r="RCD542"/>
      <c r="RCE542"/>
      <c r="RCF542"/>
      <c r="RCG542"/>
      <c r="RCH542"/>
      <c r="RCI542"/>
      <c r="RCJ542"/>
      <c r="RCK542"/>
      <c r="RCL542"/>
      <c r="RCM542"/>
      <c r="RCN542"/>
      <c r="RCO542"/>
      <c r="RCP542"/>
      <c r="RCQ542"/>
      <c r="RCR542"/>
      <c r="RCS542"/>
      <c r="RCT542"/>
      <c r="RCU542"/>
      <c r="RCV542"/>
      <c r="RCW542"/>
      <c r="RCX542"/>
      <c r="RCY542"/>
      <c r="RCZ542"/>
      <c r="RDA542"/>
      <c r="RDB542"/>
      <c r="RDC542"/>
      <c r="RDD542"/>
      <c r="RDE542"/>
      <c r="RDF542"/>
      <c r="RDG542"/>
      <c r="RDH542"/>
      <c r="RDI542"/>
      <c r="RDJ542"/>
      <c r="RDK542"/>
      <c r="RDL542"/>
      <c r="RDM542"/>
      <c r="RDN542"/>
      <c r="RDO542"/>
      <c r="RDP542"/>
      <c r="RDQ542"/>
      <c r="RDR542"/>
      <c r="RDS542"/>
      <c r="RDT542"/>
      <c r="RDU542"/>
      <c r="RDV542"/>
      <c r="RDW542"/>
      <c r="RDX542"/>
      <c r="RDY542"/>
      <c r="RDZ542"/>
      <c r="REA542"/>
      <c r="REB542"/>
      <c r="REC542"/>
      <c r="RED542"/>
      <c r="REE542"/>
      <c r="REF542"/>
      <c r="REG542"/>
      <c r="REH542"/>
      <c r="REI542"/>
      <c r="REJ542"/>
      <c r="REK542"/>
      <c r="REL542"/>
      <c r="REM542"/>
      <c r="REN542"/>
      <c r="REO542"/>
      <c r="REP542"/>
      <c r="REQ542"/>
      <c r="RER542"/>
      <c r="RES542"/>
      <c r="RET542"/>
      <c r="REU542"/>
      <c r="REV542"/>
      <c r="REW542"/>
      <c r="REX542"/>
      <c r="REY542"/>
      <c r="REZ542"/>
      <c r="RFA542"/>
      <c r="RFB542"/>
      <c r="RFC542"/>
      <c r="RFD542"/>
      <c r="RFE542"/>
      <c r="RFF542"/>
      <c r="RFG542"/>
      <c r="RFH542"/>
      <c r="RFI542"/>
      <c r="RFJ542"/>
      <c r="RFK542"/>
      <c r="RFL542"/>
      <c r="RFM542"/>
      <c r="RFN542"/>
      <c r="RFO542"/>
      <c r="RFP542"/>
      <c r="RFQ542"/>
      <c r="RFR542"/>
      <c r="RFS542"/>
      <c r="RFT542"/>
      <c r="RFU542"/>
      <c r="RFV542"/>
      <c r="RFW542"/>
      <c r="RFX542"/>
      <c r="RFY542"/>
      <c r="RFZ542"/>
      <c r="RGA542"/>
      <c r="RGB542"/>
      <c r="RGC542"/>
      <c r="RGD542"/>
      <c r="RGE542"/>
      <c r="RGF542"/>
      <c r="RGG542"/>
      <c r="RGH542"/>
      <c r="RGI542"/>
      <c r="RGJ542"/>
      <c r="RGK542"/>
      <c r="RGL542"/>
      <c r="RGM542"/>
      <c r="RGN542"/>
      <c r="RGO542"/>
      <c r="RGP542"/>
      <c r="RGQ542"/>
      <c r="RGR542"/>
      <c r="RGS542"/>
      <c r="RGT542"/>
      <c r="RGU542"/>
      <c r="RGV542"/>
      <c r="RGW542"/>
      <c r="RGX542"/>
      <c r="RGY542"/>
      <c r="RGZ542"/>
      <c r="RHA542"/>
      <c r="RHB542"/>
      <c r="RHC542"/>
      <c r="RHD542"/>
      <c r="RHE542"/>
      <c r="RHF542"/>
      <c r="RHG542"/>
      <c r="RHH542"/>
      <c r="RHI542"/>
      <c r="RHJ542"/>
      <c r="RHK542"/>
      <c r="RHL542"/>
      <c r="RHM542"/>
      <c r="RHN542"/>
      <c r="RHO542"/>
      <c r="RHP542"/>
      <c r="RHQ542"/>
      <c r="RHR542"/>
      <c r="RHS542"/>
      <c r="RHT542"/>
      <c r="RHU542"/>
      <c r="RHV542"/>
      <c r="RHW542"/>
      <c r="RHX542"/>
      <c r="RHY542"/>
      <c r="RHZ542"/>
      <c r="RIA542"/>
      <c r="RIB542"/>
      <c r="RIC542"/>
      <c r="RID542"/>
      <c r="RIE542"/>
      <c r="RIF542"/>
      <c r="RIG542"/>
      <c r="RIH542"/>
      <c r="RII542"/>
      <c r="RIJ542"/>
      <c r="RIK542"/>
      <c r="RIL542"/>
      <c r="RIM542"/>
      <c r="RIN542"/>
      <c r="RIO542"/>
      <c r="RIP542"/>
      <c r="RIQ542"/>
      <c r="RIR542"/>
      <c r="RIS542"/>
      <c r="RIT542"/>
      <c r="RIU542"/>
      <c r="RIV542"/>
      <c r="RIW542"/>
      <c r="RIX542"/>
      <c r="RIY542"/>
      <c r="RIZ542"/>
      <c r="RJA542"/>
      <c r="RJB542"/>
      <c r="RJC542"/>
      <c r="RJD542"/>
      <c r="RJE542"/>
      <c r="RJF542"/>
      <c r="RJG542"/>
      <c r="RJH542"/>
      <c r="RJI542"/>
      <c r="RJJ542"/>
      <c r="RJK542"/>
      <c r="RJL542"/>
      <c r="RJM542"/>
      <c r="RJN542"/>
      <c r="RJO542"/>
      <c r="RJP542"/>
      <c r="RJQ542"/>
      <c r="RJR542"/>
      <c r="RJS542"/>
      <c r="RJT542"/>
      <c r="RJU542"/>
      <c r="RJV542"/>
      <c r="RJW542"/>
      <c r="RJX542"/>
      <c r="RJY542"/>
      <c r="RJZ542"/>
      <c r="RKA542"/>
      <c r="RKB542"/>
      <c r="RKC542"/>
      <c r="RKD542"/>
      <c r="RKE542"/>
      <c r="RKF542"/>
      <c r="RKG542"/>
      <c r="RKH542"/>
      <c r="RKI542"/>
      <c r="RKJ542"/>
      <c r="RKK542"/>
      <c r="RKL542"/>
      <c r="RKM542"/>
      <c r="RKN542"/>
      <c r="RKO542"/>
      <c r="RKP542"/>
      <c r="RKQ542"/>
      <c r="RKR542"/>
      <c r="RKS542"/>
      <c r="RKT542"/>
      <c r="RKU542"/>
      <c r="RKV542"/>
      <c r="RKW542"/>
      <c r="RKX542"/>
      <c r="RKY542"/>
      <c r="RKZ542"/>
      <c r="RLA542"/>
      <c r="RLB542"/>
      <c r="RLC542"/>
      <c r="RLD542"/>
      <c r="RLE542"/>
      <c r="RLF542"/>
      <c r="RLG542"/>
      <c r="RLH542"/>
      <c r="RLI542"/>
      <c r="RLJ542"/>
      <c r="RLK542"/>
      <c r="RLL542"/>
      <c r="RLM542"/>
      <c r="RLN542"/>
      <c r="RLO542"/>
      <c r="RLP542"/>
      <c r="RLQ542"/>
      <c r="RLR542"/>
      <c r="RLS542"/>
      <c r="RLT542"/>
      <c r="RLU542"/>
      <c r="RLV542"/>
      <c r="RLW542"/>
      <c r="RLX542"/>
      <c r="RLY542"/>
      <c r="RLZ542"/>
      <c r="RMA542"/>
      <c r="RMB542"/>
      <c r="RMC542"/>
      <c r="RMD542"/>
      <c r="RME542"/>
      <c r="RMF542"/>
      <c r="RMG542"/>
      <c r="RMH542"/>
      <c r="RMI542"/>
      <c r="RMJ542"/>
      <c r="RMK542"/>
      <c r="RML542"/>
      <c r="RMM542"/>
      <c r="RMN542"/>
      <c r="RMO542"/>
      <c r="RMP542"/>
      <c r="RMQ542"/>
      <c r="RMR542"/>
      <c r="RMS542"/>
      <c r="RMT542"/>
      <c r="RMU542"/>
      <c r="RMV542"/>
      <c r="RMW542"/>
      <c r="RMX542"/>
      <c r="RMY542"/>
      <c r="RMZ542"/>
      <c r="RNA542"/>
      <c r="RNB542"/>
      <c r="RNC542"/>
      <c r="RND542"/>
      <c r="RNE542"/>
      <c r="RNF542"/>
      <c r="RNG542"/>
      <c r="RNH542"/>
      <c r="RNI542"/>
      <c r="RNJ542"/>
      <c r="RNK542"/>
      <c r="RNL542"/>
      <c r="RNM542"/>
      <c r="RNN542"/>
      <c r="RNO542"/>
      <c r="RNP542"/>
      <c r="RNQ542"/>
      <c r="RNR542"/>
      <c r="RNS542"/>
      <c r="RNT542"/>
      <c r="RNU542"/>
      <c r="RNV542"/>
      <c r="RNW542"/>
      <c r="RNX542"/>
      <c r="RNY542"/>
      <c r="RNZ542"/>
      <c r="ROA542"/>
      <c r="ROB542"/>
      <c r="ROC542"/>
      <c r="ROD542"/>
      <c r="ROE542"/>
      <c r="ROF542"/>
      <c r="ROG542"/>
      <c r="ROH542"/>
      <c r="ROI542"/>
      <c r="ROJ542"/>
      <c r="ROK542"/>
      <c r="ROL542"/>
      <c r="ROM542"/>
      <c r="RON542"/>
      <c r="ROO542"/>
      <c r="ROP542"/>
      <c r="ROQ542"/>
      <c r="ROR542"/>
      <c r="ROS542"/>
      <c r="ROT542"/>
      <c r="ROU542"/>
      <c r="ROV542"/>
      <c r="ROW542"/>
      <c r="ROX542"/>
      <c r="ROY542"/>
      <c r="ROZ542"/>
      <c r="RPA542"/>
      <c r="RPB542"/>
      <c r="RPC542"/>
      <c r="RPD542"/>
      <c r="RPE542"/>
      <c r="RPF542"/>
      <c r="RPG542"/>
      <c r="RPH542"/>
      <c r="RPI542"/>
      <c r="RPJ542"/>
      <c r="RPK542"/>
      <c r="RPL542"/>
      <c r="RPM542"/>
      <c r="RPN542"/>
      <c r="RPO542"/>
      <c r="RPP542"/>
      <c r="RPQ542"/>
      <c r="RPR542"/>
      <c r="RPS542"/>
      <c r="RPT542"/>
      <c r="RPU542"/>
      <c r="RPV542"/>
      <c r="RPW542"/>
      <c r="RPX542"/>
      <c r="RPY542"/>
      <c r="RPZ542"/>
      <c r="RQA542"/>
      <c r="RQB542"/>
      <c r="RQC542"/>
      <c r="RQD542"/>
      <c r="RQE542"/>
      <c r="RQF542"/>
      <c r="RQG542"/>
      <c r="RQH542"/>
      <c r="RQI542"/>
      <c r="RQJ542"/>
      <c r="RQK542"/>
      <c r="RQL542"/>
      <c r="RQM542"/>
      <c r="RQN542"/>
      <c r="RQO542"/>
      <c r="RQP542"/>
      <c r="RQQ542"/>
      <c r="RQR542"/>
      <c r="RQS542"/>
      <c r="RQT542"/>
      <c r="RQU542"/>
      <c r="RQV542"/>
      <c r="RQW542"/>
      <c r="RQX542"/>
      <c r="RQY542"/>
      <c r="RQZ542"/>
      <c r="RRA542"/>
      <c r="RRB542"/>
      <c r="RRC542"/>
      <c r="RRD542"/>
      <c r="RRE542"/>
      <c r="RRF542"/>
      <c r="RRG542"/>
      <c r="RRH542"/>
      <c r="RRI542"/>
      <c r="RRJ542"/>
      <c r="RRK542"/>
      <c r="RRL542"/>
      <c r="RRM542"/>
      <c r="RRN542"/>
      <c r="RRO542"/>
      <c r="RRP542"/>
      <c r="RRQ542"/>
      <c r="RRR542"/>
      <c r="RRS542"/>
      <c r="RRT542"/>
      <c r="RRU542"/>
      <c r="RRV542"/>
      <c r="RRW542"/>
      <c r="RRX542"/>
      <c r="RRY542"/>
      <c r="RRZ542"/>
      <c r="RSA542"/>
      <c r="RSB542"/>
      <c r="RSC542"/>
      <c r="RSD542"/>
      <c r="RSE542"/>
      <c r="RSF542"/>
      <c r="RSG542"/>
      <c r="RSH542"/>
      <c r="RSI542"/>
      <c r="RSJ542"/>
      <c r="RSK542"/>
      <c r="RSL542"/>
      <c r="RSM542"/>
      <c r="RSN542"/>
      <c r="RSO542"/>
      <c r="RSP542"/>
      <c r="RSQ542"/>
      <c r="RSR542"/>
      <c r="RSS542"/>
      <c r="RST542"/>
      <c r="RSU542"/>
      <c r="RSV542"/>
      <c r="RSW542"/>
      <c r="RSX542"/>
      <c r="RSY542"/>
      <c r="RSZ542"/>
      <c r="RTA542"/>
      <c r="RTB542"/>
      <c r="RTC542"/>
      <c r="RTD542"/>
      <c r="RTE542"/>
      <c r="RTF542"/>
      <c r="RTG542"/>
      <c r="RTH542"/>
      <c r="RTI542"/>
      <c r="RTJ542"/>
      <c r="RTK542"/>
      <c r="RTL542"/>
      <c r="RTM542"/>
      <c r="RTN542"/>
      <c r="RTO542"/>
      <c r="RTP542"/>
      <c r="RTQ542"/>
      <c r="RTR542"/>
      <c r="RTS542"/>
      <c r="RTT542"/>
      <c r="RTU542"/>
      <c r="RTV542"/>
      <c r="RTW542"/>
      <c r="RTX542"/>
      <c r="RTY542"/>
      <c r="RTZ542"/>
      <c r="RUA542"/>
      <c r="RUB542"/>
      <c r="RUC542"/>
      <c r="RUD542"/>
      <c r="RUE542"/>
      <c r="RUF542"/>
      <c r="RUG542"/>
      <c r="RUH542"/>
      <c r="RUI542"/>
      <c r="RUJ542"/>
      <c r="RUK542"/>
      <c r="RUL542"/>
      <c r="RUM542"/>
      <c r="RUN542"/>
      <c r="RUO542"/>
      <c r="RUP542"/>
      <c r="RUQ542"/>
      <c r="RUR542"/>
      <c r="RUS542"/>
      <c r="RUT542"/>
      <c r="RUU542"/>
      <c r="RUV542"/>
      <c r="RUW542"/>
      <c r="RUX542"/>
      <c r="RUY542"/>
      <c r="RUZ542"/>
      <c r="RVA542"/>
      <c r="RVB542"/>
      <c r="RVC542"/>
      <c r="RVD542"/>
      <c r="RVE542"/>
      <c r="RVF542"/>
      <c r="RVG542"/>
      <c r="RVH542"/>
      <c r="RVI542"/>
      <c r="RVJ542"/>
      <c r="RVK542"/>
      <c r="RVL542"/>
      <c r="RVM542"/>
      <c r="RVN542"/>
      <c r="RVO542"/>
      <c r="RVP542"/>
      <c r="RVQ542"/>
      <c r="RVR542"/>
      <c r="RVS542"/>
      <c r="RVT542"/>
      <c r="RVU542"/>
      <c r="RVV542"/>
      <c r="RVW542"/>
      <c r="RVX542"/>
      <c r="RVY542"/>
      <c r="RVZ542"/>
      <c r="RWA542"/>
      <c r="RWB542"/>
      <c r="RWC542"/>
      <c r="RWD542"/>
      <c r="RWE542"/>
      <c r="RWF542"/>
      <c r="RWG542"/>
      <c r="RWH542"/>
      <c r="RWI542"/>
      <c r="RWJ542"/>
      <c r="RWK542"/>
      <c r="RWL542"/>
      <c r="RWM542"/>
      <c r="RWN542"/>
      <c r="RWO542"/>
      <c r="RWP542"/>
      <c r="RWQ542"/>
      <c r="RWR542"/>
      <c r="RWS542"/>
      <c r="RWT542"/>
      <c r="RWU542"/>
      <c r="RWV542"/>
      <c r="RWW542"/>
      <c r="RWX542"/>
      <c r="RWY542"/>
      <c r="RWZ542"/>
      <c r="RXA542"/>
      <c r="RXB542"/>
      <c r="RXC542"/>
      <c r="RXD542"/>
      <c r="RXE542"/>
      <c r="RXF542"/>
      <c r="RXG542"/>
      <c r="RXH542"/>
      <c r="RXI542"/>
      <c r="RXJ542"/>
      <c r="RXK542"/>
      <c r="RXL542"/>
      <c r="RXM542"/>
      <c r="RXN542"/>
      <c r="RXO542"/>
      <c r="RXP542"/>
      <c r="RXQ542"/>
      <c r="RXR542"/>
      <c r="RXS542"/>
      <c r="RXT542"/>
      <c r="RXU542"/>
      <c r="RXV542"/>
      <c r="RXW542"/>
      <c r="RXX542"/>
      <c r="RXY542"/>
      <c r="RXZ542"/>
      <c r="RYA542"/>
      <c r="RYB542"/>
      <c r="RYC542"/>
      <c r="RYD542"/>
      <c r="RYE542"/>
      <c r="RYF542"/>
      <c r="RYG542"/>
      <c r="RYH542"/>
      <c r="RYI542"/>
      <c r="RYJ542"/>
      <c r="RYK542"/>
      <c r="RYL542"/>
      <c r="RYM542"/>
      <c r="RYN542"/>
      <c r="RYO542"/>
      <c r="RYP542"/>
      <c r="RYQ542"/>
      <c r="RYR542"/>
      <c r="RYS542"/>
      <c r="RYT542"/>
      <c r="RYU542"/>
      <c r="RYV542"/>
      <c r="RYW542"/>
      <c r="RYX542"/>
      <c r="RYY542"/>
      <c r="RYZ542"/>
      <c r="RZA542"/>
      <c r="RZB542"/>
      <c r="RZC542"/>
      <c r="RZD542"/>
      <c r="RZE542"/>
      <c r="RZF542"/>
      <c r="RZG542"/>
      <c r="RZH542"/>
      <c r="RZI542"/>
      <c r="RZJ542"/>
      <c r="RZK542"/>
      <c r="RZL542"/>
      <c r="RZM542"/>
      <c r="RZN542"/>
      <c r="RZO542"/>
      <c r="RZP542"/>
      <c r="RZQ542"/>
      <c r="RZR542"/>
      <c r="RZS542"/>
      <c r="RZT542"/>
      <c r="RZU542"/>
      <c r="RZV542"/>
      <c r="RZW542"/>
      <c r="RZX542"/>
      <c r="RZY542"/>
      <c r="RZZ542"/>
      <c r="SAA542"/>
      <c r="SAB542"/>
      <c r="SAC542"/>
      <c r="SAD542"/>
      <c r="SAE542"/>
      <c r="SAF542"/>
      <c r="SAG542"/>
      <c r="SAH542"/>
      <c r="SAI542"/>
      <c r="SAJ542"/>
      <c r="SAK542"/>
      <c r="SAL542"/>
      <c r="SAM542"/>
      <c r="SAN542"/>
      <c r="SAO542"/>
      <c r="SAP542"/>
      <c r="SAQ542"/>
      <c r="SAR542"/>
      <c r="SAS542"/>
      <c r="SAT542"/>
      <c r="SAU542"/>
      <c r="SAV542"/>
      <c r="SAW542"/>
      <c r="SAX542"/>
      <c r="SAY542"/>
      <c r="SAZ542"/>
      <c r="SBA542"/>
      <c r="SBB542"/>
      <c r="SBC542"/>
      <c r="SBD542"/>
      <c r="SBE542"/>
      <c r="SBF542"/>
      <c r="SBG542"/>
      <c r="SBH542"/>
      <c r="SBI542"/>
      <c r="SBJ542"/>
      <c r="SBK542"/>
      <c r="SBL542"/>
      <c r="SBM542"/>
      <c r="SBN542"/>
      <c r="SBO542"/>
      <c r="SBP542"/>
      <c r="SBQ542"/>
      <c r="SBR542"/>
      <c r="SBS542"/>
      <c r="SBT542"/>
      <c r="SBU542"/>
      <c r="SBV542"/>
      <c r="SBW542"/>
      <c r="SBX542"/>
      <c r="SBY542"/>
      <c r="SBZ542"/>
      <c r="SCA542"/>
      <c r="SCB542"/>
      <c r="SCC542"/>
      <c r="SCD542"/>
      <c r="SCE542"/>
      <c r="SCF542"/>
      <c r="SCG542"/>
      <c r="SCH542"/>
      <c r="SCI542"/>
      <c r="SCJ542"/>
      <c r="SCK542"/>
      <c r="SCL542"/>
      <c r="SCM542"/>
      <c r="SCN542"/>
      <c r="SCO542"/>
      <c r="SCP542"/>
      <c r="SCQ542"/>
      <c r="SCR542"/>
      <c r="SCS542"/>
      <c r="SCT542"/>
      <c r="SCU542"/>
      <c r="SCV542"/>
      <c r="SCW542"/>
      <c r="SCX542"/>
      <c r="SCY542"/>
      <c r="SCZ542"/>
      <c r="SDA542"/>
      <c r="SDB542"/>
      <c r="SDC542"/>
      <c r="SDD542"/>
      <c r="SDE542"/>
      <c r="SDF542"/>
      <c r="SDG542"/>
      <c r="SDH542"/>
      <c r="SDI542"/>
      <c r="SDJ542"/>
      <c r="SDK542"/>
      <c r="SDL542"/>
      <c r="SDM542"/>
      <c r="SDN542"/>
      <c r="SDO542"/>
      <c r="SDP542"/>
      <c r="SDQ542"/>
      <c r="SDR542"/>
      <c r="SDS542"/>
      <c r="SDT542"/>
      <c r="SDU542"/>
      <c r="SDV542"/>
      <c r="SDW542"/>
      <c r="SDX542"/>
      <c r="SDY542"/>
      <c r="SDZ542"/>
      <c r="SEA542"/>
      <c r="SEB542"/>
      <c r="SEC542"/>
      <c r="SED542"/>
      <c r="SEE542"/>
      <c r="SEF542"/>
      <c r="SEG542"/>
      <c r="SEH542"/>
      <c r="SEI542"/>
      <c r="SEJ542"/>
      <c r="SEK542"/>
      <c r="SEL542"/>
      <c r="SEM542"/>
      <c r="SEN542"/>
      <c r="SEO542"/>
      <c r="SEP542"/>
      <c r="SEQ542"/>
      <c r="SER542"/>
      <c r="SES542"/>
      <c r="SET542"/>
      <c r="SEU542"/>
      <c r="SEV542"/>
      <c r="SEW542"/>
      <c r="SEX542"/>
      <c r="SEY542"/>
      <c r="SEZ542"/>
      <c r="SFA542"/>
      <c r="SFB542"/>
      <c r="SFC542"/>
      <c r="SFD542"/>
      <c r="SFE542"/>
      <c r="SFF542"/>
      <c r="SFG542"/>
      <c r="SFH542"/>
      <c r="SFI542"/>
      <c r="SFJ542"/>
      <c r="SFK542"/>
      <c r="SFL542"/>
      <c r="SFM542"/>
      <c r="SFN542"/>
      <c r="SFO542"/>
      <c r="SFP542"/>
      <c r="SFQ542"/>
      <c r="SFR542"/>
      <c r="SFS542"/>
      <c r="SFT542"/>
      <c r="SFU542"/>
      <c r="SFV542"/>
      <c r="SFW542"/>
      <c r="SFX542"/>
      <c r="SFY542"/>
      <c r="SFZ542"/>
      <c r="SGA542"/>
      <c r="SGB542"/>
      <c r="SGC542"/>
      <c r="SGD542"/>
      <c r="SGE542"/>
      <c r="SGF542"/>
      <c r="SGG542"/>
      <c r="SGH542"/>
      <c r="SGI542"/>
      <c r="SGJ542"/>
      <c r="SGK542"/>
      <c r="SGL542"/>
      <c r="SGM542"/>
      <c r="SGN542"/>
      <c r="SGO542"/>
      <c r="SGP542"/>
      <c r="SGQ542"/>
      <c r="SGR542"/>
      <c r="SGS542"/>
      <c r="SGT542"/>
      <c r="SGU542"/>
      <c r="SGV542"/>
      <c r="SGW542"/>
      <c r="SGX542"/>
      <c r="SGY542"/>
      <c r="SGZ542"/>
      <c r="SHA542"/>
      <c r="SHB542"/>
      <c r="SHC542"/>
      <c r="SHD542"/>
      <c r="SHE542"/>
      <c r="SHF542"/>
      <c r="SHG542"/>
      <c r="SHH542"/>
      <c r="SHI542"/>
      <c r="SHJ542"/>
      <c r="SHK542"/>
      <c r="SHL542"/>
      <c r="SHM542"/>
      <c r="SHN542"/>
      <c r="SHO542"/>
      <c r="SHP542"/>
      <c r="SHQ542"/>
      <c r="SHR542"/>
      <c r="SHS542"/>
      <c r="SHT542"/>
      <c r="SHU542"/>
      <c r="SHV542"/>
      <c r="SHW542"/>
      <c r="SHX542"/>
      <c r="SHY542"/>
      <c r="SHZ542"/>
      <c r="SIA542"/>
      <c r="SIB542"/>
      <c r="SIC542"/>
      <c r="SID542"/>
      <c r="SIE542"/>
      <c r="SIF542"/>
      <c r="SIG542"/>
      <c r="SIH542"/>
      <c r="SII542"/>
      <c r="SIJ542"/>
      <c r="SIK542"/>
      <c r="SIL542"/>
      <c r="SIM542"/>
      <c r="SIN542"/>
      <c r="SIO542"/>
      <c r="SIP542"/>
      <c r="SIQ542"/>
      <c r="SIR542"/>
      <c r="SIS542"/>
      <c r="SIT542"/>
      <c r="SIU542"/>
      <c r="SIV542"/>
      <c r="SIW542"/>
      <c r="SIX542"/>
      <c r="SIY542"/>
      <c r="SIZ542"/>
      <c r="SJA542"/>
      <c r="SJB542"/>
      <c r="SJC542"/>
      <c r="SJD542"/>
      <c r="SJE542"/>
      <c r="SJF542"/>
      <c r="SJG542"/>
      <c r="SJH542"/>
      <c r="SJI542"/>
      <c r="SJJ542"/>
      <c r="SJK542"/>
      <c r="SJL542"/>
      <c r="SJM542"/>
      <c r="SJN542"/>
      <c r="SJO542"/>
      <c r="SJP542"/>
      <c r="SJQ542"/>
      <c r="SJR542"/>
      <c r="SJS542"/>
      <c r="SJT542"/>
      <c r="SJU542"/>
      <c r="SJV542"/>
      <c r="SJW542"/>
      <c r="SJX542"/>
      <c r="SJY542"/>
      <c r="SJZ542"/>
      <c r="SKA542"/>
      <c r="SKB542"/>
      <c r="SKC542"/>
      <c r="SKD542"/>
      <c r="SKE542"/>
      <c r="SKF542"/>
      <c r="SKG542"/>
      <c r="SKH542"/>
      <c r="SKI542"/>
      <c r="SKJ542"/>
      <c r="SKK542"/>
      <c r="SKL542"/>
      <c r="SKM542"/>
      <c r="SKN542"/>
      <c r="SKO542"/>
      <c r="SKP542"/>
      <c r="SKQ542"/>
      <c r="SKR542"/>
      <c r="SKS542"/>
      <c r="SKT542"/>
      <c r="SKU542"/>
      <c r="SKV542"/>
      <c r="SKW542"/>
      <c r="SKX542"/>
      <c r="SKY542"/>
      <c r="SKZ542"/>
      <c r="SLA542"/>
      <c r="SLB542"/>
      <c r="SLC542"/>
      <c r="SLD542"/>
      <c r="SLE542"/>
      <c r="SLF542"/>
      <c r="SLG542"/>
      <c r="SLH542"/>
      <c r="SLI542"/>
      <c r="SLJ542"/>
      <c r="SLK542"/>
      <c r="SLL542"/>
      <c r="SLM542"/>
      <c r="SLN542"/>
      <c r="SLO542"/>
      <c r="SLP542"/>
      <c r="SLQ542"/>
      <c r="SLR542"/>
      <c r="SLS542"/>
      <c r="SLT542"/>
      <c r="SLU542"/>
      <c r="SLV542"/>
      <c r="SLW542"/>
      <c r="SLX542"/>
      <c r="SLY542"/>
      <c r="SLZ542"/>
      <c r="SMA542"/>
      <c r="SMB542"/>
      <c r="SMC542"/>
      <c r="SMD542"/>
      <c r="SME542"/>
      <c r="SMF542"/>
      <c r="SMG542"/>
      <c r="SMH542"/>
      <c r="SMI542"/>
      <c r="SMJ542"/>
      <c r="SMK542"/>
      <c r="SML542"/>
      <c r="SMM542"/>
      <c r="SMN542"/>
      <c r="SMO542"/>
      <c r="SMP542"/>
      <c r="SMQ542"/>
      <c r="SMR542"/>
      <c r="SMS542"/>
      <c r="SMT542"/>
      <c r="SMU542"/>
      <c r="SMV542"/>
      <c r="SMW542"/>
      <c r="SMX542"/>
      <c r="SMY542"/>
      <c r="SMZ542"/>
      <c r="SNA542"/>
      <c r="SNB542"/>
      <c r="SNC542"/>
      <c r="SND542"/>
      <c r="SNE542"/>
      <c r="SNF542"/>
      <c r="SNG542"/>
      <c r="SNH542"/>
      <c r="SNI542"/>
      <c r="SNJ542"/>
      <c r="SNK542"/>
      <c r="SNL542"/>
      <c r="SNM542"/>
      <c r="SNN542"/>
      <c r="SNO542"/>
      <c r="SNP542"/>
      <c r="SNQ542"/>
      <c r="SNR542"/>
      <c r="SNS542"/>
      <c r="SNT542"/>
      <c r="SNU542"/>
      <c r="SNV542"/>
      <c r="SNW542"/>
      <c r="SNX542"/>
      <c r="SNY542"/>
      <c r="SNZ542"/>
      <c r="SOA542"/>
      <c r="SOB542"/>
      <c r="SOC542"/>
      <c r="SOD542"/>
      <c r="SOE542"/>
      <c r="SOF542"/>
      <c r="SOG542"/>
      <c r="SOH542"/>
      <c r="SOI542"/>
      <c r="SOJ542"/>
      <c r="SOK542"/>
      <c r="SOL542"/>
      <c r="SOM542"/>
      <c r="SON542"/>
      <c r="SOO542"/>
      <c r="SOP542"/>
      <c r="SOQ542"/>
      <c r="SOR542"/>
      <c r="SOS542"/>
      <c r="SOT542"/>
      <c r="SOU542"/>
      <c r="SOV542"/>
      <c r="SOW542"/>
      <c r="SOX542"/>
      <c r="SOY542"/>
      <c r="SOZ542"/>
      <c r="SPA542"/>
      <c r="SPB542"/>
      <c r="SPC542"/>
      <c r="SPD542"/>
      <c r="SPE542"/>
      <c r="SPF542"/>
      <c r="SPG542"/>
      <c r="SPH542"/>
      <c r="SPI542"/>
      <c r="SPJ542"/>
      <c r="SPK542"/>
      <c r="SPL542"/>
      <c r="SPM542"/>
      <c r="SPN542"/>
      <c r="SPO542"/>
      <c r="SPP542"/>
      <c r="SPQ542"/>
      <c r="SPR542"/>
      <c r="SPS542"/>
      <c r="SPT542"/>
      <c r="SPU542"/>
      <c r="SPV542"/>
      <c r="SPW542"/>
      <c r="SPX542"/>
      <c r="SPY542"/>
      <c r="SPZ542"/>
      <c r="SQA542"/>
      <c r="SQB542"/>
      <c r="SQC542"/>
      <c r="SQD542"/>
      <c r="SQE542"/>
      <c r="SQF542"/>
      <c r="SQG542"/>
      <c r="SQH542"/>
      <c r="SQI542"/>
      <c r="SQJ542"/>
      <c r="SQK542"/>
      <c r="SQL542"/>
      <c r="SQM542"/>
      <c r="SQN542"/>
      <c r="SQO542"/>
      <c r="SQP542"/>
      <c r="SQQ542"/>
      <c r="SQR542"/>
      <c r="SQS542"/>
      <c r="SQT542"/>
      <c r="SQU542"/>
      <c r="SQV542"/>
      <c r="SQW542"/>
      <c r="SQX542"/>
      <c r="SQY542"/>
      <c r="SQZ542"/>
      <c r="SRA542"/>
      <c r="SRB542"/>
      <c r="SRC542"/>
      <c r="SRD542"/>
      <c r="SRE542"/>
      <c r="SRF542"/>
      <c r="SRG542"/>
      <c r="SRH542"/>
      <c r="SRI542"/>
      <c r="SRJ542"/>
      <c r="SRK542"/>
      <c r="SRL542"/>
      <c r="SRM542"/>
      <c r="SRN542"/>
      <c r="SRO542"/>
      <c r="SRP542"/>
      <c r="SRQ542"/>
      <c r="SRR542"/>
      <c r="SRS542"/>
      <c r="SRT542"/>
      <c r="SRU542"/>
      <c r="SRV542"/>
      <c r="SRW542"/>
      <c r="SRX542"/>
      <c r="SRY542"/>
      <c r="SRZ542"/>
      <c r="SSA542"/>
      <c r="SSB542"/>
      <c r="SSC542"/>
      <c r="SSD542"/>
      <c r="SSE542"/>
      <c r="SSF542"/>
      <c r="SSG542"/>
      <c r="SSH542"/>
      <c r="SSI542"/>
      <c r="SSJ542"/>
      <c r="SSK542"/>
      <c r="SSL542"/>
      <c r="SSM542"/>
      <c r="SSN542"/>
      <c r="SSO542"/>
      <c r="SSP542"/>
      <c r="SSQ542"/>
      <c r="SSR542"/>
      <c r="SSS542"/>
      <c r="SST542"/>
      <c r="SSU542"/>
      <c r="SSV542"/>
      <c r="SSW542"/>
      <c r="SSX542"/>
      <c r="SSY542"/>
      <c r="SSZ542"/>
      <c r="STA542"/>
      <c r="STB542"/>
      <c r="STC542"/>
      <c r="STD542"/>
      <c r="STE542"/>
      <c r="STF542"/>
      <c r="STG542"/>
      <c r="STH542"/>
      <c r="STI542"/>
      <c r="STJ542"/>
      <c r="STK542"/>
      <c r="STL542"/>
      <c r="STM542"/>
      <c r="STN542"/>
      <c r="STO542"/>
      <c r="STP542"/>
      <c r="STQ542"/>
      <c r="STR542"/>
      <c r="STS542"/>
      <c r="STT542"/>
      <c r="STU542"/>
      <c r="STV542"/>
      <c r="STW542"/>
      <c r="STX542"/>
      <c r="STY542"/>
      <c r="STZ542"/>
      <c r="SUA542"/>
      <c r="SUB542"/>
      <c r="SUC542"/>
      <c r="SUD542"/>
      <c r="SUE542"/>
      <c r="SUF542"/>
      <c r="SUG542"/>
      <c r="SUH542"/>
      <c r="SUI542"/>
      <c r="SUJ542"/>
      <c r="SUK542"/>
      <c r="SUL542"/>
      <c r="SUM542"/>
      <c r="SUN542"/>
      <c r="SUO542"/>
      <c r="SUP542"/>
      <c r="SUQ542"/>
      <c r="SUR542"/>
      <c r="SUS542"/>
      <c r="SUT542"/>
      <c r="SUU542"/>
      <c r="SUV542"/>
      <c r="SUW542"/>
      <c r="SUX542"/>
      <c r="SUY542"/>
      <c r="SUZ542"/>
      <c r="SVA542"/>
      <c r="SVB542"/>
      <c r="SVC542"/>
      <c r="SVD542"/>
      <c r="SVE542"/>
      <c r="SVF542"/>
      <c r="SVG542"/>
      <c r="SVH542"/>
      <c r="SVI542"/>
      <c r="SVJ542"/>
      <c r="SVK542"/>
      <c r="SVL542"/>
      <c r="SVM542"/>
      <c r="SVN542"/>
      <c r="SVO542"/>
      <c r="SVP542"/>
      <c r="SVQ542"/>
      <c r="SVR542"/>
      <c r="SVS542"/>
      <c r="SVT542"/>
      <c r="SVU542"/>
      <c r="SVV542"/>
      <c r="SVW542"/>
      <c r="SVX542"/>
      <c r="SVY542"/>
      <c r="SVZ542"/>
      <c r="SWA542"/>
      <c r="SWB542"/>
      <c r="SWC542"/>
      <c r="SWD542"/>
      <c r="SWE542"/>
      <c r="SWF542"/>
      <c r="SWG542"/>
      <c r="SWH542"/>
      <c r="SWI542"/>
      <c r="SWJ542"/>
      <c r="SWK542"/>
      <c r="SWL542"/>
      <c r="SWM542"/>
      <c r="SWN542"/>
      <c r="SWO542"/>
      <c r="SWP542"/>
      <c r="SWQ542"/>
      <c r="SWR542"/>
      <c r="SWS542"/>
      <c r="SWT542"/>
      <c r="SWU542"/>
      <c r="SWV542"/>
      <c r="SWW542"/>
      <c r="SWX542"/>
      <c r="SWY542"/>
      <c r="SWZ542"/>
      <c r="SXA542"/>
      <c r="SXB542"/>
      <c r="SXC542"/>
      <c r="SXD542"/>
      <c r="SXE542"/>
      <c r="SXF542"/>
      <c r="SXG542"/>
      <c r="SXH542"/>
      <c r="SXI542"/>
      <c r="SXJ542"/>
      <c r="SXK542"/>
      <c r="SXL542"/>
      <c r="SXM542"/>
      <c r="SXN542"/>
      <c r="SXO542"/>
      <c r="SXP542"/>
      <c r="SXQ542"/>
      <c r="SXR542"/>
      <c r="SXS542"/>
      <c r="SXT542"/>
      <c r="SXU542"/>
      <c r="SXV542"/>
      <c r="SXW542"/>
      <c r="SXX542"/>
      <c r="SXY542"/>
      <c r="SXZ542"/>
      <c r="SYA542"/>
      <c r="SYB542"/>
      <c r="SYC542"/>
      <c r="SYD542"/>
      <c r="SYE542"/>
      <c r="SYF542"/>
      <c r="SYG542"/>
      <c r="SYH542"/>
      <c r="SYI542"/>
      <c r="SYJ542"/>
      <c r="SYK542"/>
      <c r="SYL542"/>
      <c r="SYM542"/>
      <c r="SYN542"/>
      <c r="SYO542"/>
      <c r="SYP542"/>
      <c r="SYQ542"/>
      <c r="SYR542"/>
      <c r="SYS542"/>
      <c r="SYT542"/>
      <c r="SYU542"/>
      <c r="SYV542"/>
      <c r="SYW542"/>
      <c r="SYX542"/>
      <c r="SYY542"/>
      <c r="SYZ542"/>
      <c r="SZA542"/>
      <c r="SZB542"/>
      <c r="SZC542"/>
      <c r="SZD542"/>
      <c r="SZE542"/>
      <c r="SZF542"/>
      <c r="SZG542"/>
      <c r="SZH542"/>
      <c r="SZI542"/>
      <c r="SZJ542"/>
      <c r="SZK542"/>
      <c r="SZL542"/>
      <c r="SZM542"/>
      <c r="SZN542"/>
      <c r="SZO542"/>
      <c r="SZP542"/>
      <c r="SZQ542"/>
      <c r="SZR542"/>
      <c r="SZS542"/>
      <c r="SZT542"/>
      <c r="SZU542"/>
      <c r="SZV542"/>
      <c r="SZW542"/>
      <c r="SZX542"/>
      <c r="SZY542"/>
      <c r="SZZ542"/>
      <c r="TAA542"/>
      <c r="TAB542"/>
      <c r="TAC542"/>
      <c r="TAD542"/>
      <c r="TAE542"/>
      <c r="TAF542"/>
      <c r="TAG542"/>
      <c r="TAH542"/>
      <c r="TAI542"/>
      <c r="TAJ542"/>
      <c r="TAK542"/>
      <c r="TAL542"/>
      <c r="TAM542"/>
      <c r="TAN542"/>
      <c r="TAO542"/>
      <c r="TAP542"/>
      <c r="TAQ542"/>
      <c r="TAR542"/>
      <c r="TAS542"/>
      <c r="TAT542"/>
      <c r="TAU542"/>
      <c r="TAV542"/>
      <c r="TAW542"/>
      <c r="TAX542"/>
      <c r="TAY542"/>
      <c r="TAZ542"/>
      <c r="TBA542"/>
      <c r="TBB542"/>
      <c r="TBC542"/>
      <c r="TBD542"/>
      <c r="TBE542"/>
      <c r="TBF542"/>
      <c r="TBG542"/>
      <c r="TBH542"/>
      <c r="TBI542"/>
      <c r="TBJ542"/>
      <c r="TBK542"/>
      <c r="TBL542"/>
      <c r="TBM542"/>
      <c r="TBN542"/>
      <c r="TBO542"/>
      <c r="TBP542"/>
      <c r="TBQ542"/>
      <c r="TBR542"/>
      <c r="TBS542"/>
      <c r="TBT542"/>
      <c r="TBU542"/>
      <c r="TBV542"/>
      <c r="TBW542"/>
      <c r="TBX542"/>
      <c r="TBY542"/>
      <c r="TBZ542"/>
      <c r="TCA542"/>
      <c r="TCB542"/>
      <c r="TCC542"/>
      <c r="TCD542"/>
      <c r="TCE542"/>
      <c r="TCF542"/>
      <c r="TCG542"/>
      <c r="TCH542"/>
      <c r="TCI542"/>
      <c r="TCJ542"/>
      <c r="TCK542"/>
      <c r="TCL542"/>
      <c r="TCM542"/>
      <c r="TCN542"/>
      <c r="TCO542"/>
      <c r="TCP542"/>
      <c r="TCQ542"/>
      <c r="TCR542"/>
      <c r="TCS542"/>
      <c r="TCT542"/>
      <c r="TCU542"/>
      <c r="TCV542"/>
      <c r="TCW542"/>
      <c r="TCX542"/>
      <c r="TCY542"/>
      <c r="TCZ542"/>
      <c r="TDA542"/>
      <c r="TDB542"/>
      <c r="TDC542"/>
      <c r="TDD542"/>
      <c r="TDE542"/>
      <c r="TDF542"/>
      <c r="TDG542"/>
      <c r="TDH542"/>
      <c r="TDI542"/>
      <c r="TDJ542"/>
      <c r="TDK542"/>
      <c r="TDL542"/>
      <c r="TDM542"/>
      <c r="TDN542"/>
      <c r="TDO542"/>
      <c r="TDP542"/>
      <c r="TDQ542"/>
      <c r="TDR542"/>
      <c r="TDS542"/>
      <c r="TDT542"/>
      <c r="TDU542"/>
      <c r="TDV542"/>
      <c r="TDW542"/>
      <c r="TDX542"/>
      <c r="TDY542"/>
      <c r="TDZ542"/>
      <c r="TEA542"/>
      <c r="TEB542"/>
      <c r="TEC542"/>
      <c r="TED542"/>
      <c r="TEE542"/>
      <c r="TEF542"/>
      <c r="TEG542"/>
      <c r="TEH542"/>
      <c r="TEI542"/>
      <c r="TEJ542"/>
      <c r="TEK542"/>
      <c r="TEL542"/>
      <c r="TEM542"/>
      <c r="TEN542"/>
      <c r="TEO542"/>
      <c r="TEP542"/>
      <c r="TEQ542"/>
      <c r="TER542"/>
      <c r="TES542"/>
      <c r="TET542"/>
      <c r="TEU542"/>
      <c r="TEV542"/>
      <c r="TEW542"/>
      <c r="TEX542"/>
      <c r="TEY542"/>
      <c r="TEZ542"/>
      <c r="TFA542"/>
      <c r="TFB542"/>
      <c r="TFC542"/>
      <c r="TFD542"/>
      <c r="TFE542"/>
      <c r="TFF542"/>
      <c r="TFG542"/>
      <c r="TFH542"/>
      <c r="TFI542"/>
      <c r="TFJ542"/>
      <c r="TFK542"/>
      <c r="TFL542"/>
      <c r="TFM542"/>
      <c r="TFN542"/>
      <c r="TFO542"/>
      <c r="TFP542"/>
      <c r="TFQ542"/>
      <c r="TFR542"/>
      <c r="TFS542"/>
      <c r="TFT542"/>
      <c r="TFU542"/>
      <c r="TFV542"/>
      <c r="TFW542"/>
      <c r="TFX542"/>
      <c r="TFY542"/>
      <c r="TFZ542"/>
      <c r="TGA542"/>
      <c r="TGB542"/>
      <c r="TGC542"/>
      <c r="TGD542"/>
      <c r="TGE542"/>
      <c r="TGF542"/>
      <c r="TGG542"/>
      <c r="TGH542"/>
      <c r="TGI542"/>
      <c r="TGJ542"/>
      <c r="TGK542"/>
      <c r="TGL542"/>
      <c r="TGM542"/>
      <c r="TGN542"/>
      <c r="TGO542"/>
      <c r="TGP542"/>
      <c r="TGQ542"/>
      <c r="TGR542"/>
      <c r="TGS542"/>
      <c r="TGT542"/>
      <c r="TGU542"/>
      <c r="TGV542"/>
      <c r="TGW542"/>
      <c r="TGX542"/>
      <c r="TGY542"/>
      <c r="TGZ542"/>
      <c r="THA542"/>
      <c r="THB542"/>
      <c r="THC542"/>
      <c r="THD542"/>
      <c r="THE542"/>
      <c r="THF542"/>
      <c r="THG542"/>
      <c r="THH542"/>
      <c r="THI542"/>
      <c r="THJ542"/>
      <c r="THK542"/>
      <c r="THL542"/>
      <c r="THM542"/>
      <c r="THN542"/>
      <c r="THO542"/>
      <c r="THP542"/>
      <c r="THQ542"/>
      <c r="THR542"/>
      <c r="THS542"/>
      <c r="THT542"/>
      <c r="THU542"/>
      <c r="THV542"/>
      <c r="THW542"/>
      <c r="THX542"/>
      <c r="THY542"/>
      <c r="THZ542"/>
      <c r="TIA542"/>
      <c r="TIB542"/>
      <c r="TIC542"/>
      <c r="TID542"/>
      <c r="TIE542"/>
      <c r="TIF542"/>
      <c r="TIG542"/>
      <c r="TIH542"/>
      <c r="TII542"/>
      <c r="TIJ542"/>
      <c r="TIK542"/>
      <c r="TIL542"/>
      <c r="TIM542"/>
      <c r="TIN542"/>
      <c r="TIO542"/>
      <c r="TIP542"/>
      <c r="TIQ542"/>
      <c r="TIR542"/>
      <c r="TIS542"/>
      <c r="TIT542"/>
      <c r="TIU542"/>
      <c r="TIV542"/>
      <c r="TIW542"/>
      <c r="TIX542"/>
      <c r="TIY542"/>
      <c r="TIZ542"/>
      <c r="TJA542"/>
      <c r="TJB542"/>
      <c r="TJC542"/>
      <c r="TJD542"/>
      <c r="TJE542"/>
      <c r="TJF542"/>
      <c r="TJG542"/>
      <c r="TJH542"/>
      <c r="TJI542"/>
      <c r="TJJ542"/>
      <c r="TJK542"/>
      <c r="TJL542"/>
      <c r="TJM542"/>
      <c r="TJN542"/>
      <c r="TJO542"/>
      <c r="TJP542"/>
      <c r="TJQ542"/>
      <c r="TJR542"/>
      <c r="TJS542"/>
      <c r="TJT542"/>
      <c r="TJU542"/>
      <c r="TJV542"/>
      <c r="TJW542"/>
      <c r="TJX542"/>
      <c r="TJY542"/>
      <c r="TJZ542"/>
      <c r="TKA542"/>
      <c r="TKB542"/>
      <c r="TKC542"/>
      <c r="TKD542"/>
      <c r="TKE542"/>
      <c r="TKF542"/>
      <c r="TKG542"/>
      <c r="TKH542"/>
      <c r="TKI542"/>
      <c r="TKJ542"/>
      <c r="TKK542"/>
      <c r="TKL542"/>
      <c r="TKM542"/>
      <c r="TKN542"/>
      <c r="TKO542"/>
      <c r="TKP542"/>
      <c r="TKQ542"/>
      <c r="TKR542"/>
      <c r="TKS542"/>
      <c r="TKT542"/>
      <c r="TKU542"/>
      <c r="TKV542"/>
      <c r="TKW542"/>
      <c r="TKX542"/>
      <c r="TKY542"/>
      <c r="TKZ542"/>
      <c r="TLA542"/>
      <c r="TLB542"/>
      <c r="TLC542"/>
      <c r="TLD542"/>
      <c r="TLE542"/>
      <c r="TLF542"/>
      <c r="TLG542"/>
      <c r="TLH542"/>
      <c r="TLI542"/>
      <c r="TLJ542"/>
      <c r="TLK542"/>
      <c r="TLL542"/>
      <c r="TLM542"/>
      <c r="TLN542"/>
      <c r="TLO542"/>
      <c r="TLP542"/>
      <c r="TLQ542"/>
      <c r="TLR542"/>
      <c r="TLS542"/>
      <c r="TLT542"/>
      <c r="TLU542"/>
      <c r="TLV542"/>
      <c r="TLW542"/>
      <c r="TLX542"/>
      <c r="TLY542"/>
      <c r="TLZ542"/>
      <c r="TMA542"/>
      <c r="TMB542"/>
      <c r="TMC542"/>
      <c r="TMD542"/>
      <c r="TME542"/>
      <c r="TMF542"/>
      <c r="TMG542"/>
      <c r="TMH542"/>
      <c r="TMI542"/>
      <c r="TMJ542"/>
      <c r="TMK542"/>
      <c r="TML542"/>
      <c r="TMM542"/>
      <c r="TMN542"/>
      <c r="TMO542"/>
      <c r="TMP542"/>
      <c r="TMQ542"/>
      <c r="TMR542"/>
      <c r="TMS542"/>
      <c r="TMT542"/>
      <c r="TMU542"/>
      <c r="TMV542"/>
      <c r="TMW542"/>
      <c r="TMX542"/>
      <c r="TMY542"/>
      <c r="TMZ542"/>
      <c r="TNA542"/>
      <c r="TNB542"/>
      <c r="TNC542"/>
      <c r="TND542"/>
      <c r="TNE542"/>
      <c r="TNF542"/>
      <c r="TNG542"/>
      <c r="TNH542"/>
      <c r="TNI542"/>
      <c r="TNJ542"/>
      <c r="TNK542"/>
      <c r="TNL542"/>
      <c r="TNM542"/>
      <c r="TNN542"/>
      <c r="TNO542"/>
      <c r="TNP542"/>
      <c r="TNQ542"/>
      <c r="TNR542"/>
      <c r="TNS542"/>
      <c r="TNT542"/>
      <c r="TNU542"/>
      <c r="TNV542"/>
      <c r="TNW542"/>
      <c r="TNX542"/>
      <c r="TNY542"/>
      <c r="TNZ542"/>
      <c r="TOA542"/>
      <c r="TOB542"/>
      <c r="TOC542"/>
      <c r="TOD542"/>
      <c r="TOE542"/>
      <c r="TOF542"/>
      <c r="TOG542"/>
      <c r="TOH542"/>
      <c r="TOI542"/>
      <c r="TOJ542"/>
      <c r="TOK542"/>
      <c r="TOL542"/>
      <c r="TOM542"/>
      <c r="TON542"/>
      <c r="TOO542"/>
      <c r="TOP542"/>
      <c r="TOQ542"/>
      <c r="TOR542"/>
      <c r="TOS542"/>
      <c r="TOT542"/>
      <c r="TOU542"/>
      <c r="TOV542"/>
      <c r="TOW542"/>
      <c r="TOX542"/>
      <c r="TOY542"/>
      <c r="TOZ542"/>
      <c r="TPA542"/>
      <c r="TPB542"/>
      <c r="TPC542"/>
      <c r="TPD542"/>
      <c r="TPE542"/>
      <c r="TPF542"/>
      <c r="TPG542"/>
      <c r="TPH542"/>
      <c r="TPI542"/>
      <c r="TPJ542"/>
      <c r="TPK542"/>
      <c r="TPL542"/>
      <c r="TPM542"/>
      <c r="TPN542"/>
      <c r="TPO542"/>
      <c r="TPP542"/>
      <c r="TPQ542"/>
      <c r="TPR542"/>
      <c r="TPS542"/>
      <c r="TPT542"/>
      <c r="TPU542"/>
      <c r="TPV542"/>
      <c r="TPW542"/>
      <c r="TPX542"/>
      <c r="TPY542"/>
      <c r="TPZ542"/>
      <c r="TQA542"/>
      <c r="TQB542"/>
      <c r="TQC542"/>
      <c r="TQD542"/>
      <c r="TQE542"/>
      <c r="TQF542"/>
      <c r="TQG542"/>
      <c r="TQH542"/>
      <c r="TQI542"/>
      <c r="TQJ542"/>
      <c r="TQK542"/>
      <c r="TQL542"/>
      <c r="TQM542"/>
      <c r="TQN542"/>
      <c r="TQO542"/>
      <c r="TQP542"/>
      <c r="TQQ542"/>
      <c r="TQR542"/>
      <c r="TQS542"/>
      <c r="TQT542"/>
      <c r="TQU542"/>
      <c r="TQV542"/>
      <c r="TQW542"/>
      <c r="TQX542"/>
      <c r="TQY542"/>
      <c r="TQZ542"/>
      <c r="TRA542"/>
      <c r="TRB542"/>
      <c r="TRC542"/>
      <c r="TRD542"/>
      <c r="TRE542"/>
      <c r="TRF542"/>
      <c r="TRG542"/>
      <c r="TRH542"/>
      <c r="TRI542"/>
      <c r="TRJ542"/>
      <c r="TRK542"/>
      <c r="TRL542"/>
      <c r="TRM542"/>
      <c r="TRN542"/>
      <c r="TRO542"/>
      <c r="TRP542"/>
      <c r="TRQ542"/>
      <c r="TRR542"/>
      <c r="TRS542"/>
      <c r="TRT542"/>
      <c r="TRU542"/>
      <c r="TRV542"/>
      <c r="TRW542"/>
      <c r="TRX542"/>
      <c r="TRY542"/>
      <c r="TRZ542"/>
      <c r="TSA542"/>
      <c r="TSB542"/>
      <c r="TSC542"/>
      <c r="TSD542"/>
      <c r="TSE542"/>
      <c r="TSF542"/>
      <c r="TSG542"/>
      <c r="TSH542"/>
      <c r="TSI542"/>
      <c r="TSJ542"/>
      <c r="TSK542"/>
      <c r="TSL542"/>
      <c r="TSM542"/>
      <c r="TSN542"/>
      <c r="TSO542"/>
      <c r="TSP542"/>
      <c r="TSQ542"/>
      <c r="TSR542"/>
      <c r="TSS542"/>
      <c r="TST542"/>
      <c r="TSU542"/>
      <c r="TSV542"/>
      <c r="TSW542"/>
      <c r="TSX542"/>
      <c r="TSY542"/>
      <c r="TSZ542"/>
      <c r="TTA542"/>
      <c r="TTB542"/>
      <c r="TTC542"/>
      <c r="TTD542"/>
      <c r="TTE542"/>
      <c r="TTF542"/>
      <c r="TTG542"/>
      <c r="TTH542"/>
      <c r="TTI542"/>
      <c r="TTJ542"/>
      <c r="TTK542"/>
      <c r="TTL542"/>
      <c r="TTM542"/>
      <c r="TTN542"/>
      <c r="TTO542"/>
      <c r="TTP542"/>
      <c r="TTQ542"/>
      <c r="TTR542"/>
      <c r="TTS542"/>
      <c r="TTT542"/>
      <c r="TTU542"/>
      <c r="TTV542"/>
      <c r="TTW542"/>
      <c r="TTX542"/>
      <c r="TTY542"/>
      <c r="TTZ542"/>
      <c r="TUA542"/>
      <c r="TUB542"/>
      <c r="TUC542"/>
      <c r="TUD542"/>
      <c r="TUE542"/>
      <c r="TUF542"/>
      <c r="TUG542"/>
      <c r="TUH542"/>
      <c r="TUI542"/>
      <c r="TUJ542"/>
      <c r="TUK542"/>
      <c r="TUL542"/>
      <c r="TUM542"/>
      <c r="TUN542"/>
      <c r="TUO542"/>
      <c r="TUP542"/>
      <c r="TUQ542"/>
      <c r="TUR542"/>
      <c r="TUS542"/>
      <c r="TUT542"/>
      <c r="TUU542"/>
      <c r="TUV542"/>
      <c r="TUW542"/>
      <c r="TUX542"/>
      <c r="TUY542"/>
      <c r="TUZ542"/>
      <c r="TVA542"/>
      <c r="TVB542"/>
      <c r="TVC542"/>
      <c r="TVD542"/>
      <c r="TVE542"/>
      <c r="TVF542"/>
      <c r="TVG542"/>
      <c r="TVH542"/>
      <c r="TVI542"/>
      <c r="TVJ542"/>
      <c r="TVK542"/>
      <c r="TVL542"/>
      <c r="TVM542"/>
      <c r="TVN542"/>
      <c r="TVO542"/>
      <c r="TVP542"/>
      <c r="TVQ542"/>
      <c r="TVR542"/>
      <c r="TVS542"/>
      <c r="TVT542"/>
      <c r="TVU542"/>
      <c r="TVV542"/>
      <c r="TVW542"/>
      <c r="TVX542"/>
      <c r="TVY542"/>
      <c r="TVZ542"/>
      <c r="TWA542"/>
      <c r="TWB542"/>
      <c r="TWC542"/>
      <c r="TWD542"/>
      <c r="TWE542"/>
      <c r="TWF542"/>
      <c r="TWG542"/>
      <c r="TWH542"/>
      <c r="TWI542"/>
      <c r="TWJ542"/>
      <c r="TWK542"/>
      <c r="TWL542"/>
      <c r="TWM542"/>
      <c r="TWN542"/>
      <c r="TWO542"/>
      <c r="TWP542"/>
      <c r="TWQ542"/>
      <c r="TWR542"/>
      <c r="TWS542"/>
      <c r="TWT542"/>
      <c r="TWU542"/>
      <c r="TWV542"/>
      <c r="TWW542"/>
      <c r="TWX542"/>
      <c r="TWY542"/>
      <c r="TWZ542"/>
      <c r="TXA542"/>
      <c r="TXB542"/>
      <c r="TXC542"/>
      <c r="TXD542"/>
      <c r="TXE542"/>
      <c r="TXF542"/>
      <c r="TXG542"/>
      <c r="TXH542"/>
      <c r="TXI542"/>
      <c r="TXJ542"/>
      <c r="TXK542"/>
      <c r="TXL542"/>
      <c r="TXM542"/>
      <c r="TXN542"/>
      <c r="TXO542"/>
      <c r="TXP542"/>
      <c r="TXQ542"/>
      <c r="TXR542"/>
      <c r="TXS542"/>
      <c r="TXT542"/>
      <c r="TXU542"/>
      <c r="TXV542"/>
      <c r="TXW542"/>
      <c r="TXX542"/>
      <c r="TXY542"/>
      <c r="TXZ542"/>
      <c r="TYA542"/>
      <c r="TYB542"/>
      <c r="TYC542"/>
      <c r="TYD542"/>
      <c r="TYE542"/>
      <c r="TYF542"/>
      <c r="TYG542"/>
      <c r="TYH542"/>
      <c r="TYI542"/>
      <c r="TYJ542"/>
      <c r="TYK542"/>
      <c r="TYL542"/>
      <c r="TYM542"/>
      <c r="TYN542"/>
      <c r="TYO542"/>
      <c r="TYP542"/>
      <c r="TYQ542"/>
      <c r="TYR542"/>
      <c r="TYS542"/>
      <c r="TYT542"/>
      <c r="TYU542"/>
      <c r="TYV542"/>
      <c r="TYW542"/>
      <c r="TYX542"/>
      <c r="TYY542"/>
      <c r="TYZ542"/>
      <c r="TZA542"/>
      <c r="TZB542"/>
      <c r="TZC542"/>
      <c r="TZD542"/>
      <c r="TZE542"/>
      <c r="TZF542"/>
      <c r="TZG542"/>
      <c r="TZH542"/>
      <c r="TZI542"/>
      <c r="TZJ542"/>
      <c r="TZK542"/>
      <c r="TZL542"/>
      <c r="TZM542"/>
      <c r="TZN542"/>
      <c r="TZO542"/>
      <c r="TZP542"/>
      <c r="TZQ542"/>
      <c r="TZR542"/>
      <c r="TZS542"/>
      <c r="TZT542"/>
      <c r="TZU542"/>
      <c r="TZV542"/>
      <c r="TZW542"/>
      <c r="TZX542"/>
      <c r="TZY542"/>
      <c r="TZZ542"/>
      <c r="UAA542"/>
      <c r="UAB542"/>
      <c r="UAC542"/>
      <c r="UAD542"/>
      <c r="UAE542"/>
      <c r="UAF542"/>
      <c r="UAG542"/>
      <c r="UAH542"/>
      <c r="UAI542"/>
      <c r="UAJ542"/>
      <c r="UAK542"/>
      <c r="UAL542"/>
      <c r="UAM542"/>
      <c r="UAN542"/>
      <c r="UAO542"/>
      <c r="UAP542"/>
      <c r="UAQ542"/>
      <c r="UAR542"/>
      <c r="UAS542"/>
      <c r="UAT542"/>
      <c r="UAU542"/>
      <c r="UAV542"/>
      <c r="UAW542"/>
      <c r="UAX542"/>
      <c r="UAY542"/>
      <c r="UAZ542"/>
      <c r="UBA542"/>
      <c r="UBB542"/>
      <c r="UBC542"/>
      <c r="UBD542"/>
      <c r="UBE542"/>
      <c r="UBF542"/>
      <c r="UBG542"/>
      <c r="UBH542"/>
      <c r="UBI542"/>
      <c r="UBJ542"/>
      <c r="UBK542"/>
      <c r="UBL542"/>
      <c r="UBM542"/>
      <c r="UBN542"/>
      <c r="UBO542"/>
      <c r="UBP542"/>
      <c r="UBQ542"/>
      <c r="UBR542"/>
      <c r="UBS542"/>
      <c r="UBT542"/>
      <c r="UBU542"/>
      <c r="UBV542"/>
      <c r="UBW542"/>
      <c r="UBX542"/>
      <c r="UBY542"/>
      <c r="UBZ542"/>
      <c r="UCA542"/>
      <c r="UCB542"/>
      <c r="UCC542"/>
      <c r="UCD542"/>
      <c r="UCE542"/>
      <c r="UCF542"/>
      <c r="UCG542"/>
      <c r="UCH542"/>
      <c r="UCI542"/>
      <c r="UCJ542"/>
      <c r="UCK542"/>
      <c r="UCL542"/>
      <c r="UCM542"/>
      <c r="UCN542"/>
      <c r="UCO542"/>
      <c r="UCP542"/>
      <c r="UCQ542"/>
      <c r="UCR542"/>
      <c r="UCS542"/>
      <c r="UCT542"/>
      <c r="UCU542"/>
      <c r="UCV542"/>
      <c r="UCW542"/>
      <c r="UCX542"/>
      <c r="UCY542"/>
      <c r="UCZ542"/>
      <c r="UDA542"/>
      <c r="UDB542"/>
      <c r="UDC542"/>
      <c r="UDD542"/>
      <c r="UDE542"/>
      <c r="UDF542"/>
      <c r="UDG542"/>
      <c r="UDH542"/>
      <c r="UDI542"/>
      <c r="UDJ542"/>
      <c r="UDK542"/>
      <c r="UDL542"/>
      <c r="UDM542"/>
      <c r="UDN542"/>
      <c r="UDO542"/>
      <c r="UDP542"/>
      <c r="UDQ542"/>
      <c r="UDR542"/>
      <c r="UDS542"/>
      <c r="UDT542"/>
      <c r="UDU542"/>
      <c r="UDV542"/>
      <c r="UDW542"/>
      <c r="UDX542"/>
      <c r="UDY542"/>
      <c r="UDZ542"/>
      <c r="UEA542"/>
      <c r="UEB542"/>
      <c r="UEC542"/>
      <c r="UED542"/>
      <c r="UEE542"/>
      <c r="UEF542"/>
      <c r="UEG542"/>
      <c r="UEH542"/>
      <c r="UEI542"/>
      <c r="UEJ542"/>
      <c r="UEK542"/>
      <c r="UEL542"/>
      <c r="UEM542"/>
      <c r="UEN542"/>
      <c r="UEO542"/>
      <c r="UEP542"/>
      <c r="UEQ542"/>
      <c r="UER542"/>
      <c r="UES542"/>
      <c r="UET542"/>
      <c r="UEU542"/>
      <c r="UEV542"/>
      <c r="UEW542"/>
      <c r="UEX542"/>
      <c r="UEY542"/>
      <c r="UEZ542"/>
      <c r="UFA542"/>
      <c r="UFB542"/>
      <c r="UFC542"/>
      <c r="UFD542"/>
      <c r="UFE542"/>
      <c r="UFF542"/>
      <c r="UFG542"/>
      <c r="UFH542"/>
      <c r="UFI542"/>
      <c r="UFJ542"/>
      <c r="UFK542"/>
      <c r="UFL542"/>
      <c r="UFM542"/>
      <c r="UFN542"/>
      <c r="UFO542"/>
      <c r="UFP542"/>
      <c r="UFQ542"/>
      <c r="UFR542"/>
      <c r="UFS542"/>
      <c r="UFT542"/>
      <c r="UFU542"/>
      <c r="UFV542"/>
      <c r="UFW542"/>
      <c r="UFX542"/>
      <c r="UFY542"/>
      <c r="UFZ542"/>
      <c r="UGA542"/>
      <c r="UGB542"/>
      <c r="UGC542"/>
      <c r="UGD542"/>
      <c r="UGE542"/>
      <c r="UGF542"/>
      <c r="UGG542"/>
      <c r="UGH542"/>
      <c r="UGI542"/>
      <c r="UGJ542"/>
      <c r="UGK542"/>
      <c r="UGL542"/>
      <c r="UGM542"/>
      <c r="UGN542"/>
      <c r="UGO542"/>
      <c r="UGP542"/>
      <c r="UGQ542"/>
      <c r="UGR542"/>
      <c r="UGS542"/>
      <c r="UGT542"/>
      <c r="UGU542"/>
      <c r="UGV542"/>
      <c r="UGW542"/>
      <c r="UGX542"/>
      <c r="UGY542"/>
      <c r="UGZ542"/>
      <c r="UHA542"/>
      <c r="UHB542"/>
      <c r="UHC542"/>
      <c r="UHD542"/>
      <c r="UHE542"/>
      <c r="UHF542"/>
      <c r="UHG542"/>
      <c r="UHH542"/>
      <c r="UHI542"/>
      <c r="UHJ542"/>
      <c r="UHK542"/>
      <c r="UHL542"/>
      <c r="UHM542"/>
      <c r="UHN542"/>
      <c r="UHO542"/>
      <c r="UHP542"/>
      <c r="UHQ542"/>
      <c r="UHR542"/>
      <c r="UHS542"/>
      <c r="UHT542"/>
      <c r="UHU542"/>
      <c r="UHV542"/>
      <c r="UHW542"/>
      <c r="UHX542"/>
      <c r="UHY542"/>
      <c r="UHZ542"/>
      <c r="UIA542"/>
      <c r="UIB542"/>
      <c r="UIC542"/>
      <c r="UID542"/>
      <c r="UIE542"/>
      <c r="UIF542"/>
      <c r="UIG542"/>
      <c r="UIH542"/>
      <c r="UII542"/>
      <c r="UIJ542"/>
      <c r="UIK542"/>
      <c r="UIL542"/>
      <c r="UIM542"/>
      <c r="UIN542"/>
      <c r="UIO542"/>
      <c r="UIP542"/>
      <c r="UIQ542"/>
      <c r="UIR542"/>
      <c r="UIS542"/>
      <c r="UIT542"/>
      <c r="UIU542"/>
      <c r="UIV542"/>
      <c r="UIW542"/>
      <c r="UIX542"/>
      <c r="UIY542"/>
      <c r="UIZ542"/>
      <c r="UJA542"/>
      <c r="UJB542"/>
      <c r="UJC542"/>
      <c r="UJD542"/>
      <c r="UJE542"/>
      <c r="UJF542"/>
      <c r="UJG542"/>
      <c r="UJH542"/>
      <c r="UJI542"/>
      <c r="UJJ542"/>
      <c r="UJK542"/>
      <c r="UJL542"/>
      <c r="UJM542"/>
      <c r="UJN542"/>
      <c r="UJO542"/>
      <c r="UJP542"/>
      <c r="UJQ542"/>
      <c r="UJR542"/>
      <c r="UJS542"/>
      <c r="UJT542"/>
      <c r="UJU542"/>
      <c r="UJV542"/>
      <c r="UJW542"/>
      <c r="UJX542"/>
      <c r="UJY542"/>
      <c r="UJZ542"/>
      <c r="UKA542"/>
      <c r="UKB542"/>
      <c r="UKC542"/>
      <c r="UKD542"/>
      <c r="UKE542"/>
      <c r="UKF542"/>
      <c r="UKG542"/>
      <c r="UKH542"/>
      <c r="UKI542"/>
      <c r="UKJ542"/>
      <c r="UKK542"/>
      <c r="UKL542"/>
      <c r="UKM542"/>
      <c r="UKN542"/>
      <c r="UKO542"/>
      <c r="UKP542"/>
      <c r="UKQ542"/>
      <c r="UKR542"/>
      <c r="UKS542"/>
      <c r="UKT542"/>
      <c r="UKU542"/>
      <c r="UKV542"/>
      <c r="UKW542"/>
      <c r="UKX542"/>
      <c r="UKY542"/>
      <c r="UKZ542"/>
      <c r="ULA542"/>
      <c r="ULB542"/>
      <c r="ULC542"/>
      <c r="ULD542"/>
      <c r="ULE542"/>
      <c r="ULF542"/>
      <c r="ULG542"/>
      <c r="ULH542"/>
      <c r="ULI542"/>
      <c r="ULJ542"/>
      <c r="ULK542"/>
      <c r="ULL542"/>
      <c r="ULM542"/>
      <c r="ULN542"/>
      <c r="ULO542"/>
      <c r="ULP542"/>
      <c r="ULQ542"/>
      <c r="ULR542"/>
      <c r="ULS542"/>
      <c r="ULT542"/>
      <c r="ULU542"/>
      <c r="ULV542"/>
      <c r="ULW542"/>
      <c r="ULX542"/>
      <c r="ULY542"/>
      <c r="ULZ542"/>
      <c r="UMA542"/>
      <c r="UMB542"/>
      <c r="UMC542"/>
      <c r="UMD542"/>
      <c r="UME542"/>
      <c r="UMF542"/>
      <c r="UMG542"/>
      <c r="UMH542"/>
      <c r="UMI542"/>
      <c r="UMJ542"/>
      <c r="UMK542"/>
      <c r="UML542"/>
      <c r="UMM542"/>
      <c r="UMN542"/>
      <c r="UMO542"/>
      <c r="UMP542"/>
      <c r="UMQ542"/>
      <c r="UMR542"/>
      <c r="UMS542"/>
      <c r="UMT542"/>
      <c r="UMU542"/>
      <c r="UMV542"/>
      <c r="UMW542"/>
      <c r="UMX542"/>
      <c r="UMY542"/>
      <c r="UMZ542"/>
      <c r="UNA542"/>
      <c r="UNB542"/>
      <c r="UNC542"/>
      <c r="UND542"/>
      <c r="UNE542"/>
      <c r="UNF542"/>
      <c r="UNG542"/>
      <c r="UNH542"/>
      <c r="UNI542"/>
      <c r="UNJ542"/>
      <c r="UNK542"/>
      <c r="UNL542"/>
      <c r="UNM542"/>
      <c r="UNN542"/>
      <c r="UNO542"/>
      <c r="UNP542"/>
      <c r="UNQ542"/>
      <c r="UNR542"/>
      <c r="UNS542"/>
      <c r="UNT542"/>
      <c r="UNU542"/>
      <c r="UNV542"/>
      <c r="UNW542"/>
      <c r="UNX542"/>
      <c r="UNY542"/>
      <c r="UNZ542"/>
      <c r="UOA542"/>
      <c r="UOB542"/>
      <c r="UOC542"/>
      <c r="UOD542"/>
      <c r="UOE542"/>
      <c r="UOF542"/>
      <c r="UOG542"/>
      <c r="UOH542"/>
      <c r="UOI542"/>
      <c r="UOJ542"/>
      <c r="UOK542"/>
      <c r="UOL542"/>
      <c r="UOM542"/>
      <c r="UON542"/>
      <c r="UOO542"/>
      <c r="UOP542"/>
      <c r="UOQ542"/>
      <c r="UOR542"/>
      <c r="UOS542"/>
      <c r="UOT542"/>
      <c r="UOU542"/>
      <c r="UOV542"/>
      <c r="UOW542"/>
      <c r="UOX542"/>
      <c r="UOY542"/>
      <c r="UOZ542"/>
      <c r="UPA542"/>
      <c r="UPB542"/>
      <c r="UPC542"/>
      <c r="UPD542"/>
      <c r="UPE542"/>
      <c r="UPF542"/>
      <c r="UPG542"/>
      <c r="UPH542"/>
      <c r="UPI542"/>
      <c r="UPJ542"/>
      <c r="UPK542"/>
      <c r="UPL542"/>
      <c r="UPM542"/>
      <c r="UPN542"/>
      <c r="UPO542"/>
      <c r="UPP542"/>
      <c r="UPQ542"/>
      <c r="UPR542"/>
      <c r="UPS542"/>
      <c r="UPT542"/>
      <c r="UPU542"/>
      <c r="UPV542"/>
      <c r="UPW542"/>
      <c r="UPX542"/>
      <c r="UPY542"/>
      <c r="UPZ542"/>
      <c r="UQA542"/>
      <c r="UQB542"/>
      <c r="UQC542"/>
      <c r="UQD542"/>
      <c r="UQE542"/>
      <c r="UQF542"/>
      <c r="UQG542"/>
      <c r="UQH542"/>
      <c r="UQI542"/>
      <c r="UQJ542"/>
      <c r="UQK542"/>
      <c r="UQL542"/>
      <c r="UQM542"/>
      <c r="UQN542"/>
      <c r="UQO542"/>
      <c r="UQP542"/>
      <c r="UQQ542"/>
      <c r="UQR542"/>
      <c r="UQS542"/>
      <c r="UQT542"/>
      <c r="UQU542"/>
      <c r="UQV542"/>
      <c r="UQW542"/>
      <c r="UQX542"/>
      <c r="UQY542"/>
      <c r="UQZ542"/>
      <c r="URA542"/>
      <c r="URB542"/>
      <c r="URC542"/>
      <c r="URD542"/>
      <c r="URE542"/>
      <c r="URF542"/>
      <c r="URG542"/>
      <c r="URH542"/>
      <c r="URI542"/>
      <c r="URJ542"/>
      <c r="URK542"/>
      <c r="URL542"/>
      <c r="URM542"/>
      <c r="URN542"/>
      <c r="URO542"/>
      <c r="URP542"/>
      <c r="URQ542"/>
      <c r="URR542"/>
      <c r="URS542"/>
      <c r="URT542"/>
      <c r="URU542"/>
      <c r="URV542"/>
      <c r="URW542"/>
      <c r="URX542"/>
      <c r="URY542"/>
      <c r="URZ542"/>
      <c r="USA542"/>
      <c r="USB542"/>
      <c r="USC542"/>
      <c r="USD542"/>
      <c r="USE542"/>
      <c r="USF542"/>
      <c r="USG542"/>
      <c r="USH542"/>
      <c r="USI542"/>
      <c r="USJ542"/>
      <c r="USK542"/>
      <c r="USL542"/>
      <c r="USM542"/>
      <c r="USN542"/>
      <c r="USO542"/>
      <c r="USP542"/>
      <c r="USQ542"/>
      <c r="USR542"/>
      <c r="USS542"/>
      <c r="UST542"/>
      <c r="USU542"/>
      <c r="USV542"/>
      <c r="USW542"/>
      <c r="USX542"/>
      <c r="USY542"/>
      <c r="USZ542"/>
      <c r="UTA542"/>
      <c r="UTB542"/>
      <c r="UTC542"/>
      <c r="UTD542"/>
      <c r="UTE542"/>
      <c r="UTF542"/>
      <c r="UTG542"/>
      <c r="UTH542"/>
      <c r="UTI542"/>
      <c r="UTJ542"/>
      <c r="UTK542"/>
      <c r="UTL542"/>
      <c r="UTM542"/>
      <c r="UTN542"/>
      <c r="UTO542"/>
      <c r="UTP542"/>
      <c r="UTQ542"/>
      <c r="UTR542"/>
      <c r="UTS542"/>
      <c r="UTT542"/>
      <c r="UTU542"/>
      <c r="UTV542"/>
      <c r="UTW542"/>
      <c r="UTX542"/>
      <c r="UTY542"/>
      <c r="UTZ542"/>
      <c r="UUA542"/>
      <c r="UUB542"/>
      <c r="UUC542"/>
      <c r="UUD542"/>
      <c r="UUE542"/>
      <c r="UUF542"/>
      <c r="UUG542"/>
      <c r="UUH542"/>
      <c r="UUI542"/>
      <c r="UUJ542"/>
      <c r="UUK542"/>
      <c r="UUL542"/>
      <c r="UUM542"/>
      <c r="UUN542"/>
      <c r="UUO542"/>
      <c r="UUP542"/>
      <c r="UUQ542"/>
      <c r="UUR542"/>
      <c r="UUS542"/>
      <c r="UUT542"/>
      <c r="UUU542"/>
      <c r="UUV542"/>
      <c r="UUW542"/>
      <c r="UUX542"/>
      <c r="UUY542"/>
      <c r="UUZ542"/>
      <c r="UVA542"/>
      <c r="UVB542"/>
      <c r="UVC542"/>
      <c r="UVD542"/>
      <c r="UVE542"/>
      <c r="UVF542"/>
      <c r="UVG542"/>
      <c r="UVH542"/>
      <c r="UVI542"/>
      <c r="UVJ542"/>
      <c r="UVK542"/>
      <c r="UVL542"/>
      <c r="UVM542"/>
      <c r="UVN542"/>
      <c r="UVO542"/>
      <c r="UVP542"/>
      <c r="UVQ542"/>
      <c r="UVR542"/>
      <c r="UVS542"/>
      <c r="UVT542"/>
      <c r="UVU542"/>
      <c r="UVV542"/>
      <c r="UVW542"/>
      <c r="UVX542"/>
      <c r="UVY542"/>
      <c r="UVZ542"/>
      <c r="UWA542"/>
      <c r="UWB542"/>
      <c r="UWC542"/>
      <c r="UWD542"/>
      <c r="UWE542"/>
      <c r="UWF542"/>
      <c r="UWG542"/>
      <c r="UWH542"/>
      <c r="UWI542"/>
      <c r="UWJ542"/>
      <c r="UWK542"/>
      <c r="UWL542"/>
      <c r="UWM542"/>
      <c r="UWN542"/>
      <c r="UWO542"/>
      <c r="UWP542"/>
      <c r="UWQ542"/>
      <c r="UWR542"/>
      <c r="UWS542"/>
      <c r="UWT542"/>
      <c r="UWU542"/>
      <c r="UWV542"/>
      <c r="UWW542"/>
      <c r="UWX542"/>
      <c r="UWY542"/>
      <c r="UWZ542"/>
      <c r="UXA542"/>
      <c r="UXB542"/>
      <c r="UXC542"/>
      <c r="UXD542"/>
      <c r="UXE542"/>
      <c r="UXF542"/>
      <c r="UXG542"/>
      <c r="UXH542"/>
      <c r="UXI542"/>
      <c r="UXJ542"/>
      <c r="UXK542"/>
      <c r="UXL542"/>
      <c r="UXM542"/>
      <c r="UXN542"/>
      <c r="UXO542"/>
      <c r="UXP542"/>
      <c r="UXQ542"/>
      <c r="UXR542"/>
      <c r="UXS542"/>
      <c r="UXT542"/>
      <c r="UXU542"/>
      <c r="UXV542"/>
      <c r="UXW542"/>
      <c r="UXX542"/>
      <c r="UXY542"/>
      <c r="UXZ542"/>
      <c r="UYA542"/>
      <c r="UYB542"/>
      <c r="UYC542"/>
      <c r="UYD542"/>
      <c r="UYE542"/>
      <c r="UYF542"/>
      <c r="UYG542"/>
      <c r="UYH542"/>
      <c r="UYI542"/>
      <c r="UYJ542"/>
      <c r="UYK542"/>
      <c r="UYL542"/>
      <c r="UYM542"/>
      <c r="UYN542"/>
      <c r="UYO542"/>
      <c r="UYP542"/>
      <c r="UYQ542"/>
      <c r="UYR542"/>
      <c r="UYS542"/>
      <c r="UYT542"/>
      <c r="UYU542"/>
      <c r="UYV542"/>
      <c r="UYW542"/>
      <c r="UYX542"/>
      <c r="UYY542"/>
      <c r="UYZ542"/>
      <c r="UZA542"/>
      <c r="UZB542"/>
      <c r="UZC542"/>
      <c r="UZD542"/>
      <c r="UZE542"/>
      <c r="UZF542"/>
      <c r="UZG542"/>
      <c r="UZH542"/>
      <c r="UZI542"/>
      <c r="UZJ542"/>
      <c r="UZK542"/>
      <c r="UZL542"/>
      <c r="UZM542"/>
      <c r="UZN542"/>
      <c r="UZO542"/>
      <c r="UZP542"/>
      <c r="UZQ542"/>
      <c r="UZR542"/>
      <c r="UZS542"/>
      <c r="UZT542"/>
      <c r="UZU542"/>
      <c r="UZV542"/>
      <c r="UZW542"/>
      <c r="UZX542"/>
      <c r="UZY542"/>
      <c r="UZZ542"/>
      <c r="VAA542"/>
      <c r="VAB542"/>
      <c r="VAC542"/>
      <c r="VAD542"/>
      <c r="VAE542"/>
      <c r="VAF542"/>
      <c r="VAG542"/>
      <c r="VAH542"/>
      <c r="VAI542"/>
      <c r="VAJ542"/>
      <c r="VAK542"/>
      <c r="VAL542"/>
      <c r="VAM542"/>
      <c r="VAN542"/>
      <c r="VAO542"/>
      <c r="VAP542"/>
      <c r="VAQ542"/>
      <c r="VAR542"/>
      <c r="VAS542"/>
      <c r="VAT542"/>
      <c r="VAU542"/>
      <c r="VAV542"/>
      <c r="VAW542"/>
      <c r="VAX542"/>
      <c r="VAY542"/>
      <c r="VAZ542"/>
      <c r="VBA542"/>
      <c r="VBB542"/>
      <c r="VBC542"/>
      <c r="VBD542"/>
      <c r="VBE542"/>
      <c r="VBF542"/>
      <c r="VBG542"/>
      <c r="VBH542"/>
      <c r="VBI542"/>
      <c r="VBJ542"/>
      <c r="VBK542"/>
      <c r="VBL542"/>
      <c r="VBM542"/>
      <c r="VBN542"/>
      <c r="VBO542"/>
      <c r="VBP542"/>
      <c r="VBQ542"/>
      <c r="VBR542"/>
      <c r="VBS542"/>
      <c r="VBT542"/>
      <c r="VBU542"/>
      <c r="VBV542"/>
      <c r="VBW542"/>
      <c r="VBX542"/>
      <c r="VBY542"/>
      <c r="VBZ542"/>
      <c r="VCA542"/>
      <c r="VCB542"/>
      <c r="VCC542"/>
      <c r="VCD542"/>
      <c r="VCE542"/>
      <c r="VCF542"/>
      <c r="VCG542"/>
      <c r="VCH542"/>
      <c r="VCI542"/>
      <c r="VCJ542"/>
      <c r="VCK542"/>
      <c r="VCL542"/>
      <c r="VCM542"/>
      <c r="VCN542"/>
      <c r="VCO542"/>
      <c r="VCP542"/>
      <c r="VCQ542"/>
      <c r="VCR542"/>
      <c r="VCS542"/>
      <c r="VCT542"/>
      <c r="VCU542"/>
      <c r="VCV542"/>
      <c r="VCW542"/>
      <c r="VCX542"/>
      <c r="VCY542"/>
      <c r="VCZ542"/>
      <c r="VDA542"/>
      <c r="VDB542"/>
      <c r="VDC542"/>
      <c r="VDD542"/>
      <c r="VDE542"/>
      <c r="VDF542"/>
      <c r="VDG542"/>
      <c r="VDH542"/>
      <c r="VDI542"/>
      <c r="VDJ542"/>
      <c r="VDK542"/>
      <c r="VDL542"/>
      <c r="VDM542"/>
      <c r="VDN542"/>
      <c r="VDO542"/>
      <c r="VDP542"/>
      <c r="VDQ542"/>
      <c r="VDR542"/>
      <c r="VDS542"/>
      <c r="VDT542"/>
      <c r="VDU542"/>
      <c r="VDV542"/>
      <c r="VDW542"/>
      <c r="VDX542"/>
      <c r="VDY542"/>
      <c r="VDZ542"/>
      <c r="VEA542"/>
      <c r="VEB542"/>
      <c r="VEC542"/>
      <c r="VED542"/>
      <c r="VEE542"/>
      <c r="VEF542"/>
      <c r="VEG542"/>
      <c r="VEH542"/>
      <c r="VEI542"/>
      <c r="VEJ542"/>
      <c r="VEK542"/>
      <c r="VEL542"/>
      <c r="VEM542"/>
      <c r="VEN542"/>
      <c r="VEO542"/>
      <c r="VEP542"/>
      <c r="VEQ542"/>
      <c r="VER542"/>
      <c r="VES542"/>
      <c r="VET542"/>
      <c r="VEU542"/>
      <c r="VEV542"/>
      <c r="VEW542"/>
      <c r="VEX542"/>
      <c r="VEY542"/>
      <c r="VEZ542"/>
      <c r="VFA542"/>
      <c r="VFB542"/>
      <c r="VFC542"/>
      <c r="VFD542"/>
      <c r="VFE542"/>
      <c r="VFF542"/>
      <c r="VFG542"/>
      <c r="VFH542"/>
      <c r="VFI542"/>
      <c r="VFJ542"/>
      <c r="VFK542"/>
      <c r="VFL542"/>
      <c r="VFM542"/>
      <c r="VFN542"/>
      <c r="VFO542"/>
      <c r="VFP542"/>
      <c r="VFQ542"/>
      <c r="VFR542"/>
      <c r="VFS542"/>
      <c r="VFT542"/>
      <c r="VFU542"/>
      <c r="VFV542"/>
      <c r="VFW542"/>
      <c r="VFX542"/>
      <c r="VFY542"/>
      <c r="VFZ542"/>
      <c r="VGA542"/>
      <c r="VGB542"/>
      <c r="VGC542"/>
      <c r="VGD542"/>
      <c r="VGE542"/>
      <c r="VGF542"/>
      <c r="VGG542"/>
      <c r="VGH542"/>
      <c r="VGI542"/>
      <c r="VGJ542"/>
      <c r="VGK542"/>
      <c r="VGL542"/>
      <c r="VGM542"/>
      <c r="VGN542"/>
      <c r="VGO542"/>
      <c r="VGP542"/>
      <c r="VGQ542"/>
      <c r="VGR542"/>
      <c r="VGS542"/>
      <c r="VGT542"/>
      <c r="VGU542"/>
      <c r="VGV542"/>
      <c r="VGW542"/>
      <c r="VGX542"/>
      <c r="VGY542"/>
      <c r="VGZ542"/>
      <c r="VHA542"/>
      <c r="VHB542"/>
      <c r="VHC542"/>
      <c r="VHD542"/>
      <c r="VHE542"/>
      <c r="VHF542"/>
      <c r="VHG542"/>
      <c r="VHH542"/>
      <c r="VHI542"/>
      <c r="VHJ542"/>
      <c r="VHK542"/>
      <c r="VHL542"/>
      <c r="VHM542"/>
      <c r="VHN542"/>
      <c r="VHO542"/>
      <c r="VHP542"/>
      <c r="VHQ542"/>
      <c r="VHR542"/>
      <c r="VHS542"/>
      <c r="VHT542"/>
      <c r="VHU542"/>
      <c r="VHV542"/>
      <c r="VHW542"/>
      <c r="VHX542"/>
      <c r="VHY542"/>
      <c r="VHZ542"/>
      <c r="VIA542"/>
      <c r="VIB542"/>
      <c r="VIC542"/>
      <c r="VID542"/>
      <c r="VIE542"/>
      <c r="VIF542"/>
      <c r="VIG542"/>
      <c r="VIH542"/>
      <c r="VII542"/>
      <c r="VIJ542"/>
      <c r="VIK542"/>
      <c r="VIL542"/>
      <c r="VIM542"/>
      <c r="VIN542"/>
      <c r="VIO542"/>
      <c r="VIP542"/>
      <c r="VIQ542"/>
      <c r="VIR542"/>
      <c r="VIS542"/>
      <c r="VIT542"/>
      <c r="VIU542"/>
      <c r="VIV542"/>
      <c r="VIW542"/>
      <c r="VIX542"/>
      <c r="VIY542"/>
      <c r="VIZ542"/>
      <c r="VJA542"/>
      <c r="VJB542"/>
      <c r="VJC542"/>
      <c r="VJD542"/>
      <c r="VJE542"/>
      <c r="VJF542"/>
      <c r="VJG542"/>
      <c r="VJH542"/>
      <c r="VJI542"/>
      <c r="VJJ542"/>
      <c r="VJK542"/>
      <c r="VJL542"/>
      <c r="VJM542"/>
      <c r="VJN542"/>
      <c r="VJO542"/>
      <c r="VJP542"/>
      <c r="VJQ542"/>
      <c r="VJR542"/>
      <c r="VJS542"/>
      <c r="VJT542"/>
      <c r="VJU542"/>
      <c r="VJV542"/>
      <c r="VJW542"/>
      <c r="VJX542"/>
      <c r="VJY542"/>
      <c r="VJZ542"/>
      <c r="VKA542"/>
      <c r="VKB542"/>
      <c r="VKC542"/>
      <c r="VKD542"/>
      <c r="VKE542"/>
      <c r="VKF542"/>
      <c r="VKG542"/>
      <c r="VKH542"/>
      <c r="VKI542"/>
      <c r="VKJ542"/>
      <c r="VKK542"/>
      <c r="VKL542"/>
      <c r="VKM542"/>
      <c r="VKN542"/>
      <c r="VKO542"/>
      <c r="VKP542"/>
      <c r="VKQ542"/>
      <c r="VKR542"/>
      <c r="VKS542"/>
      <c r="VKT542"/>
      <c r="VKU542"/>
      <c r="VKV542"/>
      <c r="VKW542"/>
      <c r="VKX542"/>
      <c r="VKY542"/>
      <c r="VKZ542"/>
      <c r="VLA542"/>
      <c r="VLB542"/>
      <c r="VLC542"/>
      <c r="VLD542"/>
      <c r="VLE542"/>
      <c r="VLF542"/>
      <c r="VLG542"/>
      <c r="VLH542"/>
      <c r="VLI542"/>
      <c r="VLJ542"/>
      <c r="VLK542"/>
      <c r="VLL542"/>
      <c r="VLM542"/>
      <c r="VLN542"/>
      <c r="VLO542"/>
      <c r="VLP542"/>
      <c r="VLQ542"/>
      <c r="VLR542"/>
      <c r="VLS542"/>
      <c r="VLT542"/>
      <c r="VLU542"/>
      <c r="VLV542"/>
      <c r="VLW542"/>
      <c r="VLX542"/>
      <c r="VLY542"/>
      <c r="VLZ542"/>
      <c r="VMA542"/>
      <c r="VMB542"/>
      <c r="VMC542"/>
      <c r="VMD542"/>
      <c r="VME542"/>
      <c r="VMF542"/>
      <c r="VMG542"/>
      <c r="VMH542"/>
      <c r="VMI542"/>
      <c r="VMJ542"/>
      <c r="VMK542"/>
      <c r="VML542"/>
      <c r="VMM542"/>
      <c r="VMN542"/>
      <c r="VMO542"/>
      <c r="VMP542"/>
      <c r="VMQ542"/>
      <c r="VMR542"/>
      <c r="VMS542"/>
      <c r="VMT542"/>
      <c r="VMU542"/>
      <c r="VMV542"/>
      <c r="VMW542"/>
      <c r="VMX542"/>
      <c r="VMY542"/>
      <c r="VMZ542"/>
      <c r="VNA542"/>
      <c r="VNB542"/>
      <c r="VNC542"/>
      <c r="VND542"/>
      <c r="VNE542"/>
      <c r="VNF542"/>
      <c r="VNG542"/>
      <c r="VNH542"/>
      <c r="VNI542"/>
      <c r="VNJ542"/>
      <c r="VNK542"/>
      <c r="VNL542"/>
      <c r="VNM542"/>
      <c r="VNN542"/>
      <c r="VNO542"/>
      <c r="VNP542"/>
      <c r="VNQ542"/>
      <c r="VNR542"/>
      <c r="VNS542"/>
      <c r="VNT542"/>
      <c r="VNU542"/>
      <c r="VNV542"/>
      <c r="VNW542"/>
      <c r="VNX542"/>
      <c r="VNY542"/>
      <c r="VNZ542"/>
      <c r="VOA542"/>
      <c r="VOB542"/>
      <c r="VOC542"/>
      <c r="VOD542"/>
      <c r="VOE542"/>
      <c r="VOF542"/>
      <c r="VOG542"/>
      <c r="VOH542"/>
      <c r="VOI542"/>
      <c r="VOJ542"/>
      <c r="VOK542"/>
      <c r="VOL542"/>
      <c r="VOM542"/>
      <c r="VON542"/>
      <c r="VOO542"/>
      <c r="VOP542"/>
      <c r="VOQ542"/>
      <c r="VOR542"/>
      <c r="VOS542"/>
      <c r="VOT542"/>
      <c r="VOU542"/>
      <c r="VOV542"/>
      <c r="VOW542"/>
      <c r="VOX542"/>
      <c r="VOY542"/>
      <c r="VOZ542"/>
      <c r="VPA542"/>
      <c r="VPB542"/>
      <c r="VPC542"/>
      <c r="VPD542"/>
      <c r="VPE542"/>
      <c r="VPF542"/>
      <c r="VPG542"/>
      <c r="VPH542"/>
      <c r="VPI542"/>
      <c r="VPJ542"/>
      <c r="VPK542"/>
      <c r="VPL542"/>
      <c r="VPM542"/>
      <c r="VPN542"/>
      <c r="VPO542"/>
      <c r="VPP542"/>
      <c r="VPQ542"/>
      <c r="VPR542"/>
      <c r="VPS542"/>
      <c r="VPT542"/>
      <c r="VPU542"/>
      <c r="VPV542"/>
      <c r="VPW542"/>
      <c r="VPX542"/>
      <c r="VPY542"/>
      <c r="VPZ542"/>
      <c r="VQA542"/>
      <c r="VQB542"/>
      <c r="VQC542"/>
      <c r="VQD542"/>
      <c r="VQE542"/>
      <c r="VQF542"/>
      <c r="VQG542"/>
      <c r="VQH542"/>
      <c r="VQI542"/>
      <c r="VQJ542"/>
      <c r="VQK542"/>
      <c r="VQL542"/>
      <c r="VQM542"/>
      <c r="VQN542"/>
      <c r="VQO542"/>
      <c r="VQP542"/>
      <c r="VQQ542"/>
      <c r="VQR542"/>
      <c r="VQS542"/>
      <c r="VQT542"/>
      <c r="VQU542"/>
      <c r="VQV542"/>
      <c r="VQW542"/>
      <c r="VQX542"/>
      <c r="VQY542"/>
      <c r="VQZ542"/>
      <c r="VRA542"/>
      <c r="VRB542"/>
      <c r="VRC542"/>
      <c r="VRD542"/>
      <c r="VRE542"/>
      <c r="VRF542"/>
      <c r="VRG542"/>
      <c r="VRH542"/>
      <c r="VRI542"/>
      <c r="VRJ542"/>
      <c r="VRK542"/>
      <c r="VRL542"/>
      <c r="VRM542"/>
      <c r="VRN542"/>
      <c r="VRO542"/>
      <c r="VRP542"/>
      <c r="VRQ542"/>
      <c r="VRR542"/>
      <c r="VRS542"/>
      <c r="VRT542"/>
      <c r="VRU542"/>
      <c r="VRV542"/>
      <c r="VRW542"/>
      <c r="VRX542"/>
      <c r="VRY542"/>
      <c r="VRZ542"/>
      <c r="VSA542"/>
      <c r="VSB542"/>
      <c r="VSC542"/>
      <c r="VSD542"/>
      <c r="VSE542"/>
      <c r="VSF542"/>
      <c r="VSG542"/>
      <c r="VSH542"/>
      <c r="VSI542"/>
      <c r="VSJ542"/>
      <c r="VSK542"/>
      <c r="VSL542"/>
      <c r="VSM542"/>
      <c r="VSN542"/>
      <c r="VSO542"/>
      <c r="VSP542"/>
      <c r="VSQ542"/>
      <c r="VSR542"/>
      <c r="VSS542"/>
      <c r="VST542"/>
      <c r="VSU542"/>
      <c r="VSV542"/>
      <c r="VSW542"/>
      <c r="VSX542"/>
      <c r="VSY542"/>
      <c r="VSZ542"/>
      <c r="VTA542"/>
      <c r="VTB542"/>
      <c r="VTC542"/>
      <c r="VTD542"/>
      <c r="VTE542"/>
      <c r="VTF542"/>
      <c r="VTG542"/>
      <c r="VTH542"/>
      <c r="VTI542"/>
      <c r="VTJ542"/>
      <c r="VTK542"/>
      <c r="VTL542"/>
      <c r="VTM542"/>
      <c r="VTN542"/>
      <c r="VTO542"/>
      <c r="VTP542"/>
      <c r="VTQ542"/>
      <c r="VTR542"/>
      <c r="VTS542"/>
      <c r="VTT542"/>
      <c r="VTU542"/>
      <c r="VTV542"/>
      <c r="VTW542"/>
      <c r="VTX542"/>
      <c r="VTY542"/>
      <c r="VTZ542"/>
      <c r="VUA542"/>
      <c r="VUB542"/>
      <c r="VUC542"/>
      <c r="VUD542"/>
      <c r="VUE542"/>
      <c r="VUF542"/>
      <c r="VUG542"/>
      <c r="VUH542"/>
      <c r="VUI542"/>
      <c r="VUJ542"/>
      <c r="VUK542"/>
      <c r="VUL542"/>
      <c r="VUM542"/>
      <c r="VUN542"/>
      <c r="VUO542"/>
      <c r="VUP542"/>
      <c r="VUQ542"/>
      <c r="VUR542"/>
      <c r="VUS542"/>
      <c r="VUT542"/>
      <c r="VUU542"/>
      <c r="VUV542"/>
      <c r="VUW542"/>
      <c r="VUX542"/>
      <c r="VUY542"/>
      <c r="VUZ542"/>
      <c r="VVA542"/>
      <c r="VVB542"/>
      <c r="VVC542"/>
      <c r="VVD542"/>
      <c r="VVE542"/>
      <c r="VVF542"/>
      <c r="VVG542"/>
      <c r="VVH542"/>
      <c r="VVI542"/>
      <c r="VVJ542"/>
      <c r="VVK542"/>
      <c r="VVL542"/>
      <c r="VVM542"/>
      <c r="VVN542"/>
      <c r="VVO542"/>
      <c r="VVP542"/>
      <c r="VVQ542"/>
      <c r="VVR542"/>
      <c r="VVS542"/>
      <c r="VVT542"/>
      <c r="VVU542"/>
      <c r="VVV542"/>
      <c r="VVW542"/>
      <c r="VVX542"/>
      <c r="VVY542"/>
      <c r="VVZ542"/>
      <c r="VWA542"/>
      <c r="VWB542"/>
      <c r="VWC542"/>
      <c r="VWD542"/>
      <c r="VWE542"/>
      <c r="VWF542"/>
      <c r="VWG542"/>
      <c r="VWH542"/>
      <c r="VWI542"/>
      <c r="VWJ542"/>
      <c r="VWK542"/>
      <c r="VWL542"/>
      <c r="VWM542"/>
      <c r="VWN542"/>
      <c r="VWO542"/>
      <c r="VWP542"/>
      <c r="VWQ542"/>
      <c r="VWR542"/>
      <c r="VWS542"/>
      <c r="VWT542"/>
      <c r="VWU542"/>
      <c r="VWV542"/>
      <c r="VWW542"/>
      <c r="VWX542"/>
      <c r="VWY542"/>
      <c r="VWZ542"/>
      <c r="VXA542"/>
      <c r="VXB542"/>
      <c r="VXC542"/>
      <c r="VXD542"/>
      <c r="VXE542"/>
      <c r="VXF542"/>
      <c r="VXG542"/>
      <c r="VXH542"/>
      <c r="VXI542"/>
      <c r="VXJ542"/>
      <c r="VXK542"/>
      <c r="VXL542"/>
      <c r="VXM542"/>
      <c r="VXN542"/>
      <c r="VXO542"/>
      <c r="VXP542"/>
      <c r="VXQ542"/>
      <c r="VXR542"/>
      <c r="VXS542"/>
      <c r="VXT542"/>
      <c r="VXU542"/>
      <c r="VXV542"/>
      <c r="VXW542"/>
      <c r="VXX542"/>
      <c r="VXY542"/>
      <c r="VXZ542"/>
      <c r="VYA542"/>
      <c r="VYB542"/>
      <c r="VYC542"/>
      <c r="VYD542"/>
      <c r="VYE542"/>
      <c r="VYF542"/>
      <c r="VYG542"/>
      <c r="VYH542"/>
      <c r="VYI542"/>
      <c r="VYJ542"/>
      <c r="VYK542"/>
      <c r="VYL542"/>
      <c r="VYM542"/>
      <c r="VYN542"/>
      <c r="VYO542"/>
      <c r="VYP542"/>
      <c r="VYQ542"/>
      <c r="VYR542"/>
      <c r="VYS542"/>
      <c r="VYT542"/>
      <c r="VYU542"/>
      <c r="VYV542"/>
      <c r="VYW542"/>
      <c r="VYX542"/>
      <c r="VYY542"/>
      <c r="VYZ542"/>
      <c r="VZA542"/>
      <c r="VZB542"/>
      <c r="VZC542"/>
      <c r="VZD542"/>
      <c r="VZE542"/>
      <c r="VZF542"/>
      <c r="VZG542"/>
      <c r="VZH542"/>
      <c r="VZI542"/>
      <c r="VZJ542"/>
      <c r="VZK542"/>
      <c r="VZL542"/>
      <c r="VZM542"/>
      <c r="VZN542"/>
      <c r="VZO542"/>
      <c r="VZP542"/>
      <c r="VZQ542"/>
      <c r="VZR542"/>
      <c r="VZS542"/>
      <c r="VZT542"/>
      <c r="VZU542"/>
      <c r="VZV542"/>
      <c r="VZW542"/>
      <c r="VZX542"/>
      <c r="VZY542"/>
      <c r="VZZ542"/>
      <c r="WAA542"/>
      <c r="WAB542"/>
      <c r="WAC542"/>
      <c r="WAD542"/>
      <c r="WAE542"/>
      <c r="WAF542"/>
      <c r="WAG542"/>
      <c r="WAH542"/>
      <c r="WAI542"/>
      <c r="WAJ542"/>
      <c r="WAK542"/>
      <c r="WAL542"/>
      <c r="WAM542"/>
      <c r="WAN542"/>
      <c r="WAO542"/>
      <c r="WAP542"/>
      <c r="WAQ542"/>
      <c r="WAR542"/>
      <c r="WAS542"/>
      <c r="WAT542"/>
      <c r="WAU542"/>
      <c r="WAV542"/>
      <c r="WAW542"/>
      <c r="WAX542"/>
      <c r="WAY542"/>
      <c r="WAZ542"/>
      <c r="WBA542"/>
      <c r="WBB542"/>
      <c r="WBC542"/>
      <c r="WBD542"/>
      <c r="WBE542"/>
      <c r="WBF542"/>
      <c r="WBG542"/>
      <c r="WBH542"/>
      <c r="WBI542"/>
      <c r="WBJ542"/>
      <c r="WBK542"/>
      <c r="WBL542"/>
      <c r="WBM542"/>
      <c r="WBN542"/>
      <c r="WBO542"/>
      <c r="WBP542"/>
      <c r="WBQ542"/>
      <c r="WBR542"/>
      <c r="WBS542"/>
      <c r="WBT542"/>
      <c r="WBU542"/>
      <c r="WBV542"/>
      <c r="WBW542"/>
      <c r="WBX542"/>
      <c r="WBY542"/>
      <c r="WBZ542"/>
      <c r="WCA542"/>
      <c r="WCB542"/>
      <c r="WCC542"/>
      <c r="WCD542"/>
      <c r="WCE542"/>
      <c r="WCF542"/>
      <c r="WCG542"/>
      <c r="WCH542"/>
      <c r="WCI542"/>
      <c r="WCJ542"/>
      <c r="WCK542"/>
      <c r="WCL542"/>
      <c r="WCM542"/>
      <c r="WCN542"/>
      <c r="WCO542"/>
      <c r="WCP542"/>
      <c r="WCQ542"/>
      <c r="WCR542"/>
      <c r="WCS542"/>
      <c r="WCT542"/>
      <c r="WCU542"/>
      <c r="WCV542"/>
      <c r="WCW542"/>
      <c r="WCX542"/>
      <c r="WCY542"/>
      <c r="WCZ542"/>
      <c r="WDA542"/>
      <c r="WDB542"/>
      <c r="WDC542"/>
      <c r="WDD542"/>
      <c r="WDE542"/>
      <c r="WDF542"/>
      <c r="WDG542"/>
      <c r="WDH542"/>
      <c r="WDI542"/>
      <c r="WDJ542"/>
      <c r="WDK542"/>
      <c r="WDL542"/>
      <c r="WDM542"/>
      <c r="WDN542"/>
      <c r="WDO542"/>
      <c r="WDP542"/>
      <c r="WDQ542"/>
      <c r="WDR542"/>
      <c r="WDS542"/>
      <c r="WDT542"/>
      <c r="WDU542"/>
      <c r="WDV542"/>
      <c r="WDW542"/>
      <c r="WDX542"/>
      <c r="WDY542"/>
      <c r="WDZ542"/>
      <c r="WEA542"/>
      <c r="WEB542"/>
      <c r="WEC542"/>
      <c r="WED542"/>
      <c r="WEE542"/>
      <c r="WEF542"/>
      <c r="WEG542"/>
      <c r="WEH542"/>
      <c r="WEI542"/>
      <c r="WEJ542"/>
      <c r="WEK542"/>
      <c r="WEL542"/>
      <c r="WEM542"/>
      <c r="WEN542"/>
      <c r="WEO542"/>
      <c r="WEP542"/>
      <c r="WEQ542"/>
      <c r="WER542"/>
      <c r="WES542"/>
      <c r="WET542"/>
      <c r="WEU542"/>
      <c r="WEV542"/>
      <c r="WEW542"/>
      <c r="WEX542"/>
      <c r="WEY542"/>
      <c r="WEZ542"/>
      <c r="WFA542"/>
      <c r="WFB542"/>
      <c r="WFC542"/>
      <c r="WFD542"/>
      <c r="WFE542"/>
      <c r="WFF542"/>
      <c r="WFG542"/>
      <c r="WFH542"/>
      <c r="WFI542"/>
      <c r="WFJ542"/>
      <c r="WFK542"/>
      <c r="WFL542"/>
      <c r="WFM542"/>
      <c r="WFN542"/>
      <c r="WFO542"/>
      <c r="WFP542"/>
      <c r="WFQ542"/>
      <c r="WFR542"/>
      <c r="WFS542"/>
      <c r="WFT542"/>
      <c r="WFU542"/>
      <c r="WFV542"/>
      <c r="WFW542"/>
      <c r="WFX542"/>
      <c r="WFY542"/>
      <c r="WFZ542"/>
      <c r="WGA542"/>
      <c r="WGB542"/>
      <c r="WGC542"/>
      <c r="WGD542"/>
      <c r="WGE542"/>
      <c r="WGF542"/>
      <c r="WGG542"/>
      <c r="WGH542"/>
      <c r="WGI542"/>
      <c r="WGJ542"/>
      <c r="WGK542"/>
      <c r="WGL542"/>
      <c r="WGM542"/>
      <c r="WGN542"/>
      <c r="WGO542"/>
      <c r="WGP542"/>
      <c r="WGQ542"/>
      <c r="WGR542"/>
      <c r="WGS542"/>
      <c r="WGT542"/>
      <c r="WGU542"/>
      <c r="WGV542"/>
      <c r="WGW542"/>
      <c r="WGX542"/>
      <c r="WGY542"/>
      <c r="WGZ542"/>
      <c r="WHA542"/>
      <c r="WHB542"/>
      <c r="WHC542"/>
      <c r="WHD542"/>
      <c r="WHE542"/>
      <c r="WHF542"/>
      <c r="WHG542"/>
      <c r="WHH542"/>
      <c r="WHI542"/>
      <c r="WHJ542"/>
      <c r="WHK542"/>
      <c r="WHL542"/>
      <c r="WHM542"/>
      <c r="WHN542"/>
      <c r="WHO542"/>
      <c r="WHP542"/>
      <c r="WHQ542"/>
      <c r="WHR542"/>
      <c r="WHS542"/>
      <c r="WHT542"/>
      <c r="WHU542"/>
      <c r="WHV542"/>
      <c r="WHW542"/>
      <c r="WHX542"/>
      <c r="WHY542"/>
      <c r="WHZ542"/>
      <c r="WIA542"/>
      <c r="WIB542"/>
      <c r="WIC542"/>
      <c r="WID542"/>
      <c r="WIE542"/>
      <c r="WIF542"/>
      <c r="WIG542"/>
      <c r="WIH542"/>
      <c r="WII542"/>
      <c r="WIJ542"/>
      <c r="WIK542"/>
      <c r="WIL542"/>
      <c r="WIM542"/>
      <c r="WIN542"/>
      <c r="WIO542"/>
      <c r="WIP542"/>
      <c r="WIQ542"/>
      <c r="WIR542"/>
      <c r="WIS542"/>
      <c r="WIT542"/>
      <c r="WIU542"/>
      <c r="WIV542"/>
      <c r="WIW542"/>
      <c r="WIX542"/>
      <c r="WIY542"/>
      <c r="WIZ542"/>
      <c r="WJA542"/>
      <c r="WJB542"/>
      <c r="WJC542"/>
      <c r="WJD542"/>
      <c r="WJE542"/>
      <c r="WJF542"/>
      <c r="WJG542"/>
      <c r="WJH542"/>
      <c r="WJI542"/>
      <c r="WJJ542"/>
      <c r="WJK542"/>
      <c r="WJL542"/>
      <c r="WJM542"/>
      <c r="WJN542"/>
      <c r="WJO542"/>
      <c r="WJP542"/>
      <c r="WJQ542"/>
      <c r="WJR542"/>
      <c r="WJS542"/>
      <c r="WJT542"/>
      <c r="WJU542"/>
      <c r="WJV542"/>
      <c r="WJW542"/>
      <c r="WJX542"/>
      <c r="WJY542"/>
      <c r="WJZ542"/>
      <c r="WKA542"/>
      <c r="WKB542"/>
      <c r="WKC542"/>
      <c r="WKD542"/>
      <c r="WKE542"/>
      <c r="WKF542"/>
      <c r="WKG542"/>
      <c r="WKH542"/>
      <c r="WKI542"/>
      <c r="WKJ542"/>
      <c r="WKK542"/>
      <c r="WKL542"/>
      <c r="WKM542"/>
      <c r="WKN542"/>
      <c r="WKO542"/>
      <c r="WKP542"/>
      <c r="WKQ542"/>
      <c r="WKR542"/>
      <c r="WKS542"/>
      <c r="WKT542"/>
      <c r="WKU542"/>
      <c r="WKV542"/>
      <c r="WKW542"/>
      <c r="WKX542"/>
      <c r="WKY542"/>
      <c r="WKZ542"/>
      <c r="WLA542"/>
      <c r="WLB542"/>
      <c r="WLC542"/>
      <c r="WLD542"/>
      <c r="WLE542"/>
      <c r="WLF542"/>
      <c r="WLG542"/>
      <c r="WLH542"/>
      <c r="WLI542"/>
      <c r="WLJ542"/>
      <c r="WLK542"/>
      <c r="WLL542"/>
      <c r="WLM542"/>
      <c r="WLN542"/>
      <c r="WLO542"/>
      <c r="WLP542"/>
      <c r="WLQ542"/>
      <c r="WLR542"/>
      <c r="WLS542"/>
      <c r="WLT542"/>
      <c r="WLU542"/>
      <c r="WLV542"/>
      <c r="WLW542"/>
      <c r="WLX542"/>
      <c r="WLY542"/>
      <c r="WLZ542"/>
      <c r="WMA542"/>
      <c r="WMB542"/>
      <c r="WMC542"/>
      <c r="WMD542"/>
      <c r="WME542"/>
      <c r="WMF542"/>
      <c r="WMG542"/>
      <c r="WMH542"/>
      <c r="WMI542"/>
      <c r="WMJ542"/>
      <c r="WMK542"/>
      <c r="WML542"/>
      <c r="WMM542"/>
      <c r="WMN542"/>
      <c r="WMO542"/>
      <c r="WMP542"/>
      <c r="WMQ542"/>
      <c r="WMR542"/>
      <c r="WMS542"/>
      <c r="WMT542"/>
      <c r="WMU542"/>
      <c r="WMV542"/>
      <c r="WMW542"/>
      <c r="WMX542"/>
      <c r="WMY542"/>
      <c r="WMZ542"/>
      <c r="WNA542"/>
      <c r="WNB542"/>
      <c r="WNC542"/>
      <c r="WND542"/>
      <c r="WNE542"/>
      <c r="WNF542"/>
      <c r="WNG542"/>
      <c r="WNH542"/>
      <c r="WNI542"/>
      <c r="WNJ542"/>
      <c r="WNK542"/>
      <c r="WNL542"/>
      <c r="WNM542"/>
      <c r="WNN542"/>
      <c r="WNO542"/>
      <c r="WNP542"/>
      <c r="WNQ542"/>
      <c r="WNR542"/>
      <c r="WNS542"/>
      <c r="WNT542"/>
      <c r="WNU542"/>
      <c r="WNV542"/>
      <c r="WNW542"/>
      <c r="WNX542"/>
      <c r="WNY542"/>
      <c r="WNZ542"/>
      <c r="WOA542"/>
      <c r="WOB542"/>
      <c r="WOC542"/>
      <c r="WOD542"/>
      <c r="WOE542"/>
      <c r="WOF542"/>
      <c r="WOG542"/>
      <c r="WOH542"/>
      <c r="WOI542"/>
      <c r="WOJ542"/>
      <c r="WOK542"/>
      <c r="WOL542"/>
      <c r="WOM542"/>
      <c r="WON542"/>
      <c r="WOO542"/>
      <c r="WOP542"/>
      <c r="WOQ542"/>
      <c r="WOR542"/>
      <c r="WOS542"/>
      <c r="WOT542"/>
      <c r="WOU542"/>
      <c r="WOV542"/>
      <c r="WOW542"/>
      <c r="WOX542"/>
      <c r="WOY542"/>
      <c r="WOZ542"/>
      <c r="WPA542"/>
      <c r="WPB542"/>
      <c r="WPC542"/>
      <c r="WPD542"/>
      <c r="WPE542"/>
      <c r="WPF542"/>
      <c r="WPG542"/>
      <c r="WPH542"/>
      <c r="WPI542"/>
      <c r="WPJ542"/>
      <c r="WPK542"/>
      <c r="WPL542"/>
      <c r="WPM542"/>
      <c r="WPN542"/>
      <c r="WPO542"/>
      <c r="WPP542"/>
      <c r="WPQ542"/>
      <c r="WPR542"/>
      <c r="WPS542"/>
      <c r="WPT542"/>
      <c r="WPU542"/>
      <c r="WPV542"/>
      <c r="WPW542"/>
      <c r="WPX542"/>
      <c r="WPY542"/>
      <c r="WPZ542"/>
      <c r="WQA542"/>
      <c r="WQB542"/>
      <c r="WQC542"/>
      <c r="WQD542"/>
      <c r="WQE542"/>
      <c r="WQF542"/>
      <c r="WQG542"/>
      <c r="WQH542"/>
      <c r="WQI542"/>
      <c r="WQJ542"/>
      <c r="WQK542"/>
      <c r="WQL542"/>
      <c r="WQM542"/>
      <c r="WQN542"/>
      <c r="WQO542"/>
      <c r="WQP542"/>
      <c r="WQQ542"/>
      <c r="WQR542"/>
      <c r="WQS542"/>
      <c r="WQT542"/>
      <c r="WQU542"/>
      <c r="WQV542"/>
      <c r="WQW542"/>
      <c r="WQX542"/>
      <c r="WQY542"/>
      <c r="WQZ542"/>
      <c r="WRA542"/>
      <c r="WRB542"/>
      <c r="WRC542"/>
      <c r="WRD542"/>
      <c r="WRE542"/>
      <c r="WRF542"/>
      <c r="WRG542"/>
      <c r="WRH542"/>
      <c r="WRI542"/>
      <c r="WRJ542"/>
      <c r="WRK542"/>
      <c r="WRL542"/>
      <c r="WRM542"/>
      <c r="WRN542"/>
      <c r="WRO542"/>
      <c r="WRP542"/>
      <c r="WRQ542"/>
      <c r="WRR542"/>
      <c r="WRS542"/>
      <c r="WRT542"/>
      <c r="WRU542"/>
      <c r="WRV542"/>
      <c r="WRW542"/>
      <c r="WRX542"/>
      <c r="WRY542"/>
      <c r="WRZ542"/>
      <c r="WSA542"/>
      <c r="WSB542"/>
      <c r="WSC542"/>
      <c r="WSD542"/>
      <c r="WSE542"/>
      <c r="WSF542"/>
      <c r="WSG542"/>
      <c r="WSH542"/>
      <c r="WSI542"/>
      <c r="WSJ542"/>
      <c r="WSK542"/>
      <c r="WSL542"/>
      <c r="WSM542"/>
      <c r="WSN542"/>
      <c r="WSO542"/>
      <c r="WSP542"/>
      <c r="WSQ542"/>
      <c r="WSR542"/>
      <c r="WSS542"/>
      <c r="WST542"/>
      <c r="WSU542"/>
      <c r="WSV542"/>
      <c r="WSW542"/>
      <c r="WSX542"/>
      <c r="WSY542"/>
      <c r="WSZ542"/>
      <c r="WTA542"/>
      <c r="WTB542"/>
      <c r="WTC542"/>
      <c r="WTD542"/>
      <c r="WTE542"/>
      <c r="WTF542"/>
      <c r="WTG542"/>
      <c r="WTH542"/>
      <c r="WTI542"/>
      <c r="WTJ542"/>
      <c r="WTK542"/>
      <c r="WTL542"/>
      <c r="WTM542"/>
      <c r="WTN542"/>
      <c r="WTO542"/>
      <c r="WTP542"/>
      <c r="WTQ542"/>
      <c r="WTR542"/>
      <c r="WTS542"/>
      <c r="WTT542"/>
      <c r="WTU542"/>
      <c r="WTV542"/>
      <c r="WTW542"/>
      <c r="WTX542"/>
      <c r="WTY542"/>
      <c r="WTZ542"/>
      <c r="WUA542"/>
      <c r="WUB542"/>
      <c r="WUC542"/>
      <c r="WUD542"/>
      <c r="WUE542"/>
      <c r="WUF542"/>
      <c r="WUG542"/>
      <c r="WUH542"/>
      <c r="WUI542"/>
      <c r="WUJ542"/>
      <c r="WUK542"/>
      <c r="WUL542"/>
      <c r="WUM542"/>
      <c r="WUN542"/>
      <c r="WUO542"/>
      <c r="WUP542"/>
      <c r="WUQ542"/>
      <c r="WUR542"/>
      <c r="WUS542"/>
      <c r="WUT542"/>
      <c r="WUU542"/>
      <c r="WUV542"/>
      <c r="WUW542"/>
      <c r="WUX542"/>
      <c r="WUY542"/>
      <c r="WUZ542"/>
      <c r="WVA542"/>
      <c r="WVB542"/>
      <c r="WVC542"/>
      <c r="WVD542"/>
      <c r="WVE542"/>
      <c r="WVF542"/>
      <c r="WVG542"/>
      <c r="WVH542"/>
      <c r="WVI542"/>
      <c r="WVJ542"/>
      <c r="WVK542"/>
      <c r="WVL542"/>
      <c r="WVM542"/>
      <c r="WVN542"/>
      <c r="WVO542"/>
      <c r="WVP542"/>
      <c r="WVQ542"/>
      <c r="WVR542"/>
      <c r="WVS542"/>
      <c r="WVT542"/>
      <c r="WVU542"/>
      <c r="WVV542"/>
      <c r="WVW542"/>
      <c r="WVX542"/>
      <c r="WVY542"/>
      <c r="WVZ542"/>
      <c r="WWA542"/>
      <c r="WWB542"/>
      <c r="WWC542"/>
      <c r="WWD542"/>
      <c r="WWE542"/>
      <c r="WWF542"/>
      <c r="WWG542"/>
      <c r="WWH542"/>
      <c r="WWI542"/>
      <c r="WWJ542"/>
      <c r="WWK542"/>
      <c r="WWL542"/>
      <c r="WWM542"/>
      <c r="WWN542"/>
      <c r="WWO542"/>
      <c r="WWP542"/>
      <c r="WWQ542"/>
      <c r="WWR542"/>
      <c r="WWS542"/>
      <c r="WWT542"/>
      <c r="WWU542"/>
      <c r="WWV542"/>
      <c r="WWW542"/>
      <c r="WWX542"/>
      <c r="WWY542"/>
      <c r="WWZ542"/>
      <c r="WXA542"/>
      <c r="WXB542"/>
      <c r="WXC542"/>
      <c r="WXD542"/>
      <c r="WXE542"/>
      <c r="WXF542"/>
      <c r="WXG542"/>
      <c r="WXH542"/>
      <c r="WXI542"/>
      <c r="WXJ542"/>
      <c r="WXK542"/>
      <c r="WXL542"/>
      <c r="WXM542"/>
      <c r="WXN542"/>
      <c r="WXO542"/>
      <c r="WXP542"/>
      <c r="WXQ542"/>
      <c r="WXR542"/>
      <c r="WXS542"/>
      <c r="WXT542"/>
      <c r="WXU542"/>
      <c r="WXV542"/>
      <c r="WXW542"/>
      <c r="WXX542"/>
      <c r="WXY542"/>
      <c r="WXZ542"/>
      <c r="WYA542"/>
      <c r="WYB542"/>
      <c r="WYC542"/>
      <c r="WYD542"/>
      <c r="WYE542"/>
      <c r="WYF542"/>
      <c r="WYG542"/>
      <c r="WYH542"/>
      <c r="WYI542"/>
      <c r="WYJ542"/>
      <c r="WYK542"/>
      <c r="WYL542"/>
      <c r="WYM542"/>
      <c r="WYN542"/>
      <c r="WYO542"/>
      <c r="WYP542"/>
      <c r="WYQ542"/>
      <c r="WYR542"/>
      <c r="WYS542"/>
      <c r="WYT542"/>
      <c r="WYU542"/>
      <c r="WYV542"/>
      <c r="WYW542"/>
      <c r="WYX542"/>
      <c r="WYY542"/>
      <c r="WYZ542"/>
      <c r="WZA542"/>
      <c r="WZB542"/>
      <c r="WZC542"/>
      <c r="WZD542"/>
      <c r="WZE542"/>
      <c r="WZF542"/>
      <c r="WZG542"/>
      <c r="WZH542"/>
      <c r="WZI542"/>
      <c r="WZJ542"/>
      <c r="WZK542"/>
      <c r="WZL542"/>
      <c r="WZM542"/>
      <c r="WZN542"/>
      <c r="WZO542"/>
      <c r="WZP542"/>
      <c r="WZQ542"/>
      <c r="WZR542"/>
      <c r="WZS542"/>
      <c r="WZT542"/>
      <c r="WZU542"/>
      <c r="WZV542"/>
      <c r="WZW542"/>
      <c r="WZX542"/>
      <c r="WZY542"/>
      <c r="WZZ542"/>
      <c r="XAA542"/>
      <c r="XAB542"/>
      <c r="XAC542"/>
      <c r="XAD542"/>
      <c r="XAE542"/>
      <c r="XAF542"/>
      <c r="XAG542"/>
      <c r="XAH542"/>
      <c r="XAI542"/>
      <c r="XAJ542"/>
      <c r="XAK542"/>
      <c r="XAL542"/>
      <c r="XAM542"/>
      <c r="XAN542"/>
      <c r="XAO542"/>
      <c r="XAP542"/>
      <c r="XAQ542"/>
      <c r="XAR542"/>
      <c r="XAS542"/>
      <c r="XAT542"/>
      <c r="XAU542"/>
      <c r="XAV542"/>
      <c r="XAW542"/>
      <c r="XAX542"/>
      <c r="XAY542"/>
      <c r="XAZ542"/>
      <c r="XBA542"/>
      <c r="XBB542"/>
      <c r="XBC542"/>
      <c r="XBD542"/>
      <c r="XBE542"/>
      <c r="XBF542"/>
      <c r="XBG542"/>
      <c r="XBH542"/>
      <c r="XBI542"/>
      <c r="XBJ542"/>
      <c r="XBK542"/>
      <c r="XBL542"/>
      <c r="XBM542"/>
      <c r="XBN542"/>
      <c r="XBO542"/>
      <c r="XBP542"/>
      <c r="XBQ542"/>
      <c r="XBR542"/>
      <c r="XBS542"/>
      <c r="XBT542"/>
      <c r="XBU542"/>
      <c r="XBV542"/>
      <c r="XBW542"/>
      <c r="XBX542"/>
      <c r="XBY542"/>
      <c r="XBZ542"/>
      <c r="XCA542"/>
      <c r="XCB542"/>
      <c r="XCC542"/>
      <c r="XCD542"/>
      <c r="XCE542"/>
      <c r="XCF542"/>
      <c r="XCG542"/>
      <c r="XCH542"/>
      <c r="XCI542"/>
      <c r="XCJ542"/>
      <c r="XCK542"/>
      <c r="XCL542"/>
      <c r="XCM542"/>
      <c r="XCN542"/>
      <c r="XCO542"/>
      <c r="XCP542"/>
      <c r="XCQ542"/>
      <c r="XCR542"/>
      <c r="XCS542"/>
      <c r="XCT542"/>
      <c r="XCU542"/>
      <c r="XCV542"/>
      <c r="XCW542"/>
      <c r="XCX542"/>
      <c r="XCY542"/>
      <c r="XCZ542"/>
      <c r="XDA542"/>
      <c r="XDB542"/>
      <c r="XDC542"/>
      <c r="XDD542"/>
      <c r="XDE542"/>
      <c r="XDF542"/>
      <c r="XDG542"/>
      <c r="XDH542"/>
      <c r="XDI542"/>
      <c r="XDJ542"/>
      <c r="XDK542"/>
      <c r="XDL542"/>
      <c r="XDM542"/>
      <c r="XDN542"/>
      <c r="XDO542"/>
      <c r="XDP542"/>
      <c r="XDQ542"/>
      <c r="XDR542"/>
      <c r="XDS542"/>
      <c r="XDT542"/>
      <c r="XDU542"/>
      <c r="XDV542"/>
      <c r="XDW542"/>
      <c r="XDX542"/>
      <c r="XDY542"/>
      <c r="XDZ542"/>
      <c r="XEA542"/>
      <c r="XEB542"/>
      <c r="XEC542"/>
      <c r="XED542"/>
      <c r="XEE542"/>
      <c r="XEF542"/>
      <c r="XEG542"/>
      <c r="XEH542"/>
      <c r="XEI542"/>
      <c r="XEJ542"/>
      <c r="XEK542"/>
      <c r="XEL542"/>
      <c r="XEM542"/>
      <c r="XEN542"/>
      <c r="XEO542"/>
      <c r="XEP542"/>
      <c r="XEQ542"/>
      <c r="XER542"/>
      <c r="XES542"/>
      <c r="XET542"/>
      <c r="XEU542"/>
      <c r="XEV542"/>
      <c r="XEW542"/>
      <c r="XEX542"/>
      <c r="XEY542"/>
      <c r="XEZ542"/>
    </row>
    <row r="543" spans="1:16380">
      <c r="A543" s="65" t="s">
        <v>1510</v>
      </c>
      <c r="B543" s="345" t="s">
        <v>2146</v>
      </c>
      <c r="C543" s="355">
        <v>152.4</v>
      </c>
      <c r="D543" s="355">
        <v>152.4</v>
      </c>
      <c r="E543" s="355">
        <v>76.2</v>
      </c>
      <c r="F543" s="355">
        <v>50.8</v>
      </c>
      <c r="G543" s="17">
        <f t="shared" si="60"/>
        <v>1.4748357599999999</v>
      </c>
      <c r="K543" s="56"/>
      <c r="L543" s="20"/>
      <c r="M543" s="20"/>
      <c r="N543" s="20"/>
      <c r="O543" s="20"/>
      <c r="P543" s="20"/>
      <c r="Q543" s="23"/>
      <c r="R543" s="22" t="s">
        <v>16</v>
      </c>
      <c r="S543" s="22" t="s">
        <v>16</v>
      </c>
      <c r="T543" s="753">
        <f t="shared" si="59"/>
        <v>458.78475345198643</v>
      </c>
      <c r="U543" s="22">
        <v>1</v>
      </c>
      <c r="V543"/>
      <c r="W543"/>
      <c r="X543" s="348"/>
      <c r="Y543"/>
      <c r="Z543"/>
      <c r="AA543"/>
      <c r="AB543"/>
      <c r="AC543"/>
      <c r="AD543"/>
      <c r="AE543"/>
      <c r="AF543"/>
      <c r="AG543"/>
      <c r="AH543"/>
      <c r="AI543"/>
      <c r="AJ543" s="348"/>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c r="KT543"/>
      <c r="KU543"/>
      <c r="KV543"/>
      <c r="KW543"/>
      <c r="KX543"/>
      <c r="KY543"/>
      <c r="KZ543"/>
      <c r="LA543"/>
      <c r="LB543"/>
      <c r="LC543"/>
      <c r="LD543"/>
      <c r="LE543"/>
      <c r="LF543"/>
      <c r="LG543"/>
      <c r="LH543"/>
      <c r="LI543"/>
      <c r="LJ543"/>
      <c r="LK543"/>
      <c r="LL543"/>
      <c r="LM543"/>
      <c r="LN543"/>
      <c r="LO543"/>
      <c r="LP543"/>
      <c r="LQ543"/>
      <c r="LR543"/>
      <c r="LS543"/>
      <c r="LT543"/>
      <c r="LU543"/>
      <c r="LV543"/>
      <c r="LW543"/>
      <c r="LX543"/>
      <c r="LY543"/>
      <c r="LZ543"/>
      <c r="MA543"/>
      <c r="MB543"/>
      <c r="MC543"/>
      <c r="MD543"/>
      <c r="ME543"/>
      <c r="MF543"/>
      <c r="MG543"/>
      <c r="MH543"/>
      <c r="MI543"/>
      <c r="MJ543"/>
      <c r="MK543"/>
      <c r="ML543"/>
      <c r="MM543"/>
      <c r="MN543"/>
      <c r="MO543"/>
      <c r="MP543"/>
      <c r="MQ543"/>
      <c r="MR543"/>
      <c r="MS543"/>
      <c r="MT543"/>
      <c r="MU543"/>
      <c r="MV543"/>
      <c r="MW543"/>
      <c r="MX543"/>
      <c r="MY543"/>
      <c r="MZ543"/>
      <c r="NA543"/>
      <c r="NB543"/>
      <c r="NC543"/>
      <c r="ND543"/>
      <c r="NE543"/>
      <c r="NF543"/>
      <c r="NG543"/>
      <c r="NH543"/>
      <c r="NI543"/>
      <c r="NJ543"/>
      <c r="NK543"/>
      <c r="NL543"/>
      <c r="NM543"/>
      <c r="NN543"/>
      <c r="NO543"/>
      <c r="NP543"/>
      <c r="NQ543"/>
      <c r="NR543"/>
      <c r="NS543"/>
      <c r="NT543"/>
      <c r="NU543"/>
      <c r="NV543"/>
      <c r="NW543"/>
      <c r="NX543"/>
      <c r="NY543"/>
      <c r="NZ543"/>
      <c r="OA543"/>
      <c r="OB543"/>
      <c r="OC543"/>
      <c r="OD543"/>
      <c r="OE543"/>
      <c r="OF543"/>
      <c r="OG543"/>
      <c r="OH543"/>
      <c r="OI543"/>
      <c r="OJ543"/>
      <c r="OK543"/>
      <c r="OL543"/>
      <c r="OM543"/>
      <c r="ON543"/>
      <c r="OO543"/>
      <c r="OP543"/>
      <c r="OQ543"/>
      <c r="OR543"/>
      <c r="OS543"/>
      <c r="OT543"/>
      <c r="OU543"/>
      <c r="OV543"/>
      <c r="OW543"/>
      <c r="OX543"/>
      <c r="OY543"/>
      <c r="OZ543"/>
      <c r="PA543"/>
      <c r="PB543"/>
      <c r="PC543"/>
      <c r="PD543"/>
      <c r="PE543"/>
      <c r="PF543"/>
      <c r="PG543"/>
      <c r="PH543"/>
      <c r="PI543"/>
      <c r="PJ543"/>
      <c r="PK543"/>
      <c r="PL543"/>
      <c r="PM543"/>
      <c r="PN543"/>
      <c r="PO543"/>
      <c r="PP543"/>
      <c r="PQ543"/>
      <c r="PR543"/>
      <c r="PS543"/>
      <c r="PT543"/>
      <c r="PU543"/>
      <c r="PV543"/>
      <c r="PW543"/>
      <c r="PX543"/>
      <c r="PY543"/>
      <c r="PZ543"/>
      <c r="QA543"/>
      <c r="QB543"/>
      <c r="QC543"/>
      <c r="QD543"/>
      <c r="QE543"/>
      <c r="QF543"/>
      <c r="QG543"/>
      <c r="QH543"/>
      <c r="QI543"/>
      <c r="QJ543"/>
      <c r="QK543"/>
      <c r="QL543"/>
      <c r="QM543"/>
      <c r="QN543"/>
      <c r="QO543"/>
      <c r="QP543"/>
      <c r="QQ543"/>
      <c r="QR543"/>
      <c r="QS543"/>
      <c r="QT543"/>
      <c r="QU543"/>
      <c r="QV543"/>
      <c r="QW543"/>
      <c r="QX543"/>
      <c r="QY543"/>
      <c r="QZ543"/>
      <c r="RA543"/>
      <c r="RB543"/>
      <c r="RC543"/>
      <c r="RD543"/>
      <c r="RE543"/>
      <c r="RF543"/>
      <c r="RG543"/>
      <c r="RH543"/>
      <c r="RI543"/>
      <c r="RJ543"/>
      <c r="RK543"/>
      <c r="RL543"/>
      <c r="RM543"/>
      <c r="RN543"/>
      <c r="RO543"/>
      <c r="RP543"/>
      <c r="RQ543"/>
      <c r="RR543"/>
      <c r="RS543"/>
      <c r="RT543"/>
      <c r="RU543"/>
      <c r="RV543"/>
      <c r="RW543"/>
      <c r="RX543"/>
      <c r="RY543"/>
      <c r="RZ543"/>
      <c r="SA543"/>
      <c r="SB543"/>
      <c r="SC543"/>
      <c r="SD543"/>
      <c r="SE543"/>
      <c r="SF543"/>
      <c r="SG543"/>
      <c r="SH543"/>
      <c r="SI543"/>
      <c r="SJ543"/>
      <c r="SK543"/>
      <c r="SL543"/>
      <c r="SM543"/>
      <c r="SN543"/>
      <c r="SO543"/>
      <c r="SP543"/>
      <c r="SQ543"/>
      <c r="SR543"/>
      <c r="SS543"/>
      <c r="ST543"/>
      <c r="SU543"/>
      <c r="SV543"/>
      <c r="SW543"/>
      <c r="SX543"/>
      <c r="SY543"/>
      <c r="SZ543"/>
      <c r="TA543"/>
      <c r="TB543"/>
      <c r="TC543"/>
      <c r="TD543"/>
      <c r="TE543"/>
      <c r="TF543"/>
      <c r="TG543"/>
      <c r="TH543"/>
      <c r="TI543"/>
      <c r="TJ543"/>
      <c r="TK543"/>
      <c r="TL543"/>
      <c r="TM543"/>
      <c r="TN543"/>
      <c r="TO543"/>
      <c r="TP543"/>
      <c r="TQ543"/>
      <c r="TR543"/>
      <c r="TS543"/>
      <c r="TT543"/>
      <c r="TU543"/>
      <c r="TV543"/>
      <c r="TW543"/>
      <c r="TX543"/>
      <c r="TY543"/>
      <c r="TZ543"/>
      <c r="UA543"/>
      <c r="UB543"/>
      <c r="UC543"/>
      <c r="UD543"/>
      <c r="UE543"/>
      <c r="UF543"/>
      <c r="UG543"/>
      <c r="UH543"/>
      <c r="UI543"/>
      <c r="UJ543"/>
      <c r="UK543"/>
      <c r="UL543"/>
      <c r="UM543"/>
      <c r="UN543"/>
      <c r="UO543"/>
      <c r="UP543"/>
      <c r="UQ543"/>
      <c r="UR543"/>
      <c r="US543"/>
      <c r="UT543"/>
      <c r="UU543"/>
      <c r="UV543"/>
      <c r="UW543"/>
      <c r="UX543"/>
      <c r="UY543"/>
      <c r="UZ543"/>
      <c r="VA543"/>
      <c r="VB543"/>
      <c r="VC543"/>
      <c r="VD543"/>
      <c r="VE543"/>
      <c r="VF543"/>
      <c r="VG543"/>
      <c r="VH543"/>
      <c r="VI543"/>
      <c r="VJ543"/>
      <c r="VK543"/>
      <c r="VL543"/>
      <c r="VM543"/>
      <c r="VN543"/>
      <c r="VO543"/>
      <c r="VP543"/>
      <c r="VQ543"/>
      <c r="VR543"/>
      <c r="VS543"/>
      <c r="VT543"/>
      <c r="VU543"/>
      <c r="VV543"/>
      <c r="VW543"/>
      <c r="VX543"/>
      <c r="VY543"/>
      <c r="VZ543"/>
      <c r="WA543"/>
      <c r="WB543"/>
      <c r="WC543"/>
      <c r="WD543"/>
      <c r="WE543"/>
      <c r="WF543"/>
      <c r="WG543"/>
      <c r="WH543"/>
      <c r="WI543"/>
      <c r="WJ543"/>
      <c r="WK543"/>
      <c r="WL543"/>
      <c r="WM543"/>
      <c r="WN543"/>
      <c r="WO543"/>
      <c r="WP543"/>
      <c r="WQ543"/>
      <c r="WR543"/>
      <c r="WS543"/>
      <c r="WT543"/>
      <c r="WU543"/>
      <c r="WV543"/>
      <c r="WW543"/>
      <c r="WX543"/>
      <c r="WY543"/>
      <c r="WZ543"/>
      <c r="XA543"/>
      <c r="XB543"/>
      <c r="XC543"/>
      <c r="XD543"/>
      <c r="XE543"/>
      <c r="XF543"/>
      <c r="XG543"/>
      <c r="XH543"/>
      <c r="XI543"/>
      <c r="XJ543"/>
      <c r="XK543"/>
      <c r="XL543"/>
      <c r="XM543"/>
      <c r="XN543"/>
      <c r="XO543"/>
      <c r="XP543"/>
      <c r="XQ543"/>
      <c r="XR543"/>
      <c r="XS543"/>
      <c r="XT543"/>
      <c r="XU543"/>
      <c r="XV543"/>
      <c r="XW543"/>
      <c r="XX543"/>
      <c r="XY543"/>
      <c r="XZ543"/>
      <c r="YA543"/>
      <c r="YB543"/>
      <c r="YC543"/>
      <c r="YD543"/>
      <c r="YE543"/>
      <c r="YF543"/>
      <c r="YG543"/>
      <c r="YH543"/>
      <c r="YI543"/>
      <c r="YJ543"/>
      <c r="YK543"/>
      <c r="YL543"/>
      <c r="YM543"/>
      <c r="YN543"/>
      <c r="YO543"/>
      <c r="YP543"/>
      <c r="YQ543"/>
      <c r="YR543"/>
      <c r="YS543"/>
      <c r="YT543"/>
      <c r="YU543"/>
      <c r="YV543"/>
      <c r="YW543"/>
      <c r="YX543"/>
      <c r="YY543"/>
      <c r="YZ543"/>
      <c r="ZA543"/>
      <c r="ZB543"/>
      <c r="ZC543"/>
      <c r="ZD543"/>
      <c r="ZE543"/>
      <c r="ZF543"/>
      <c r="ZG543"/>
      <c r="ZH543"/>
      <c r="ZI543"/>
      <c r="ZJ543"/>
      <c r="ZK543"/>
      <c r="ZL543"/>
      <c r="ZM543"/>
      <c r="ZN543"/>
      <c r="ZO543"/>
      <c r="ZP543"/>
      <c r="ZQ543"/>
      <c r="ZR543"/>
      <c r="ZS543"/>
      <c r="ZT543"/>
      <c r="ZU543"/>
      <c r="ZV543"/>
      <c r="ZW543"/>
      <c r="ZX543"/>
      <c r="ZY543"/>
      <c r="ZZ543"/>
      <c r="AAA543"/>
      <c r="AAB543"/>
      <c r="AAC543"/>
      <c r="AAD543"/>
      <c r="AAE543"/>
      <c r="AAF543"/>
      <c r="AAG543"/>
      <c r="AAH543"/>
      <c r="AAI543"/>
      <c r="AAJ543"/>
      <c r="AAK543"/>
      <c r="AAL543"/>
      <c r="AAM543"/>
      <c r="AAN543"/>
      <c r="AAO543"/>
      <c r="AAP543"/>
      <c r="AAQ543"/>
      <c r="AAR543"/>
      <c r="AAS543"/>
      <c r="AAT543"/>
      <c r="AAU543"/>
      <c r="AAV543"/>
      <c r="AAW543"/>
      <c r="AAX543"/>
      <c r="AAY543"/>
      <c r="AAZ543"/>
      <c r="ABA543"/>
      <c r="ABB543"/>
      <c r="ABC543"/>
      <c r="ABD543"/>
      <c r="ABE543"/>
      <c r="ABF543"/>
      <c r="ABG543"/>
      <c r="ABH543"/>
      <c r="ABI543"/>
      <c r="ABJ543"/>
      <c r="ABK543"/>
      <c r="ABL543"/>
      <c r="ABM543"/>
      <c r="ABN543"/>
      <c r="ABO543"/>
      <c r="ABP543"/>
      <c r="ABQ543"/>
      <c r="ABR543"/>
      <c r="ABS543"/>
      <c r="ABT543"/>
      <c r="ABU543"/>
      <c r="ABV543"/>
      <c r="ABW543"/>
      <c r="ABX543"/>
      <c r="ABY543"/>
      <c r="ABZ543"/>
      <c r="ACA543"/>
      <c r="ACB543"/>
      <c r="ACC543"/>
      <c r="ACD543"/>
      <c r="ACE543"/>
      <c r="ACF543"/>
      <c r="ACG543"/>
      <c r="ACH543"/>
      <c r="ACI543"/>
      <c r="ACJ543"/>
      <c r="ACK543"/>
      <c r="ACL543"/>
      <c r="ACM543"/>
      <c r="ACN543"/>
      <c r="ACO543"/>
      <c r="ACP543"/>
      <c r="ACQ543"/>
      <c r="ACR543"/>
      <c r="ACS543"/>
      <c r="ACT543"/>
      <c r="ACU543"/>
      <c r="ACV543"/>
      <c r="ACW543"/>
      <c r="ACX543"/>
      <c r="ACY543"/>
      <c r="ACZ543"/>
      <c r="ADA543"/>
      <c r="ADB543"/>
      <c r="ADC543"/>
      <c r="ADD543"/>
      <c r="ADE543"/>
      <c r="ADF543"/>
      <c r="ADG543"/>
      <c r="ADH543"/>
      <c r="ADI543"/>
      <c r="ADJ543"/>
      <c r="ADK543"/>
      <c r="ADL543"/>
      <c r="ADM543"/>
      <c r="ADN543"/>
      <c r="ADO543"/>
      <c r="ADP543"/>
      <c r="ADQ543"/>
      <c r="ADR543"/>
      <c r="ADS543"/>
      <c r="ADT543"/>
      <c r="ADU543"/>
      <c r="ADV543"/>
      <c r="ADW543"/>
      <c r="ADX543"/>
      <c r="ADY543"/>
      <c r="ADZ543"/>
      <c r="AEA543"/>
      <c r="AEB543"/>
      <c r="AEC543"/>
      <c r="AED543"/>
      <c r="AEE543"/>
      <c r="AEF543"/>
      <c r="AEG543"/>
      <c r="AEH543"/>
      <c r="AEI543"/>
      <c r="AEJ543"/>
      <c r="AEK543"/>
      <c r="AEL543"/>
      <c r="AEM543"/>
      <c r="AEN543"/>
      <c r="AEO543"/>
      <c r="AEP543"/>
      <c r="AEQ543"/>
      <c r="AER543"/>
      <c r="AES543"/>
      <c r="AET543"/>
      <c r="AEU543"/>
      <c r="AEV543"/>
      <c r="AEW543"/>
      <c r="AEX543"/>
      <c r="AEY543"/>
      <c r="AEZ543"/>
      <c r="AFA543"/>
      <c r="AFB543"/>
      <c r="AFC543"/>
      <c r="AFD543"/>
      <c r="AFE543"/>
      <c r="AFF543"/>
      <c r="AFG543"/>
      <c r="AFH543"/>
      <c r="AFI543"/>
      <c r="AFJ543"/>
      <c r="AFK543"/>
      <c r="AFL543"/>
      <c r="AFM543"/>
      <c r="AFN543"/>
      <c r="AFO543"/>
      <c r="AFP543"/>
      <c r="AFQ543"/>
      <c r="AFR543"/>
      <c r="AFS543"/>
      <c r="AFT543"/>
      <c r="AFU543"/>
      <c r="AFV543"/>
      <c r="AFW543"/>
      <c r="AFX543"/>
      <c r="AFY543"/>
      <c r="AFZ543"/>
      <c r="AGA543"/>
      <c r="AGB543"/>
      <c r="AGC543"/>
      <c r="AGD543"/>
      <c r="AGE543"/>
      <c r="AGF543"/>
      <c r="AGG543"/>
      <c r="AGH543"/>
      <c r="AGI543"/>
      <c r="AGJ543"/>
      <c r="AGK543"/>
      <c r="AGL543"/>
      <c r="AGM543"/>
      <c r="AGN543"/>
      <c r="AGO543"/>
      <c r="AGP543"/>
      <c r="AGQ543"/>
      <c r="AGR543"/>
      <c r="AGS543"/>
      <c r="AGT543"/>
      <c r="AGU543"/>
      <c r="AGV543"/>
      <c r="AGW543"/>
      <c r="AGX543"/>
      <c r="AGY543"/>
      <c r="AGZ543"/>
      <c r="AHA543"/>
      <c r="AHB543"/>
      <c r="AHC543"/>
      <c r="AHD543"/>
      <c r="AHE543"/>
      <c r="AHF543"/>
      <c r="AHG543"/>
      <c r="AHH543"/>
      <c r="AHI543"/>
      <c r="AHJ543"/>
      <c r="AHK543"/>
      <c r="AHL543"/>
      <c r="AHM543"/>
      <c r="AHN543"/>
      <c r="AHO543"/>
      <c r="AHP543"/>
      <c r="AHQ543"/>
      <c r="AHR543"/>
      <c r="AHS543"/>
      <c r="AHT543"/>
      <c r="AHU543"/>
      <c r="AHV543"/>
      <c r="AHW543"/>
      <c r="AHX543"/>
      <c r="AHY543"/>
      <c r="AHZ543"/>
      <c r="AIA543"/>
      <c r="AIB543"/>
      <c r="AIC543"/>
      <c r="AID543"/>
      <c r="AIE543"/>
      <c r="AIF543"/>
      <c r="AIG543"/>
      <c r="AIH543"/>
      <c r="AII543"/>
      <c r="AIJ543"/>
      <c r="AIK543"/>
      <c r="AIL543"/>
      <c r="AIM543"/>
      <c r="AIN543"/>
      <c r="AIO543"/>
      <c r="AIP543"/>
      <c r="AIQ543"/>
      <c r="AIR543"/>
      <c r="AIS543"/>
      <c r="AIT543"/>
      <c r="AIU543"/>
      <c r="AIV543"/>
      <c r="AIW543"/>
      <c r="AIX543"/>
      <c r="AIY543"/>
      <c r="AIZ543"/>
      <c r="AJA543"/>
      <c r="AJB543"/>
      <c r="AJC543"/>
      <c r="AJD543"/>
      <c r="AJE543"/>
      <c r="AJF543"/>
      <c r="AJG543"/>
      <c r="AJH543"/>
      <c r="AJI543"/>
      <c r="AJJ543"/>
      <c r="AJK543"/>
      <c r="AJL543"/>
      <c r="AJM543"/>
      <c r="AJN543"/>
      <c r="AJO543"/>
      <c r="AJP543"/>
      <c r="AJQ543"/>
      <c r="AJR543"/>
      <c r="AJS543"/>
      <c r="AJT543"/>
      <c r="AJU543"/>
      <c r="AJV543"/>
      <c r="AJW543"/>
      <c r="AJX543"/>
      <c r="AJY543"/>
      <c r="AJZ543"/>
      <c r="AKA543"/>
      <c r="AKB543"/>
      <c r="AKC543"/>
      <c r="AKD543"/>
      <c r="AKE543"/>
      <c r="AKF543"/>
      <c r="AKG543"/>
      <c r="AKH543"/>
      <c r="AKI543"/>
      <c r="AKJ543"/>
      <c r="AKK543"/>
      <c r="AKL543"/>
      <c r="AKM543"/>
      <c r="AKN543"/>
      <c r="AKO543"/>
      <c r="AKP543"/>
      <c r="AKQ543"/>
      <c r="AKR543"/>
      <c r="AKS543"/>
      <c r="AKT543"/>
      <c r="AKU543"/>
      <c r="AKV543"/>
      <c r="AKW543"/>
      <c r="AKX543"/>
      <c r="AKY543"/>
      <c r="AKZ543"/>
      <c r="ALA543"/>
      <c r="ALB543"/>
      <c r="ALC543"/>
      <c r="ALD543"/>
      <c r="ALE543"/>
      <c r="ALF543"/>
      <c r="ALG543"/>
      <c r="ALH543"/>
      <c r="ALI543"/>
      <c r="ALJ543"/>
      <c r="ALK543"/>
      <c r="ALL543"/>
      <c r="ALM543"/>
      <c r="ALN543"/>
      <c r="ALO543"/>
      <c r="ALP543"/>
      <c r="ALQ543"/>
      <c r="ALR543"/>
      <c r="ALS543"/>
      <c r="ALT543"/>
      <c r="ALU543"/>
      <c r="ALV543"/>
      <c r="ALW543"/>
      <c r="ALX543"/>
      <c r="ALY543"/>
      <c r="ALZ543"/>
      <c r="AMA543"/>
      <c r="AMB543"/>
      <c r="AMC543"/>
      <c r="AMD543"/>
      <c r="AME543"/>
      <c r="AMF543"/>
      <c r="AMG543"/>
      <c r="AMH543"/>
      <c r="AMI543"/>
      <c r="AMJ543"/>
      <c r="AMK543"/>
      <c r="AML543"/>
      <c r="AMM543"/>
      <c r="AMN543"/>
      <c r="AMO543"/>
      <c r="AMP543"/>
      <c r="AMQ543"/>
      <c r="AMR543"/>
      <c r="AMS543"/>
      <c r="AMT543"/>
      <c r="AMU543"/>
      <c r="AMV543"/>
      <c r="AMW543"/>
      <c r="AMX543"/>
      <c r="AMY543"/>
      <c r="AMZ543"/>
      <c r="ANA543"/>
      <c r="ANB543"/>
      <c r="ANC543"/>
      <c r="AND543"/>
      <c r="ANE543"/>
      <c r="ANF543"/>
      <c r="ANG543"/>
      <c r="ANH543"/>
      <c r="ANI543"/>
      <c r="ANJ543"/>
      <c r="ANK543"/>
      <c r="ANL543"/>
      <c r="ANM543"/>
      <c r="ANN543"/>
      <c r="ANO543"/>
      <c r="ANP543"/>
      <c r="ANQ543"/>
      <c r="ANR543"/>
      <c r="ANS543"/>
      <c r="ANT543"/>
      <c r="ANU543"/>
      <c r="ANV543"/>
      <c r="ANW543"/>
      <c r="ANX543"/>
      <c r="ANY543"/>
      <c r="ANZ543"/>
      <c r="AOA543"/>
      <c r="AOB543"/>
      <c r="AOC543"/>
      <c r="AOD543"/>
      <c r="AOE543"/>
      <c r="AOF543"/>
      <c r="AOG543"/>
      <c r="AOH543"/>
      <c r="AOI543"/>
      <c r="AOJ543"/>
      <c r="AOK543"/>
      <c r="AOL543"/>
      <c r="AOM543"/>
      <c r="AON543"/>
      <c r="AOO543"/>
      <c r="AOP543"/>
      <c r="AOQ543"/>
      <c r="AOR543"/>
      <c r="AOS543"/>
      <c r="AOT543"/>
      <c r="AOU543"/>
      <c r="AOV543"/>
      <c r="AOW543"/>
      <c r="AOX543"/>
      <c r="AOY543"/>
      <c r="AOZ543"/>
      <c r="APA543"/>
      <c r="APB543"/>
      <c r="APC543"/>
      <c r="APD543"/>
      <c r="APE543"/>
      <c r="APF543"/>
      <c r="APG543"/>
      <c r="APH543"/>
      <c r="API543"/>
      <c r="APJ543"/>
      <c r="APK543"/>
      <c r="APL543"/>
      <c r="APM543"/>
      <c r="APN543"/>
      <c r="APO543"/>
      <c r="APP543"/>
      <c r="APQ543"/>
      <c r="APR543"/>
      <c r="APS543"/>
      <c r="APT543"/>
      <c r="APU543"/>
      <c r="APV543"/>
      <c r="APW543"/>
      <c r="APX543"/>
      <c r="APY543"/>
      <c r="APZ543"/>
      <c r="AQA543"/>
      <c r="AQB543"/>
      <c r="AQC543"/>
      <c r="AQD543"/>
      <c r="AQE543"/>
      <c r="AQF543"/>
      <c r="AQG543"/>
      <c r="AQH543"/>
      <c r="AQI543"/>
      <c r="AQJ543"/>
      <c r="AQK543"/>
      <c r="AQL543"/>
      <c r="AQM543"/>
      <c r="AQN543"/>
      <c r="AQO543"/>
      <c r="AQP543"/>
      <c r="AQQ543"/>
      <c r="AQR543"/>
      <c r="AQS543"/>
      <c r="AQT543"/>
      <c r="AQU543"/>
      <c r="AQV543"/>
      <c r="AQW543"/>
      <c r="AQX543"/>
      <c r="AQY543"/>
      <c r="AQZ543"/>
      <c r="ARA543"/>
      <c r="ARB543"/>
      <c r="ARC543"/>
      <c r="ARD543"/>
      <c r="ARE543"/>
      <c r="ARF543"/>
      <c r="ARG543"/>
      <c r="ARH543"/>
      <c r="ARI543"/>
      <c r="ARJ543"/>
      <c r="ARK543"/>
      <c r="ARL543"/>
      <c r="ARM543"/>
      <c r="ARN543"/>
      <c r="ARO543"/>
      <c r="ARP543"/>
      <c r="ARQ543"/>
      <c r="ARR543"/>
      <c r="ARS543"/>
      <c r="ART543"/>
      <c r="ARU543"/>
      <c r="ARV543"/>
      <c r="ARW543"/>
      <c r="ARX543"/>
      <c r="ARY543"/>
      <c r="ARZ543"/>
      <c r="ASA543"/>
      <c r="ASB543"/>
      <c r="ASC543"/>
      <c r="ASD543"/>
      <c r="ASE543"/>
      <c r="ASF543"/>
      <c r="ASG543"/>
      <c r="ASH543"/>
      <c r="ASI543"/>
      <c r="ASJ543"/>
      <c r="ASK543"/>
      <c r="ASL543"/>
      <c r="ASM543"/>
      <c r="ASN543"/>
      <c r="ASO543"/>
      <c r="ASP543"/>
      <c r="ASQ543"/>
      <c r="ASR543"/>
      <c r="ASS543"/>
      <c r="AST543"/>
      <c r="ASU543"/>
      <c r="ASV543"/>
      <c r="ASW543"/>
      <c r="ASX543"/>
      <c r="ASY543"/>
      <c r="ASZ543"/>
      <c r="ATA543"/>
      <c r="ATB543"/>
      <c r="ATC543"/>
      <c r="ATD543"/>
      <c r="ATE543"/>
      <c r="ATF543"/>
      <c r="ATG543"/>
      <c r="ATH543"/>
      <c r="ATI543"/>
      <c r="ATJ543"/>
      <c r="ATK543"/>
      <c r="ATL543"/>
      <c r="ATM543"/>
      <c r="ATN543"/>
      <c r="ATO543"/>
      <c r="ATP543"/>
      <c r="ATQ543"/>
      <c r="ATR543"/>
      <c r="ATS543"/>
      <c r="ATT543"/>
      <c r="ATU543"/>
      <c r="ATV543"/>
      <c r="ATW543"/>
      <c r="ATX543"/>
      <c r="ATY543"/>
      <c r="ATZ543"/>
      <c r="AUA543"/>
      <c r="AUB543"/>
      <c r="AUC543"/>
      <c r="AUD543"/>
      <c r="AUE543"/>
      <c r="AUF543"/>
      <c r="AUG543"/>
      <c r="AUH543"/>
      <c r="AUI543"/>
      <c r="AUJ543"/>
      <c r="AUK543"/>
      <c r="AUL543"/>
      <c r="AUM543"/>
      <c r="AUN543"/>
      <c r="AUO543"/>
      <c r="AUP543"/>
      <c r="AUQ543"/>
      <c r="AUR543"/>
      <c r="AUS543"/>
      <c r="AUT543"/>
      <c r="AUU543"/>
      <c r="AUV543"/>
      <c r="AUW543"/>
      <c r="AUX543"/>
      <c r="AUY543"/>
      <c r="AUZ543"/>
      <c r="AVA543"/>
      <c r="AVB543"/>
      <c r="AVC543"/>
      <c r="AVD543"/>
      <c r="AVE543"/>
      <c r="AVF543"/>
      <c r="AVG543"/>
      <c r="AVH543"/>
      <c r="AVI543"/>
      <c r="AVJ543"/>
      <c r="AVK543"/>
      <c r="AVL543"/>
      <c r="AVM543"/>
      <c r="AVN543"/>
      <c r="AVO543"/>
      <c r="AVP543"/>
      <c r="AVQ543"/>
      <c r="AVR543"/>
      <c r="AVS543"/>
      <c r="AVT543"/>
      <c r="AVU543"/>
      <c r="AVV543"/>
      <c r="AVW543"/>
      <c r="AVX543"/>
      <c r="AVY543"/>
      <c r="AVZ543"/>
      <c r="AWA543"/>
      <c r="AWB543"/>
      <c r="AWC543"/>
      <c r="AWD543"/>
      <c r="AWE543"/>
      <c r="AWF543"/>
      <c r="AWG543"/>
      <c r="AWH543"/>
      <c r="AWI543"/>
      <c r="AWJ543"/>
      <c r="AWK543"/>
      <c r="AWL543"/>
      <c r="AWM543"/>
      <c r="AWN543"/>
      <c r="AWO543"/>
      <c r="AWP543"/>
      <c r="AWQ543"/>
      <c r="AWR543"/>
      <c r="AWS543"/>
      <c r="AWT543"/>
      <c r="AWU543"/>
      <c r="AWV543"/>
      <c r="AWW543"/>
      <c r="AWX543"/>
      <c r="AWY543"/>
      <c r="AWZ543"/>
      <c r="AXA543"/>
      <c r="AXB543"/>
      <c r="AXC543"/>
      <c r="AXD543"/>
      <c r="AXE543"/>
      <c r="AXF543"/>
      <c r="AXG543"/>
      <c r="AXH543"/>
      <c r="AXI543"/>
      <c r="AXJ543"/>
      <c r="AXK543"/>
      <c r="AXL543"/>
      <c r="AXM543"/>
      <c r="AXN543"/>
      <c r="AXO543"/>
      <c r="AXP543"/>
      <c r="AXQ543"/>
      <c r="AXR543"/>
      <c r="AXS543"/>
      <c r="AXT543"/>
      <c r="AXU543"/>
      <c r="AXV543"/>
      <c r="AXW543"/>
      <c r="AXX543"/>
      <c r="AXY543"/>
      <c r="AXZ543"/>
      <c r="AYA543"/>
      <c r="AYB543"/>
      <c r="AYC543"/>
      <c r="AYD543"/>
      <c r="AYE543"/>
      <c r="AYF543"/>
      <c r="AYG543"/>
      <c r="AYH543"/>
      <c r="AYI543"/>
      <c r="AYJ543"/>
      <c r="AYK543"/>
      <c r="AYL543"/>
      <c r="AYM543"/>
      <c r="AYN543"/>
      <c r="AYO543"/>
      <c r="AYP543"/>
      <c r="AYQ543"/>
      <c r="AYR543"/>
      <c r="AYS543"/>
      <c r="AYT543"/>
      <c r="AYU543"/>
      <c r="AYV543"/>
      <c r="AYW543"/>
      <c r="AYX543"/>
      <c r="AYY543"/>
      <c r="AYZ543"/>
      <c r="AZA543"/>
      <c r="AZB543"/>
      <c r="AZC543"/>
      <c r="AZD543"/>
      <c r="AZE543"/>
      <c r="AZF543"/>
      <c r="AZG543"/>
      <c r="AZH543"/>
      <c r="AZI543"/>
      <c r="AZJ543"/>
      <c r="AZK543"/>
      <c r="AZL543"/>
      <c r="AZM543"/>
      <c r="AZN543"/>
      <c r="AZO543"/>
      <c r="AZP543"/>
      <c r="AZQ543"/>
      <c r="AZR543"/>
      <c r="AZS543"/>
      <c r="AZT543"/>
      <c r="AZU543"/>
      <c r="AZV543"/>
      <c r="AZW543"/>
      <c r="AZX543"/>
      <c r="AZY543"/>
      <c r="AZZ543"/>
      <c r="BAA543"/>
      <c r="BAB543"/>
      <c r="BAC543"/>
      <c r="BAD543"/>
      <c r="BAE543"/>
      <c r="BAF543"/>
      <c r="BAG543"/>
      <c r="BAH543"/>
      <c r="BAI543"/>
      <c r="BAJ543"/>
      <c r="BAK543"/>
      <c r="BAL543"/>
      <c r="BAM543"/>
      <c r="BAN543"/>
      <c r="BAO543"/>
      <c r="BAP543"/>
      <c r="BAQ543"/>
      <c r="BAR543"/>
      <c r="BAS543"/>
      <c r="BAT543"/>
      <c r="BAU543"/>
      <c r="BAV543"/>
      <c r="BAW543"/>
      <c r="BAX543"/>
      <c r="BAY543"/>
      <c r="BAZ543"/>
      <c r="BBA543"/>
      <c r="BBB543"/>
      <c r="BBC543"/>
      <c r="BBD543"/>
      <c r="BBE543"/>
      <c r="BBF543"/>
      <c r="BBG543"/>
      <c r="BBH543"/>
      <c r="BBI543"/>
      <c r="BBJ543"/>
      <c r="BBK543"/>
      <c r="BBL543"/>
      <c r="BBM543"/>
      <c r="BBN543"/>
      <c r="BBO543"/>
      <c r="BBP543"/>
      <c r="BBQ543"/>
      <c r="BBR543"/>
      <c r="BBS543"/>
      <c r="BBT543"/>
      <c r="BBU543"/>
      <c r="BBV543"/>
      <c r="BBW543"/>
      <c r="BBX543"/>
      <c r="BBY543"/>
      <c r="BBZ543"/>
      <c r="BCA543"/>
      <c r="BCB543"/>
      <c r="BCC543"/>
      <c r="BCD543"/>
      <c r="BCE543"/>
      <c r="BCF543"/>
      <c r="BCG543"/>
      <c r="BCH543"/>
      <c r="BCI543"/>
      <c r="BCJ543"/>
      <c r="BCK543"/>
      <c r="BCL543"/>
      <c r="BCM543"/>
      <c r="BCN543"/>
      <c r="BCO543"/>
      <c r="BCP543"/>
      <c r="BCQ543"/>
      <c r="BCR543"/>
      <c r="BCS543"/>
      <c r="BCT543"/>
      <c r="BCU543"/>
      <c r="BCV543"/>
      <c r="BCW543"/>
      <c r="BCX543"/>
      <c r="BCY543"/>
      <c r="BCZ543"/>
      <c r="BDA543"/>
      <c r="BDB543"/>
      <c r="BDC543"/>
      <c r="BDD543"/>
      <c r="BDE543"/>
      <c r="BDF543"/>
      <c r="BDG543"/>
      <c r="BDH543"/>
      <c r="BDI543"/>
      <c r="BDJ543"/>
      <c r="BDK543"/>
      <c r="BDL543"/>
      <c r="BDM543"/>
      <c r="BDN543"/>
      <c r="BDO543"/>
      <c r="BDP543"/>
      <c r="BDQ543"/>
      <c r="BDR543"/>
      <c r="BDS543"/>
      <c r="BDT543"/>
      <c r="BDU543"/>
      <c r="BDV543"/>
      <c r="BDW543"/>
      <c r="BDX543"/>
      <c r="BDY543"/>
      <c r="BDZ543"/>
      <c r="BEA543"/>
      <c r="BEB543"/>
      <c r="BEC543"/>
      <c r="BED543"/>
      <c r="BEE543"/>
      <c r="BEF543"/>
      <c r="BEG543"/>
      <c r="BEH543"/>
      <c r="BEI543"/>
      <c r="BEJ543"/>
      <c r="BEK543"/>
      <c r="BEL543"/>
      <c r="BEM543"/>
      <c r="BEN543"/>
      <c r="BEO543"/>
      <c r="BEP543"/>
      <c r="BEQ543"/>
      <c r="BER543"/>
      <c r="BES543"/>
      <c r="BET543"/>
      <c r="BEU543"/>
      <c r="BEV543"/>
      <c r="BEW543"/>
      <c r="BEX543"/>
      <c r="BEY543"/>
      <c r="BEZ543"/>
      <c r="BFA543"/>
      <c r="BFB543"/>
      <c r="BFC543"/>
      <c r="BFD543"/>
      <c r="BFE543"/>
      <c r="BFF543"/>
      <c r="BFG543"/>
      <c r="BFH543"/>
      <c r="BFI543"/>
      <c r="BFJ543"/>
      <c r="BFK543"/>
      <c r="BFL543"/>
      <c r="BFM543"/>
      <c r="BFN543"/>
      <c r="BFO543"/>
      <c r="BFP543"/>
      <c r="BFQ543"/>
      <c r="BFR543"/>
      <c r="BFS543"/>
      <c r="BFT543"/>
      <c r="BFU543"/>
      <c r="BFV543"/>
      <c r="BFW543"/>
      <c r="BFX543"/>
      <c r="BFY543"/>
      <c r="BFZ543"/>
      <c r="BGA543"/>
      <c r="BGB543"/>
      <c r="BGC543"/>
      <c r="BGD543"/>
      <c r="BGE543"/>
      <c r="BGF543"/>
      <c r="BGG543"/>
      <c r="BGH543"/>
      <c r="BGI543"/>
      <c r="BGJ543"/>
      <c r="BGK543"/>
      <c r="BGL543"/>
      <c r="BGM543"/>
      <c r="BGN543"/>
      <c r="BGO543"/>
      <c r="BGP543"/>
      <c r="BGQ543"/>
      <c r="BGR543"/>
      <c r="BGS543"/>
      <c r="BGT543"/>
      <c r="BGU543"/>
      <c r="BGV543"/>
      <c r="BGW543"/>
      <c r="BGX543"/>
      <c r="BGY543"/>
      <c r="BGZ543"/>
      <c r="BHA543"/>
      <c r="BHB543"/>
      <c r="BHC543"/>
      <c r="BHD543"/>
      <c r="BHE543"/>
      <c r="BHF543"/>
      <c r="BHG543"/>
      <c r="BHH543"/>
      <c r="BHI543"/>
      <c r="BHJ543"/>
      <c r="BHK543"/>
      <c r="BHL543"/>
      <c r="BHM543"/>
      <c r="BHN543"/>
      <c r="BHO543"/>
      <c r="BHP543"/>
      <c r="BHQ543"/>
      <c r="BHR543"/>
      <c r="BHS543"/>
      <c r="BHT543"/>
      <c r="BHU543"/>
      <c r="BHV543"/>
      <c r="BHW543"/>
      <c r="BHX543"/>
      <c r="BHY543"/>
      <c r="BHZ543"/>
      <c r="BIA543"/>
      <c r="BIB543"/>
      <c r="BIC543"/>
      <c r="BID543"/>
      <c r="BIE543"/>
      <c r="BIF543"/>
      <c r="BIG543"/>
      <c r="BIH543"/>
      <c r="BII543"/>
      <c r="BIJ543"/>
      <c r="BIK543"/>
      <c r="BIL543"/>
      <c r="BIM543"/>
      <c r="BIN543"/>
      <c r="BIO543"/>
      <c r="BIP543"/>
      <c r="BIQ543"/>
      <c r="BIR543"/>
      <c r="BIS543"/>
      <c r="BIT543"/>
      <c r="BIU543"/>
      <c r="BIV543"/>
      <c r="BIW543"/>
      <c r="BIX543"/>
      <c r="BIY543"/>
      <c r="BIZ543"/>
      <c r="BJA543"/>
      <c r="BJB543"/>
      <c r="BJC543"/>
      <c r="BJD543"/>
      <c r="BJE543"/>
      <c r="BJF543"/>
      <c r="BJG543"/>
      <c r="BJH543"/>
      <c r="BJI543"/>
      <c r="BJJ543"/>
      <c r="BJK543"/>
      <c r="BJL543"/>
      <c r="BJM543"/>
      <c r="BJN543"/>
      <c r="BJO543"/>
      <c r="BJP543"/>
      <c r="BJQ543"/>
      <c r="BJR543"/>
      <c r="BJS543"/>
      <c r="BJT543"/>
      <c r="BJU543"/>
      <c r="BJV543"/>
      <c r="BJW543"/>
      <c r="BJX543"/>
      <c r="BJY543"/>
      <c r="BJZ543"/>
      <c r="BKA543"/>
      <c r="BKB543"/>
      <c r="BKC543"/>
      <c r="BKD543"/>
      <c r="BKE543"/>
      <c r="BKF543"/>
      <c r="BKG543"/>
      <c r="BKH543"/>
      <c r="BKI543"/>
      <c r="BKJ543"/>
      <c r="BKK543"/>
      <c r="BKL543"/>
      <c r="BKM543"/>
      <c r="BKN543"/>
      <c r="BKO543"/>
      <c r="BKP543"/>
      <c r="BKQ543"/>
      <c r="BKR543"/>
      <c r="BKS543"/>
      <c r="BKT543"/>
      <c r="BKU543"/>
      <c r="BKV543"/>
      <c r="BKW543"/>
      <c r="BKX543"/>
      <c r="BKY543"/>
      <c r="BKZ543"/>
      <c r="BLA543"/>
      <c r="BLB543"/>
      <c r="BLC543"/>
      <c r="BLD543"/>
      <c r="BLE543"/>
      <c r="BLF543"/>
      <c r="BLG543"/>
      <c r="BLH543"/>
      <c r="BLI543"/>
      <c r="BLJ543"/>
      <c r="BLK543"/>
      <c r="BLL543"/>
      <c r="BLM543"/>
      <c r="BLN543"/>
      <c r="BLO543"/>
      <c r="BLP543"/>
      <c r="BLQ543"/>
      <c r="BLR543"/>
      <c r="BLS543"/>
      <c r="BLT543"/>
      <c r="BLU543"/>
      <c r="BLV543"/>
      <c r="BLW543"/>
      <c r="BLX543"/>
      <c r="BLY543"/>
      <c r="BLZ543"/>
      <c r="BMA543"/>
      <c r="BMB543"/>
      <c r="BMC543"/>
      <c r="BMD543"/>
      <c r="BME543"/>
      <c r="BMF543"/>
      <c r="BMG543"/>
      <c r="BMH543"/>
      <c r="BMI543"/>
      <c r="BMJ543"/>
      <c r="BMK543"/>
      <c r="BML543"/>
      <c r="BMM543"/>
      <c r="BMN543"/>
      <c r="BMO543"/>
      <c r="BMP543"/>
      <c r="BMQ543"/>
      <c r="BMR543"/>
      <c r="BMS543"/>
      <c r="BMT543"/>
      <c r="BMU543"/>
      <c r="BMV543"/>
      <c r="BMW543"/>
      <c r="BMX543"/>
      <c r="BMY543"/>
      <c r="BMZ543"/>
      <c r="BNA543"/>
      <c r="BNB543"/>
      <c r="BNC543"/>
      <c r="BND543"/>
      <c r="BNE543"/>
      <c r="BNF543"/>
      <c r="BNG543"/>
      <c r="BNH543"/>
      <c r="BNI543"/>
      <c r="BNJ543"/>
      <c r="BNK543"/>
      <c r="BNL543"/>
      <c r="BNM543"/>
      <c r="BNN543"/>
      <c r="BNO543"/>
      <c r="BNP543"/>
      <c r="BNQ543"/>
      <c r="BNR543"/>
      <c r="BNS543"/>
      <c r="BNT543"/>
      <c r="BNU543"/>
      <c r="BNV543"/>
      <c r="BNW543"/>
      <c r="BNX543"/>
      <c r="BNY543"/>
      <c r="BNZ543"/>
      <c r="BOA543"/>
      <c r="BOB543"/>
      <c r="BOC543"/>
      <c r="BOD543"/>
      <c r="BOE543"/>
      <c r="BOF543"/>
      <c r="BOG543"/>
      <c r="BOH543"/>
      <c r="BOI543"/>
      <c r="BOJ543"/>
      <c r="BOK543"/>
      <c r="BOL543"/>
      <c r="BOM543"/>
      <c r="BON543"/>
      <c r="BOO543"/>
      <c r="BOP543"/>
      <c r="BOQ543"/>
      <c r="BOR543"/>
      <c r="BOS543"/>
      <c r="BOT543"/>
      <c r="BOU543"/>
      <c r="BOV543"/>
      <c r="BOW543"/>
      <c r="BOX543"/>
      <c r="BOY543"/>
      <c r="BOZ543"/>
      <c r="BPA543"/>
      <c r="BPB543"/>
      <c r="BPC543"/>
      <c r="BPD543"/>
      <c r="BPE543"/>
      <c r="BPF543"/>
      <c r="BPG543"/>
      <c r="BPH543"/>
      <c r="BPI543"/>
      <c r="BPJ543"/>
      <c r="BPK543"/>
      <c r="BPL543"/>
      <c r="BPM543"/>
      <c r="BPN543"/>
      <c r="BPO543"/>
      <c r="BPP543"/>
      <c r="BPQ543"/>
      <c r="BPR543"/>
      <c r="BPS543"/>
      <c r="BPT543"/>
      <c r="BPU543"/>
      <c r="BPV543"/>
      <c r="BPW543"/>
      <c r="BPX543"/>
      <c r="BPY543"/>
      <c r="BPZ543"/>
      <c r="BQA543"/>
      <c r="BQB543"/>
      <c r="BQC543"/>
      <c r="BQD543"/>
      <c r="BQE543"/>
      <c r="BQF543"/>
      <c r="BQG543"/>
      <c r="BQH543"/>
      <c r="BQI543"/>
      <c r="BQJ543"/>
      <c r="BQK543"/>
      <c r="BQL543"/>
      <c r="BQM543"/>
      <c r="BQN543"/>
      <c r="BQO543"/>
      <c r="BQP543"/>
      <c r="BQQ543"/>
      <c r="BQR543"/>
      <c r="BQS543"/>
      <c r="BQT543"/>
      <c r="BQU543"/>
      <c r="BQV543"/>
      <c r="BQW543"/>
      <c r="BQX543"/>
      <c r="BQY543"/>
      <c r="BQZ543"/>
      <c r="BRA543"/>
      <c r="BRB543"/>
      <c r="BRC543"/>
      <c r="BRD543"/>
      <c r="BRE543"/>
      <c r="BRF543"/>
      <c r="BRG543"/>
      <c r="BRH543"/>
      <c r="BRI543"/>
      <c r="BRJ543"/>
      <c r="BRK543"/>
      <c r="BRL543"/>
      <c r="BRM543"/>
      <c r="BRN543"/>
      <c r="BRO543"/>
      <c r="BRP543"/>
      <c r="BRQ543"/>
      <c r="BRR543"/>
      <c r="BRS543"/>
      <c r="BRT543"/>
      <c r="BRU543"/>
      <c r="BRV543"/>
      <c r="BRW543"/>
      <c r="BRX543"/>
      <c r="BRY543"/>
      <c r="BRZ543"/>
      <c r="BSA543"/>
      <c r="BSB543"/>
      <c r="BSC543"/>
      <c r="BSD543"/>
      <c r="BSE543"/>
      <c r="BSF543"/>
      <c r="BSG543"/>
      <c r="BSH543"/>
      <c r="BSI543"/>
      <c r="BSJ543"/>
      <c r="BSK543"/>
      <c r="BSL543"/>
      <c r="BSM543"/>
      <c r="BSN543"/>
      <c r="BSO543"/>
      <c r="BSP543"/>
      <c r="BSQ543"/>
      <c r="BSR543"/>
      <c r="BSS543"/>
      <c r="BST543"/>
      <c r="BSU543"/>
      <c r="BSV543"/>
      <c r="BSW543"/>
      <c r="BSX543"/>
      <c r="BSY543"/>
      <c r="BSZ543"/>
      <c r="BTA543"/>
      <c r="BTB543"/>
      <c r="BTC543"/>
      <c r="BTD543"/>
      <c r="BTE543"/>
      <c r="BTF543"/>
      <c r="BTG543"/>
      <c r="BTH543"/>
      <c r="BTI543"/>
      <c r="BTJ543"/>
      <c r="BTK543"/>
      <c r="BTL543"/>
      <c r="BTM543"/>
      <c r="BTN543"/>
      <c r="BTO543"/>
      <c r="BTP543"/>
      <c r="BTQ543"/>
      <c r="BTR543"/>
      <c r="BTS543"/>
      <c r="BTT543"/>
      <c r="BTU543"/>
      <c r="BTV543"/>
      <c r="BTW543"/>
      <c r="BTX543"/>
      <c r="BTY543"/>
      <c r="BTZ543"/>
      <c r="BUA543"/>
      <c r="BUB543"/>
      <c r="BUC543"/>
      <c r="BUD543"/>
      <c r="BUE543"/>
      <c r="BUF543"/>
      <c r="BUG543"/>
      <c r="BUH543"/>
      <c r="BUI543"/>
      <c r="BUJ543"/>
      <c r="BUK543"/>
      <c r="BUL543"/>
      <c r="BUM543"/>
      <c r="BUN543"/>
      <c r="BUO543"/>
      <c r="BUP543"/>
      <c r="BUQ543"/>
      <c r="BUR543"/>
      <c r="BUS543"/>
      <c r="BUT543"/>
      <c r="BUU543"/>
      <c r="BUV543"/>
      <c r="BUW543"/>
      <c r="BUX543"/>
      <c r="BUY543"/>
      <c r="BUZ543"/>
      <c r="BVA543"/>
      <c r="BVB543"/>
      <c r="BVC543"/>
      <c r="BVD543"/>
      <c r="BVE543"/>
      <c r="BVF543"/>
      <c r="BVG543"/>
      <c r="BVH543"/>
      <c r="BVI543"/>
      <c r="BVJ543"/>
      <c r="BVK543"/>
      <c r="BVL543"/>
      <c r="BVM543"/>
      <c r="BVN543"/>
      <c r="BVO543"/>
      <c r="BVP543"/>
      <c r="BVQ543"/>
      <c r="BVR543"/>
      <c r="BVS543"/>
      <c r="BVT543"/>
      <c r="BVU543"/>
      <c r="BVV543"/>
      <c r="BVW543"/>
      <c r="BVX543"/>
      <c r="BVY543"/>
      <c r="BVZ543"/>
      <c r="BWA543"/>
      <c r="BWB543"/>
      <c r="BWC543"/>
      <c r="BWD543"/>
      <c r="BWE543"/>
      <c r="BWF543"/>
      <c r="BWG543"/>
      <c r="BWH543"/>
      <c r="BWI543"/>
      <c r="BWJ543"/>
      <c r="BWK543"/>
      <c r="BWL543"/>
      <c r="BWM543"/>
      <c r="BWN543"/>
      <c r="BWO543"/>
      <c r="BWP543"/>
      <c r="BWQ543"/>
      <c r="BWR543"/>
      <c r="BWS543"/>
      <c r="BWT543"/>
      <c r="BWU543"/>
      <c r="BWV543"/>
      <c r="BWW543"/>
      <c r="BWX543"/>
      <c r="BWY543"/>
      <c r="BWZ543"/>
      <c r="BXA543"/>
      <c r="BXB543"/>
      <c r="BXC543"/>
      <c r="BXD543"/>
      <c r="BXE543"/>
      <c r="BXF543"/>
      <c r="BXG543"/>
      <c r="BXH543"/>
      <c r="BXI543"/>
      <c r="BXJ543"/>
      <c r="BXK543"/>
      <c r="BXL543"/>
      <c r="BXM543"/>
      <c r="BXN543"/>
      <c r="BXO543"/>
      <c r="BXP543"/>
      <c r="BXQ543"/>
      <c r="BXR543"/>
      <c r="BXS543"/>
      <c r="BXT543"/>
      <c r="BXU543"/>
      <c r="BXV543"/>
      <c r="BXW543"/>
      <c r="BXX543"/>
      <c r="BXY543"/>
      <c r="BXZ543"/>
      <c r="BYA543"/>
      <c r="BYB543"/>
      <c r="BYC543"/>
      <c r="BYD543"/>
      <c r="BYE543"/>
      <c r="BYF543"/>
      <c r="BYG543"/>
      <c r="BYH543"/>
      <c r="BYI543"/>
      <c r="BYJ543"/>
      <c r="BYK543"/>
      <c r="BYL543"/>
      <c r="BYM543"/>
      <c r="BYN543"/>
      <c r="BYO543"/>
      <c r="BYP543"/>
      <c r="BYQ543"/>
      <c r="BYR543"/>
      <c r="BYS543"/>
      <c r="BYT543"/>
      <c r="BYU543"/>
      <c r="BYV543"/>
      <c r="BYW543"/>
      <c r="BYX543"/>
      <c r="BYY543"/>
      <c r="BYZ543"/>
      <c r="BZA543"/>
      <c r="BZB543"/>
      <c r="BZC543"/>
      <c r="BZD543"/>
      <c r="BZE543"/>
      <c r="BZF543"/>
      <c r="BZG543"/>
      <c r="BZH543"/>
      <c r="BZI543"/>
      <c r="BZJ543"/>
      <c r="BZK543"/>
      <c r="BZL543"/>
      <c r="BZM543"/>
      <c r="BZN543"/>
      <c r="BZO543"/>
      <c r="BZP543"/>
      <c r="BZQ543"/>
      <c r="BZR543"/>
      <c r="BZS543"/>
      <c r="BZT543"/>
      <c r="BZU543"/>
      <c r="BZV543"/>
      <c r="BZW543"/>
      <c r="BZX543"/>
      <c r="BZY543"/>
      <c r="BZZ543"/>
      <c r="CAA543"/>
      <c r="CAB543"/>
      <c r="CAC543"/>
      <c r="CAD543"/>
      <c r="CAE543"/>
      <c r="CAF543"/>
      <c r="CAG543"/>
      <c r="CAH543"/>
      <c r="CAI543"/>
      <c r="CAJ543"/>
      <c r="CAK543"/>
      <c r="CAL543"/>
      <c r="CAM543"/>
      <c r="CAN543"/>
      <c r="CAO543"/>
      <c r="CAP543"/>
      <c r="CAQ543"/>
      <c r="CAR543"/>
      <c r="CAS543"/>
      <c r="CAT543"/>
      <c r="CAU543"/>
      <c r="CAV543"/>
      <c r="CAW543"/>
      <c r="CAX543"/>
      <c r="CAY543"/>
      <c r="CAZ543"/>
      <c r="CBA543"/>
      <c r="CBB543"/>
      <c r="CBC543"/>
      <c r="CBD543"/>
      <c r="CBE543"/>
      <c r="CBF543"/>
      <c r="CBG543"/>
      <c r="CBH543"/>
      <c r="CBI543"/>
      <c r="CBJ543"/>
      <c r="CBK543"/>
      <c r="CBL543"/>
      <c r="CBM543"/>
      <c r="CBN543"/>
      <c r="CBO543"/>
      <c r="CBP543"/>
      <c r="CBQ543"/>
      <c r="CBR543"/>
      <c r="CBS543"/>
      <c r="CBT543"/>
      <c r="CBU543"/>
      <c r="CBV543"/>
      <c r="CBW543"/>
      <c r="CBX543"/>
      <c r="CBY543"/>
      <c r="CBZ543"/>
      <c r="CCA543"/>
      <c r="CCB543"/>
      <c r="CCC543"/>
      <c r="CCD543"/>
      <c r="CCE543"/>
      <c r="CCF543"/>
      <c r="CCG543"/>
      <c r="CCH543"/>
      <c r="CCI543"/>
      <c r="CCJ543"/>
      <c r="CCK543"/>
      <c r="CCL543"/>
      <c r="CCM543"/>
      <c r="CCN543"/>
      <c r="CCO543"/>
      <c r="CCP543"/>
      <c r="CCQ543"/>
      <c r="CCR543"/>
      <c r="CCS543"/>
      <c r="CCT543"/>
      <c r="CCU543"/>
      <c r="CCV543"/>
      <c r="CCW543"/>
      <c r="CCX543"/>
      <c r="CCY543"/>
      <c r="CCZ543"/>
      <c r="CDA543"/>
      <c r="CDB543"/>
      <c r="CDC543"/>
      <c r="CDD543"/>
      <c r="CDE543"/>
      <c r="CDF543"/>
      <c r="CDG543"/>
      <c r="CDH543"/>
      <c r="CDI543"/>
      <c r="CDJ543"/>
      <c r="CDK543"/>
      <c r="CDL543"/>
      <c r="CDM543"/>
      <c r="CDN543"/>
      <c r="CDO543"/>
      <c r="CDP543"/>
      <c r="CDQ543"/>
      <c r="CDR543"/>
      <c r="CDS543"/>
      <c r="CDT543"/>
      <c r="CDU543"/>
      <c r="CDV543"/>
      <c r="CDW543"/>
      <c r="CDX543"/>
      <c r="CDY543"/>
      <c r="CDZ543"/>
      <c r="CEA543"/>
      <c r="CEB543"/>
      <c r="CEC543"/>
      <c r="CED543"/>
      <c r="CEE543"/>
      <c r="CEF543"/>
      <c r="CEG543"/>
      <c r="CEH543"/>
      <c r="CEI543"/>
      <c r="CEJ543"/>
      <c r="CEK543"/>
      <c r="CEL543"/>
      <c r="CEM543"/>
      <c r="CEN543"/>
      <c r="CEO543"/>
      <c r="CEP543"/>
      <c r="CEQ543"/>
      <c r="CER543"/>
      <c r="CES543"/>
      <c r="CET543"/>
      <c r="CEU543"/>
      <c r="CEV543"/>
      <c r="CEW543"/>
      <c r="CEX543"/>
      <c r="CEY543"/>
      <c r="CEZ543"/>
      <c r="CFA543"/>
      <c r="CFB543"/>
      <c r="CFC543"/>
      <c r="CFD543"/>
      <c r="CFE543"/>
      <c r="CFF543"/>
      <c r="CFG543"/>
      <c r="CFH543"/>
      <c r="CFI543"/>
      <c r="CFJ543"/>
      <c r="CFK543"/>
      <c r="CFL543"/>
      <c r="CFM543"/>
      <c r="CFN543"/>
      <c r="CFO543"/>
      <c r="CFP543"/>
      <c r="CFQ543"/>
      <c r="CFR543"/>
      <c r="CFS543"/>
      <c r="CFT543"/>
      <c r="CFU543"/>
      <c r="CFV543"/>
      <c r="CFW543"/>
      <c r="CFX543"/>
      <c r="CFY543"/>
      <c r="CFZ543"/>
      <c r="CGA543"/>
      <c r="CGB543"/>
      <c r="CGC543"/>
      <c r="CGD543"/>
      <c r="CGE543"/>
      <c r="CGF543"/>
      <c r="CGG543"/>
      <c r="CGH543"/>
      <c r="CGI543"/>
      <c r="CGJ543"/>
      <c r="CGK543"/>
      <c r="CGL543"/>
      <c r="CGM543"/>
      <c r="CGN543"/>
      <c r="CGO543"/>
      <c r="CGP543"/>
      <c r="CGQ543"/>
      <c r="CGR543"/>
      <c r="CGS543"/>
      <c r="CGT543"/>
      <c r="CGU543"/>
      <c r="CGV543"/>
      <c r="CGW543"/>
      <c r="CGX543"/>
      <c r="CGY543"/>
      <c r="CGZ543"/>
      <c r="CHA543"/>
      <c r="CHB543"/>
      <c r="CHC543"/>
      <c r="CHD543"/>
      <c r="CHE543"/>
      <c r="CHF543"/>
      <c r="CHG543"/>
      <c r="CHH543"/>
      <c r="CHI543"/>
      <c r="CHJ543"/>
      <c r="CHK543"/>
      <c r="CHL543"/>
      <c r="CHM543"/>
      <c r="CHN543"/>
      <c r="CHO543"/>
      <c r="CHP543"/>
      <c r="CHQ543"/>
      <c r="CHR543"/>
      <c r="CHS543"/>
      <c r="CHT543"/>
      <c r="CHU543"/>
      <c r="CHV543"/>
      <c r="CHW543"/>
      <c r="CHX543"/>
      <c r="CHY543"/>
      <c r="CHZ543"/>
      <c r="CIA543"/>
      <c r="CIB543"/>
      <c r="CIC543"/>
      <c r="CID543"/>
      <c r="CIE543"/>
      <c r="CIF543"/>
      <c r="CIG543"/>
      <c r="CIH543"/>
      <c r="CII543"/>
      <c r="CIJ543"/>
      <c r="CIK543"/>
      <c r="CIL543"/>
      <c r="CIM543"/>
      <c r="CIN543"/>
      <c r="CIO543"/>
      <c r="CIP543"/>
      <c r="CIQ543"/>
      <c r="CIR543"/>
      <c r="CIS543"/>
      <c r="CIT543"/>
      <c r="CIU543"/>
      <c r="CIV543"/>
      <c r="CIW543"/>
      <c r="CIX543"/>
      <c r="CIY543"/>
      <c r="CIZ543"/>
      <c r="CJA543"/>
      <c r="CJB543"/>
      <c r="CJC543"/>
      <c r="CJD543"/>
      <c r="CJE543"/>
      <c r="CJF543"/>
      <c r="CJG543"/>
      <c r="CJH543"/>
      <c r="CJI543"/>
      <c r="CJJ543"/>
      <c r="CJK543"/>
      <c r="CJL543"/>
      <c r="CJM543"/>
      <c r="CJN543"/>
      <c r="CJO543"/>
      <c r="CJP543"/>
      <c r="CJQ543"/>
      <c r="CJR543"/>
      <c r="CJS543"/>
      <c r="CJT543"/>
      <c r="CJU543"/>
      <c r="CJV543"/>
      <c r="CJW543"/>
      <c r="CJX543"/>
      <c r="CJY543"/>
      <c r="CJZ543"/>
      <c r="CKA543"/>
      <c r="CKB543"/>
      <c r="CKC543"/>
      <c r="CKD543"/>
      <c r="CKE543"/>
      <c r="CKF543"/>
      <c r="CKG543"/>
      <c r="CKH543"/>
      <c r="CKI543"/>
      <c r="CKJ543"/>
      <c r="CKK543"/>
      <c r="CKL543"/>
      <c r="CKM543"/>
      <c r="CKN543"/>
      <c r="CKO543"/>
      <c r="CKP543"/>
      <c r="CKQ543"/>
      <c r="CKR543"/>
      <c r="CKS543"/>
      <c r="CKT543"/>
      <c r="CKU543"/>
      <c r="CKV543"/>
      <c r="CKW543"/>
      <c r="CKX543"/>
      <c r="CKY543"/>
      <c r="CKZ543"/>
      <c r="CLA543"/>
      <c r="CLB543"/>
      <c r="CLC543"/>
      <c r="CLD543"/>
      <c r="CLE543"/>
      <c r="CLF543"/>
      <c r="CLG543"/>
      <c r="CLH543"/>
      <c r="CLI543"/>
      <c r="CLJ543"/>
      <c r="CLK543"/>
      <c r="CLL543"/>
      <c r="CLM543"/>
      <c r="CLN543"/>
      <c r="CLO543"/>
      <c r="CLP543"/>
      <c r="CLQ543"/>
      <c r="CLR543"/>
      <c r="CLS543"/>
      <c r="CLT543"/>
      <c r="CLU543"/>
      <c r="CLV543"/>
      <c r="CLW543"/>
      <c r="CLX543"/>
      <c r="CLY543"/>
      <c r="CLZ543"/>
      <c r="CMA543"/>
      <c r="CMB543"/>
      <c r="CMC543"/>
      <c r="CMD543"/>
      <c r="CME543"/>
      <c r="CMF543"/>
      <c r="CMG543"/>
      <c r="CMH543"/>
      <c r="CMI543"/>
      <c r="CMJ543"/>
      <c r="CMK543"/>
      <c r="CML543"/>
      <c r="CMM543"/>
      <c r="CMN543"/>
      <c r="CMO543"/>
      <c r="CMP543"/>
      <c r="CMQ543"/>
      <c r="CMR543"/>
      <c r="CMS543"/>
      <c r="CMT543"/>
      <c r="CMU543"/>
      <c r="CMV543"/>
      <c r="CMW543"/>
      <c r="CMX543"/>
      <c r="CMY543"/>
      <c r="CMZ543"/>
      <c r="CNA543"/>
      <c r="CNB543"/>
      <c r="CNC543"/>
      <c r="CND543"/>
      <c r="CNE543"/>
      <c r="CNF543"/>
      <c r="CNG543"/>
      <c r="CNH543"/>
      <c r="CNI543"/>
      <c r="CNJ543"/>
      <c r="CNK543"/>
      <c r="CNL543"/>
      <c r="CNM543"/>
      <c r="CNN543"/>
      <c r="CNO543"/>
      <c r="CNP543"/>
      <c r="CNQ543"/>
      <c r="CNR543"/>
      <c r="CNS543"/>
      <c r="CNT543"/>
      <c r="CNU543"/>
      <c r="CNV543"/>
      <c r="CNW543"/>
      <c r="CNX543"/>
      <c r="CNY543"/>
      <c r="CNZ543"/>
      <c r="COA543"/>
      <c r="COB543"/>
      <c r="COC543"/>
      <c r="COD543"/>
      <c r="COE543"/>
      <c r="COF543"/>
      <c r="COG543"/>
      <c r="COH543"/>
      <c r="COI543"/>
      <c r="COJ543"/>
      <c r="COK543"/>
      <c r="COL543"/>
      <c r="COM543"/>
      <c r="CON543"/>
      <c r="COO543"/>
      <c r="COP543"/>
      <c r="COQ543"/>
      <c r="COR543"/>
      <c r="COS543"/>
      <c r="COT543"/>
      <c r="COU543"/>
      <c r="COV543"/>
      <c r="COW543"/>
      <c r="COX543"/>
      <c r="COY543"/>
      <c r="COZ543"/>
      <c r="CPA543"/>
      <c r="CPB543"/>
      <c r="CPC543"/>
      <c r="CPD543"/>
      <c r="CPE543"/>
      <c r="CPF543"/>
      <c r="CPG543"/>
      <c r="CPH543"/>
      <c r="CPI543"/>
      <c r="CPJ543"/>
      <c r="CPK543"/>
      <c r="CPL543"/>
      <c r="CPM543"/>
      <c r="CPN543"/>
      <c r="CPO543"/>
      <c r="CPP543"/>
      <c r="CPQ543"/>
      <c r="CPR543"/>
      <c r="CPS543"/>
      <c r="CPT543"/>
      <c r="CPU543"/>
      <c r="CPV543"/>
      <c r="CPW543"/>
      <c r="CPX543"/>
      <c r="CPY543"/>
      <c r="CPZ543"/>
      <c r="CQA543"/>
      <c r="CQB543"/>
      <c r="CQC543"/>
      <c r="CQD543"/>
      <c r="CQE543"/>
      <c r="CQF543"/>
      <c r="CQG543"/>
      <c r="CQH543"/>
      <c r="CQI543"/>
      <c r="CQJ543"/>
      <c r="CQK543"/>
      <c r="CQL543"/>
      <c r="CQM543"/>
      <c r="CQN543"/>
      <c r="CQO543"/>
      <c r="CQP543"/>
      <c r="CQQ543"/>
      <c r="CQR543"/>
      <c r="CQS543"/>
      <c r="CQT543"/>
      <c r="CQU543"/>
      <c r="CQV543"/>
      <c r="CQW543"/>
      <c r="CQX543"/>
      <c r="CQY543"/>
      <c r="CQZ543"/>
      <c r="CRA543"/>
      <c r="CRB543"/>
      <c r="CRC543"/>
      <c r="CRD543"/>
      <c r="CRE543"/>
      <c r="CRF543"/>
      <c r="CRG543"/>
      <c r="CRH543"/>
      <c r="CRI543"/>
      <c r="CRJ543"/>
      <c r="CRK543"/>
      <c r="CRL543"/>
      <c r="CRM543"/>
      <c r="CRN543"/>
      <c r="CRO543"/>
      <c r="CRP543"/>
      <c r="CRQ543"/>
      <c r="CRR543"/>
      <c r="CRS543"/>
      <c r="CRT543"/>
      <c r="CRU543"/>
      <c r="CRV543"/>
      <c r="CRW543"/>
      <c r="CRX543"/>
      <c r="CRY543"/>
      <c r="CRZ543"/>
      <c r="CSA543"/>
      <c r="CSB543"/>
      <c r="CSC543"/>
      <c r="CSD543"/>
      <c r="CSE543"/>
      <c r="CSF543"/>
      <c r="CSG543"/>
      <c r="CSH543"/>
      <c r="CSI543"/>
      <c r="CSJ543"/>
      <c r="CSK543"/>
      <c r="CSL543"/>
      <c r="CSM543"/>
      <c r="CSN543"/>
      <c r="CSO543"/>
      <c r="CSP543"/>
      <c r="CSQ543"/>
      <c r="CSR543"/>
      <c r="CSS543"/>
      <c r="CST543"/>
      <c r="CSU543"/>
      <c r="CSV543"/>
      <c r="CSW543"/>
      <c r="CSX543"/>
      <c r="CSY543"/>
      <c r="CSZ543"/>
      <c r="CTA543"/>
      <c r="CTB543"/>
      <c r="CTC543"/>
      <c r="CTD543"/>
      <c r="CTE543"/>
      <c r="CTF543"/>
      <c r="CTG543"/>
      <c r="CTH543"/>
      <c r="CTI543"/>
      <c r="CTJ543"/>
      <c r="CTK543"/>
      <c r="CTL543"/>
      <c r="CTM543"/>
      <c r="CTN543"/>
      <c r="CTO543"/>
      <c r="CTP543"/>
      <c r="CTQ543"/>
      <c r="CTR543"/>
      <c r="CTS543"/>
      <c r="CTT543"/>
      <c r="CTU543"/>
      <c r="CTV543"/>
      <c r="CTW543"/>
      <c r="CTX543"/>
      <c r="CTY543"/>
      <c r="CTZ543"/>
      <c r="CUA543"/>
      <c r="CUB543"/>
      <c r="CUC543"/>
      <c r="CUD543"/>
      <c r="CUE543"/>
      <c r="CUF543"/>
      <c r="CUG543"/>
      <c r="CUH543"/>
      <c r="CUI543"/>
      <c r="CUJ543"/>
      <c r="CUK543"/>
      <c r="CUL543"/>
      <c r="CUM543"/>
      <c r="CUN543"/>
      <c r="CUO543"/>
      <c r="CUP543"/>
      <c r="CUQ543"/>
      <c r="CUR543"/>
      <c r="CUS543"/>
      <c r="CUT543"/>
      <c r="CUU543"/>
      <c r="CUV543"/>
      <c r="CUW543"/>
      <c r="CUX543"/>
      <c r="CUY543"/>
      <c r="CUZ543"/>
      <c r="CVA543"/>
      <c r="CVB543"/>
      <c r="CVC543"/>
      <c r="CVD543"/>
      <c r="CVE543"/>
      <c r="CVF543"/>
      <c r="CVG543"/>
      <c r="CVH543"/>
      <c r="CVI543"/>
      <c r="CVJ543"/>
      <c r="CVK543"/>
      <c r="CVL543"/>
      <c r="CVM543"/>
      <c r="CVN543"/>
      <c r="CVO543"/>
      <c r="CVP543"/>
      <c r="CVQ543"/>
      <c r="CVR543"/>
      <c r="CVS543"/>
      <c r="CVT543"/>
      <c r="CVU543"/>
      <c r="CVV543"/>
      <c r="CVW543"/>
      <c r="CVX543"/>
      <c r="CVY543"/>
      <c r="CVZ543"/>
      <c r="CWA543"/>
      <c r="CWB543"/>
      <c r="CWC543"/>
      <c r="CWD543"/>
      <c r="CWE543"/>
      <c r="CWF543"/>
      <c r="CWG543"/>
      <c r="CWH543"/>
      <c r="CWI543"/>
      <c r="CWJ543"/>
      <c r="CWK543"/>
      <c r="CWL543"/>
      <c r="CWM543"/>
      <c r="CWN543"/>
      <c r="CWO543"/>
      <c r="CWP543"/>
      <c r="CWQ543"/>
      <c r="CWR543"/>
      <c r="CWS543"/>
      <c r="CWT543"/>
      <c r="CWU543"/>
      <c r="CWV543"/>
      <c r="CWW543"/>
      <c r="CWX543"/>
      <c r="CWY543"/>
      <c r="CWZ543"/>
      <c r="CXA543"/>
      <c r="CXB543"/>
      <c r="CXC543"/>
      <c r="CXD543"/>
      <c r="CXE543"/>
      <c r="CXF543"/>
      <c r="CXG543"/>
      <c r="CXH543"/>
      <c r="CXI543"/>
      <c r="CXJ543"/>
      <c r="CXK543"/>
      <c r="CXL543"/>
      <c r="CXM543"/>
      <c r="CXN543"/>
      <c r="CXO543"/>
      <c r="CXP543"/>
      <c r="CXQ543"/>
      <c r="CXR543"/>
      <c r="CXS543"/>
      <c r="CXT543"/>
      <c r="CXU543"/>
      <c r="CXV543"/>
      <c r="CXW543"/>
      <c r="CXX543"/>
      <c r="CXY543"/>
      <c r="CXZ543"/>
      <c r="CYA543"/>
      <c r="CYB543"/>
      <c r="CYC543"/>
      <c r="CYD543"/>
      <c r="CYE543"/>
      <c r="CYF543"/>
      <c r="CYG543"/>
      <c r="CYH543"/>
      <c r="CYI543"/>
      <c r="CYJ543"/>
      <c r="CYK543"/>
      <c r="CYL543"/>
      <c r="CYM543"/>
      <c r="CYN543"/>
      <c r="CYO543"/>
      <c r="CYP543"/>
      <c r="CYQ543"/>
      <c r="CYR543"/>
      <c r="CYS543"/>
      <c r="CYT543"/>
      <c r="CYU543"/>
      <c r="CYV543"/>
      <c r="CYW543"/>
      <c r="CYX543"/>
      <c r="CYY543"/>
      <c r="CYZ543"/>
      <c r="CZA543"/>
      <c r="CZB543"/>
      <c r="CZC543"/>
      <c r="CZD543"/>
      <c r="CZE543"/>
      <c r="CZF543"/>
      <c r="CZG543"/>
      <c r="CZH543"/>
      <c r="CZI543"/>
      <c r="CZJ543"/>
      <c r="CZK543"/>
      <c r="CZL543"/>
      <c r="CZM543"/>
      <c r="CZN543"/>
      <c r="CZO543"/>
      <c r="CZP543"/>
      <c r="CZQ543"/>
      <c r="CZR543"/>
      <c r="CZS543"/>
      <c r="CZT543"/>
      <c r="CZU543"/>
      <c r="CZV543"/>
      <c r="CZW543"/>
      <c r="CZX543"/>
      <c r="CZY543"/>
      <c r="CZZ543"/>
      <c r="DAA543"/>
      <c r="DAB543"/>
      <c r="DAC543"/>
      <c r="DAD543"/>
      <c r="DAE543"/>
      <c r="DAF543"/>
      <c r="DAG543"/>
      <c r="DAH543"/>
      <c r="DAI543"/>
      <c r="DAJ543"/>
      <c r="DAK543"/>
      <c r="DAL543"/>
      <c r="DAM543"/>
      <c r="DAN543"/>
      <c r="DAO543"/>
      <c r="DAP543"/>
      <c r="DAQ543"/>
      <c r="DAR543"/>
      <c r="DAS543"/>
      <c r="DAT543"/>
      <c r="DAU543"/>
      <c r="DAV543"/>
      <c r="DAW543"/>
      <c r="DAX543"/>
      <c r="DAY543"/>
      <c r="DAZ543"/>
      <c r="DBA543"/>
      <c r="DBB543"/>
      <c r="DBC543"/>
      <c r="DBD543"/>
      <c r="DBE543"/>
      <c r="DBF543"/>
      <c r="DBG543"/>
      <c r="DBH543"/>
      <c r="DBI543"/>
      <c r="DBJ543"/>
      <c r="DBK543"/>
      <c r="DBL543"/>
      <c r="DBM543"/>
      <c r="DBN543"/>
      <c r="DBO543"/>
      <c r="DBP543"/>
      <c r="DBQ543"/>
      <c r="DBR543"/>
      <c r="DBS543"/>
      <c r="DBT543"/>
      <c r="DBU543"/>
      <c r="DBV543"/>
      <c r="DBW543"/>
      <c r="DBX543"/>
      <c r="DBY543"/>
      <c r="DBZ543"/>
      <c r="DCA543"/>
      <c r="DCB543"/>
      <c r="DCC543"/>
      <c r="DCD543"/>
      <c r="DCE543"/>
      <c r="DCF543"/>
      <c r="DCG543"/>
      <c r="DCH543"/>
      <c r="DCI543"/>
      <c r="DCJ543"/>
      <c r="DCK543"/>
      <c r="DCL543"/>
      <c r="DCM543"/>
      <c r="DCN543"/>
      <c r="DCO543"/>
      <c r="DCP543"/>
      <c r="DCQ543"/>
      <c r="DCR543"/>
      <c r="DCS543"/>
      <c r="DCT543"/>
      <c r="DCU543"/>
      <c r="DCV543"/>
      <c r="DCW543"/>
      <c r="DCX543"/>
      <c r="DCY543"/>
      <c r="DCZ543"/>
      <c r="DDA543"/>
      <c r="DDB543"/>
      <c r="DDC543"/>
      <c r="DDD543"/>
      <c r="DDE543"/>
      <c r="DDF543"/>
      <c r="DDG543"/>
      <c r="DDH543"/>
      <c r="DDI543"/>
      <c r="DDJ543"/>
      <c r="DDK543"/>
      <c r="DDL543"/>
      <c r="DDM543"/>
      <c r="DDN543"/>
      <c r="DDO543"/>
      <c r="DDP543"/>
      <c r="DDQ543"/>
      <c r="DDR543"/>
      <c r="DDS543"/>
      <c r="DDT543"/>
      <c r="DDU543"/>
      <c r="DDV543"/>
      <c r="DDW543"/>
      <c r="DDX543"/>
      <c r="DDY543"/>
      <c r="DDZ543"/>
      <c r="DEA543"/>
      <c r="DEB543"/>
      <c r="DEC543"/>
      <c r="DED543"/>
      <c r="DEE543"/>
      <c r="DEF543"/>
      <c r="DEG543"/>
      <c r="DEH543"/>
      <c r="DEI543"/>
      <c r="DEJ543"/>
      <c r="DEK543"/>
      <c r="DEL543"/>
      <c r="DEM543"/>
      <c r="DEN543"/>
      <c r="DEO543"/>
      <c r="DEP543"/>
      <c r="DEQ543"/>
      <c r="DER543"/>
      <c r="DES543"/>
      <c r="DET543"/>
      <c r="DEU543"/>
      <c r="DEV543"/>
      <c r="DEW543"/>
      <c r="DEX543"/>
      <c r="DEY543"/>
      <c r="DEZ543"/>
      <c r="DFA543"/>
      <c r="DFB543"/>
      <c r="DFC543"/>
      <c r="DFD543"/>
      <c r="DFE543"/>
      <c r="DFF543"/>
      <c r="DFG543"/>
      <c r="DFH543"/>
      <c r="DFI543"/>
      <c r="DFJ543"/>
      <c r="DFK543"/>
      <c r="DFL543"/>
      <c r="DFM543"/>
      <c r="DFN543"/>
      <c r="DFO543"/>
      <c r="DFP543"/>
      <c r="DFQ543"/>
      <c r="DFR543"/>
      <c r="DFS543"/>
      <c r="DFT543"/>
      <c r="DFU543"/>
      <c r="DFV543"/>
      <c r="DFW543"/>
      <c r="DFX543"/>
      <c r="DFY543"/>
      <c r="DFZ543"/>
      <c r="DGA543"/>
      <c r="DGB543"/>
      <c r="DGC543"/>
      <c r="DGD543"/>
      <c r="DGE543"/>
      <c r="DGF543"/>
      <c r="DGG543"/>
      <c r="DGH543"/>
      <c r="DGI543"/>
      <c r="DGJ543"/>
      <c r="DGK543"/>
      <c r="DGL543"/>
      <c r="DGM543"/>
      <c r="DGN543"/>
      <c r="DGO543"/>
      <c r="DGP543"/>
      <c r="DGQ543"/>
      <c r="DGR543"/>
      <c r="DGS543"/>
      <c r="DGT543"/>
      <c r="DGU543"/>
      <c r="DGV543"/>
      <c r="DGW543"/>
      <c r="DGX543"/>
      <c r="DGY543"/>
      <c r="DGZ543"/>
      <c r="DHA543"/>
      <c r="DHB543"/>
      <c r="DHC543"/>
      <c r="DHD543"/>
      <c r="DHE543"/>
      <c r="DHF543"/>
      <c r="DHG543"/>
      <c r="DHH543"/>
      <c r="DHI543"/>
      <c r="DHJ543"/>
      <c r="DHK543"/>
      <c r="DHL543"/>
      <c r="DHM543"/>
      <c r="DHN543"/>
      <c r="DHO543"/>
      <c r="DHP543"/>
      <c r="DHQ543"/>
      <c r="DHR543"/>
      <c r="DHS543"/>
      <c r="DHT543"/>
      <c r="DHU543"/>
      <c r="DHV543"/>
      <c r="DHW543"/>
      <c r="DHX543"/>
      <c r="DHY543"/>
      <c r="DHZ543"/>
      <c r="DIA543"/>
      <c r="DIB543"/>
      <c r="DIC543"/>
      <c r="DID543"/>
      <c r="DIE543"/>
      <c r="DIF543"/>
      <c r="DIG543"/>
      <c r="DIH543"/>
      <c r="DII543"/>
      <c r="DIJ543"/>
      <c r="DIK543"/>
      <c r="DIL543"/>
      <c r="DIM543"/>
      <c r="DIN543"/>
      <c r="DIO543"/>
      <c r="DIP543"/>
      <c r="DIQ543"/>
      <c r="DIR543"/>
      <c r="DIS543"/>
      <c r="DIT543"/>
      <c r="DIU543"/>
      <c r="DIV543"/>
      <c r="DIW543"/>
      <c r="DIX543"/>
      <c r="DIY543"/>
      <c r="DIZ543"/>
      <c r="DJA543"/>
      <c r="DJB543"/>
      <c r="DJC543"/>
      <c r="DJD543"/>
      <c r="DJE543"/>
      <c r="DJF543"/>
      <c r="DJG543"/>
      <c r="DJH543"/>
      <c r="DJI543"/>
      <c r="DJJ543"/>
      <c r="DJK543"/>
      <c r="DJL543"/>
      <c r="DJM543"/>
      <c r="DJN543"/>
      <c r="DJO543"/>
      <c r="DJP543"/>
      <c r="DJQ543"/>
      <c r="DJR543"/>
      <c r="DJS543"/>
      <c r="DJT543"/>
      <c r="DJU543"/>
      <c r="DJV543"/>
      <c r="DJW543"/>
      <c r="DJX543"/>
      <c r="DJY543"/>
      <c r="DJZ543"/>
      <c r="DKA543"/>
      <c r="DKB543"/>
      <c r="DKC543"/>
      <c r="DKD543"/>
      <c r="DKE543"/>
      <c r="DKF543"/>
      <c r="DKG543"/>
      <c r="DKH543"/>
      <c r="DKI543"/>
      <c r="DKJ543"/>
      <c r="DKK543"/>
      <c r="DKL543"/>
      <c r="DKM543"/>
      <c r="DKN543"/>
      <c r="DKO543"/>
      <c r="DKP543"/>
      <c r="DKQ543"/>
      <c r="DKR543"/>
      <c r="DKS543"/>
      <c r="DKT543"/>
      <c r="DKU543"/>
      <c r="DKV543"/>
      <c r="DKW543"/>
      <c r="DKX543"/>
      <c r="DKY543"/>
      <c r="DKZ543"/>
      <c r="DLA543"/>
      <c r="DLB543"/>
      <c r="DLC543"/>
      <c r="DLD543"/>
      <c r="DLE543"/>
      <c r="DLF543"/>
      <c r="DLG543"/>
      <c r="DLH543"/>
      <c r="DLI543"/>
      <c r="DLJ543"/>
      <c r="DLK543"/>
      <c r="DLL543"/>
      <c r="DLM543"/>
      <c r="DLN543"/>
      <c r="DLO543"/>
      <c r="DLP543"/>
      <c r="DLQ543"/>
      <c r="DLR543"/>
      <c r="DLS543"/>
      <c r="DLT543"/>
      <c r="DLU543"/>
      <c r="DLV543"/>
      <c r="DLW543"/>
      <c r="DLX543"/>
      <c r="DLY543"/>
      <c r="DLZ543"/>
      <c r="DMA543"/>
      <c r="DMB543"/>
      <c r="DMC543"/>
      <c r="DMD543"/>
      <c r="DME543"/>
      <c r="DMF543"/>
      <c r="DMG543"/>
      <c r="DMH543"/>
      <c r="DMI543"/>
      <c r="DMJ543"/>
      <c r="DMK543"/>
      <c r="DML543"/>
      <c r="DMM543"/>
      <c r="DMN543"/>
      <c r="DMO543"/>
      <c r="DMP543"/>
      <c r="DMQ543"/>
      <c r="DMR543"/>
      <c r="DMS543"/>
      <c r="DMT543"/>
      <c r="DMU543"/>
      <c r="DMV543"/>
      <c r="DMW543"/>
      <c r="DMX543"/>
      <c r="DMY543"/>
      <c r="DMZ543"/>
      <c r="DNA543"/>
      <c r="DNB543"/>
      <c r="DNC543"/>
      <c r="DND543"/>
      <c r="DNE543"/>
      <c r="DNF543"/>
      <c r="DNG543"/>
      <c r="DNH543"/>
      <c r="DNI543"/>
      <c r="DNJ543"/>
      <c r="DNK543"/>
      <c r="DNL543"/>
      <c r="DNM543"/>
      <c r="DNN543"/>
      <c r="DNO543"/>
      <c r="DNP543"/>
      <c r="DNQ543"/>
      <c r="DNR543"/>
      <c r="DNS543"/>
      <c r="DNT543"/>
      <c r="DNU543"/>
      <c r="DNV543"/>
      <c r="DNW543"/>
      <c r="DNX543"/>
      <c r="DNY543"/>
      <c r="DNZ543"/>
      <c r="DOA543"/>
      <c r="DOB543"/>
      <c r="DOC543"/>
      <c r="DOD543"/>
      <c r="DOE543"/>
      <c r="DOF543"/>
      <c r="DOG543"/>
      <c r="DOH543"/>
      <c r="DOI543"/>
      <c r="DOJ543"/>
      <c r="DOK543"/>
      <c r="DOL543"/>
      <c r="DOM543"/>
      <c r="DON543"/>
      <c r="DOO543"/>
      <c r="DOP543"/>
      <c r="DOQ543"/>
      <c r="DOR543"/>
      <c r="DOS543"/>
      <c r="DOT543"/>
      <c r="DOU543"/>
      <c r="DOV543"/>
      <c r="DOW543"/>
      <c r="DOX543"/>
      <c r="DOY543"/>
      <c r="DOZ543"/>
      <c r="DPA543"/>
      <c r="DPB543"/>
      <c r="DPC543"/>
      <c r="DPD543"/>
      <c r="DPE543"/>
      <c r="DPF543"/>
      <c r="DPG543"/>
      <c r="DPH543"/>
      <c r="DPI543"/>
      <c r="DPJ543"/>
      <c r="DPK543"/>
      <c r="DPL543"/>
      <c r="DPM543"/>
      <c r="DPN543"/>
      <c r="DPO543"/>
      <c r="DPP543"/>
      <c r="DPQ543"/>
      <c r="DPR543"/>
      <c r="DPS543"/>
      <c r="DPT543"/>
      <c r="DPU543"/>
      <c r="DPV543"/>
      <c r="DPW543"/>
      <c r="DPX543"/>
      <c r="DPY543"/>
      <c r="DPZ543"/>
      <c r="DQA543"/>
      <c r="DQB543"/>
      <c r="DQC543"/>
      <c r="DQD543"/>
      <c r="DQE543"/>
      <c r="DQF543"/>
      <c r="DQG543"/>
      <c r="DQH543"/>
      <c r="DQI543"/>
      <c r="DQJ543"/>
      <c r="DQK543"/>
      <c r="DQL543"/>
      <c r="DQM543"/>
      <c r="DQN543"/>
      <c r="DQO543"/>
      <c r="DQP543"/>
      <c r="DQQ543"/>
      <c r="DQR543"/>
      <c r="DQS543"/>
      <c r="DQT543"/>
      <c r="DQU543"/>
      <c r="DQV543"/>
      <c r="DQW543"/>
      <c r="DQX543"/>
      <c r="DQY543"/>
      <c r="DQZ543"/>
      <c r="DRA543"/>
      <c r="DRB543"/>
      <c r="DRC543"/>
      <c r="DRD543"/>
      <c r="DRE543"/>
      <c r="DRF543"/>
      <c r="DRG543"/>
      <c r="DRH543"/>
      <c r="DRI543"/>
      <c r="DRJ543"/>
      <c r="DRK543"/>
      <c r="DRL543"/>
      <c r="DRM543"/>
      <c r="DRN543"/>
      <c r="DRO543"/>
      <c r="DRP543"/>
      <c r="DRQ543"/>
      <c r="DRR543"/>
      <c r="DRS543"/>
      <c r="DRT543"/>
      <c r="DRU543"/>
      <c r="DRV543"/>
      <c r="DRW543"/>
      <c r="DRX543"/>
      <c r="DRY543"/>
      <c r="DRZ543"/>
      <c r="DSA543"/>
      <c r="DSB543"/>
      <c r="DSC543"/>
      <c r="DSD543"/>
      <c r="DSE543"/>
      <c r="DSF543"/>
      <c r="DSG543"/>
      <c r="DSH543"/>
      <c r="DSI543"/>
      <c r="DSJ543"/>
      <c r="DSK543"/>
      <c r="DSL543"/>
      <c r="DSM543"/>
      <c r="DSN543"/>
      <c r="DSO543"/>
      <c r="DSP543"/>
      <c r="DSQ543"/>
      <c r="DSR543"/>
      <c r="DSS543"/>
      <c r="DST543"/>
      <c r="DSU543"/>
      <c r="DSV543"/>
      <c r="DSW543"/>
      <c r="DSX543"/>
      <c r="DSY543"/>
      <c r="DSZ543"/>
      <c r="DTA543"/>
      <c r="DTB543"/>
      <c r="DTC543"/>
      <c r="DTD543"/>
      <c r="DTE543"/>
      <c r="DTF543"/>
      <c r="DTG543"/>
      <c r="DTH543"/>
      <c r="DTI543"/>
      <c r="DTJ543"/>
      <c r="DTK543"/>
      <c r="DTL543"/>
      <c r="DTM543"/>
      <c r="DTN543"/>
      <c r="DTO543"/>
      <c r="DTP543"/>
      <c r="DTQ543"/>
      <c r="DTR543"/>
      <c r="DTS543"/>
      <c r="DTT543"/>
      <c r="DTU543"/>
      <c r="DTV543"/>
      <c r="DTW543"/>
      <c r="DTX543"/>
      <c r="DTY543"/>
      <c r="DTZ543"/>
      <c r="DUA543"/>
      <c r="DUB543"/>
      <c r="DUC543"/>
      <c r="DUD543"/>
      <c r="DUE543"/>
      <c r="DUF543"/>
      <c r="DUG543"/>
      <c r="DUH543"/>
      <c r="DUI543"/>
      <c r="DUJ543"/>
      <c r="DUK543"/>
      <c r="DUL543"/>
      <c r="DUM543"/>
      <c r="DUN543"/>
      <c r="DUO543"/>
      <c r="DUP543"/>
      <c r="DUQ543"/>
      <c r="DUR543"/>
      <c r="DUS543"/>
      <c r="DUT543"/>
      <c r="DUU543"/>
      <c r="DUV543"/>
      <c r="DUW543"/>
      <c r="DUX543"/>
      <c r="DUY543"/>
      <c r="DUZ543"/>
      <c r="DVA543"/>
      <c r="DVB543"/>
      <c r="DVC543"/>
      <c r="DVD543"/>
      <c r="DVE543"/>
      <c r="DVF543"/>
      <c r="DVG543"/>
      <c r="DVH543"/>
      <c r="DVI543"/>
      <c r="DVJ543"/>
      <c r="DVK543"/>
      <c r="DVL543"/>
      <c r="DVM543"/>
      <c r="DVN543"/>
      <c r="DVO543"/>
      <c r="DVP543"/>
      <c r="DVQ543"/>
      <c r="DVR543"/>
      <c r="DVS543"/>
      <c r="DVT543"/>
      <c r="DVU543"/>
      <c r="DVV543"/>
      <c r="DVW543"/>
      <c r="DVX543"/>
      <c r="DVY543"/>
      <c r="DVZ543"/>
      <c r="DWA543"/>
      <c r="DWB543"/>
      <c r="DWC543"/>
      <c r="DWD543"/>
      <c r="DWE543"/>
      <c r="DWF543"/>
      <c r="DWG543"/>
      <c r="DWH543"/>
      <c r="DWI543"/>
      <c r="DWJ543"/>
      <c r="DWK543"/>
      <c r="DWL543"/>
      <c r="DWM543"/>
      <c r="DWN543"/>
      <c r="DWO543"/>
      <c r="DWP543"/>
      <c r="DWQ543"/>
      <c r="DWR543"/>
      <c r="DWS543"/>
      <c r="DWT543"/>
      <c r="DWU543"/>
      <c r="DWV543"/>
      <c r="DWW543"/>
      <c r="DWX543"/>
      <c r="DWY543"/>
      <c r="DWZ543"/>
      <c r="DXA543"/>
      <c r="DXB543"/>
      <c r="DXC543"/>
      <c r="DXD543"/>
      <c r="DXE543"/>
      <c r="DXF543"/>
      <c r="DXG543"/>
      <c r="DXH543"/>
      <c r="DXI543"/>
      <c r="DXJ543"/>
      <c r="DXK543"/>
      <c r="DXL543"/>
      <c r="DXM543"/>
      <c r="DXN543"/>
      <c r="DXO543"/>
      <c r="DXP543"/>
      <c r="DXQ543"/>
      <c r="DXR543"/>
      <c r="DXS543"/>
      <c r="DXT543"/>
      <c r="DXU543"/>
      <c r="DXV543"/>
      <c r="DXW543"/>
      <c r="DXX543"/>
      <c r="DXY543"/>
      <c r="DXZ543"/>
      <c r="DYA543"/>
      <c r="DYB543"/>
      <c r="DYC543"/>
      <c r="DYD543"/>
      <c r="DYE543"/>
      <c r="DYF543"/>
      <c r="DYG543"/>
      <c r="DYH543"/>
      <c r="DYI543"/>
      <c r="DYJ543"/>
      <c r="DYK543"/>
      <c r="DYL543"/>
      <c r="DYM543"/>
      <c r="DYN543"/>
      <c r="DYO543"/>
      <c r="DYP543"/>
      <c r="DYQ543"/>
      <c r="DYR543"/>
      <c r="DYS543"/>
      <c r="DYT543"/>
      <c r="DYU543"/>
      <c r="DYV543"/>
      <c r="DYW543"/>
      <c r="DYX543"/>
      <c r="DYY543"/>
      <c r="DYZ543"/>
      <c r="DZA543"/>
      <c r="DZB543"/>
      <c r="DZC543"/>
      <c r="DZD543"/>
      <c r="DZE543"/>
      <c r="DZF543"/>
      <c r="DZG543"/>
      <c r="DZH543"/>
      <c r="DZI543"/>
      <c r="DZJ543"/>
      <c r="DZK543"/>
      <c r="DZL543"/>
      <c r="DZM543"/>
      <c r="DZN543"/>
      <c r="DZO543"/>
      <c r="DZP543"/>
      <c r="DZQ543"/>
      <c r="DZR543"/>
      <c r="DZS543"/>
      <c r="DZT543"/>
      <c r="DZU543"/>
      <c r="DZV543"/>
      <c r="DZW543"/>
      <c r="DZX543"/>
      <c r="DZY543"/>
      <c r="DZZ543"/>
      <c r="EAA543"/>
      <c r="EAB543"/>
      <c r="EAC543"/>
      <c r="EAD543"/>
      <c r="EAE543"/>
      <c r="EAF543"/>
      <c r="EAG543"/>
      <c r="EAH543"/>
      <c r="EAI543"/>
      <c r="EAJ543"/>
      <c r="EAK543"/>
      <c r="EAL543"/>
      <c r="EAM543"/>
      <c r="EAN543"/>
      <c r="EAO543"/>
      <c r="EAP543"/>
      <c r="EAQ543"/>
      <c r="EAR543"/>
      <c r="EAS543"/>
      <c r="EAT543"/>
      <c r="EAU543"/>
      <c r="EAV543"/>
      <c r="EAW543"/>
      <c r="EAX543"/>
      <c r="EAY543"/>
      <c r="EAZ543"/>
      <c r="EBA543"/>
      <c r="EBB543"/>
      <c r="EBC543"/>
      <c r="EBD543"/>
      <c r="EBE543"/>
      <c r="EBF543"/>
      <c r="EBG543"/>
      <c r="EBH543"/>
      <c r="EBI543"/>
      <c r="EBJ543"/>
      <c r="EBK543"/>
      <c r="EBL543"/>
      <c r="EBM543"/>
      <c r="EBN543"/>
      <c r="EBO543"/>
      <c r="EBP543"/>
      <c r="EBQ543"/>
      <c r="EBR543"/>
      <c r="EBS543"/>
      <c r="EBT543"/>
      <c r="EBU543"/>
      <c r="EBV543"/>
      <c r="EBW543"/>
      <c r="EBX543"/>
      <c r="EBY543"/>
      <c r="EBZ543"/>
      <c r="ECA543"/>
      <c r="ECB543"/>
      <c r="ECC543"/>
      <c r="ECD543"/>
      <c r="ECE543"/>
      <c r="ECF543"/>
      <c r="ECG543"/>
      <c r="ECH543"/>
      <c r="ECI543"/>
      <c r="ECJ543"/>
      <c r="ECK543"/>
      <c r="ECL543"/>
      <c r="ECM543"/>
      <c r="ECN543"/>
      <c r="ECO543"/>
      <c r="ECP543"/>
      <c r="ECQ543"/>
      <c r="ECR543"/>
      <c r="ECS543"/>
      <c r="ECT543"/>
      <c r="ECU543"/>
      <c r="ECV543"/>
      <c r="ECW543"/>
      <c r="ECX543"/>
      <c r="ECY543"/>
      <c r="ECZ543"/>
      <c r="EDA543"/>
      <c r="EDB543"/>
      <c r="EDC543"/>
      <c r="EDD543"/>
      <c r="EDE543"/>
      <c r="EDF543"/>
      <c r="EDG543"/>
      <c r="EDH543"/>
      <c r="EDI543"/>
      <c r="EDJ543"/>
      <c r="EDK543"/>
      <c r="EDL543"/>
      <c r="EDM543"/>
      <c r="EDN543"/>
      <c r="EDO543"/>
      <c r="EDP543"/>
      <c r="EDQ543"/>
      <c r="EDR543"/>
      <c r="EDS543"/>
      <c r="EDT543"/>
      <c r="EDU543"/>
      <c r="EDV543"/>
      <c r="EDW543"/>
      <c r="EDX543"/>
      <c r="EDY543"/>
      <c r="EDZ543"/>
      <c r="EEA543"/>
      <c r="EEB543"/>
      <c r="EEC543"/>
      <c r="EED543"/>
      <c r="EEE543"/>
      <c r="EEF543"/>
      <c r="EEG543"/>
      <c r="EEH543"/>
      <c r="EEI543"/>
      <c r="EEJ543"/>
      <c r="EEK543"/>
      <c r="EEL543"/>
      <c r="EEM543"/>
      <c r="EEN543"/>
      <c r="EEO543"/>
      <c r="EEP543"/>
      <c r="EEQ543"/>
      <c r="EER543"/>
      <c r="EES543"/>
      <c r="EET543"/>
      <c r="EEU543"/>
      <c r="EEV543"/>
      <c r="EEW543"/>
      <c r="EEX543"/>
      <c r="EEY543"/>
      <c r="EEZ543"/>
      <c r="EFA543"/>
      <c r="EFB543"/>
      <c r="EFC543"/>
      <c r="EFD543"/>
      <c r="EFE543"/>
      <c r="EFF543"/>
      <c r="EFG543"/>
      <c r="EFH543"/>
      <c r="EFI543"/>
      <c r="EFJ543"/>
      <c r="EFK543"/>
      <c r="EFL543"/>
      <c r="EFM543"/>
      <c r="EFN543"/>
      <c r="EFO543"/>
      <c r="EFP543"/>
      <c r="EFQ543"/>
      <c r="EFR543"/>
      <c r="EFS543"/>
      <c r="EFT543"/>
      <c r="EFU543"/>
      <c r="EFV543"/>
      <c r="EFW543"/>
      <c r="EFX543"/>
      <c r="EFY543"/>
      <c r="EFZ543"/>
      <c r="EGA543"/>
      <c r="EGB543"/>
      <c r="EGC543"/>
      <c r="EGD543"/>
      <c r="EGE543"/>
      <c r="EGF543"/>
      <c r="EGG543"/>
      <c r="EGH543"/>
      <c r="EGI543"/>
      <c r="EGJ543"/>
      <c r="EGK543"/>
      <c r="EGL543"/>
      <c r="EGM543"/>
      <c r="EGN543"/>
      <c r="EGO543"/>
      <c r="EGP543"/>
      <c r="EGQ543"/>
      <c r="EGR543"/>
      <c r="EGS543"/>
      <c r="EGT543"/>
      <c r="EGU543"/>
      <c r="EGV543"/>
      <c r="EGW543"/>
      <c r="EGX543"/>
      <c r="EGY543"/>
      <c r="EGZ543"/>
      <c r="EHA543"/>
      <c r="EHB543"/>
      <c r="EHC543"/>
      <c r="EHD543"/>
      <c r="EHE543"/>
      <c r="EHF543"/>
      <c r="EHG543"/>
      <c r="EHH543"/>
      <c r="EHI543"/>
      <c r="EHJ543"/>
      <c r="EHK543"/>
      <c r="EHL543"/>
      <c r="EHM543"/>
      <c r="EHN543"/>
      <c r="EHO543"/>
      <c r="EHP543"/>
      <c r="EHQ543"/>
      <c r="EHR543"/>
      <c r="EHS543"/>
      <c r="EHT543"/>
      <c r="EHU543"/>
      <c r="EHV543"/>
      <c r="EHW543"/>
      <c r="EHX543"/>
      <c r="EHY543"/>
      <c r="EHZ543"/>
      <c r="EIA543"/>
      <c r="EIB543"/>
      <c r="EIC543"/>
      <c r="EID543"/>
      <c r="EIE543"/>
      <c r="EIF543"/>
      <c r="EIG543"/>
      <c r="EIH543"/>
      <c r="EII543"/>
      <c r="EIJ543"/>
      <c r="EIK543"/>
      <c r="EIL543"/>
      <c r="EIM543"/>
      <c r="EIN543"/>
      <c r="EIO543"/>
      <c r="EIP543"/>
      <c r="EIQ543"/>
      <c r="EIR543"/>
      <c r="EIS543"/>
      <c r="EIT543"/>
      <c r="EIU543"/>
      <c r="EIV543"/>
      <c r="EIW543"/>
      <c r="EIX543"/>
      <c r="EIY543"/>
      <c r="EIZ543"/>
      <c r="EJA543"/>
      <c r="EJB543"/>
      <c r="EJC543"/>
      <c r="EJD543"/>
      <c r="EJE543"/>
      <c r="EJF543"/>
      <c r="EJG543"/>
      <c r="EJH543"/>
      <c r="EJI543"/>
      <c r="EJJ543"/>
      <c r="EJK543"/>
      <c r="EJL543"/>
      <c r="EJM543"/>
      <c r="EJN543"/>
      <c r="EJO543"/>
      <c r="EJP543"/>
      <c r="EJQ543"/>
      <c r="EJR543"/>
      <c r="EJS543"/>
      <c r="EJT543"/>
      <c r="EJU543"/>
      <c r="EJV543"/>
      <c r="EJW543"/>
      <c r="EJX543"/>
      <c r="EJY543"/>
      <c r="EJZ543"/>
      <c r="EKA543"/>
      <c r="EKB543"/>
      <c r="EKC543"/>
      <c r="EKD543"/>
      <c r="EKE543"/>
      <c r="EKF543"/>
      <c r="EKG543"/>
      <c r="EKH543"/>
      <c r="EKI543"/>
      <c r="EKJ543"/>
      <c r="EKK543"/>
      <c r="EKL543"/>
      <c r="EKM543"/>
      <c r="EKN543"/>
      <c r="EKO543"/>
      <c r="EKP543"/>
      <c r="EKQ543"/>
      <c r="EKR543"/>
      <c r="EKS543"/>
      <c r="EKT543"/>
      <c r="EKU543"/>
      <c r="EKV543"/>
      <c r="EKW543"/>
      <c r="EKX543"/>
      <c r="EKY543"/>
      <c r="EKZ543"/>
      <c r="ELA543"/>
      <c r="ELB543"/>
      <c r="ELC543"/>
      <c r="ELD543"/>
      <c r="ELE543"/>
      <c r="ELF543"/>
      <c r="ELG543"/>
      <c r="ELH543"/>
      <c r="ELI543"/>
      <c r="ELJ543"/>
      <c r="ELK543"/>
      <c r="ELL543"/>
      <c r="ELM543"/>
      <c r="ELN543"/>
      <c r="ELO543"/>
      <c r="ELP543"/>
      <c r="ELQ543"/>
      <c r="ELR543"/>
      <c r="ELS543"/>
      <c r="ELT543"/>
      <c r="ELU543"/>
      <c r="ELV543"/>
      <c r="ELW543"/>
      <c r="ELX543"/>
      <c r="ELY543"/>
      <c r="ELZ543"/>
      <c r="EMA543"/>
      <c r="EMB543"/>
      <c r="EMC543"/>
      <c r="EMD543"/>
      <c r="EME543"/>
      <c r="EMF543"/>
      <c r="EMG543"/>
      <c r="EMH543"/>
      <c r="EMI543"/>
      <c r="EMJ543"/>
      <c r="EMK543"/>
      <c r="EML543"/>
      <c r="EMM543"/>
      <c r="EMN543"/>
      <c r="EMO543"/>
      <c r="EMP543"/>
      <c r="EMQ543"/>
      <c r="EMR543"/>
      <c r="EMS543"/>
      <c r="EMT543"/>
      <c r="EMU543"/>
      <c r="EMV543"/>
      <c r="EMW543"/>
      <c r="EMX543"/>
      <c r="EMY543"/>
      <c r="EMZ543"/>
      <c r="ENA543"/>
      <c r="ENB543"/>
      <c r="ENC543"/>
      <c r="END543"/>
      <c r="ENE543"/>
      <c r="ENF543"/>
      <c r="ENG543"/>
      <c r="ENH543"/>
      <c r="ENI543"/>
      <c r="ENJ543"/>
      <c r="ENK543"/>
      <c r="ENL543"/>
      <c r="ENM543"/>
      <c r="ENN543"/>
      <c r="ENO543"/>
      <c r="ENP543"/>
      <c r="ENQ543"/>
      <c r="ENR543"/>
      <c r="ENS543"/>
      <c r="ENT543"/>
      <c r="ENU543"/>
      <c r="ENV543"/>
      <c r="ENW543"/>
      <c r="ENX543"/>
      <c r="ENY543"/>
      <c r="ENZ543"/>
      <c r="EOA543"/>
      <c r="EOB543"/>
      <c r="EOC543"/>
      <c r="EOD543"/>
      <c r="EOE543"/>
      <c r="EOF543"/>
      <c r="EOG543"/>
      <c r="EOH543"/>
      <c r="EOI543"/>
      <c r="EOJ543"/>
      <c r="EOK543"/>
      <c r="EOL543"/>
      <c r="EOM543"/>
      <c r="EON543"/>
      <c r="EOO543"/>
      <c r="EOP543"/>
      <c r="EOQ543"/>
      <c r="EOR543"/>
      <c r="EOS543"/>
      <c r="EOT543"/>
      <c r="EOU543"/>
      <c r="EOV543"/>
      <c r="EOW543"/>
      <c r="EOX543"/>
      <c r="EOY543"/>
      <c r="EOZ543"/>
      <c r="EPA543"/>
      <c r="EPB543"/>
      <c r="EPC543"/>
      <c r="EPD543"/>
      <c r="EPE543"/>
      <c r="EPF543"/>
      <c r="EPG543"/>
      <c r="EPH543"/>
      <c r="EPI543"/>
      <c r="EPJ543"/>
      <c r="EPK543"/>
      <c r="EPL543"/>
      <c r="EPM543"/>
      <c r="EPN543"/>
      <c r="EPO543"/>
      <c r="EPP543"/>
      <c r="EPQ543"/>
      <c r="EPR543"/>
      <c r="EPS543"/>
      <c r="EPT543"/>
      <c r="EPU543"/>
      <c r="EPV543"/>
      <c r="EPW543"/>
      <c r="EPX543"/>
      <c r="EPY543"/>
      <c r="EPZ543"/>
      <c r="EQA543"/>
      <c r="EQB543"/>
      <c r="EQC543"/>
      <c r="EQD543"/>
      <c r="EQE543"/>
      <c r="EQF543"/>
      <c r="EQG543"/>
      <c r="EQH543"/>
      <c r="EQI543"/>
      <c r="EQJ543"/>
      <c r="EQK543"/>
      <c r="EQL543"/>
      <c r="EQM543"/>
      <c r="EQN543"/>
      <c r="EQO543"/>
      <c r="EQP543"/>
      <c r="EQQ543"/>
      <c r="EQR543"/>
      <c r="EQS543"/>
      <c r="EQT543"/>
      <c r="EQU543"/>
      <c r="EQV543"/>
      <c r="EQW543"/>
      <c r="EQX543"/>
      <c r="EQY543"/>
      <c r="EQZ543"/>
      <c r="ERA543"/>
      <c r="ERB543"/>
      <c r="ERC543"/>
      <c r="ERD543"/>
      <c r="ERE543"/>
      <c r="ERF543"/>
      <c r="ERG543"/>
      <c r="ERH543"/>
      <c r="ERI543"/>
      <c r="ERJ543"/>
      <c r="ERK543"/>
      <c r="ERL543"/>
      <c r="ERM543"/>
      <c r="ERN543"/>
      <c r="ERO543"/>
      <c r="ERP543"/>
      <c r="ERQ543"/>
      <c r="ERR543"/>
      <c r="ERS543"/>
      <c r="ERT543"/>
      <c r="ERU543"/>
      <c r="ERV543"/>
      <c r="ERW543"/>
      <c r="ERX543"/>
      <c r="ERY543"/>
      <c r="ERZ543"/>
      <c r="ESA543"/>
      <c r="ESB543"/>
      <c r="ESC543"/>
      <c r="ESD543"/>
      <c r="ESE543"/>
      <c r="ESF543"/>
      <c r="ESG543"/>
      <c r="ESH543"/>
      <c r="ESI543"/>
      <c r="ESJ543"/>
      <c r="ESK543"/>
      <c r="ESL543"/>
      <c r="ESM543"/>
      <c r="ESN543"/>
      <c r="ESO543"/>
      <c r="ESP543"/>
      <c r="ESQ543"/>
      <c r="ESR543"/>
      <c r="ESS543"/>
      <c r="EST543"/>
      <c r="ESU543"/>
      <c r="ESV543"/>
      <c r="ESW543"/>
      <c r="ESX543"/>
      <c r="ESY543"/>
      <c r="ESZ543"/>
      <c r="ETA543"/>
      <c r="ETB543"/>
      <c r="ETC543"/>
      <c r="ETD543"/>
      <c r="ETE543"/>
      <c r="ETF543"/>
      <c r="ETG543"/>
      <c r="ETH543"/>
      <c r="ETI543"/>
      <c r="ETJ543"/>
      <c r="ETK543"/>
      <c r="ETL543"/>
      <c r="ETM543"/>
      <c r="ETN543"/>
      <c r="ETO543"/>
      <c r="ETP543"/>
      <c r="ETQ543"/>
      <c r="ETR543"/>
      <c r="ETS543"/>
      <c r="ETT543"/>
      <c r="ETU543"/>
      <c r="ETV543"/>
      <c r="ETW543"/>
      <c r="ETX543"/>
      <c r="ETY543"/>
      <c r="ETZ543"/>
      <c r="EUA543"/>
      <c r="EUB543"/>
      <c r="EUC543"/>
      <c r="EUD543"/>
      <c r="EUE543"/>
      <c r="EUF543"/>
      <c r="EUG543"/>
      <c r="EUH543"/>
      <c r="EUI543"/>
      <c r="EUJ543"/>
      <c r="EUK543"/>
      <c r="EUL543"/>
      <c r="EUM543"/>
      <c r="EUN543"/>
      <c r="EUO543"/>
      <c r="EUP543"/>
      <c r="EUQ543"/>
      <c r="EUR543"/>
      <c r="EUS543"/>
      <c r="EUT543"/>
      <c r="EUU543"/>
      <c r="EUV543"/>
      <c r="EUW543"/>
      <c r="EUX543"/>
      <c r="EUY543"/>
      <c r="EUZ543"/>
      <c r="EVA543"/>
      <c r="EVB543"/>
      <c r="EVC543"/>
      <c r="EVD543"/>
      <c r="EVE543"/>
      <c r="EVF543"/>
      <c r="EVG543"/>
      <c r="EVH543"/>
      <c r="EVI543"/>
      <c r="EVJ543"/>
      <c r="EVK543"/>
      <c r="EVL543"/>
      <c r="EVM543"/>
      <c r="EVN543"/>
      <c r="EVO543"/>
      <c r="EVP543"/>
      <c r="EVQ543"/>
      <c r="EVR543"/>
      <c r="EVS543"/>
      <c r="EVT543"/>
      <c r="EVU543"/>
      <c r="EVV543"/>
      <c r="EVW543"/>
      <c r="EVX543"/>
      <c r="EVY543"/>
      <c r="EVZ543"/>
      <c r="EWA543"/>
      <c r="EWB543"/>
      <c r="EWC543"/>
      <c r="EWD543"/>
      <c r="EWE543"/>
      <c r="EWF543"/>
      <c r="EWG543"/>
      <c r="EWH543"/>
      <c r="EWI543"/>
      <c r="EWJ543"/>
      <c r="EWK543"/>
      <c r="EWL543"/>
      <c r="EWM543"/>
      <c r="EWN543"/>
      <c r="EWO543"/>
      <c r="EWP543"/>
      <c r="EWQ543"/>
      <c r="EWR543"/>
      <c r="EWS543"/>
      <c r="EWT543"/>
      <c r="EWU543"/>
      <c r="EWV543"/>
      <c r="EWW543"/>
      <c r="EWX543"/>
      <c r="EWY543"/>
      <c r="EWZ543"/>
      <c r="EXA543"/>
      <c r="EXB543"/>
      <c r="EXC543"/>
      <c r="EXD543"/>
      <c r="EXE543"/>
      <c r="EXF543"/>
      <c r="EXG543"/>
      <c r="EXH543"/>
      <c r="EXI543"/>
      <c r="EXJ543"/>
      <c r="EXK543"/>
      <c r="EXL543"/>
      <c r="EXM543"/>
      <c r="EXN543"/>
      <c r="EXO543"/>
      <c r="EXP543"/>
      <c r="EXQ543"/>
      <c r="EXR543"/>
      <c r="EXS543"/>
      <c r="EXT543"/>
      <c r="EXU543"/>
      <c r="EXV543"/>
      <c r="EXW543"/>
      <c r="EXX543"/>
      <c r="EXY543"/>
      <c r="EXZ543"/>
      <c r="EYA543"/>
      <c r="EYB543"/>
      <c r="EYC543"/>
      <c r="EYD543"/>
      <c r="EYE543"/>
      <c r="EYF543"/>
      <c r="EYG543"/>
      <c r="EYH543"/>
      <c r="EYI543"/>
      <c r="EYJ543"/>
      <c r="EYK543"/>
      <c r="EYL543"/>
      <c r="EYM543"/>
      <c r="EYN543"/>
      <c r="EYO543"/>
      <c r="EYP543"/>
      <c r="EYQ543"/>
      <c r="EYR543"/>
      <c r="EYS543"/>
      <c r="EYT543"/>
      <c r="EYU543"/>
      <c r="EYV543"/>
      <c r="EYW543"/>
      <c r="EYX543"/>
      <c r="EYY543"/>
      <c r="EYZ543"/>
      <c r="EZA543"/>
      <c r="EZB543"/>
      <c r="EZC543"/>
      <c r="EZD543"/>
      <c r="EZE543"/>
      <c r="EZF543"/>
      <c r="EZG543"/>
      <c r="EZH543"/>
      <c r="EZI543"/>
      <c r="EZJ543"/>
      <c r="EZK543"/>
      <c r="EZL543"/>
      <c r="EZM543"/>
      <c r="EZN543"/>
      <c r="EZO543"/>
      <c r="EZP543"/>
      <c r="EZQ543"/>
      <c r="EZR543"/>
      <c r="EZS543"/>
      <c r="EZT543"/>
      <c r="EZU543"/>
      <c r="EZV543"/>
      <c r="EZW543"/>
      <c r="EZX543"/>
      <c r="EZY543"/>
      <c r="EZZ543"/>
      <c r="FAA543"/>
      <c r="FAB543"/>
      <c r="FAC543"/>
      <c r="FAD543"/>
      <c r="FAE543"/>
      <c r="FAF543"/>
      <c r="FAG543"/>
      <c r="FAH543"/>
      <c r="FAI543"/>
      <c r="FAJ543"/>
      <c r="FAK543"/>
      <c r="FAL543"/>
      <c r="FAM543"/>
      <c r="FAN543"/>
      <c r="FAO543"/>
      <c r="FAP543"/>
      <c r="FAQ543"/>
      <c r="FAR543"/>
      <c r="FAS543"/>
      <c r="FAT543"/>
      <c r="FAU543"/>
      <c r="FAV543"/>
      <c r="FAW543"/>
      <c r="FAX543"/>
      <c r="FAY543"/>
      <c r="FAZ543"/>
      <c r="FBA543"/>
      <c r="FBB543"/>
      <c r="FBC543"/>
      <c r="FBD543"/>
      <c r="FBE543"/>
      <c r="FBF543"/>
      <c r="FBG543"/>
      <c r="FBH543"/>
      <c r="FBI543"/>
      <c r="FBJ543"/>
      <c r="FBK543"/>
      <c r="FBL543"/>
      <c r="FBM543"/>
      <c r="FBN543"/>
      <c r="FBO543"/>
      <c r="FBP543"/>
      <c r="FBQ543"/>
      <c r="FBR543"/>
      <c r="FBS543"/>
      <c r="FBT543"/>
      <c r="FBU543"/>
      <c r="FBV543"/>
      <c r="FBW543"/>
      <c r="FBX543"/>
      <c r="FBY543"/>
      <c r="FBZ543"/>
      <c r="FCA543"/>
      <c r="FCB543"/>
      <c r="FCC543"/>
      <c r="FCD543"/>
      <c r="FCE543"/>
      <c r="FCF543"/>
      <c r="FCG543"/>
      <c r="FCH543"/>
      <c r="FCI543"/>
      <c r="FCJ543"/>
      <c r="FCK543"/>
      <c r="FCL543"/>
      <c r="FCM543"/>
      <c r="FCN543"/>
      <c r="FCO543"/>
      <c r="FCP543"/>
      <c r="FCQ543"/>
      <c r="FCR543"/>
      <c r="FCS543"/>
      <c r="FCT543"/>
      <c r="FCU543"/>
      <c r="FCV543"/>
      <c r="FCW543"/>
      <c r="FCX543"/>
      <c r="FCY543"/>
      <c r="FCZ543"/>
      <c r="FDA543"/>
      <c r="FDB543"/>
      <c r="FDC543"/>
      <c r="FDD543"/>
      <c r="FDE543"/>
      <c r="FDF543"/>
      <c r="FDG543"/>
      <c r="FDH543"/>
      <c r="FDI543"/>
      <c r="FDJ543"/>
      <c r="FDK543"/>
      <c r="FDL543"/>
      <c r="FDM543"/>
      <c r="FDN543"/>
      <c r="FDO543"/>
      <c r="FDP543"/>
      <c r="FDQ543"/>
      <c r="FDR543"/>
      <c r="FDS543"/>
      <c r="FDT543"/>
      <c r="FDU543"/>
      <c r="FDV543"/>
      <c r="FDW543"/>
      <c r="FDX543"/>
      <c r="FDY543"/>
      <c r="FDZ543"/>
      <c r="FEA543"/>
      <c r="FEB543"/>
      <c r="FEC543"/>
      <c r="FED543"/>
      <c r="FEE543"/>
      <c r="FEF543"/>
      <c r="FEG543"/>
      <c r="FEH543"/>
      <c r="FEI543"/>
      <c r="FEJ543"/>
      <c r="FEK543"/>
      <c r="FEL543"/>
      <c r="FEM543"/>
      <c r="FEN543"/>
      <c r="FEO543"/>
      <c r="FEP543"/>
      <c r="FEQ543"/>
      <c r="FER543"/>
      <c r="FES543"/>
      <c r="FET543"/>
      <c r="FEU543"/>
      <c r="FEV543"/>
      <c r="FEW543"/>
      <c r="FEX543"/>
      <c r="FEY543"/>
      <c r="FEZ543"/>
      <c r="FFA543"/>
      <c r="FFB543"/>
      <c r="FFC543"/>
      <c r="FFD543"/>
      <c r="FFE543"/>
      <c r="FFF543"/>
      <c r="FFG543"/>
      <c r="FFH543"/>
      <c r="FFI543"/>
      <c r="FFJ543"/>
      <c r="FFK543"/>
      <c r="FFL543"/>
      <c r="FFM543"/>
      <c r="FFN543"/>
      <c r="FFO543"/>
      <c r="FFP543"/>
      <c r="FFQ543"/>
      <c r="FFR543"/>
      <c r="FFS543"/>
      <c r="FFT543"/>
      <c r="FFU543"/>
      <c r="FFV543"/>
      <c r="FFW543"/>
      <c r="FFX543"/>
      <c r="FFY543"/>
      <c r="FFZ543"/>
      <c r="FGA543"/>
      <c r="FGB543"/>
      <c r="FGC543"/>
      <c r="FGD543"/>
      <c r="FGE543"/>
      <c r="FGF543"/>
      <c r="FGG543"/>
      <c r="FGH543"/>
      <c r="FGI543"/>
      <c r="FGJ543"/>
      <c r="FGK543"/>
      <c r="FGL543"/>
      <c r="FGM543"/>
      <c r="FGN543"/>
      <c r="FGO543"/>
      <c r="FGP543"/>
      <c r="FGQ543"/>
      <c r="FGR543"/>
      <c r="FGS543"/>
      <c r="FGT543"/>
      <c r="FGU543"/>
      <c r="FGV543"/>
      <c r="FGW543"/>
      <c r="FGX543"/>
      <c r="FGY543"/>
      <c r="FGZ543"/>
      <c r="FHA543"/>
      <c r="FHB543"/>
      <c r="FHC543"/>
      <c r="FHD543"/>
      <c r="FHE543"/>
      <c r="FHF543"/>
      <c r="FHG543"/>
      <c r="FHH543"/>
      <c r="FHI543"/>
      <c r="FHJ543"/>
      <c r="FHK543"/>
      <c r="FHL543"/>
      <c r="FHM543"/>
      <c r="FHN543"/>
      <c r="FHO543"/>
      <c r="FHP543"/>
      <c r="FHQ543"/>
      <c r="FHR543"/>
      <c r="FHS543"/>
      <c r="FHT543"/>
      <c r="FHU543"/>
      <c r="FHV543"/>
      <c r="FHW543"/>
      <c r="FHX543"/>
      <c r="FHY543"/>
      <c r="FHZ543"/>
      <c r="FIA543"/>
      <c r="FIB543"/>
      <c r="FIC543"/>
      <c r="FID543"/>
      <c r="FIE543"/>
      <c r="FIF543"/>
      <c r="FIG543"/>
      <c r="FIH543"/>
      <c r="FII543"/>
      <c r="FIJ543"/>
      <c r="FIK543"/>
      <c r="FIL543"/>
      <c r="FIM543"/>
      <c r="FIN543"/>
      <c r="FIO543"/>
      <c r="FIP543"/>
      <c r="FIQ543"/>
      <c r="FIR543"/>
      <c r="FIS543"/>
      <c r="FIT543"/>
      <c r="FIU543"/>
      <c r="FIV543"/>
      <c r="FIW543"/>
      <c r="FIX543"/>
      <c r="FIY543"/>
      <c r="FIZ543"/>
      <c r="FJA543"/>
      <c r="FJB543"/>
      <c r="FJC543"/>
      <c r="FJD543"/>
      <c r="FJE543"/>
      <c r="FJF543"/>
      <c r="FJG543"/>
      <c r="FJH543"/>
      <c r="FJI543"/>
      <c r="FJJ543"/>
      <c r="FJK543"/>
      <c r="FJL543"/>
      <c r="FJM543"/>
      <c r="FJN543"/>
      <c r="FJO543"/>
      <c r="FJP543"/>
      <c r="FJQ543"/>
      <c r="FJR543"/>
      <c r="FJS543"/>
      <c r="FJT543"/>
      <c r="FJU543"/>
      <c r="FJV543"/>
      <c r="FJW543"/>
      <c r="FJX543"/>
      <c r="FJY543"/>
      <c r="FJZ543"/>
      <c r="FKA543"/>
      <c r="FKB543"/>
      <c r="FKC543"/>
      <c r="FKD543"/>
      <c r="FKE543"/>
      <c r="FKF543"/>
      <c r="FKG543"/>
      <c r="FKH543"/>
      <c r="FKI543"/>
      <c r="FKJ543"/>
      <c r="FKK543"/>
      <c r="FKL543"/>
      <c r="FKM543"/>
      <c r="FKN543"/>
      <c r="FKO543"/>
      <c r="FKP543"/>
      <c r="FKQ543"/>
      <c r="FKR543"/>
      <c r="FKS543"/>
      <c r="FKT543"/>
      <c r="FKU543"/>
      <c r="FKV543"/>
      <c r="FKW543"/>
      <c r="FKX543"/>
      <c r="FKY543"/>
      <c r="FKZ543"/>
      <c r="FLA543"/>
      <c r="FLB543"/>
      <c r="FLC543"/>
      <c r="FLD543"/>
      <c r="FLE543"/>
      <c r="FLF543"/>
      <c r="FLG543"/>
      <c r="FLH543"/>
      <c r="FLI543"/>
      <c r="FLJ543"/>
      <c r="FLK543"/>
      <c r="FLL543"/>
      <c r="FLM543"/>
      <c r="FLN543"/>
      <c r="FLO543"/>
      <c r="FLP543"/>
      <c r="FLQ543"/>
      <c r="FLR543"/>
      <c r="FLS543"/>
      <c r="FLT543"/>
      <c r="FLU543"/>
      <c r="FLV543"/>
      <c r="FLW543"/>
      <c r="FLX543"/>
      <c r="FLY543"/>
      <c r="FLZ543"/>
      <c r="FMA543"/>
      <c r="FMB543"/>
      <c r="FMC543"/>
      <c r="FMD543"/>
      <c r="FME543"/>
      <c r="FMF543"/>
      <c r="FMG543"/>
      <c r="FMH543"/>
      <c r="FMI543"/>
      <c r="FMJ543"/>
      <c r="FMK543"/>
      <c r="FML543"/>
      <c r="FMM543"/>
      <c r="FMN543"/>
      <c r="FMO543"/>
      <c r="FMP543"/>
      <c r="FMQ543"/>
      <c r="FMR543"/>
      <c r="FMS543"/>
      <c r="FMT543"/>
      <c r="FMU543"/>
      <c r="FMV543"/>
      <c r="FMW543"/>
      <c r="FMX543"/>
      <c r="FMY543"/>
      <c r="FMZ543"/>
      <c r="FNA543"/>
      <c r="FNB543"/>
      <c r="FNC543"/>
      <c r="FND543"/>
      <c r="FNE543"/>
      <c r="FNF543"/>
      <c r="FNG543"/>
      <c r="FNH543"/>
      <c r="FNI543"/>
      <c r="FNJ543"/>
      <c r="FNK543"/>
      <c r="FNL543"/>
      <c r="FNM543"/>
      <c r="FNN543"/>
      <c r="FNO543"/>
      <c r="FNP543"/>
      <c r="FNQ543"/>
      <c r="FNR543"/>
      <c r="FNS543"/>
      <c r="FNT543"/>
      <c r="FNU543"/>
      <c r="FNV543"/>
      <c r="FNW543"/>
      <c r="FNX543"/>
      <c r="FNY543"/>
      <c r="FNZ543"/>
      <c r="FOA543"/>
      <c r="FOB543"/>
      <c r="FOC543"/>
      <c r="FOD543"/>
      <c r="FOE543"/>
      <c r="FOF543"/>
      <c r="FOG543"/>
      <c r="FOH543"/>
      <c r="FOI543"/>
      <c r="FOJ543"/>
      <c r="FOK543"/>
      <c r="FOL543"/>
      <c r="FOM543"/>
      <c r="FON543"/>
      <c r="FOO543"/>
      <c r="FOP543"/>
      <c r="FOQ543"/>
      <c r="FOR543"/>
      <c r="FOS543"/>
      <c r="FOT543"/>
      <c r="FOU543"/>
      <c r="FOV543"/>
      <c r="FOW543"/>
      <c r="FOX543"/>
      <c r="FOY543"/>
      <c r="FOZ543"/>
      <c r="FPA543"/>
      <c r="FPB543"/>
      <c r="FPC543"/>
      <c r="FPD543"/>
      <c r="FPE543"/>
      <c r="FPF543"/>
      <c r="FPG543"/>
      <c r="FPH543"/>
      <c r="FPI543"/>
      <c r="FPJ543"/>
      <c r="FPK543"/>
      <c r="FPL543"/>
      <c r="FPM543"/>
      <c r="FPN543"/>
      <c r="FPO543"/>
      <c r="FPP543"/>
      <c r="FPQ543"/>
      <c r="FPR543"/>
      <c r="FPS543"/>
      <c r="FPT543"/>
      <c r="FPU543"/>
      <c r="FPV543"/>
      <c r="FPW543"/>
      <c r="FPX543"/>
      <c r="FPY543"/>
      <c r="FPZ543"/>
      <c r="FQA543"/>
      <c r="FQB543"/>
      <c r="FQC543"/>
      <c r="FQD543"/>
      <c r="FQE543"/>
      <c r="FQF543"/>
      <c r="FQG543"/>
      <c r="FQH543"/>
      <c r="FQI543"/>
      <c r="FQJ543"/>
      <c r="FQK543"/>
      <c r="FQL543"/>
      <c r="FQM543"/>
      <c r="FQN543"/>
      <c r="FQO543"/>
      <c r="FQP543"/>
      <c r="FQQ543"/>
      <c r="FQR543"/>
      <c r="FQS543"/>
      <c r="FQT543"/>
      <c r="FQU543"/>
      <c r="FQV543"/>
      <c r="FQW543"/>
      <c r="FQX543"/>
      <c r="FQY543"/>
      <c r="FQZ543"/>
      <c r="FRA543"/>
      <c r="FRB543"/>
      <c r="FRC543"/>
      <c r="FRD543"/>
      <c r="FRE543"/>
      <c r="FRF543"/>
      <c r="FRG543"/>
      <c r="FRH543"/>
      <c r="FRI543"/>
      <c r="FRJ543"/>
      <c r="FRK543"/>
      <c r="FRL543"/>
      <c r="FRM543"/>
      <c r="FRN543"/>
      <c r="FRO543"/>
      <c r="FRP543"/>
      <c r="FRQ543"/>
      <c r="FRR543"/>
      <c r="FRS543"/>
      <c r="FRT543"/>
      <c r="FRU543"/>
      <c r="FRV543"/>
      <c r="FRW543"/>
      <c r="FRX543"/>
      <c r="FRY543"/>
      <c r="FRZ543"/>
      <c r="FSA543"/>
      <c r="FSB543"/>
      <c r="FSC543"/>
      <c r="FSD543"/>
      <c r="FSE543"/>
      <c r="FSF543"/>
      <c r="FSG543"/>
      <c r="FSH543"/>
      <c r="FSI543"/>
      <c r="FSJ543"/>
      <c r="FSK543"/>
      <c r="FSL543"/>
      <c r="FSM543"/>
      <c r="FSN543"/>
      <c r="FSO543"/>
      <c r="FSP543"/>
      <c r="FSQ543"/>
      <c r="FSR543"/>
      <c r="FSS543"/>
      <c r="FST543"/>
      <c r="FSU543"/>
      <c r="FSV543"/>
      <c r="FSW543"/>
      <c r="FSX543"/>
      <c r="FSY543"/>
      <c r="FSZ543"/>
      <c r="FTA543"/>
      <c r="FTB543"/>
      <c r="FTC543"/>
      <c r="FTD543"/>
      <c r="FTE543"/>
      <c r="FTF543"/>
      <c r="FTG543"/>
      <c r="FTH543"/>
      <c r="FTI543"/>
      <c r="FTJ543"/>
      <c r="FTK543"/>
      <c r="FTL543"/>
      <c r="FTM543"/>
      <c r="FTN543"/>
      <c r="FTO543"/>
      <c r="FTP543"/>
      <c r="FTQ543"/>
      <c r="FTR543"/>
      <c r="FTS543"/>
      <c r="FTT543"/>
      <c r="FTU543"/>
      <c r="FTV543"/>
      <c r="FTW543"/>
      <c r="FTX543"/>
      <c r="FTY543"/>
      <c r="FTZ543"/>
      <c r="FUA543"/>
      <c r="FUB543"/>
      <c r="FUC543"/>
      <c r="FUD543"/>
      <c r="FUE543"/>
      <c r="FUF543"/>
      <c r="FUG543"/>
      <c r="FUH543"/>
      <c r="FUI543"/>
      <c r="FUJ543"/>
      <c r="FUK543"/>
      <c r="FUL543"/>
      <c r="FUM543"/>
      <c r="FUN543"/>
      <c r="FUO543"/>
      <c r="FUP543"/>
      <c r="FUQ543"/>
      <c r="FUR543"/>
      <c r="FUS543"/>
      <c r="FUT543"/>
      <c r="FUU543"/>
      <c r="FUV543"/>
      <c r="FUW543"/>
      <c r="FUX543"/>
      <c r="FUY543"/>
      <c r="FUZ543"/>
      <c r="FVA543"/>
      <c r="FVB543"/>
      <c r="FVC543"/>
      <c r="FVD543"/>
      <c r="FVE543"/>
      <c r="FVF543"/>
      <c r="FVG543"/>
      <c r="FVH543"/>
      <c r="FVI543"/>
      <c r="FVJ543"/>
      <c r="FVK543"/>
      <c r="FVL543"/>
      <c r="FVM543"/>
      <c r="FVN543"/>
      <c r="FVO543"/>
      <c r="FVP543"/>
      <c r="FVQ543"/>
      <c r="FVR543"/>
      <c r="FVS543"/>
      <c r="FVT543"/>
      <c r="FVU543"/>
      <c r="FVV543"/>
      <c r="FVW543"/>
      <c r="FVX543"/>
      <c r="FVY543"/>
      <c r="FVZ543"/>
      <c r="FWA543"/>
      <c r="FWB543"/>
      <c r="FWC543"/>
      <c r="FWD543"/>
      <c r="FWE543"/>
      <c r="FWF543"/>
      <c r="FWG543"/>
      <c r="FWH543"/>
      <c r="FWI543"/>
      <c r="FWJ543"/>
      <c r="FWK543"/>
      <c r="FWL543"/>
      <c r="FWM543"/>
      <c r="FWN543"/>
      <c r="FWO543"/>
      <c r="FWP543"/>
      <c r="FWQ543"/>
      <c r="FWR543"/>
      <c r="FWS543"/>
      <c r="FWT543"/>
      <c r="FWU543"/>
      <c r="FWV543"/>
      <c r="FWW543"/>
      <c r="FWX543"/>
      <c r="FWY543"/>
      <c r="FWZ543"/>
      <c r="FXA543"/>
      <c r="FXB543"/>
      <c r="FXC543"/>
      <c r="FXD543"/>
      <c r="FXE543"/>
      <c r="FXF543"/>
      <c r="FXG543"/>
      <c r="FXH543"/>
      <c r="FXI543"/>
      <c r="FXJ543"/>
      <c r="FXK543"/>
      <c r="FXL543"/>
      <c r="FXM543"/>
      <c r="FXN543"/>
      <c r="FXO543"/>
      <c r="FXP543"/>
      <c r="FXQ543"/>
      <c r="FXR543"/>
      <c r="FXS543"/>
      <c r="FXT543"/>
      <c r="FXU543"/>
      <c r="FXV543"/>
      <c r="FXW543"/>
      <c r="FXX543"/>
      <c r="FXY543"/>
      <c r="FXZ543"/>
      <c r="FYA543"/>
      <c r="FYB543"/>
      <c r="FYC543"/>
      <c r="FYD543"/>
      <c r="FYE543"/>
      <c r="FYF543"/>
      <c r="FYG543"/>
      <c r="FYH543"/>
      <c r="FYI543"/>
      <c r="FYJ543"/>
      <c r="FYK543"/>
      <c r="FYL543"/>
      <c r="FYM543"/>
      <c r="FYN543"/>
      <c r="FYO543"/>
      <c r="FYP543"/>
      <c r="FYQ543"/>
      <c r="FYR543"/>
      <c r="FYS543"/>
      <c r="FYT543"/>
      <c r="FYU543"/>
      <c r="FYV543"/>
      <c r="FYW543"/>
      <c r="FYX543"/>
      <c r="FYY543"/>
      <c r="FYZ543"/>
      <c r="FZA543"/>
      <c r="FZB543"/>
      <c r="FZC543"/>
      <c r="FZD543"/>
      <c r="FZE543"/>
      <c r="FZF543"/>
      <c r="FZG543"/>
      <c r="FZH543"/>
      <c r="FZI543"/>
      <c r="FZJ543"/>
      <c r="FZK543"/>
      <c r="FZL543"/>
      <c r="FZM543"/>
      <c r="FZN543"/>
      <c r="FZO543"/>
      <c r="FZP543"/>
      <c r="FZQ543"/>
      <c r="FZR543"/>
      <c r="FZS543"/>
      <c r="FZT543"/>
      <c r="FZU543"/>
      <c r="FZV543"/>
      <c r="FZW543"/>
      <c r="FZX543"/>
      <c r="FZY543"/>
      <c r="FZZ543"/>
      <c r="GAA543"/>
      <c r="GAB543"/>
      <c r="GAC543"/>
      <c r="GAD543"/>
      <c r="GAE543"/>
      <c r="GAF543"/>
      <c r="GAG543"/>
      <c r="GAH543"/>
      <c r="GAI543"/>
      <c r="GAJ543"/>
      <c r="GAK543"/>
      <c r="GAL543"/>
      <c r="GAM543"/>
      <c r="GAN543"/>
      <c r="GAO543"/>
      <c r="GAP543"/>
      <c r="GAQ543"/>
      <c r="GAR543"/>
      <c r="GAS543"/>
      <c r="GAT543"/>
      <c r="GAU543"/>
      <c r="GAV543"/>
      <c r="GAW543"/>
      <c r="GAX543"/>
      <c r="GAY543"/>
      <c r="GAZ543"/>
      <c r="GBA543"/>
      <c r="GBB543"/>
      <c r="GBC543"/>
      <c r="GBD543"/>
      <c r="GBE543"/>
      <c r="GBF543"/>
      <c r="GBG543"/>
      <c r="GBH543"/>
      <c r="GBI543"/>
      <c r="GBJ543"/>
      <c r="GBK543"/>
      <c r="GBL543"/>
      <c r="GBM543"/>
      <c r="GBN543"/>
      <c r="GBO543"/>
      <c r="GBP543"/>
      <c r="GBQ543"/>
      <c r="GBR543"/>
      <c r="GBS543"/>
      <c r="GBT543"/>
      <c r="GBU543"/>
      <c r="GBV543"/>
      <c r="GBW543"/>
      <c r="GBX543"/>
      <c r="GBY543"/>
      <c r="GBZ543"/>
      <c r="GCA543"/>
      <c r="GCB543"/>
      <c r="GCC543"/>
      <c r="GCD543"/>
      <c r="GCE543"/>
      <c r="GCF543"/>
      <c r="GCG543"/>
      <c r="GCH543"/>
      <c r="GCI543"/>
      <c r="GCJ543"/>
      <c r="GCK543"/>
      <c r="GCL543"/>
      <c r="GCM543"/>
      <c r="GCN543"/>
      <c r="GCO543"/>
      <c r="GCP543"/>
      <c r="GCQ543"/>
      <c r="GCR543"/>
      <c r="GCS543"/>
      <c r="GCT543"/>
      <c r="GCU543"/>
      <c r="GCV543"/>
      <c r="GCW543"/>
      <c r="GCX543"/>
      <c r="GCY543"/>
      <c r="GCZ543"/>
      <c r="GDA543"/>
      <c r="GDB543"/>
      <c r="GDC543"/>
      <c r="GDD543"/>
      <c r="GDE543"/>
      <c r="GDF543"/>
      <c r="GDG543"/>
      <c r="GDH543"/>
      <c r="GDI543"/>
      <c r="GDJ543"/>
      <c r="GDK543"/>
      <c r="GDL543"/>
      <c r="GDM543"/>
      <c r="GDN543"/>
      <c r="GDO543"/>
      <c r="GDP543"/>
      <c r="GDQ543"/>
      <c r="GDR543"/>
      <c r="GDS543"/>
      <c r="GDT543"/>
      <c r="GDU543"/>
      <c r="GDV543"/>
      <c r="GDW543"/>
      <c r="GDX543"/>
      <c r="GDY543"/>
      <c r="GDZ543"/>
      <c r="GEA543"/>
      <c r="GEB543"/>
      <c r="GEC543"/>
      <c r="GED543"/>
      <c r="GEE543"/>
      <c r="GEF543"/>
      <c r="GEG543"/>
      <c r="GEH543"/>
      <c r="GEI543"/>
      <c r="GEJ543"/>
      <c r="GEK543"/>
      <c r="GEL543"/>
      <c r="GEM543"/>
      <c r="GEN543"/>
      <c r="GEO543"/>
      <c r="GEP543"/>
      <c r="GEQ543"/>
      <c r="GER543"/>
      <c r="GES543"/>
      <c r="GET543"/>
      <c r="GEU543"/>
      <c r="GEV543"/>
      <c r="GEW543"/>
      <c r="GEX543"/>
      <c r="GEY543"/>
      <c r="GEZ543"/>
      <c r="GFA543"/>
      <c r="GFB543"/>
      <c r="GFC543"/>
      <c r="GFD543"/>
      <c r="GFE543"/>
      <c r="GFF543"/>
      <c r="GFG543"/>
      <c r="GFH543"/>
      <c r="GFI543"/>
      <c r="GFJ543"/>
      <c r="GFK543"/>
      <c r="GFL543"/>
      <c r="GFM543"/>
      <c r="GFN543"/>
      <c r="GFO543"/>
      <c r="GFP543"/>
      <c r="GFQ543"/>
      <c r="GFR543"/>
      <c r="GFS543"/>
      <c r="GFT543"/>
      <c r="GFU543"/>
      <c r="GFV543"/>
      <c r="GFW543"/>
      <c r="GFX543"/>
      <c r="GFY543"/>
      <c r="GFZ543"/>
      <c r="GGA543"/>
      <c r="GGB543"/>
      <c r="GGC543"/>
      <c r="GGD543"/>
      <c r="GGE543"/>
      <c r="GGF543"/>
      <c r="GGG543"/>
      <c r="GGH543"/>
      <c r="GGI543"/>
      <c r="GGJ543"/>
      <c r="GGK543"/>
      <c r="GGL543"/>
      <c r="GGM543"/>
      <c r="GGN543"/>
      <c r="GGO543"/>
      <c r="GGP543"/>
      <c r="GGQ543"/>
      <c r="GGR543"/>
      <c r="GGS543"/>
      <c r="GGT543"/>
      <c r="GGU543"/>
      <c r="GGV543"/>
      <c r="GGW543"/>
      <c r="GGX543"/>
      <c r="GGY543"/>
      <c r="GGZ543"/>
      <c r="GHA543"/>
      <c r="GHB543"/>
      <c r="GHC543"/>
      <c r="GHD543"/>
      <c r="GHE543"/>
      <c r="GHF543"/>
      <c r="GHG543"/>
      <c r="GHH543"/>
      <c r="GHI543"/>
      <c r="GHJ543"/>
      <c r="GHK543"/>
      <c r="GHL543"/>
      <c r="GHM543"/>
      <c r="GHN543"/>
      <c r="GHO543"/>
      <c r="GHP543"/>
      <c r="GHQ543"/>
      <c r="GHR543"/>
      <c r="GHS543"/>
      <c r="GHT543"/>
      <c r="GHU543"/>
      <c r="GHV543"/>
      <c r="GHW543"/>
      <c r="GHX543"/>
      <c r="GHY543"/>
      <c r="GHZ543"/>
      <c r="GIA543"/>
      <c r="GIB543"/>
      <c r="GIC543"/>
      <c r="GID543"/>
      <c r="GIE543"/>
      <c r="GIF543"/>
      <c r="GIG543"/>
      <c r="GIH543"/>
      <c r="GII543"/>
      <c r="GIJ543"/>
      <c r="GIK543"/>
      <c r="GIL543"/>
      <c r="GIM543"/>
      <c r="GIN543"/>
      <c r="GIO543"/>
      <c r="GIP543"/>
      <c r="GIQ543"/>
      <c r="GIR543"/>
      <c r="GIS543"/>
      <c r="GIT543"/>
      <c r="GIU543"/>
      <c r="GIV543"/>
      <c r="GIW543"/>
      <c r="GIX543"/>
      <c r="GIY543"/>
      <c r="GIZ543"/>
      <c r="GJA543"/>
      <c r="GJB543"/>
      <c r="GJC543"/>
      <c r="GJD543"/>
      <c r="GJE543"/>
      <c r="GJF543"/>
      <c r="GJG543"/>
      <c r="GJH543"/>
      <c r="GJI543"/>
      <c r="GJJ543"/>
      <c r="GJK543"/>
      <c r="GJL543"/>
      <c r="GJM543"/>
      <c r="GJN543"/>
      <c r="GJO543"/>
      <c r="GJP543"/>
      <c r="GJQ543"/>
      <c r="GJR543"/>
      <c r="GJS543"/>
      <c r="GJT543"/>
      <c r="GJU543"/>
      <c r="GJV543"/>
      <c r="GJW543"/>
      <c r="GJX543"/>
      <c r="GJY543"/>
      <c r="GJZ543"/>
      <c r="GKA543"/>
      <c r="GKB543"/>
      <c r="GKC543"/>
      <c r="GKD543"/>
      <c r="GKE543"/>
      <c r="GKF543"/>
      <c r="GKG543"/>
      <c r="GKH543"/>
      <c r="GKI543"/>
      <c r="GKJ543"/>
      <c r="GKK543"/>
      <c r="GKL543"/>
      <c r="GKM543"/>
      <c r="GKN543"/>
      <c r="GKO543"/>
      <c r="GKP543"/>
      <c r="GKQ543"/>
      <c r="GKR543"/>
      <c r="GKS543"/>
      <c r="GKT543"/>
      <c r="GKU543"/>
      <c r="GKV543"/>
      <c r="GKW543"/>
      <c r="GKX543"/>
      <c r="GKY543"/>
      <c r="GKZ543"/>
      <c r="GLA543"/>
      <c r="GLB543"/>
      <c r="GLC543"/>
      <c r="GLD543"/>
      <c r="GLE543"/>
      <c r="GLF543"/>
      <c r="GLG543"/>
      <c r="GLH543"/>
      <c r="GLI543"/>
      <c r="GLJ543"/>
      <c r="GLK543"/>
      <c r="GLL543"/>
      <c r="GLM543"/>
      <c r="GLN543"/>
      <c r="GLO543"/>
      <c r="GLP543"/>
      <c r="GLQ543"/>
      <c r="GLR543"/>
      <c r="GLS543"/>
      <c r="GLT543"/>
      <c r="GLU543"/>
      <c r="GLV543"/>
      <c r="GLW543"/>
      <c r="GLX543"/>
      <c r="GLY543"/>
      <c r="GLZ543"/>
      <c r="GMA543"/>
      <c r="GMB543"/>
      <c r="GMC543"/>
      <c r="GMD543"/>
      <c r="GME543"/>
      <c r="GMF543"/>
      <c r="GMG543"/>
      <c r="GMH543"/>
      <c r="GMI543"/>
      <c r="GMJ543"/>
      <c r="GMK543"/>
      <c r="GML543"/>
      <c r="GMM543"/>
      <c r="GMN543"/>
      <c r="GMO543"/>
      <c r="GMP543"/>
      <c r="GMQ543"/>
      <c r="GMR543"/>
      <c r="GMS543"/>
      <c r="GMT543"/>
      <c r="GMU543"/>
      <c r="GMV543"/>
      <c r="GMW543"/>
      <c r="GMX543"/>
      <c r="GMY543"/>
      <c r="GMZ543"/>
      <c r="GNA543"/>
      <c r="GNB543"/>
      <c r="GNC543"/>
      <c r="GND543"/>
      <c r="GNE543"/>
      <c r="GNF543"/>
      <c r="GNG543"/>
      <c r="GNH543"/>
      <c r="GNI543"/>
      <c r="GNJ543"/>
      <c r="GNK543"/>
      <c r="GNL543"/>
      <c r="GNM543"/>
      <c r="GNN543"/>
      <c r="GNO543"/>
      <c r="GNP543"/>
      <c r="GNQ543"/>
      <c r="GNR543"/>
      <c r="GNS543"/>
      <c r="GNT543"/>
      <c r="GNU543"/>
      <c r="GNV543"/>
      <c r="GNW543"/>
      <c r="GNX543"/>
      <c r="GNY543"/>
      <c r="GNZ543"/>
      <c r="GOA543"/>
      <c r="GOB543"/>
      <c r="GOC543"/>
      <c r="GOD543"/>
      <c r="GOE543"/>
      <c r="GOF543"/>
      <c r="GOG543"/>
      <c r="GOH543"/>
      <c r="GOI543"/>
      <c r="GOJ543"/>
      <c r="GOK543"/>
      <c r="GOL543"/>
      <c r="GOM543"/>
      <c r="GON543"/>
      <c r="GOO543"/>
      <c r="GOP543"/>
      <c r="GOQ543"/>
      <c r="GOR543"/>
      <c r="GOS543"/>
      <c r="GOT543"/>
      <c r="GOU543"/>
      <c r="GOV543"/>
      <c r="GOW543"/>
      <c r="GOX543"/>
      <c r="GOY543"/>
      <c r="GOZ543"/>
      <c r="GPA543"/>
      <c r="GPB543"/>
      <c r="GPC543"/>
      <c r="GPD543"/>
      <c r="GPE543"/>
      <c r="GPF543"/>
      <c r="GPG543"/>
      <c r="GPH543"/>
      <c r="GPI543"/>
      <c r="GPJ543"/>
      <c r="GPK543"/>
      <c r="GPL543"/>
      <c r="GPM543"/>
      <c r="GPN543"/>
      <c r="GPO543"/>
      <c r="GPP543"/>
      <c r="GPQ543"/>
      <c r="GPR543"/>
      <c r="GPS543"/>
      <c r="GPT543"/>
      <c r="GPU543"/>
      <c r="GPV543"/>
      <c r="GPW543"/>
      <c r="GPX543"/>
      <c r="GPY543"/>
      <c r="GPZ543"/>
      <c r="GQA543"/>
      <c r="GQB543"/>
      <c r="GQC543"/>
      <c r="GQD543"/>
      <c r="GQE543"/>
      <c r="GQF543"/>
      <c r="GQG543"/>
      <c r="GQH543"/>
      <c r="GQI543"/>
      <c r="GQJ543"/>
      <c r="GQK543"/>
      <c r="GQL543"/>
      <c r="GQM543"/>
      <c r="GQN543"/>
      <c r="GQO543"/>
      <c r="GQP543"/>
      <c r="GQQ543"/>
      <c r="GQR543"/>
      <c r="GQS543"/>
      <c r="GQT543"/>
      <c r="GQU543"/>
      <c r="GQV543"/>
      <c r="GQW543"/>
      <c r="GQX543"/>
      <c r="GQY543"/>
      <c r="GQZ543"/>
      <c r="GRA543"/>
      <c r="GRB543"/>
      <c r="GRC543"/>
      <c r="GRD543"/>
      <c r="GRE543"/>
      <c r="GRF543"/>
      <c r="GRG543"/>
      <c r="GRH543"/>
      <c r="GRI543"/>
      <c r="GRJ543"/>
      <c r="GRK543"/>
      <c r="GRL543"/>
      <c r="GRM543"/>
      <c r="GRN543"/>
      <c r="GRO543"/>
      <c r="GRP543"/>
      <c r="GRQ543"/>
      <c r="GRR543"/>
      <c r="GRS543"/>
      <c r="GRT543"/>
      <c r="GRU543"/>
      <c r="GRV543"/>
      <c r="GRW543"/>
      <c r="GRX543"/>
      <c r="GRY543"/>
      <c r="GRZ543"/>
      <c r="GSA543"/>
      <c r="GSB543"/>
      <c r="GSC543"/>
      <c r="GSD543"/>
      <c r="GSE543"/>
      <c r="GSF543"/>
      <c r="GSG543"/>
      <c r="GSH543"/>
      <c r="GSI543"/>
      <c r="GSJ543"/>
      <c r="GSK543"/>
      <c r="GSL543"/>
      <c r="GSM543"/>
      <c r="GSN543"/>
      <c r="GSO543"/>
      <c r="GSP543"/>
      <c r="GSQ543"/>
      <c r="GSR543"/>
      <c r="GSS543"/>
      <c r="GST543"/>
      <c r="GSU543"/>
      <c r="GSV543"/>
      <c r="GSW543"/>
      <c r="GSX543"/>
      <c r="GSY543"/>
      <c r="GSZ543"/>
      <c r="GTA543"/>
      <c r="GTB543"/>
      <c r="GTC543"/>
      <c r="GTD543"/>
      <c r="GTE543"/>
      <c r="GTF543"/>
      <c r="GTG543"/>
      <c r="GTH543"/>
      <c r="GTI543"/>
      <c r="GTJ543"/>
      <c r="GTK543"/>
      <c r="GTL543"/>
      <c r="GTM543"/>
      <c r="GTN543"/>
      <c r="GTO543"/>
      <c r="GTP543"/>
      <c r="GTQ543"/>
      <c r="GTR543"/>
      <c r="GTS543"/>
      <c r="GTT543"/>
      <c r="GTU543"/>
      <c r="GTV543"/>
      <c r="GTW543"/>
      <c r="GTX543"/>
      <c r="GTY543"/>
      <c r="GTZ543"/>
      <c r="GUA543"/>
      <c r="GUB543"/>
      <c r="GUC543"/>
      <c r="GUD543"/>
      <c r="GUE543"/>
      <c r="GUF543"/>
      <c r="GUG543"/>
      <c r="GUH543"/>
      <c r="GUI543"/>
      <c r="GUJ543"/>
      <c r="GUK543"/>
      <c r="GUL543"/>
      <c r="GUM543"/>
      <c r="GUN543"/>
      <c r="GUO543"/>
      <c r="GUP543"/>
      <c r="GUQ543"/>
      <c r="GUR543"/>
      <c r="GUS543"/>
      <c r="GUT543"/>
      <c r="GUU543"/>
      <c r="GUV543"/>
      <c r="GUW543"/>
      <c r="GUX543"/>
      <c r="GUY543"/>
      <c r="GUZ543"/>
      <c r="GVA543"/>
      <c r="GVB543"/>
      <c r="GVC543"/>
      <c r="GVD543"/>
      <c r="GVE543"/>
      <c r="GVF543"/>
      <c r="GVG543"/>
      <c r="GVH543"/>
      <c r="GVI543"/>
      <c r="GVJ543"/>
      <c r="GVK543"/>
      <c r="GVL543"/>
      <c r="GVM543"/>
      <c r="GVN543"/>
      <c r="GVO543"/>
      <c r="GVP543"/>
      <c r="GVQ543"/>
      <c r="GVR543"/>
      <c r="GVS543"/>
      <c r="GVT543"/>
      <c r="GVU543"/>
      <c r="GVV543"/>
      <c r="GVW543"/>
      <c r="GVX543"/>
      <c r="GVY543"/>
      <c r="GVZ543"/>
      <c r="GWA543"/>
      <c r="GWB543"/>
      <c r="GWC543"/>
      <c r="GWD543"/>
      <c r="GWE543"/>
      <c r="GWF543"/>
      <c r="GWG543"/>
      <c r="GWH543"/>
      <c r="GWI543"/>
      <c r="GWJ543"/>
      <c r="GWK543"/>
      <c r="GWL543"/>
      <c r="GWM543"/>
      <c r="GWN543"/>
      <c r="GWO543"/>
      <c r="GWP543"/>
      <c r="GWQ543"/>
      <c r="GWR543"/>
      <c r="GWS543"/>
      <c r="GWT543"/>
      <c r="GWU543"/>
      <c r="GWV543"/>
      <c r="GWW543"/>
      <c r="GWX543"/>
      <c r="GWY543"/>
      <c r="GWZ543"/>
      <c r="GXA543"/>
      <c r="GXB543"/>
      <c r="GXC543"/>
      <c r="GXD543"/>
      <c r="GXE543"/>
      <c r="GXF543"/>
      <c r="GXG543"/>
      <c r="GXH543"/>
      <c r="GXI543"/>
      <c r="GXJ543"/>
      <c r="GXK543"/>
      <c r="GXL543"/>
      <c r="GXM543"/>
      <c r="GXN543"/>
      <c r="GXO543"/>
      <c r="GXP543"/>
      <c r="GXQ543"/>
      <c r="GXR543"/>
      <c r="GXS543"/>
      <c r="GXT543"/>
      <c r="GXU543"/>
      <c r="GXV543"/>
      <c r="GXW543"/>
      <c r="GXX543"/>
      <c r="GXY543"/>
      <c r="GXZ543"/>
      <c r="GYA543"/>
      <c r="GYB543"/>
      <c r="GYC543"/>
      <c r="GYD543"/>
      <c r="GYE543"/>
      <c r="GYF543"/>
      <c r="GYG543"/>
      <c r="GYH543"/>
      <c r="GYI543"/>
      <c r="GYJ543"/>
      <c r="GYK543"/>
      <c r="GYL543"/>
      <c r="GYM543"/>
      <c r="GYN543"/>
      <c r="GYO543"/>
      <c r="GYP543"/>
      <c r="GYQ543"/>
      <c r="GYR543"/>
      <c r="GYS543"/>
      <c r="GYT543"/>
      <c r="GYU543"/>
      <c r="GYV543"/>
      <c r="GYW543"/>
      <c r="GYX543"/>
      <c r="GYY543"/>
      <c r="GYZ543"/>
      <c r="GZA543"/>
      <c r="GZB543"/>
      <c r="GZC543"/>
      <c r="GZD543"/>
      <c r="GZE543"/>
      <c r="GZF543"/>
      <c r="GZG543"/>
      <c r="GZH543"/>
      <c r="GZI543"/>
      <c r="GZJ543"/>
      <c r="GZK543"/>
      <c r="GZL543"/>
      <c r="GZM543"/>
      <c r="GZN543"/>
      <c r="GZO543"/>
      <c r="GZP543"/>
      <c r="GZQ543"/>
      <c r="GZR543"/>
      <c r="GZS543"/>
      <c r="GZT543"/>
      <c r="GZU543"/>
      <c r="GZV543"/>
      <c r="GZW543"/>
      <c r="GZX543"/>
      <c r="GZY543"/>
      <c r="GZZ543"/>
      <c r="HAA543"/>
      <c r="HAB543"/>
      <c r="HAC543"/>
      <c r="HAD543"/>
      <c r="HAE543"/>
      <c r="HAF543"/>
      <c r="HAG543"/>
      <c r="HAH543"/>
      <c r="HAI543"/>
      <c r="HAJ543"/>
      <c r="HAK543"/>
      <c r="HAL543"/>
      <c r="HAM543"/>
      <c r="HAN543"/>
      <c r="HAO543"/>
      <c r="HAP543"/>
      <c r="HAQ543"/>
      <c r="HAR543"/>
      <c r="HAS543"/>
      <c r="HAT543"/>
      <c r="HAU543"/>
      <c r="HAV543"/>
      <c r="HAW543"/>
      <c r="HAX543"/>
      <c r="HAY543"/>
      <c r="HAZ543"/>
      <c r="HBA543"/>
      <c r="HBB543"/>
      <c r="HBC543"/>
      <c r="HBD543"/>
      <c r="HBE543"/>
      <c r="HBF543"/>
      <c r="HBG543"/>
      <c r="HBH543"/>
      <c r="HBI543"/>
      <c r="HBJ543"/>
      <c r="HBK543"/>
      <c r="HBL543"/>
      <c r="HBM543"/>
      <c r="HBN543"/>
      <c r="HBO543"/>
      <c r="HBP543"/>
      <c r="HBQ543"/>
      <c r="HBR543"/>
      <c r="HBS543"/>
      <c r="HBT543"/>
      <c r="HBU543"/>
      <c r="HBV543"/>
      <c r="HBW543"/>
      <c r="HBX543"/>
      <c r="HBY543"/>
      <c r="HBZ543"/>
      <c r="HCA543"/>
      <c r="HCB543"/>
      <c r="HCC543"/>
      <c r="HCD543"/>
      <c r="HCE543"/>
      <c r="HCF543"/>
      <c r="HCG543"/>
      <c r="HCH543"/>
      <c r="HCI543"/>
      <c r="HCJ543"/>
      <c r="HCK543"/>
      <c r="HCL543"/>
      <c r="HCM543"/>
      <c r="HCN543"/>
      <c r="HCO543"/>
      <c r="HCP543"/>
      <c r="HCQ543"/>
      <c r="HCR543"/>
      <c r="HCS543"/>
      <c r="HCT543"/>
      <c r="HCU543"/>
      <c r="HCV543"/>
      <c r="HCW543"/>
      <c r="HCX543"/>
      <c r="HCY543"/>
      <c r="HCZ543"/>
      <c r="HDA543"/>
      <c r="HDB543"/>
      <c r="HDC543"/>
      <c r="HDD543"/>
      <c r="HDE543"/>
      <c r="HDF543"/>
      <c r="HDG543"/>
      <c r="HDH543"/>
      <c r="HDI543"/>
      <c r="HDJ543"/>
      <c r="HDK543"/>
      <c r="HDL543"/>
      <c r="HDM543"/>
      <c r="HDN543"/>
      <c r="HDO543"/>
      <c r="HDP543"/>
      <c r="HDQ543"/>
      <c r="HDR543"/>
      <c r="HDS543"/>
      <c r="HDT543"/>
      <c r="HDU543"/>
      <c r="HDV543"/>
      <c r="HDW543"/>
      <c r="HDX543"/>
      <c r="HDY543"/>
      <c r="HDZ543"/>
      <c r="HEA543"/>
      <c r="HEB543"/>
      <c r="HEC543"/>
      <c r="HED543"/>
      <c r="HEE543"/>
      <c r="HEF543"/>
      <c r="HEG543"/>
      <c r="HEH543"/>
      <c r="HEI543"/>
      <c r="HEJ543"/>
      <c r="HEK543"/>
      <c r="HEL543"/>
      <c r="HEM543"/>
      <c r="HEN543"/>
      <c r="HEO543"/>
      <c r="HEP543"/>
      <c r="HEQ543"/>
      <c r="HER543"/>
      <c r="HES543"/>
      <c r="HET543"/>
      <c r="HEU543"/>
      <c r="HEV543"/>
      <c r="HEW543"/>
      <c r="HEX543"/>
      <c r="HEY543"/>
      <c r="HEZ543"/>
      <c r="HFA543"/>
      <c r="HFB543"/>
      <c r="HFC543"/>
      <c r="HFD543"/>
      <c r="HFE543"/>
      <c r="HFF543"/>
      <c r="HFG543"/>
      <c r="HFH543"/>
      <c r="HFI543"/>
      <c r="HFJ543"/>
      <c r="HFK543"/>
      <c r="HFL543"/>
      <c r="HFM543"/>
      <c r="HFN543"/>
      <c r="HFO543"/>
      <c r="HFP543"/>
      <c r="HFQ543"/>
      <c r="HFR543"/>
      <c r="HFS543"/>
      <c r="HFT543"/>
      <c r="HFU543"/>
      <c r="HFV543"/>
      <c r="HFW543"/>
      <c r="HFX543"/>
      <c r="HFY543"/>
      <c r="HFZ543"/>
      <c r="HGA543"/>
      <c r="HGB543"/>
      <c r="HGC543"/>
      <c r="HGD543"/>
      <c r="HGE543"/>
      <c r="HGF543"/>
      <c r="HGG543"/>
      <c r="HGH543"/>
      <c r="HGI543"/>
      <c r="HGJ543"/>
      <c r="HGK543"/>
      <c r="HGL543"/>
      <c r="HGM543"/>
      <c r="HGN543"/>
      <c r="HGO543"/>
      <c r="HGP543"/>
      <c r="HGQ543"/>
      <c r="HGR543"/>
      <c r="HGS543"/>
      <c r="HGT543"/>
      <c r="HGU543"/>
      <c r="HGV543"/>
      <c r="HGW543"/>
      <c r="HGX543"/>
      <c r="HGY543"/>
      <c r="HGZ543"/>
      <c r="HHA543"/>
      <c r="HHB543"/>
      <c r="HHC543"/>
      <c r="HHD543"/>
      <c r="HHE543"/>
      <c r="HHF543"/>
      <c r="HHG543"/>
      <c r="HHH543"/>
      <c r="HHI543"/>
      <c r="HHJ543"/>
      <c r="HHK543"/>
      <c r="HHL543"/>
      <c r="HHM543"/>
      <c r="HHN543"/>
      <c r="HHO543"/>
      <c r="HHP543"/>
      <c r="HHQ543"/>
      <c r="HHR543"/>
      <c r="HHS543"/>
      <c r="HHT543"/>
      <c r="HHU543"/>
      <c r="HHV543"/>
      <c r="HHW543"/>
      <c r="HHX543"/>
      <c r="HHY543"/>
      <c r="HHZ543"/>
      <c r="HIA543"/>
      <c r="HIB543"/>
      <c r="HIC543"/>
      <c r="HID543"/>
      <c r="HIE543"/>
      <c r="HIF543"/>
      <c r="HIG543"/>
      <c r="HIH543"/>
      <c r="HII543"/>
      <c r="HIJ543"/>
      <c r="HIK543"/>
      <c r="HIL543"/>
      <c r="HIM543"/>
      <c r="HIN543"/>
      <c r="HIO543"/>
      <c r="HIP543"/>
      <c r="HIQ543"/>
      <c r="HIR543"/>
      <c r="HIS543"/>
      <c r="HIT543"/>
      <c r="HIU543"/>
      <c r="HIV543"/>
      <c r="HIW543"/>
      <c r="HIX543"/>
      <c r="HIY543"/>
      <c r="HIZ543"/>
      <c r="HJA543"/>
      <c r="HJB543"/>
      <c r="HJC543"/>
      <c r="HJD543"/>
      <c r="HJE543"/>
      <c r="HJF543"/>
      <c r="HJG543"/>
      <c r="HJH543"/>
      <c r="HJI543"/>
      <c r="HJJ543"/>
      <c r="HJK543"/>
      <c r="HJL543"/>
      <c r="HJM543"/>
      <c r="HJN543"/>
      <c r="HJO543"/>
      <c r="HJP543"/>
      <c r="HJQ543"/>
      <c r="HJR543"/>
      <c r="HJS543"/>
      <c r="HJT543"/>
      <c r="HJU543"/>
      <c r="HJV543"/>
      <c r="HJW543"/>
      <c r="HJX543"/>
      <c r="HJY543"/>
      <c r="HJZ543"/>
      <c r="HKA543"/>
      <c r="HKB543"/>
      <c r="HKC543"/>
      <c r="HKD543"/>
      <c r="HKE543"/>
      <c r="HKF543"/>
      <c r="HKG543"/>
      <c r="HKH543"/>
      <c r="HKI543"/>
      <c r="HKJ543"/>
      <c r="HKK543"/>
      <c r="HKL543"/>
      <c r="HKM543"/>
      <c r="HKN543"/>
      <c r="HKO543"/>
      <c r="HKP543"/>
      <c r="HKQ543"/>
      <c r="HKR543"/>
      <c r="HKS543"/>
      <c r="HKT543"/>
      <c r="HKU543"/>
      <c r="HKV543"/>
      <c r="HKW543"/>
      <c r="HKX543"/>
      <c r="HKY543"/>
      <c r="HKZ543"/>
      <c r="HLA543"/>
      <c r="HLB543"/>
      <c r="HLC543"/>
      <c r="HLD543"/>
      <c r="HLE543"/>
      <c r="HLF543"/>
      <c r="HLG543"/>
      <c r="HLH543"/>
      <c r="HLI543"/>
      <c r="HLJ543"/>
      <c r="HLK543"/>
      <c r="HLL543"/>
      <c r="HLM543"/>
      <c r="HLN543"/>
      <c r="HLO543"/>
      <c r="HLP543"/>
      <c r="HLQ543"/>
      <c r="HLR543"/>
      <c r="HLS543"/>
      <c r="HLT543"/>
      <c r="HLU543"/>
      <c r="HLV543"/>
      <c r="HLW543"/>
      <c r="HLX543"/>
      <c r="HLY543"/>
      <c r="HLZ543"/>
      <c r="HMA543"/>
      <c r="HMB543"/>
      <c r="HMC543"/>
      <c r="HMD543"/>
      <c r="HME543"/>
      <c r="HMF543"/>
      <c r="HMG543"/>
      <c r="HMH543"/>
      <c r="HMI543"/>
      <c r="HMJ543"/>
      <c r="HMK543"/>
      <c r="HML543"/>
      <c r="HMM543"/>
      <c r="HMN543"/>
      <c r="HMO543"/>
      <c r="HMP543"/>
      <c r="HMQ543"/>
      <c r="HMR543"/>
      <c r="HMS543"/>
      <c r="HMT543"/>
      <c r="HMU543"/>
      <c r="HMV543"/>
      <c r="HMW543"/>
      <c r="HMX543"/>
      <c r="HMY543"/>
      <c r="HMZ543"/>
      <c r="HNA543"/>
      <c r="HNB543"/>
      <c r="HNC543"/>
      <c r="HND543"/>
      <c r="HNE543"/>
      <c r="HNF543"/>
      <c r="HNG543"/>
      <c r="HNH543"/>
      <c r="HNI543"/>
      <c r="HNJ543"/>
      <c r="HNK543"/>
      <c r="HNL543"/>
      <c r="HNM543"/>
      <c r="HNN543"/>
      <c r="HNO543"/>
      <c r="HNP543"/>
      <c r="HNQ543"/>
      <c r="HNR543"/>
      <c r="HNS543"/>
      <c r="HNT543"/>
      <c r="HNU543"/>
      <c r="HNV543"/>
      <c r="HNW543"/>
      <c r="HNX543"/>
      <c r="HNY543"/>
      <c r="HNZ543"/>
      <c r="HOA543"/>
      <c r="HOB543"/>
      <c r="HOC543"/>
      <c r="HOD543"/>
      <c r="HOE543"/>
      <c r="HOF543"/>
      <c r="HOG543"/>
      <c r="HOH543"/>
      <c r="HOI543"/>
      <c r="HOJ543"/>
      <c r="HOK543"/>
      <c r="HOL543"/>
      <c r="HOM543"/>
      <c r="HON543"/>
      <c r="HOO543"/>
      <c r="HOP543"/>
      <c r="HOQ543"/>
      <c r="HOR543"/>
      <c r="HOS543"/>
      <c r="HOT543"/>
      <c r="HOU543"/>
      <c r="HOV543"/>
      <c r="HOW543"/>
      <c r="HOX543"/>
      <c r="HOY543"/>
      <c r="HOZ543"/>
      <c r="HPA543"/>
      <c r="HPB543"/>
      <c r="HPC543"/>
      <c r="HPD543"/>
      <c r="HPE543"/>
      <c r="HPF543"/>
      <c r="HPG543"/>
      <c r="HPH543"/>
      <c r="HPI543"/>
      <c r="HPJ543"/>
      <c r="HPK543"/>
      <c r="HPL543"/>
      <c r="HPM543"/>
      <c r="HPN543"/>
      <c r="HPO543"/>
      <c r="HPP543"/>
      <c r="HPQ543"/>
      <c r="HPR543"/>
      <c r="HPS543"/>
      <c r="HPT543"/>
      <c r="HPU543"/>
      <c r="HPV543"/>
      <c r="HPW543"/>
      <c r="HPX543"/>
      <c r="HPY543"/>
      <c r="HPZ543"/>
      <c r="HQA543"/>
      <c r="HQB543"/>
      <c r="HQC543"/>
      <c r="HQD543"/>
      <c r="HQE543"/>
      <c r="HQF543"/>
      <c r="HQG543"/>
      <c r="HQH543"/>
      <c r="HQI543"/>
      <c r="HQJ543"/>
      <c r="HQK543"/>
      <c r="HQL543"/>
      <c r="HQM543"/>
      <c r="HQN543"/>
      <c r="HQO543"/>
      <c r="HQP543"/>
      <c r="HQQ543"/>
      <c r="HQR543"/>
      <c r="HQS543"/>
      <c r="HQT543"/>
      <c r="HQU543"/>
      <c r="HQV543"/>
      <c r="HQW543"/>
      <c r="HQX543"/>
      <c r="HQY543"/>
      <c r="HQZ543"/>
      <c r="HRA543"/>
      <c r="HRB543"/>
      <c r="HRC543"/>
      <c r="HRD543"/>
      <c r="HRE543"/>
      <c r="HRF543"/>
      <c r="HRG543"/>
      <c r="HRH543"/>
      <c r="HRI543"/>
      <c r="HRJ543"/>
      <c r="HRK543"/>
      <c r="HRL543"/>
      <c r="HRM543"/>
      <c r="HRN543"/>
      <c r="HRO543"/>
      <c r="HRP543"/>
      <c r="HRQ543"/>
      <c r="HRR543"/>
      <c r="HRS543"/>
      <c r="HRT543"/>
      <c r="HRU543"/>
      <c r="HRV543"/>
      <c r="HRW543"/>
      <c r="HRX543"/>
      <c r="HRY543"/>
      <c r="HRZ543"/>
      <c r="HSA543"/>
      <c r="HSB543"/>
      <c r="HSC543"/>
      <c r="HSD543"/>
      <c r="HSE543"/>
      <c r="HSF543"/>
      <c r="HSG543"/>
      <c r="HSH543"/>
      <c r="HSI543"/>
      <c r="HSJ543"/>
      <c r="HSK543"/>
      <c r="HSL543"/>
      <c r="HSM543"/>
      <c r="HSN543"/>
      <c r="HSO543"/>
      <c r="HSP543"/>
      <c r="HSQ543"/>
      <c r="HSR543"/>
      <c r="HSS543"/>
      <c r="HST543"/>
      <c r="HSU543"/>
      <c r="HSV543"/>
      <c r="HSW543"/>
      <c r="HSX543"/>
      <c r="HSY543"/>
      <c r="HSZ543"/>
      <c r="HTA543"/>
      <c r="HTB543"/>
      <c r="HTC543"/>
      <c r="HTD543"/>
      <c r="HTE543"/>
      <c r="HTF543"/>
      <c r="HTG543"/>
      <c r="HTH543"/>
      <c r="HTI543"/>
      <c r="HTJ543"/>
      <c r="HTK543"/>
      <c r="HTL543"/>
      <c r="HTM543"/>
      <c r="HTN543"/>
      <c r="HTO543"/>
      <c r="HTP543"/>
      <c r="HTQ543"/>
      <c r="HTR543"/>
      <c r="HTS543"/>
      <c r="HTT543"/>
      <c r="HTU543"/>
      <c r="HTV543"/>
      <c r="HTW543"/>
      <c r="HTX543"/>
      <c r="HTY543"/>
      <c r="HTZ543"/>
      <c r="HUA543"/>
      <c r="HUB543"/>
      <c r="HUC543"/>
      <c r="HUD543"/>
      <c r="HUE543"/>
      <c r="HUF543"/>
      <c r="HUG543"/>
      <c r="HUH543"/>
      <c r="HUI543"/>
      <c r="HUJ543"/>
      <c r="HUK543"/>
      <c r="HUL543"/>
      <c r="HUM543"/>
      <c r="HUN543"/>
      <c r="HUO543"/>
      <c r="HUP543"/>
      <c r="HUQ543"/>
      <c r="HUR543"/>
      <c r="HUS543"/>
      <c r="HUT543"/>
      <c r="HUU543"/>
      <c r="HUV543"/>
      <c r="HUW543"/>
      <c r="HUX543"/>
      <c r="HUY543"/>
      <c r="HUZ543"/>
      <c r="HVA543"/>
      <c r="HVB543"/>
      <c r="HVC543"/>
      <c r="HVD543"/>
      <c r="HVE543"/>
      <c r="HVF543"/>
      <c r="HVG543"/>
      <c r="HVH543"/>
      <c r="HVI543"/>
      <c r="HVJ543"/>
      <c r="HVK543"/>
      <c r="HVL543"/>
      <c r="HVM543"/>
      <c r="HVN543"/>
      <c r="HVO543"/>
      <c r="HVP543"/>
      <c r="HVQ543"/>
      <c r="HVR543"/>
      <c r="HVS543"/>
      <c r="HVT543"/>
      <c r="HVU543"/>
      <c r="HVV543"/>
      <c r="HVW543"/>
      <c r="HVX543"/>
      <c r="HVY543"/>
      <c r="HVZ543"/>
      <c r="HWA543"/>
      <c r="HWB543"/>
      <c r="HWC543"/>
      <c r="HWD543"/>
      <c r="HWE543"/>
      <c r="HWF543"/>
      <c r="HWG543"/>
      <c r="HWH543"/>
      <c r="HWI543"/>
      <c r="HWJ543"/>
      <c r="HWK543"/>
      <c r="HWL543"/>
      <c r="HWM543"/>
      <c r="HWN543"/>
      <c r="HWO543"/>
      <c r="HWP543"/>
      <c r="HWQ543"/>
      <c r="HWR543"/>
      <c r="HWS543"/>
      <c r="HWT543"/>
      <c r="HWU543"/>
      <c r="HWV543"/>
      <c r="HWW543"/>
      <c r="HWX543"/>
      <c r="HWY543"/>
      <c r="HWZ543"/>
      <c r="HXA543"/>
      <c r="HXB543"/>
      <c r="HXC543"/>
      <c r="HXD543"/>
      <c r="HXE543"/>
      <c r="HXF543"/>
      <c r="HXG543"/>
      <c r="HXH543"/>
      <c r="HXI543"/>
      <c r="HXJ543"/>
      <c r="HXK543"/>
      <c r="HXL543"/>
      <c r="HXM543"/>
      <c r="HXN543"/>
      <c r="HXO543"/>
      <c r="HXP543"/>
      <c r="HXQ543"/>
      <c r="HXR543"/>
      <c r="HXS543"/>
      <c r="HXT543"/>
      <c r="HXU543"/>
      <c r="HXV543"/>
      <c r="HXW543"/>
      <c r="HXX543"/>
      <c r="HXY543"/>
      <c r="HXZ543"/>
      <c r="HYA543"/>
      <c r="HYB543"/>
      <c r="HYC543"/>
      <c r="HYD543"/>
      <c r="HYE543"/>
      <c r="HYF543"/>
      <c r="HYG543"/>
      <c r="HYH543"/>
      <c r="HYI543"/>
      <c r="HYJ543"/>
      <c r="HYK543"/>
      <c r="HYL543"/>
      <c r="HYM543"/>
      <c r="HYN543"/>
      <c r="HYO543"/>
      <c r="HYP543"/>
      <c r="HYQ543"/>
      <c r="HYR543"/>
      <c r="HYS543"/>
      <c r="HYT543"/>
      <c r="HYU543"/>
      <c r="HYV543"/>
      <c r="HYW543"/>
      <c r="HYX543"/>
      <c r="HYY543"/>
      <c r="HYZ543"/>
      <c r="HZA543"/>
      <c r="HZB543"/>
      <c r="HZC543"/>
      <c r="HZD543"/>
      <c r="HZE543"/>
      <c r="HZF543"/>
      <c r="HZG543"/>
      <c r="HZH543"/>
      <c r="HZI543"/>
      <c r="HZJ543"/>
      <c r="HZK543"/>
      <c r="HZL543"/>
      <c r="HZM543"/>
      <c r="HZN543"/>
      <c r="HZO543"/>
      <c r="HZP543"/>
      <c r="HZQ543"/>
      <c r="HZR543"/>
      <c r="HZS543"/>
      <c r="HZT543"/>
      <c r="HZU543"/>
      <c r="HZV543"/>
      <c r="HZW543"/>
      <c r="HZX543"/>
      <c r="HZY543"/>
      <c r="HZZ543"/>
      <c r="IAA543"/>
      <c r="IAB543"/>
      <c r="IAC543"/>
      <c r="IAD543"/>
      <c r="IAE543"/>
      <c r="IAF543"/>
      <c r="IAG543"/>
      <c r="IAH543"/>
      <c r="IAI543"/>
      <c r="IAJ543"/>
      <c r="IAK543"/>
      <c r="IAL543"/>
      <c r="IAM543"/>
      <c r="IAN543"/>
      <c r="IAO543"/>
      <c r="IAP543"/>
      <c r="IAQ543"/>
      <c r="IAR543"/>
      <c r="IAS543"/>
      <c r="IAT543"/>
      <c r="IAU543"/>
      <c r="IAV543"/>
      <c r="IAW543"/>
      <c r="IAX543"/>
      <c r="IAY543"/>
      <c r="IAZ543"/>
      <c r="IBA543"/>
      <c r="IBB543"/>
      <c r="IBC543"/>
      <c r="IBD543"/>
      <c r="IBE543"/>
      <c r="IBF543"/>
      <c r="IBG543"/>
      <c r="IBH543"/>
      <c r="IBI543"/>
      <c r="IBJ543"/>
      <c r="IBK543"/>
      <c r="IBL543"/>
      <c r="IBM543"/>
      <c r="IBN543"/>
      <c r="IBO543"/>
      <c r="IBP543"/>
      <c r="IBQ543"/>
      <c r="IBR543"/>
      <c r="IBS543"/>
      <c r="IBT543"/>
      <c r="IBU543"/>
      <c r="IBV543"/>
      <c r="IBW543"/>
      <c r="IBX543"/>
      <c r="IBY543"/>
      <c r="IBZ543"/>
      <c r="ICA543"/>
      <c r="ICB543"/>
      <c r="ICC543"/>
      <c r="ICD543"/>
      <c r="ICE543"/>
      <c r="ICF543"/>
      <c r="ICG543"/>
      <c r="ICH543"/>
      <c r="ICI543"/>
      <c r="ICJ543"/>
      <c r="ICK543"/>
      <c r="ICL543"/>
      <c r="ICM543"/>
      <c r="ICN543"/>
      <c r="ICO543"/>
      <c r="ICP543"/>
      <c r="ICQ543"/>
      <c r="ICR543"/>
      <c r="ICS543"/>
      <c r="ICT543"/>
      <c r="ICU543"/>
      <c r="ICV543"/>
      <c r="ICW543"/>
      <c r="ICX543"/>
      <c r="ICY543"/>
      <c r="ICZ543"/>
      <c r="IDA543"/>
      <c r="IDB543"/>
      <c r="IDC543"/>
      <c r="IDD543"/>
      <c r="IDE543"/>
      <c r="IDF543"/>
      <c r="IDG543"/>
      <c r="IDH543"/>
      <c r="IDI543"/>
      <c r="IDJ543"/>
      <c r="IDK543"/>
      <c r="IDL543"/>
      <c r="IDM543"/>
      <c r="IDN543"/>
      <c r="IDO543"/>
      <c r="IDP543"/>
      <c r="IDQ543"/>
      <c r="IDR543"/>
      <c r="IDS543"/>
      <c r="IDT543"/>
      <c r="IDU543"/>
      <c r="IDV543"/>
      <c r="IDW543"/>
      <c r="IDX543"/>
      <c r="IDY543"/>
      <c r="IDZ543"/>
      <c r="IEA543"/>
      <c r="IEB543"/>
      <c r="IEC543"/>
      <c r="IED543"/>
      <c r="IEE543"/>
      <c r="IEF543"/>
      <c r="IEG543"/>
      <c r="IEH543"/>
      <c r="IEI543"/>
      <c r="IEJ543"/>
      <c r="IEK543"/>
      <c r="IEL543"/>
      <c r="IEM543"/>
      <c r="IEN543"/>
      <c r="IEO543"/>
      <c r="IEP543"/>
      <c r="IEQ543"/>
      <c r="IER543"/>
      <c r="IES543"/>
      <c r="IET543"/>
      <c r="IEU543"/>
      <c r="IEV543"/>
      <c r="IEW543"/>
      <c r="IEX543"/>
      <c r="IEY543"/>
      <c r="IEZ543"/>
      <c r="IFA543"/>
      <c r="IFB543"/>
      <c r="IFC543"/>
      <c r="IFD543"/>
      <c r="IFE543"/>
      <c r="IFF543"/>
      <c r="IFG543"/>
      <c r="IFH543"/>
      <c r="IFI543"/>
      <c r="IFJ543"/>
      <c r="IFK543"/>
      <c r="IFL543"/>
      <c r="IFM543"/>
      <c r="IFN543"/>
      <c r="IFO543"/>
      <c r="IFP543"/>
      <c r="IFQ543"/>
      <c r="IFR543"/>
      <c r="IFS543"/>
      <c r="IFT543"/>
      <c r="IFU543"/>
      <c r="IFV543"/>
      <c r="IFW543"/>
      <c r="IFX543"/>
      <c r="IFY543"/>
      <c r="IFZ543"/>
      <c r="IGA543"/>
      <c r="IGB543"/>
      <c r="IGC543"/>
      <c r="IGD543"/>
      <c r="IGE543"/>
      <c r="IGF543"/>
      <c r="IGG543"/>
      <c r="IGH543"/>
      <c r="IGI543"/>
      <c r="IGJ543"/>
      <c r="IGK543"/>
      <c r="IGL543"/>
      <c r="IGM543"/>
      <c r="IGN543"/>
      <c r="IGO543"/>
      <c r="IGP543"/>
      <c r="IGQ543"/>
      <c r="IGR543"/>
      <c r="IGS543"/>
      <c r="IGT543"/>
      <c r="IGU543"/>
      <c r="IGV543"/>
      <c r="IGW543"/>
      <c r="IGX543"/>
      <c r="IGY543"/>
      <c r="IGZ543"/>
      <c r="IHA543"/>
      <c r="IHB543"/>
      <c r="IHC543"/>
      <c r="IHD543"/>
      <c r="IHE543"/>
      <c r="IHF543"/>
      <c r="IHG543"/>
      <c r="IHH543"/>
      <c r="IHI543"/>
      <c r="IHJ543"/>
      <c r="IHK543"/>
      <c r="IHL543"/>
      <c r="IHM543"/>
      <c r="IHN543"/>
      <c r="IHO543"/>
      <c r="IHP543"/>
      <c r="IHQ543"/>
      <c r="IHR543"/>
      <c r="IHS543"/>
      <c r="IHT543"/>
      <c r="IHU543"/>
      <c r="IHV543"/>
      <c r="IHW543"/>
      <c r="IHX543"/>
      <c r="IHY543"/>
      <c r="IHZ543"/>
      <c r="IIA543"/>
      <c r="IIB543"/>
      <c r="IIC543"/>
      <c r="IID543"/>
      <c r="IIE543"/>
      <c r="IIF543"/>
      <c r="IIG543"/>
      <c r="IIH543"/>
      <c r="III543"/>
      <c r="IIJ543"/>
      <c r="IIK543"/>
      <c r="IIL543"/>
      <c r="IIM543"/>
      <c r="IIN543"/>
      <c r="IIO543"/>
      <c r="IIP543"/>
      <c r="IIQ543"/>
      <c r="IIR543"/>
      <c r="IIS543"/>
      <c r="IIT543"/>
      <c r="IIU543"/>
      <c r="IIV543"/>
      <c r="IIW543"/>
      <c r="IIX543"/>
      <c r="IIY543"/>
      <c r="IIZ543"/>
      <c r="IJA543"/>
      <c r="IJB543"/>
      <c r="IJC543"/>
      <c r="IJD543"/>
      <c r="IJE543"/>
      <c r="IJF543"/>
      <c r="IJG543"/>
      <c r="IJH543"/>
      <c r="IJI543"/>
      <c r="IJJ543"/>
      <c r="IJK543"/>
      <c r="IJL543"/>
      <c r="IJM543"/>
      <c r="IJN543"/>
      <c r="IJO543"/>
      <c r="IJP543"/>
      <c r="IJQ543"/>
      <c r="IJR543"/>
      <c r="IJS543"/>
      <c r="IJT543"/>
      <c r="IJU543"/>
      <c r="IJV543"/>
      <c r="IJW543"/>
      <c r="IJX543"/>
      <c r="IJY543"/>
      <c r="IJZ543"/>
      <c r="IKA543"/>
      <c r="IKB543"/>
      <c r="IKC543"/>
      <c r="IKD543"/>
      <c r="IKE543"/>
      <c r="IKF543"/>
      <c r="IKG543"/>
      <c r="IKH543"/>
      <c r="IKI543"/>
      <c r="IKJ543"/>
      <c r="IKK543"/>
      <c r="IKL543"/>
      <c r="IKM543"/>
      <c r="IKN543"/>
      <c r="IKO543"/>
      <c r="IKP543"/>
      <c r="IKQ543"/>
      <c r="IKR543"/>
      <c r="IKS543"/>
      <c r="IKT543"/>
      <c r="IKU543"/>
      <c r="IKV543"/>
      <c r="IKW543"/>
      <c r="IKX543"/>
      <c r="IKY543"/>
      <c r="IKZ543"/>
      <c r="ILA543"/>
      <c r="ILB543"/>
      <c r="ILC543"/>
      <c r="ILD543"/>
      <c r="ILE543"/>
      <c r="ILF543"/>
      <c r="ILG543"/>
      <c r="ILH543"/>
      <c r="ILI543"/>
      <c r="ILJ543"/>
      <c r="ILK543"/>
      <c r="ILL543"/>
      <c r="ILM543"/>
      <c r="ILN543"/>
      <c r="ILO543"/>
      <c r="ILP543"/>
      <c r="ILQ543"/>
      <c r="ILR543"/>
      <c r="ILS543"/>
      <c r="ILT543"/>
      <c r="ILU543"/>
      <c r="ILV543"/>
      <c r="ILW543"/>
      <c r="ILX543"/>
      <c r="ILY543"/>
      <c r="ILZ543"/>
      <c r="IMA543"/>
      <c r="IMB543"/>
      <c r="IMC543"/>
      <c r="IMD543"/>
      <c r="IME543"/>
      <c r="IMF543"/>
      <c r="IMG543"/>
      <c r="IMH543"/>
      <c r="IMI543"/>
      <c r="IMJ543"/>
      <c r="IMK543"/>
      <c r="IML543"/>
      <c r="IMM543"/>
      <c r="IMN543"/>
      <c r="IMO543"/>
      <c r="IMP543"/>
      <c r="IMQ543"/>
      <c r="IMR543"/>
      <c r="IMS543"/>
      <c r="IMT543"/>
      <c r="IMU543"/>
      <c r="IMV543"/>
      <c r="IMW543"/>
      <c r="IMX543"/>
      <c r="IMY543"/>
      <c r="IMZ543"/>
      <c r="INA543"/>
      <c r="INB543"/>
      <c r="INC543"/>
      <c r="IND543"/>
      <c r="INE543"/>
      <c r="INF543"/>
      <c r="ING543"/>
      <c r="INH543"/>
      <c r="INI543"/>
      <c r="INJ543"/>
      <c r="INK543"/>
      <c r="INL543"/>
      <c r="INM543"/>
      <c r="INN543"/>
      <c r="INO543"/>
      <c r="INP543"/>
      <c r="INQ543"/>
      <c r="INR543"/>
      <c r="INS543"/>
      <c r="INT543"/>
      <c r="INU543"/>
      <c r="INV543"/>
      <c r="INW543"/>
      <c r="INX543"/>
      <c r="INY543"/>
      <c r="INZ543"/>
      <c r="IOA543"/>
      <c r="IOB543"/>
      <c r="IOC543"/>
      <c r="IOD543"/>
      <c r="IOE543"/>
      <c r="IOF543"/>
      <c r="IOG543"/>
      <c r="IOH543"/>
      <c r="IOI543"/>
      <c r="IOJ543"/>
      <c r="IOK543"/>
      <c r="IOL543"/>
      <c r="IOM543"/>
      <c r="ION543"/>
      <c r="IOO543"/>
      <c r="IOP543"/>
      <c r="IOQ543"/>
      <c r="IOR543"/>
      <c r="IOS543"/>
      <c r="IOT543"/>
      <c r="IOU543"/>
      <c r="IOV543"/>
      <c r="IOW543"/>
      <c r="IOX543"/>
      <c r="IOY543"/>
      <c r="IOZ543"/>
      <c r="IPA543"/>
      <c r="IPB543"/>
      <c r="IPC543"/>
      <c r="IPD543"/>
      <c r="IPE543"/>
      <c r="IPF543"/>
      <c r="IPG543"/>
      <c r="IPH543"/>
      <c r="IPI543"/>
      <c r="IPJ543"/>
      <c r="IPK543"/>
      <c r="IPL543"/>
      <c r="IPM543"/>
      <c r="IPN543"/>
      <c r="IPO543"/>
      <c r="IPP543"/>
      <c r="IPQ543"/>
      <c r="IPR543"/>
      <c r="IPS543"/>
      <c r="IPT543"/>
      <c r="IPU543"/>
      <c r="IPV543"/>
      <c r="IPW543"/>
      <c r="IPX543"/>
      <c r="IPY543"/>
      <c r="IPZ543"/>
      <c r="IQA543"/>
      <c r="IQB543"/>
      <c r="IQC543"/>
      <c r="IQD543"/>
      <c r="IQE543"/>
      <c r="IQF543"/>
      <c r="IQG543"/>
      <c r="IQH543"/>
      <c r="IQI543"/>
      <c r="IQJ543"/>
      <c r="IQK543"/>
      <c r="IQL543"/>
      <c r="IQM543"/>
      <c r="IQN543"/>
      <c r="IQO543"/>
      <c r="IQP543"/>
      <c r="IQQ543"/>
      <c r="IQR543"/>
      <c r="IQS543"/>
      <c r="IQT543"/>
      <c r="IQU543"/>
      <c r="IQV543"/>
      <c r="IQW543"/>
      <c r="IQX543"/>
      <c r="IQY543"/>
      <c r="IQZ543"/>
      <c r="IRA543"/>
      <c r="IRB543"/>
      <c r="IRC543"/>
      <c r="IRD543"/>
      <c r="IRE543"/>
      <c r="IRF543"/>
      <c r="IRG543"/>
      <c r="IRH543"/>
      <c r="IRI543"/>
      <c r="IRJ543"/>
      <c r="IRK543"/>
      <c r="IRL543"/>
      <c r="IRM543"/>
      <c r="IRN543"/>
      <c r="IRO543"/>
      <c r="IRP543"/>
      <c r="IRQ543"/>
      <c r="IRR543"/>
      <c r="IRS543"/>
      <c r="IRT543"/>
      <c r="IRU543"/>
      <c r="IRV543"/>
      <c r="IRW543"/>
      <c r="IRX543"/>
      <c r="IRY543"/>
      <c r="IRZ543"/>
      <c r="ISA543"/>
      <c r="ISB543"/>
      <c r="ISC543"/>
      <c r="ISD543"/>
      <c r="ISE543"/>
      <c r="ISF543"/>
      <c r="ISG543"/>
      <c r="ISH543"/>
      <c r="ISI543"/>
      <c r="ISJ543"/>
      <c r="ISK543"/>
      <c r="ISL543"/>
      <c r="ISM543"/>
      <c r="ISN543"/>
      <c r="ISO543"/>
      <c r="ISP543"/>
      <c r="ISQ543"/>
      <c r="ISR543"/>
      <c r="ISS543"/>
      <c r="IST543"/>
      <c r="ISU543"/>
      <c r="ISV543"/>
      <c r="ISW543"/>
      <c r="ISX543"/>
      <c r="ISY543"/>
      <c r="ISZ543"/>
      <c r="ITA543"/>
      <c r="ITB543"/>
      <c r="ITC543"/>
      <c r="ITD543"/>
      <c r="ITE543"/>
      <c r="ITF543"/>
      <c r="ITG543"/>
      <c r="ITH543"/>
      <c r="ITI543"/>
      <c r="ITJ543"/>
      <c r="ITK543"/>
      <c r="ITL543"/>
      <c r="ITM543"/>
      <c r="ITN543"/>
      <c r="ITO543"/>
      <c r="ITP543"/>
      <c r="ITQ543"/>
      <c r="ITR543"/>
      <c r="ITS543"/>
      <c r="ITT543"/>
      <c r="ITU543"/>
      <c r="ITV543"/>
      <c r="ITW543"/>
      <c r="ITX543"/>
      <c r="ITY543"/>
      <c r="ITZ543"/>
      <c r="IUA543"/>
      <c r="IUB543"/>
      <c r="IUC543"/>
      <c r="IUD543"/>
      <c r="IUE543"/>
      <c r="IUF543"/>
      <c r="IUG543"/>
      <c r="IUH543"/>
      <c r="IUI543"/>
      <c r="IUJ543"/>
      <c r="IUK543"/>
      <c r="IUL543"/>
      <c r="IUM543"/>
      <c r="IUN543"/>
      <c r="IUO543"/>
      <c r="IUP543"/>
      <c r="IUQ543"/>
      <c r="IUR543"/>
      <c r="IUS543"/>
      <c r="IUT543"/>
      <c r="IUU543"/>
      <c r="IUV543"/>
      <c r="IUW543"/>
      <c r="IUX543"/>
      <c r="IUY543"/>
      <c r="IUZ543"/>
      <c r="IVA543"/>
      <c r="IVB543"/>
      <c r="IVC543"/>
      <c r="IVD543"/>
      <c r="IVE543"/>
      <c r="IVF543"/>
      <c r="IVG543"/>
      <c r="IVH543"/>
      <c r="IVI543"/>
      <c r="IVJ543"/>
      <c r="IVK543"/>
      <c r="IVL543"/>
      <c r="IVM543"/>
      <c r="IVN543"/>
      <c r="IVO543"/>
      <c r="IVP543"/>
      <c r="IVQ543"/>
      <c r="IVR543"/>
      <c r="IVS543"/>
      <c r="IVT543"/>
      <c r="IVU543"/>
      <c r="IVV543"/>
      <c r="IVW543"/>
      <c r="IVX543"/>
      <c r="IVY543"/>
      <c r="IVZ543"/>
      <c r="IWA543"/>
      <c r="IWB543"/>
      <c r="IWC543"/>
      <c r="IWD543"/>
      <c r="IWE543"/>
      <c r="IWF543"/>
      <c r="IWG543"/>
      <c r="IWH543"/>
      <c r="IWI543"/>
      <c r="IWJ543"/>
      <c r="IWK543"/>
      <c r="IWL543"/>
      <c r="IWM543"/>
      <c r="IWN543"/>
      <c r="IWO543"/>
      <c r="IWP543"/>
      <c r="IWQ543"/>
      <c r="IWR543"/>
      <c r="IWS543"/>
      <c r="IWT543"/>
      <c r="IWU543"/>
      <c r="IWV543"/>
      <c r="IWW543"/>
      <c r="IWX543"/>
      <c r="IWY543"/>
      <c r="IWZ543"/>
      <c r="IXA543"/>
      <c r="IXB543"/>
      <c r="IXC543"/>
      <c r="IXD543"/>
      <c r="IXE543"/>
      <c r="IXF543"/>
      <c r="IXG543"/>
      <c r="IXH543"/>
      <c r="IXI543"/>
      <c r="IXJ543"/>
      <c r="IXK543"/>
      <c r="IXL543"/>
      <c r="IXM543"/>
      <c r="IXN543"/>
      <c r="IXO543"/>
      <c r="IXP543"/>
      <c r="IXQ543"/>
      <c r="IXR543"/>
      <c r="IXS543"/>
      <c r="IXT543"/>
      <c r="IXU543"/>
      <c r="IXV543"/>
      <c r="IXW543"/>
      <c r="IXX543"/>
      <c r="IXY543"/>
      <c r="IXZ543"/>
      <c r="IYA543"/>
      <c r="IYB543"/>
      <c r="IYC543"/>
      <c r="IYD543"/>
      <c r="IYE543"/>
      <c r="IYF543"/>
      <c r="IYG543"/>
      <c r="IYH543"/>
      <c r="IYI543"/>
      <c r="IYJ543"/>
      <c r="IYK543"/>
      <c r="IYL543"/>
      <c r="IYM543"/>
      <c r="IYN543"/>
      <c r="IYO543"/>
      <c r="IYP543"/>
      <c r="IYQ543"/>
      <c r="IYR543"/>
      <c r="IYS543"/>
      <c r="IYT543"/>
      <c r="IYU543"/>
      <c r="IYV543"/>
      <c r="IYW543"/>
      <c r="IYX543"/>
      <c r="IYY543"/>
      <c r="IYZ543"/>
      <c r="IZA543"/>
      <c r="IZB543"/>
      <c r="IZC543"/>
      <c r="IZD543"/>
      <c r="IZE543"/>
      <c r="IZF543"/>
      <c r="IZG543"/>
      <c r="IZH543"/>
      <c r="IZI543"/>
      <c r="IZJ543"/>
      <c r="IZK543"/>
      <c r="IZL543"/>
      <c r="IZM543"/>
      <c r="IZN543"/>
      <c r="IZO543"/>
      <c r="IZP543"/>
      <c r="IZQ543"/>
      <c r="IZR543"/>
      <c r="IZS543"/>
      <c r="IZT543"/>
      <c r="IZU543"/>
      <c r="IZV543"/>
      <c r="IZW543"/>
      <c r="IZX543"/>
      <c r="IZY543"/>
      <c r="IZZ543"/>
      <c r="JAA543"/>
      <c r="JAB543"/>
      <c r="JAC543"/>
      <c r="JAD543"/>
      <c r="JAE543"/>
      <c r="JAF543"/>
      <c r="JAG543"/>
      <c r="JAH543"/>
      <c r="JAI543"/>
      <c r="JAJ543"/>
      <c r="JAK543"/>
      <c r="JAL543"/>
      <c r="JAM543"/>
      <c r="JAN543"/>
      <c r="JAO543"/>
      <c r="JAP543"/>
      <c r="JAQ543"/>
      <c r="JAR543"/>
      <c r="JAS543"/>
      <c r="JAT543"/>
      <c r="JAU543"/>
      <c r="JAV543"/>
      <c r="JAW543"/>
      <c r="JAX543"/>
      <c r="JAY543"/>
      <c r="JAZ543"/>
      <c r="JBA543"/>
      <c r="JBB543"/>
      <c r="JBC543"/>
      <c r="JBD543"/>
      <c r="JBE543"/>
      <c r="JBF543"/>
      <c r="JBG543"/>
      <c r="JBH543"/>
      <c r="JBI543"/>
      <c r="JBJ543"/>
      <c r="JBK543"/>
      <c r="JBL543"/>
      <c r="JBM543"/>
      <c r="JBN543"/>
      <c r="JBO543"/>
      <c r="JBP543"/>
      <c r="JBQ543"/>
      <c r="JBR543"/>
      <c r="JBS543"/>
      <c r="JBT543"/>
      <c r="JBU543"/>
      <c r="JBV543"/>
      <c r="JBW543"/>
      <c r="JBX543"/>
      <c r="JBY543"/>
      <c r="JBZ543"/>
      <c r="JCA543"/>
      <c r="JCB543"/>
      <c r="JCC543"/>
      <c r="JCD543"/>
      <c r="JCE543"/>
      <c r="JCF543"/>
      <c r="JCG543"/>
      <c r="JCH543"/>
      <c r="JCI543"/>
      <c r="JCJ543"/>
      <c r="JCK543"/>
      <c r="JCL543"/>
      <c r="JCM543"/>
      <c r="JCN543"/>
      <c r="JCO543"/>
      <c r="JCP543"/>
      <c r="JCQ543"/>
      <c r="JCR543"/>
      <c r="JCS543"/>
      <c r="JCT543"/>
      <c r="JCU543"/>
      <c r="JCV543"/>
      <c r="JCW543"/>
      <c r="JCX543"/>
      <c r="JCY543"/>
      <c r="JCZ543"/>
      <c r="JDA543"/>
      <c r="JDB543"/>
      <c r="JDC543"/>
      <c r="JDD543"/>
      <c r="JDE543"/>
      <c r="JDF543"/>
      <c r="JDG543"/>
      <c r="JDH543"/>
      <c r="JDI543"/>
      <c r="JDJ543"/>
      <c r="JDK543"/>
      <c r="JDL543"/>
      <c r="JDM543"/>
      <c r="JDN543"/>
      <c r="JDO543"/>
      <c r="JDP543"/>
      <c r="JDQ543"/>
      <c r="JDR543"/>
      <c r="JDS543"/>
      <c r="JDT543"/>
      <c r="JDU543"/>
      <c r="JDV543"/>
      <c r="JDW543"/>
      <c r="JDX543"/>
      <c r="JDY543"/>
      <c r="JDZ543"/>
      <c r="JEA543"/>
      <c r="JEB543"/>
      <c r="JEC543"/>
      <c r="JED543"/>
      <c r="JEE543"/>
      <c r="JEF543"/>
      <c r="JEG543"/>
      <c r="JEH543"/>
      <c r="JEI543"/>
      <c r="JEJ543"/>
      <c r="JEK543"/>
      <c r="JEL543"/>
      <c r="JEM543"/>
      <c r="JEN543"/>
      <c r="JEO543"/>
      <c r="JEP543"/>
      <c r="JEQ543"/>
      <c r="JER543"/>
      <c r="JES543"/>
      <c r="JET543"/>
      <c r="JEU543"/>
      <c r="JEV543"/>
      <c r="JEW543"/>
      <c r="JEX543"/>
      <c r="JEY543"/>
      <c r="JEZ543"/>
      <c r="JFA543"/>
      <c r="JFB543"/>
      <c r="JFC543"/>
      <c r="JFD543"/>
      <c r="JFE543"/>
      <c r="JFF543"/>
      <c r="JFG543"/>
      <c r="JFH543"/>
      <c r="JFI543"/>
      <c r="JFJ543"/>
      <c r="JFK543"/>
      <c r="JFL543"/>
      <c r="JFM543"/>
      <c r="JFN543"/>
      <c r="JFO543"/>
      <c r="JFP543"/>
      <c r="JFQ543"/>
      <c r="JFR543"/>
      <c r="JFS543"/>
      <c r="JFT543"/>
      <c r="JFU543"/>
      <c r="JFV543"/>
      <c r="JFW543"/>
      <c r="JFX543"/>
      <c r="JFY543"/>
      <c r="JFZ543"/>
      <c r="JGA543"/>
      <c r="JGB543"/>
      <c r="JGC543"/>
      <c r="JGD543"/>
      <c r="JGE543"/>
      <c r="JGF543"/>
      <c r="JGG543"/>
      <c r="JGH543"/>
      <c r="JGI543"/>
      <c r="JGJ543"/>
      <c r="JGK543"/>
      <c r="JGL543"/>
      <c r="JGM543"/>
      <c r="JGN543"/>
      <c r="JGO543"/>
      <c r="JGP543"/>
      <c r="JGQ543"/>
      <c r="JGR543"/>
      <c r="JGS543"/>
      <c r="JGT543"/>
      <c r="JGU543"/>
      <c r="JGV543"/>
      <c r="JGW543"/>
      <c r="JGX543"/>
      <c r="JGY543"/>
      <c r="JGZ543"/>
      <c r="JHA543"/>
      <c r="JHB543"/>
      <c r="JHC543"/>
      <c r="JHD543"/>
      <c r="JHE543"/>
      <c r="JHF543"/>
      <c r="JHG543"/>
      <c r="JHH543"/>
      <c r="JHI543"/>
      <c r="JHJ543"/>
      <c r="JHK543"/>
      <c r="JHL543"/>
      <c r="JHM543"/>
      <c r="JHN543"/>
      <c r="JHO543"/>
      <c r="JHP543"/>
      <c r="JHQ543"/>
      <c r="JHR543"/>
      <c r="JHS543"/>
      <c r="JHT543"/>
      <c r="JHU543"/>
      <c r="JHV543"/>
      <c r="JHW543"/>
      <c r="JHX543"/>
      <c r="JHY543"/>
      <c r="JHZ543"/>
      <c r="JIA543"/>
      <c r="JIB543"/>
      <c r="JIC543"/>
      <c r="JID543"/>
      <c r="JIE543"/>
      <c r="JIF543"/>
      <c r="JIG543"/>
      <c r="JIH543"/>
      <c r="JII543"/>
      <c r="JIJ543"/>
      <c r="JIK543"/>
      <c r="JIL543"/>
      <c r="JIM543"/>
      <c r="JIN543"/>
      <c r="JIO543"/>
      <c r="JIP543"/>
      <c r="JIQ543"/>
      <c r="JIR543"/>
      <c r="JIS543"/>
      <c r="JIT543"/>
      <c r="JIU543"/>
      <c r="JIV543"/>
      <c r="JIW543"/>
      <c r="JIX543"/>
      <c r="JIY543"/>
      <c r="JIZ543"/>
      <c r="JJA543"/>
      <c r="JJB543"/>
      <c r="JJC543"/>
      <c r="JJD543"/>
      <c r="JJE543"/>
      <c r="JJF543"/>
      <c r="JJG543"/>
      <c r="JJH543"/>
      <c r="JJI543"/>
      <c r="JJJ543"/>
      <c r="JJK543"/>
      <c r="JJL543"/>
      <c r="JJM543"/>
      <c r="JJN543"/>
      <c r="JJO543"/>
      <c r="JJP543"/>
      <c r="JJQ543"/>
      <c r="JJR543"/>
      <c r="JJS543"/>
      <c r="JJT543"/>
      <c r="JJU543"/>
      <c r="JJV543"/>
      <c r="JJW543"/>
      <c r="JJX543"/>
      <c r="JJY543"/>
      <c r="JJZ543"/>
      <c r="JKA543"/>
      <c r="JKB543"/>
      <c r="JKC543"/>
      <c r="JKD543"/>
      <c r="JKE543"/>
      <c r="JKF543"/>
      <c r="JKG543"/>
      <c r="JKH543"/>
      <c r="JKI543"/>
      <c r="JKJ543"/>
      <c r="JKK543"/>
      <c r="JKL543"/>
      <c r="JKM543"/>
      <c r="JKN543"/>
      <c r="JKO543"/>
      <c r="JKP543"/>
      <c r="JKQ543"/>
      <c r="JKR543"/>
      <c r="JKS543"/>
      <c r="JKT543"/>
      <c r="JKU543"/>
      <c r="JKV543"/>
      <c r="JKW543"/>
      <c r="JKX543"/>
      <c r="JKY543"/>
      <c r="JKZ543"/>
      <c r="JLA543"/>
      <c r="JLB543"/>
      <c r="JLC543"/>
      <c r="JLD543"/>
      <c r="JLE543"/>
      <c r="JLF543"/>
      <c r="JLG543"/>
      <c r="JLH543"/>
      <c r="JLI543"/>
      <c r="JLJ543"/>
      <c r="JLK543"/>
      <c r="JLL543"/>
      <c r="JLM543"/>
      <c r="JLN543"/>
      <c r="JLO543"/>
      <c r="JLP543"/>
      <c r="JLQ543"/>
      <c r="JLR543"/>
      <c r="JLS543"/>
      <c r="JLT543"/>
      <c r="JLU543"/>
      <c r="JLV543"/>
      <c r="JLW543"/>
      <c r="JLX543"/>
      <c r="JLY543"/>
      <c r="JLZ543"/>
      <c r="JMA543"/>
      <c r="JMB543"/>
      <c r="JMC543"/>
      <c r="JMD543"/>
      <c r="JME543"/>
      <c r="JMF543"/>
      <c r="JMG543"/>
      <c r="JMH543"/>
      <c r="JMI543"/>
      <c r="JMJ543"/>
      <c r="JMK543"/>
      <c r="JML543"/>
      <c r="JMM543"/>
      <c r="JMN543"/>
      <c r="JMO543"/>
      <c r="JMP543"/>
      <c r="JMQ543"/>
      <c r="JMR543"/>
      <c r="JMS543"/>
      <c r="JMT543"/>
      <c r="JMU543"/>
      <c r="JMV543"/>
      <c r="JMW543"/>
      <c r="JMX543"/>
      <c r="JMY543"/>
      <c r="JMZ543"/>
      <c r="JNA543"/>
      <c r="JNB543"/>
      <c r="JNC543"/>
      <c r="JND543"/>
      <c r="JNE543"/>
      <c r="JNF543"/>
      <c r="JNG543"/>
      <c r="JNH543"/>
      <c r="JNI543"/>
      <c r="JNJ543"/>
      <c r="JNK543"/>
      <c r="JNL543"/>
      <c r="JNM543"/>
      <c r="JNN543"/>
      <c r="JNO543"/>
      <c r="JNP543"/>
      <c r="JNQ543"/>
      <c r="JNR543"/>
      <c r="JNS543"/>
      <c r="JNT543"/>
      <c r="JNU543"/>
      <c r="JNV543"/>
      <c r="JNW543"/>
      <c r="JNX543"/>
      <c r="JNY543"/>
      <c r="JNZ543"/>
      <c r="JOA543"/>
      <c r="JOB543"/>
      <c r="JOC543"/>
      <c r="JOD543"/>
      <c r="JOE543"/>
      <c r="JOF543"/>
      <c r="JOG543"/>
      <c r="JOH543"/>
      <c r="JOI543"/>
      <c r="JOJ543"/>
      <c r="JOK543"/>
      <c r="JOL543"/>
      <c r="JOM543"/>
      <c r="JON543"/>
      <c r="JOO543"/>
      <c r="JOP543"/>
      <c r="JOQ543"/>
      <c r="JOR543"/>
      <c r="JOS543"/>
      <c r="JOT543"/>
      <c r="JOU543"/>
      <c r="JOV543"/>
      <c r="JOW543"/>
      <c r="JOX543"/>
      <c r="JOY543"/>
      <c r="JOZ543"/>
      <c r="JPA543"/>
      <c r="JPB543"/>
      <c r="JPC543"/>
      <c r="JPD543"/>
      <c r="JPE543"/>
      <c r="JPF543"/>
      <c r="JPG543"/>
      <c r="JPH543"/>
      <c r="JPI543"/>
      <c r="JPJ543"/>
      <c r="JPK543"/>
      <c r="JPL543"/>
      <c r="JPM543"/>
      <c r="JPN543"/>
      <c r="JPO543"/>
      <c r="JPP543"/>
      <c r="JPQ543"/>
      <c r="JPR543"/>
      <c r="JPS543"/>
      <c r="JPT543"/>
      <c r="JPU543"/>
      <c r="JPV543"/>
      <c r="JPW543"/>
      <c r="JPX543"/>
      <c r="JPY543"/>
      <c r="JPZ543"/>
      <c r="JQA543"/>
      <c r="JQB543"/>
      <c r="JQC543"/>
      <c r="JQD543"/>
      <c r="JQE543"/>
      <c r="JQF543"/>
      <c r="JQG543"/>
      <c r="JQH543"/>
      <c r="JQI543"/>
      <c r="JQJ543"/>
      <c r="JQK543"/>
      <c r="JQL543"/>
      <c r="JQM543"/>
      <c r="JQN543"/>
      <c r="JQO543"/>
      <c r="JQP543"/>
      <c r="JQQ543"/>
      <c r="JQR543"/>
      <c r="JQS543"/>
      <c r="JQT543"/>
      <c r="JQU543"/>
      <c r="JQV543"/>
      <c r="JQW543"/>
      <c r="JQX543"/>
      <c r="JQY543"/>
      <c r="JQZ543"/>
      <c r="JRA543"/>
      <c r="JRB543"/>
      <c r="JRC543"/>
      <c r="JRD543"/>
      <c r="JRE543"/>
      <c r="JRF543"/>
      <c r="JRG543"/>
      <c r="JRH543"/>
      <c r="JRI543"/>
      <c r="JRJ543"/>
      <c r="JRK543"/>
      <c r="JRL543"/>
      <c r="JRM543"/>
      <c r="JRN543"/>
      <c r="JRO543"/>
      <c r="JRP543"/>
      <c r="JRQ543"/>
      <c r="JRR543"/>
      <c r="JRS543"/>
      <c r="JRT543"/>
      <c r="JRU543"/>
      <c r="JRV543"/>
      <c r="JRW543"/>
      <c r="JRX543"/>
      <c r="JRY543"/>
      <c r="JRZ543"/>
      <c r="JSA543"/>
      <c r="JSB543"/>
      <c r="JSC543"/>
      <c r="JSD543"/>
      <c r="JSE543"/>
      <c r="JSF543"/>
      <c r="JSG543"/>
      <c r="JSH543"/>
      <c r="JSI543"/>
      <c r="JSJ543"/>
      <c r="JSK543"/>
      <c r="JSL543"/>
      <c r="JSM543"/>
      <c r="JSN543"/>
      <c r="JSO543"/>
      <c r="JSP543"/>
      <c r="JSQ543"/>
      <c r="JSR543"/>
      <c r="JSS543"/>
      <c r="JST543"/>
      <c r="JSU543"/>
      <c r="JSV543"/>
      <c r="JSW543"/>
      <c r="JSX543"/>
      <c r="JSY543"/>
      <c r="JSZ543"/>
      <c r="JTA543"/>
      <c r="JTB543"/>
      <c r="JTC543"/>
      <c r="JTD543"/>
      <c r="JTE543"/>
      <c r="JTF543"/>
      <c r="JTG543"/>
      <c r="JTH543"/>
      <c r="JTI543"/>
      <c r="JTJ543"/>
      <c r="JTK543"/>
      <c r="JTL543"/>
      <c r="JTM543"/>
      <c r="JTN543"/>
      <c r="JTO543"/>
      <c r="JTP543"/>
      <c r="JTQ543"/>
      <c r="JTR543"/>
      <c r="JTS543"/>
      <c r="JTT543"/>
      <c r="JTU543"/>
      <c r="JTV543"/>
      <c r="JTW543"/>
      <c r="JTX543"/>
      <c r="JTY543"/>
      <c r="JTZ543"/>
      <c r="JUA543"/>
      <c r="JUB543"/>
      <c r="JUC543"/>
      <c r="JUD543"/>
      <c r="JUE543"/>
      <c r="JUF543"/>
      <c r="JUG543"/>
      <c r="JUH543"/>
      <c r="JUI543"/>
      <c r="JUJ543"/>
      <c r="JUK543"/>
      <c r="JUL543"/>
      <c r="JUM543"/>
      <c r="JUN543"/>
      <c r="JUO543"/>
      <c r="JUP543"/>
      <c r="JUQ543"/>
      <c r="JUR543"/>
      <c r="JUS543"/>
      <c r="JUT543"/>
      <c r="JUU543"/>
      <c r="JUV543"/>
      <c r="JUW543"/>
      <c r="JUX543"/>
      <c r="JUY543"/>
      <c r="JUZ543"/>
      <c r="JVA543"/>
      <c r="JVB543"/>
      <c r="JVC543"/>
      <c r="JVD543"/>
      <c r="JVE543"/>
      <c r="JVF543"/>
      <c r="JVG543"/>
      <c r="JVH543"/>
      <c r="JVI543"/>
      <c r="JVJ543"/>
      <c r="JVK543"/>
      <c r="JVL543"/>
      <c r="JVM543"/>
      <c r="JVN543"/>
      <c r="JVO543"/>
      <c r="JVP543"/>
      <c r="JVQ543"/>
      <c r="JVR543"/>
      <c r="JVS543"/>
      <c r="JVT543"/>
      <c r="JVU543"/>
      <c r="JVV543"/>
      <c r="JVW543"/>
      <c r="JVX543"/>
      <c r="JVY543"/>
      <c r="JVZ543"/>
      <c r="JWA543"/>
      <c r="JWB543"/>
      <c r="JWC543"/>
      <c r="JWD543"/>
      <c r="JWE543"/>
      <c r="JWF543"/>
      <c r="JWG543"/>
      <c r="JWH543"/>
      <c r="JWI543"/>
      <c r="JWJ543"/>
      <c r="JWK543"/>
      <c r="JWL543"/>
      <c r="JWM543"/>
      <c r="JWN543"/>
      <c r="JWO543"/>
      <c r="JWP543"/>
      <c r="JWQ543"/>
      <c r="JWR543"/>
      <c r="JWS543"/>
      <c r="JWT543"/>
      <c r="JWU543"/>
      <c r="JWV543"/>
      <c r="JWW543"/>
      <c r="JWX543"/>
      <c r="JWY543"/>
      <c r="JWZ543"/>
      <c r="JXA543"/>
      <c r="JXB543"/>
      <c r="JXC543"/>
      <c r="JXD543"/>
      <c r="JXE543"/>
      <c r="JXF543"/>
      <c r="JXG543"/>
      <c r="JXH543"/>
      <c r="JXI543"/>
      <c r="JXJ543"/>
      <c r="JXK543"/>
      <c r="JXL543"/>
      <c r="JXM543"/>
      <c r="JXN543"/>
      <c r="JXO543"/>
      <c r="JXP543"/>
      <c r="JXQ543"/>
      <c r="JXR543"/>
      <c r="JXS543"/>
      <c r="JXT543"/>
      <c r="JXU543"/>
      <c r="JXV543"/>
      <c r="JXW543"/>
      <c r="JXX543"/>
      <c r="JXY543"/>
      <c r="JXZ543"/>
      <c r="JYA543"/>
      <c r="JYB543"/>
      <c r="JYC543"/>
      <c r="JYD543"/>
      <c r="JYE543"/>
      <c r="JYF543"/>
      <c r="JYG543"/>
      <c r="JYH543"/>
      <c r="JYI543"/>
      <c r="JYJ543"/>
      <c r="JYK543"/>
      <c r="JYL543"/>
      <c r="JYM543"/>
      <c r="JYN543"/>
      <c r="JYO543"/>
      <c r="JYP543"/>
      <c r="JYQ543"/>
      <c r="JYR543"/>
      <c r="JYS543"/>
      <c r="JYT543"/>
      <c r="JYU543"/>
      <c r="JYV543"/>
      <c r="JYW543"/>
      <c r="JYX543"/>
      <c r="JYY543"/>
      <c r="JYZ543"/>
      <c r="JZA543"/>
      <c r="JZB543"/>
      <c r="JZC543"/>
      <c r="JZD543"/>
      <c r="JZE543"/>
      <c r="JZF543"/>
      <c r="JZG543"/>
      <c r="JZH543"/>
      <c r="JZI543"/>
      <c r="JZJ543"/>
      <c r="JZK543"/>
      <c r="JZL543"/>
      <c r="JZM543"/>
      <c r="JZN543"/>
      <c r="JZO543"/>
      <c r="JZP543"/>
      <c r="JZQ543"/>
      <c r="JZR543"/>
      <c r="JZS543"/>
      <c r="JZT543"/>
      <c r="JZU543"/>
      <c r="JZV543"/>
      <c r="JZW543"/>
      <c r="JZX543"/>
      <c r="JZY543"/>
      <c r="JZZ543"/>
      <c r="KAA543"/>
      <c r="KAB543"/>
      <c r="KAC543"/>
      <c r="KAD543"/>
      <c r="KAE543"/>
      <c r="KAF543"/>
      <c r="KAG543"/>
      <c r="KAH543"/>
      <c r="KAI543"/>
      <c r="KAJ543"/>
      <c r="KAK543"/>
      <c r="KAL543"/>
      <c r="KAM543"/>
      <c r="KAN543"/>
      <c r="KAO543"/>
      <c r="KAP543"/>
      <c r="KAQ543"/>
      <c r="KAR543"/>
      <c r="KAS543"/>
      <c r="KAT543"/>
      <c r="KAU543"/>
      <c r="KAV543"/>
      <c r="KAW543"/>
      <c r="KAX543"/>
      <c r="KAY543"/>
      <c r="KAZ543"/>
      <c r="KBA543"/>
      <c r="KBB543"/>
      <c r="KBC543"/>
      <c r="KBD543"/>
      <c r="KBE543"/>
      <c r="KBF543"/>
      <c r="KBG543"/>
      <c r="KBH543"/>
      <c r="KBI543"/>
      <c r="KBJ543"/>
      <c r="KBK543"/>
      <c r="KBL543"/>
      <c r="KBM543"/>
      <c r="KBN543"/>
      <c r="KBO543"/>
      <c r="KBP543"/>
      <c r="KBQ543"/>
      <c r="KBR543"/>
      <c r="KBS543"/>
      <c r="KBT543"/>
      <c r="KBU543"/>
      <c r="KBV543"/>
      <c r="KBW543"/>
      <c r="KBX543"/>
      <c r="KBY543"/>
      <c r="KBZ543"/>
      <c r="KCA543"/>
      <c r="KCB543"/>
      <c r="KCC543"/>
      <c r="KCD543"/>
      <c r="KCE543"/>
      <c r="KCF543"/>
      <c r="KCG543"/>
      <c r="KCH543"/>
      <c r="KCI543"/>
      <c r="KCJ543"/>
      <c r="KCK543"/>
      <c r="KCL543"/>
      <c r="KCM543"/>
      <c r="KCN543"/>
      <c r="KCO543"/>
      <c r="KCP543"/>
      <c r="KCQ543"/>
      <c r="KCR543"/>
      <c r="KCS543"/>
      <c r="KCT543"/>
      <c r="KCU543"/>
      <c r="KCV543"/>
      <c r="KCW543"/>
      <c r="KCX543"/>
      <c r="KCY543"/>
      <c r="KCZ543"/>
      <c r="KDA543"/>
      <c r="KDB543"/>
      <c r="KDC543"/>
      <c r="KDD543"/>
      <c r="KDE543"/>
      <c r="KDF543"/>
      <c r="KDG543"/>
      <c r="KDH543"/>
      <c r="KDI543"/>
      <c r="KDJ543"/>
      <c r="KDK543"/>
      <c r="KDL543"/>
      <c r="KDM543"/>
      <c r="KDN543"/>
      <c r="KDO543"/>
      <c r="KDP543"/>
      <c r="KDQ543"/>
      <c r="KDR543"/>
      <c r="KDS543"/>
      <c r="KDT543"/>
      <c r="KDU543"/>
      <c r="KDV543"/>
      <c r="KDW543"/>
      <c r="KDX543"/>
      <c r="KDY543"/>
      <c r="KDZ543"/>
      <c r="KEA543"/>
      <c r="KEB543"/>
      <c r="KEC543"/>
      <c r="KED543"/>
      <c r="KEE543"/>
      <c r="KEF543"/>
      <c r="KEG543"/>
      <c r="KEH543"/>
      <c r="KEI543"/>
      <c r="KEJ543"/>
      <c r="KEK543"/>
      <c r="KEL543"/>
      <c r="KEM543"/>
      <c r="KEN543"/>
      <c r="KEO543"/>
      <c r="KEP543"/>
      <c r="KEQ543"/>
      <c r="KER543"/>
      <c r="KES543"/>
      <c r="KET543"/>
      <c r="KEU543"/>
      <c r="KEV543"/>
      <c r="KEW543"/>
      <c r="KEX543"/>
      <c r="KEY543"/>
      <c r="KEZ543"/>
      <c r="KFA543"/>
      <c r="KFB543"/>
      <c r="KFC543"/>
      <c r="KFD543"/>
      <c r="KFE543"/>
      <c r="KFF543"/>
      <c r="KFG543"/>
      <c r="KFH543"/>
      <c r="KFI543"/>
      <c r="KFJ543"/>
      <c r="KFK543"/>
      <c r="KFL543"/>
      <c r="KFM543"/>
      <c r="KFN543"/>
      <c r="KFO543"/>
      <c r="KFP543"/>
      <c r="KFQ543"/>
      <c r="KFR543"/>
      <c r="KFS543"/>
      <c r="KFT543"/>
      <c r="KFU543"/>
      <c r="KFV543"/>
      <c r="KFW543"/>
      <c r="KFX543"/>
      <c r="KFY543"/>
      <c r="KFZ543"/>
      <c r="KGA543"/>
      <c r="KGB543"/>
      <c r="KGC543"/>
      <c r="KGD543"/>
      <c r="KGE543"/>
      <c r="KGF543"/>
      <c r="KGG543"/>
      <c r="KGH543"/>
      <c r="KGI543"/>
      <c r="KGJ543"/>
      <c r="KGK543"/>
      <c r="KGL543"/>
      <c r="KGM543"/>
      <c r="KGN543"/>
      <c r="KGO543"/>
      <c r="KGP543"/>
      <c r="KGQ543"/>
      <c r="KGR543"/>
      <c r="KGS543"/>
      <c r="KGT543"/>
      <c r="KGU543"/>
      <c r="KGV543"/>
      <c r="KGW543"/>
      <c r="KGX543"/>
      <c r="KGY543"/>
      <c r="KGZ543"/>
      <c r="KHA543"/>
      <c r="KHB543"/>
      <c r="KHC543"/>
      <c r="KHD543"/>
      <c r="KHE543"/>
      <c r="KHF543"/>
      <c r="KHG543"/>
      <c r="KHH543"/>
      <c r="KHI543"/>
      <c r="KHJ543"/>
      <c r="KHK543"/>
      <c r="KHL543"/>
      <c r="KHM543"/>
      <c r="KHN543"/>
      <c r="KHO543"/>
      <c r="KHP543"/>
      <c r="KHQ543"/>
      <c r="KHR543"/>
      <c r="KHS543"/>
      <c r="KHT543"/>
      <c r="KHU543"/>
      <c r="KHV543"/>
      <c r="KHW543"/>
      <c r="KHX543"/>
      <c r="KHY543"/>
      <c r="KHZ543"/>
      <c r="KIA543"/>
      <c r="KIB543"/>
      <c r="KIC543"/>
      <c r="KID543"/>
      <c r="KIE543"/>
      <c r="KIF543"/>
      <c r="KIG543"/>
      <c r="KIH543"/>
      <c r="KII543"/>
      <c r="KIJ543"/>
      <c r="KIK543"/>
      <c r="KIL543"/>
      <c r="KIM543"/>
      <c r="KIN543"/>
      <c r="KIO543"/>
      <c r="KIP543"/>
      <c r="KIQ543"/>
      <c r="KIR543"/>
      <c r="KIS543"/>
      <c r="KIT543"/>
      <c r="KIU543"/>
      <c r="KIV543"/>
      <c r="KIW543"/>
      <c r="KIX543"/>
      <c r="KIY543"/>
      <c r="KIZ543"/>
      <c r="KJA543"/>
      <c r="KJB543"/>
      <c r="KJC543"/>
      <c r="KJD543"/>
      <c r="KJE543"/>
      <c r="KJF543"/>
      <c r="KJG543"/>
      <c r="KJH543"/>
      <c r="KJI543"/>
      <c r="KJJ543"/>
      <c r="KJK543"/>
      <c r="KJL543"/>
      <c r="KJM543"/>
      <c r="KJN543"/>
      <c r="KJO543"/>
      <c r="KJP543"/>
      <c r="KJQ543"/>
      <c r="KJR543"/>
      <c r="KJS543"/>
      <c r="KJT543"/>
      <c r="KJU543"/>
      <c r="KJV543"/>
      <c r="KJW543"/>
      <c r="KJX543"/>
      <c r="KJY543"/>
      <c r="KJZ543"/>
      <c r="KKA543"/>
      <c r="KKB543"/>
      <c r="KKC543"/>
      <c r="KKD543"/>
      <c r="KKE543"/>
      <c r="KKF543"/>
      <c r="KKG543"/>
      <c r="KKH543"/>
      <c r="KKI543"/>
      <c r="KKJ543"/>
      <c r="KKK543"/>
      <c r="KKL543"/>
      <c r="KKM543"/>
      <c r="KKN543"/>
      <c r="KKO543"/>
      <c r="KKP543"/>
      <c r="KKQ543"/>
      <c r="KKR543"/>
      <c r="KKS543"/>
      <c r="KKT543"/>
      <c r="KKU543"/>
      <c r="KKV543"/>
      <c r="KKW543"/>
      <c r="KKX543"/>
      <c r="KKY543"/>
      <c r="KKZ543"/>
      <c r="KLA543"/>
      <c r="KLB543"/>
      <c r="KLC543"/>
      <c r="KLD543"/>
      <c r="KLE543"/>
      <c r="KLF543"/>
      <c r="KLG543"/>
      <c r="KLH543"/>
      <c r="KLI543"/>
      <c r="KLJ543"/>
      <c r="KLK543"/>
      <c r="KLL543"/>
      <c r="KLM543"/>
      <c r="KLN543"/>
      <c r="KLO543"/>
      <c r="KLP543"/>
      <c r="KLQ543"/>
      <c r="KLR543"/>
      <c r="KLS543"/>
      <c r="KLT543"/>
      <c r="KLU543"/>
      <c r="KLV543"/>
      <c r="KLW543"/>
      <c r="KLX543"/>
      <c r="KLY543"/>
      <c r="KLZ543"/>
      <c r="KMA543"/>
      <c r="KMB543"/>
      <c r="KMC543"/>
      <c r="KMD543"/>
      <c r="KME543"/>
      <c r="KMF543"/>
      <c r="KMG543"/>
      <c r="KMH543"/>
      <c r="KMI543"/>
      <c r="KMJ543"/>
      <c r="KMK543"/>
      <c r="KML543"/>
      <c r="KMM543"/>
      <c r="KMN543"/>
      <c r="KMO543"/>
      <c r="KMP543"/>
      <c r="KMQ543"/>
      <c r="KMR543"/>
      <c r="KMS543"/>
      <c r="KMT543"/>
      <c r="KMU543"/>
      <c r="KMV543"/>
      <c r="KMW543"/>
      <c r="KMX543"/>
      <c r="KMY543"/>
      <c r="KMZ543"/>
      <c r="KNA543"/>
      <c r="KNB543"/>
      <c r="KNC543"/>
      <c r="KND543"/>
      <c r="KNE543"/>
      <c r="KNF543"/>
      <c r="KNG543"/>
      <c r="KNH543"/>
      <c r="KNI543"/>
      <c r="KNJ543"/>
      <c r="KNK543"/>
      <c r="KNL543"/>
      <c r="KNM543"/>
      <c r="KNN543"/>
      <c r="KNO543"/>
      <c r="KNP543"/>
      <c r="KNQ543"/>
      <c r="KNR543"/>
      <c r="KNS543"/>
      <c r="KNT543"/>
      <c r="KNU543"/>
      <c r="KNV543"/>
      <c r="KNW543"/>
      <c r="KNX543"/>
      <c r="KNY543"/>
      <c r="KNZ543"/>
      <c r="KOA543"/>
      <c r="KOB543"/>
      <c r="KOC543"/>
      <c r="KOD543"/>
      <c r="KOE543"/>
      <c r="KOF543"/>
      <c r="KOG543"/>
      <c r="KOH543"/>
      <c r="KOI543"/>
      <c r="KOJ543"/>
      <c r="KOK543"/>
      <c r="KOL543"/>
      <c r="KOM543"/>
      <c r="KON543"/>
      <c r="KOO543"/>
      <c r="KOP543"/>
      <c r="KOQ543"/>
      <c r="KOR543"/>
      <c r="KOS543"/>
      <c r="KOT543"/>
      <c r="KOU543"/>
      <c r="KOV543"/>
      <c r="KOW543"/>
      <c r="KOX543"/>
      <c r="KOY543"/>
      <c r="KOZ543"/>
      <c r="KPA543"/>
      <c r="KPB543"/>
      <c r="KPC543"/>
      <c r="KPD543"/>
      <c r="KPE543"/>
      <c r="KPF543"/>
      <c r="KPG543"/>
      <c r="KPH543"/>
      <c r="KPI543"/>
      <c r="KPJ543"/>
      <c r="KPK543"/>
      <c r="KPL543"/>
      <c r="KPM543"/>
      <c r="KPN543"/>
      <c r="KPO543"/>
      <c r="KPP543"/>
      <c r="KPQ543"/>
      <c r="KPR543"/>
      <c r="KPS543"/>
      <c r="KPT543"/>
      <c r="KPU543"/>
      <c r="KPV543"/>
      <c r="KPW543"/>
      <c r="KPX543"/>
      <c r="KPY543"/>
      <c r="KPZ543"/>
      <c r="KQA543"/>
      <c r="KQB543"/>
      <c r="KQC543"/>
      <c r="KQD543"/>
      <c r="KQE543"/>
      <c r="KQF543"/>
      <c r="KQG543"/>
      <c r="KQH543"/>
      <c r="KQI543"/>
      <c r="KQJ543"/>
      <c r="KQK543"/>
      <c r="KQL543"/>
      <c r="KQM543"/>
      <c r="KQN543"/>
      <c r="KQO543"/>
      <c r="KQP543"/>
      <c r="KQQ543"/>
      <c r="KQR543"/>
      <c r="KQS543"/>
      <c r="KQT543"/>
      <c r="KQU543"/>
      <c r="KQV543"/>
      <c r="KQW543"/>
      <c r="KQX543"/>
      <c r="KQY543"/>
      <c r="KQZ543"/>
      <c r="KRA543"/>
      <c r="KRB543"/>
      <c r="KRC543"/>
      <c r="KRD543"/>
      <c r="KRE543"/>
      <c r="KRF543"/>
      <c r="KRG543"/>
      <c r="KRH543"/>
      <c r="KRI543"/>
      <c r="KRJ543"/>
      <c r="KRK543"/>
      <c r="KRL543"/>
      <c r="KRM543"/>
      <c r="KRN543"/>
      <c r="KRO543"/>
      <c r="KRP543"/>
      <c r="KRQ543"/>
      <c r="KRR543"/>
      <c r="KRS543"/>
      <c r="KRT543"/>
      <c r="KRU543"/>
      <c r="KRV543"/>
      <c r="KRW543"/>
      <c r="KRX543"/>
      <c r="KRY543"/>
      <c r="KRZ543"/>
      <c r="KSA543"/>
      <c r="KSB543"/>
      <c r="KSC543"/>
      <c r="KSD543"/>
      <c r="KSE543"/>
      <c r="KSF543"/>
      <c r="KSG543"/>
      <c r="KSH543"/>
      <c r="KSI543"/>
      <c r="KSJ543"/>
      <c r="KSK543"/>
      <c r="KSL543"/>
      <c r="KSM543"/>
      <c r="KSN543"/>
      <c r="KSO543"/>
      <c r="KSP543"/>
      <c r="KSQ543"/>
      <c r="KSR543"/>
      <c r="KSS543"/>
      <c r="KST543"/>
      <c r="KSU543"/>
      <c r="KSV543"/>
      <c r="KSW543"/>
      <c r="KSX543"/>
      <c r="KSY543"/>
      <c r="KSZ543"/>
      <c r="KTA543"/>
      <c r="KTB543"/>
      <c r="KTC543"/>
      <c r="KTD543"/>
      <c r="KTE543"/>
      <c r="KTF543"/>
      <c r="KTG543"/>
      <c r="KTH543"/>
      <c r="KTI543"/>
      <c r="KTJ543"/>
      <c r="KTK543"/>
      <c r="KTL543"/>
      <c r="KTM543"/>
      <c r="KTN543"/>
      <c r="KTO543"/>
      <c r="KTP543"/>
      <c r="KTQ543"/>
      <c r="KTR543"/>
      <c r="KTS543"/>
      <c r="KTT543"/>
      <c r="KTU543"/>
      <c r="KTV543"/>
      <c r="KTW543"/>
      <c r="KTX543"/>
      <c r="KTY543"/>
      <c r="KTZ543"/>
      <c r="KUA543"/>
      <c r="KUB543"/>
      <c r="KUC543"/>
      <c r="KUD543"/>
      <c r="KUE543"/>
      <c r="KUF543"/>
      <c r="KUG543"/>
      <c r="KUH543"/>
      <c r="KUI543"/>
      <c r="KUJ543"/>
      <c r="KUK543"/>
      <c r="KUL543"/>
      <c r="KUM543"/>
      <c r="KUN543"/>
      <c r="KUO543"/>
      <c r="KUP543"/>
      <c r="KUQ543"/>
      <c r="KUR543"/>
      <c r="KUS543"/>
      <c r="KUT543"/>
      <c r="KUU543"/>
      <c r="KUV543"/>
      <c r="KUW543"/>
      <c r="KUX543"/>
      <c r="KUY543"/>
      <c r="KUZ543"/>
      <c r="KVA543"/>
      <c r="KVB543"/>
      <c r="KVC543"/>
      <c r="KVD543"/>
      <c r="KVE543"/>
      <c r="KVF543"/>
      <c r="KVG543"/>
      <c r="KVH543"/>
      <c r="KVI543"/>
      <c r="KVJ543"/>
      <c r="KVK543"/>
      <c r="KVL543"/>
      <c r="KVM543"/>
      <c r="KVN543"/>
      <c r="KVO543"/>
      <c r="KVP543"/>
      <c r="KVQ543"/>
      <c r="KVR543"/>
      <c r="KVS543"/>
      <c r="KVT543"/>
      <c r="KVU543"/>
      <c r="KVV543"/>
      <c r="KVW543"/>
      <c r="KVX543"/>
      <c r="KVY543"/>
      <c r="KVZ543"/>
      <c r="KWA543"/>
      <c r="KWB543"/>
      <c r="KWC543"/>
      <c r="KWD543"/>
      <c r="KWE543"/>
      <c r="KWF543"/>
      <c r="KWG543"/>
      <c r="KWH543"/>
      <c r="KWI543"/>
      <c r="KWJ543"/>
      <c r="KWK543"/>
      <c r="KWL543"/>
      <c r="KWM543"/>
      <c r="KWN543"/>
      <c r="KWO543"/>
      <c r="KWP543"/>
      <c r="KWQ543"/>
      <c r="KWR543"/>
      <c r="KWS543"/>
      <c r="KWT543"/>
      <c r="KWU543"/>
      <c r="KWV543"/>
      <c r="KWW543"/>
      <c r="KWX543"/>
      <c r="KWY543"/>
      <c r="KWZ543"/>
      <c r="KXA543"/>
      <c r="KXB543"/>
      <c r="KXC543"/>
      <c r="KXD543"/>
      <c r="KXE543"/>
      <c r="KXF543"/>
      <c r="KXG543"/>
      <c r="KXH543"/>
      <c r="KXI543"/>
      <c r="KXJ543"/>
      <c r="KXK543"/>
      <c r="KXL543"/>
      <c r="KXM543"/>
      <c r="KXN543"/>
      <c r="KXO543"/>
      <c r="KXP543"/>
      <c r="KXQ543"/>
      <c r="KXR543"/>
      <c r="KXS543"/>
      <c r="KXT543"/>
      <c r="KXU543"/>
      <c r="KXV543"/>
      <c r="KXW543"/>
      <c r="KXX543"/>
      <c r="KXY543"/>
      <c r="KXZ543"/>
      <c r="KYA543"/>
      <c r="KYB543"/>
      <c r="KYC543"/>
      <c r="KYD543"/>
      <c r="KYE543"/>
      <c r="KYF543"/>
      <c r="KYG543"/>
      <c r="KYH543"/>
      <c r="KYI543"/>
      <c r="KYJ543"/>
      <c r="KYK543"/>
      <c r="KYL543"/>
      <c r="KYM543"/>
      <c r="KYN543"/>
      <c r="KYO543"/>
      <c r="KYP543"/>
      <c r="KYQ543"/>
      <c r="KYR543"/>
      <c r="KYS543"/>
      <c r="KYT543"/>
      <c r="KYU543"/>
      <c r="KYV543"/>
      <c r="KYW543"/>
      <c r="KYX543"/>
      <c r="KYY543"/>
      <c r="KYZ543"/>
      <c r="KZA543"/>
      <c r="KZB543"/>
      <c r="KZC543"/>
      <c r="KZD543"/>
      <c r="KZE543"/>
      <c r="KZF543"/>
      <c r="KZG543"/>
      <c r="KZH543"/>
      <c r="KZI543"/>
      <c r="KZJ543"/>
      <c r="KZK543"/>
      <c r="KZL543"/>
      <c r="KZM543"/>
      <c r="KZN543"/>
      <c r="KZO543"/>
      <c r="KZP543"/>
      <c r="KZQ543"/>
      <c r="KZR543"/>
      <c r="KZS543"/>
      <c r="KZT543"/>
      <c r="KZU543"/>
      <c r="KZV543"/>
      <c r="KZW543"/>
      <c r="KZX543"/>
      <c r="KZY543"/>
      <c r="KZZ543"/>
      <c r="LAA543"/>
      <c r="LAB543"/>
      <c r="LAC543"/>
      <c r="LAD543"/>
      <c r="LAE543"/>
      <c r="LAF543"/>
      <c r="LAG543"/>
      <c r="LAH543"/>
      <c r="LAI543"/>
      <c r="LAJ543"/>
      <c r="LAK543"/>
      <c r="LAL543"/>
      <c r="LAM543"/>
      <c r="LAN543"/>
      <c r="LAO543"/>
      <c r="LAP543"/>
      <c r="LAQ543"/>
      <c r="LAR543"/>
      <c r="LAS543"/>
      <c r="LAT543"/>
      <c r="LAU543"/>
      <c r="LAV543"/>
      <c r="LAW543"/>
      <c r="LAX543"/>
      <c r="LAY543"/>
      <c r="LAZ543"/>
      <c r="LBA543"/>
      <c r="LBB543"/>
      <c r="LBC543"/>
      <c r="LBD543"/>
      <c r="LBE543"/>
      <c r="LBF543"/>
      <c r="LBG543"/>
      <c r="LBH543"/>
      <c r="LBI543"/>
      <c r="LBJ543"/>
      <c r="LBK543"/>
      <c r="LBL543"/>
      <c r="LBM543"/>
      <c r="LBN543"/>
      <c r="LBO543"/>
      <c r="LBP543"/>
      <c r="LBQ543"/>
      <c r="LBR543"/>
      <c r="LBS543"/>
      <c r="LBT543"/>
      <c r="LBU543"/>
      <c r="LBV543"/>
      <c r="LBW543"/>
      <c r="LBX543"/>
      <c r="LBY543"/>
      <c r="LBZ543"/>
      <c r="LCA543"/>
      <c r="LCB543"/>
      <c r="LCC543"/>
      <c r="LCD543"/>
      <c r="LCE543"/>
      <c r="LCF543"/>
      <c r="LCG543"/>
      <c r="LCH543"/>
      <c r="LCI543"/>
      <c r="LCJ543"/>
      <c r="LCK543"/>
      <c r="LCL543"/>
      <c r="LCM543"/>
      <c r="LCN543"/>
      <c r="LCO543"/>
      <c r="LCP543"/>
      <c r="LCQ543"/>
      <c r="LCR543"/>
      <c r="LCS543"/>
      <c r="LCT543"/>
      <c r="LCU543"/>
      <c r="LCV543"/>
      <c r="LCW543"/>
      <c r="LCX543"/>
      <c r="LCY543"/>
      <c r="LCZ543"/>
      <c r="LDA543"/>
      <c r="LDB543"/>
      <c r="LDC543"/>
      <c r="LDD543"/>
      <c r="LDE543"/>
      <c r="LDF543"/>
      <c r="LDG543"/>
      <c r="LDH543"/>
      <c r="LDI543"/>
      <c r="LDJ543"/>
      <c r="LDK543"/>
      <c r="LDL543"/>
      <c r="LDM543"/>
      <c r="LDN543"/>
      <c r="LDO543"/>
      <c r="LDP543"/>
      <c r="LDQ543"/>
      <c r="LDR543"/>
      <c r="LDS543"/>
      <c r="LDT543"/>
      <c r="LDU543"/>
      <c r="LDV543"/>
      <c r="LDW543"/>
      <c r="LDX543"/>
      <c r="LDY543"/>
      <c r="LDZ543"/>
      <c r="LEA543"/>
      <c r="LEB543"/>
      <c r="LEC543"/>
      <c r="LED543"/>
      <c r="LEE543"/>
      <c r="LEF543"/>
      <c r="LEG543"/>
      <c r="LEH543"/>
      <c r="LEI543"/>
      <c r="LEJ543"/>
      <c r="LEK543"/>
      <c r="LEL543"/>
      <c r="LEM543"/>
      <c r="LEN543"/>
      <c r="LEO543"/>
      <c r="LEP543"/>
      <c r="LEQ543"/>
      <c r="LER543"/>
      <c r="LES543"/>
      <c r="LET543"/>
      <c r="LEU543"/>
      <c r="LEV543"/>
      <c r="LEW543"/>
      <c r="LEX543"/>
      <c r="LEY543"/>
      <c r="LEZ543"/>
      <c r="LFA543"/>
      <c r="LFB543"/>
      <c r="LFC543"/>
      <c r="LFD543"/>
      <c r="LFE543"/>
      <c r="LFF543"/>
      <c r="LFG543"/>
      <c r="LFH543"/>
      <c r="LFI543"/>
      <c r="LFJ543"/>
      <c r="LFK543"/>
      <c r="LFL543"/>
      <c r="LFM543"/>
      <c r="LFN543"/>
      <c r="LFO543"/>
      <c r="LFP543"/>
      <c r="LFQ543"/>
      <c r="LFR543"/>
      <c r="LFS543"/>
      <c r="LFT543"/>
      <c r="LFU543"/>
      <c r="LFV543"/>
      <c r="LFW543"/>
      <c r="LFX543"/>
      <c r="LFY543"/>
      <c r="LFZ543"/>
      <c r="LGA543"/>
      <c r="LGB543"/>
      <c r="LGC543"/>
      <c r="LGD543"/>
      <c r="LGE543"/>
      <c r="LGF543"/>
      <c r="LGG543"/>
      <c r="LGH543"/>
      <c r="LGI543"/>
      <c r="LGJ543"/>
      <c r="LGK543"/>
      <c r="LGL543"/>
      <c r="LGM543"/>
      <c r="LGN543"/>
      <c r="LGO543"/>
      <c r="LGP543"/>
      <c r="LGQ543"/>
      <c r="LGR543"/>
      <c r="LGS543"/>
      <c r="LGT543"/>
      <c r="LGU543"/>
      <c r="LGV543"/>
      <c r="LGW543"/>
      <c r="LGX543"/>
      <c r="LGY543"/>
      <c r="LGZ543"/>
      <c r="LHA543"/>
      <c r="LHB543"/>
      <c r="LHC543"/>
      <c r="LHD543"/>
      <c r="LHE543"/>
      <c r="LHF543"/>
      <c r="LHG543"/>
      <c r="LHH543"/>
      <c r="LHI543"/>
      <c r="LHJ543"/>
      <c r="LHK543"/>
      <c r="LHL543"/>
      <c r="LHM543"/>
      <c r="LHN543"/>
      <c r="LHO543"/>
      <c r="LHP543"/>
      <c r="LHQ543"/>
      <c r="LHR543"/>
      <c r="LHS543"/>
      <c r="LHT543"/>
      <c r="LHU543"/>
      <c r="LHV543"/>
      <c r="LHW543"/>
      <c r="LHX543"/>
      <c r="LHY543"/>
      <c r="LHZ543"/>
      <c r="LIA543"/>
      <c r="LIB543"/>
      <c r="LIC543"/>
      <c r="LID543"/>
      <c r="LIE543"/>
      <c r="LIF543"/>
      <c r="LIG543"/>
      <c r="LIH543"/>
      <c r="LII543"/>
      <c r="LIJ543"/>
      <c r="LIK543"/>
      <c r="LIL543"/>
      <c r="LIM543"/>
      <c r="LIN543"/>
      <c r="LIO543"/>
      <c r="LIP543"/>
      <c r="LIQ543"/>
      <c r="LIR543"/>
      <c r="LIS543"/>
      <c r="LIT543"/>
      <c r="LIU543"/>
      <c r="LIV543"/>
      <c r="LIW543"/>
      <c r="LIX543"/>
      <c r="LIY543"/>
      <c r="LIZ543"/>
      <c r="LJA543"/>
      <c r="LJB543"/>
      <c r="LJC543"/>
      <c r="LJD543"/>
      <c r="LJE543"/>
      <c r="LJF543"/>
      <c r="LJG543"/>
      <c r="LJH543"/>
      <c r="LJI543"/>
      <c r="LJJ543"/>
      <c r="LJK543"/>
      <c r="LJL543"/>
      <c r="LJM543"/>
      <c r="LJN543"/>
      <c r="LJO543"/>
      <c r="LJP543"/>
      <c r="LJQ543"/>
      <c r="LJR543"/>
      <c r="LJS543"/>
      <c r="LJT543"/>
      <c r="LJU543"/>
      <c r="LJV543"/>
      <c r="LJW543"/>
      <c r="LJX543"/>
      <c r="LJY543"/>
      <c r="LJZ543"/>
      <c r="LKA543"/>
      <c r="LKB543"/>
      <c r="LKC543"/>
      <c r="LKD543"/>
      <c r="LKE543"/>
      <c r="LKF543"/>
      <c r="LKG543"/>
      <c r="LKH543"/>
      <c r="LKI543"/>
      <c r="LKJ543"/>
      <c r="LKK543"/>
      <c r="LKL543"/>
      <c r="LKM543"/>
      <c r="LKN543"/>
      <c r="LKO543"/>
      <c r="LKP543"/>
      <c r="LKQ543"/>
      <c r="LKR543"/>
      <c r="LKS543"/>
      <c r="LKT543"/>
      <c r="LKU543"/>
      <c r="LKV543"/>
      <c r="LKW543"/>
      <c r="LKX543"/>
      <c r="LKY543"/>
      <c r="LKZ543"/>
      <c r="LLA543"/>
      <c r="LLB543"/>
      <c r="LLC543"/>
      <c r="LLD543"/>
      <c r="LLE543"/>
      <c r="LLF543"/>
      <c r="LLG543"/>
      <c r="LLH543"/>
      <c r="LLI543"/>
      <c r="LLJ543"/>
      <c r="LLK543"/>
      <c r="LLL543"/>
      <c r="LLM543"/>
      <c r="LLN543"/>
      <c r="LLO543"/>
      <c r="LLP543"/>
      <c r="LLQ543"/>
      <c r="LLR543"/>
      <c r="LLS543"/>
      <c r="LLT543"/>
      <c r="LLU543"/>
      <c r="LLV543"/>
      <c r="LLW543"/>
      <c r="LLX543"/>
      <c r="LLY543"/>
      <c r="LLZ543"/>
      <c r="LMA543"/>
      <c r="LMB543"/>
      <c r="LMC543"/>
      <c r="LMD543"/>
      <c r="LME543"/>
      <c r="LMF543"/>
      <c r="LMG543"/>
      <c r="LMH543"/>
      <c r="LMI543"/>
      <c r="LMJ543"/>
      <c r="LMK543"/>
      <c r="LML543"/>
      <c r="LMM543"/>
      <c r="LMN543"/>
      <c r="LMO543"/>
      <c r="LMP543"/>
      <c r="LMQ543"/>
      <c r="LMR543"/>
      <c r="LMS543"/>
      <c r="LMT543"/>
      <c r="LMU543"/>
      <c r="LMV543"/>
      <c r="LMW543"/>
      <c r="LMX543"/>
      <c r="LMY543"/>
      <c r="LMZ543"/>
      <c r="LNA543"/>
      <c r="LNB543"/>
      <c r="LNC543"/>
      <c r="LND543"/>
      <c r="LNE543"/>
      <c r="LNF543"/>
      <c r="LNG543"/>
      <c r="LNH543"/>
      <c r="LNI543"/>
      <c r="LNJ543"/>
      <c r="LNK543"/>
      <c r="LNL543"/>
      <c r="LNM543"/>
      <c r="LNN543"/>
      <c r="LNO543"/>
      <c r="LNP543"/>
      <c r="LNQ543"/>
      <c r="LNR543"/>
      <c r="LNS543"/>
      <c r="LNT543"/>
      <c r="LNU543"/>
      <c r="LNV543"/>
      <c r="LNW543"/>
      <c r="LNX543"/>
      <c r="LNY543"/>
      <c r="LNZ543"/>
      <c r="LOA543"/>
      <c r="LOB543"/>
      <c r="LOC543"/>
      <c r="LOD543"/>
      <c r="LOE543"/>
      <c r="LOF543"/>
      <c r="LOG543"/>
      <c r="LOH543"/>
      <c r="LOI543"/>
      <c r="LOJ543"/>
      <c r="LOK543"/>
      <c r="LOL543"/>
      <c r="LOM543"/>
      <c r="LON543"/>
      <c r="LOO543"/>
      <c r="LOP543"/>
      <c r="LOQ543"/>
      <c r="LOR543"/>
      <c r="LOS543"/>
      <c r="LOT543"/>
      <c r="LOU543"/>
      <c r="LOV543"/>
      <c r="LOW543"/>
      <c r="LOX543"/>
      <c r="LOY543"/>
      <c r="LOZ543"/>
      <c r="LPA543"/>
      <c r="LPB543"/>
      <c r="LPC543"/>
      <c r="LPD543"/>
      <c r="LPE543"/>
      <c r="LPF543"/>
      <c r="LPG543"/>
      <c r="LPH543"/>
      <c r="LPI543"/>
      <c r="LPJ543"/>
      <c r="LPK543"/>
      <c r="LPL543"/>
      <c r="LPM543"/>
      <c r="LPN543"/>
      <c r="LPO543"/>
      <c r="LPP543"/>
      <c r="LPQ543"/>
      <c r="LPR543"/>
      <c r="LPS543"/>
      <c r="LPT543"/>
      <c r="LPU543"/>
      <c r="LPV543"/>
      <c r="LPW543"/>
      <c r="LPX543"/>
      <c r="LPY543"/>
      <c r="LPZ543"/>
      <c r="LQA543"/>
      <c r="LQB543"/>
      <c r="LQC543"/>
      <c r="LQD543"/>
      <c r="LQE543"/>
      <c r="LQF543"/>
      <c r="LQG543"/>
      <c r="LQH543"/>
      <c r="LQI543"/>
      <c r="LQJ543"/>
      <c r="LQK543"/>
      <c r="LQL543"/>
      <c r="LQM543"/>
      <c r="LQN543"/>
      <c r="LQO543"/>
      <c r="LQP543"/>
      <c r="LQQ543"/>
      <c r="LQR543"/>
      <c r="LQS543"/>
      <c r="LQT543"/>
      <c r="LQU543"/>
      <c r="LQV543"/>
      <c r="LQW543"/>
      <c r="LQX543"/>
      <c r="LQY543"/>
      <c r="LQZ543"/>
      <c r="LRA543"/>
      <c r="LRB543"/>
      <c r="LRC543"/>
      <c r="LRD543"/>
      <c r="LRE543"/>
      <c r="LRF543"/>
      <c r="LRG543"/>
      <c r="LRH543"/>
      <c r="LRI543"/>
      <c r="LRJ543"/>
      <c r="LRK543"/>
      <c r="LRL543"/>
      <c r="LRM543"/>
      <c r="LRN543"/>
      <c r="LRO543"/>
      <c r="LRP543"/>
      <c r="LRQ543"/>
      <c r="LRR543"/>
      <c r="LRS543"/>
      <c r="LRT543"/>
      <c r="LRU543"/>
      <c r="LRV543"/>
      <c r="LRW543"/>
      <c r="LRX543"/>
      <c r="LRY543"/>
      <c r="LRZ543"/>
      <c r="LSA543"/>
      <c r="LSB543"/>
      <c r="LSC543"/>
      <c r="LSD543"/>
      <c r="LSE543"/>
      <c r="LSF543"/>
      <c r="LSG543"/>
      <c r="LSH543"/>
      <c r="LSI543"/>
      <c r="LSJ543"/>
      <c r="LSK543"/>
      <c r="LSL543"/>
      <c r="LSM543"/>
      <c r="LSN543"/>
      <c r="LSO543"/>
      <c r="LSP543"/>
      <c r="LSQ543"/>
      <c r="LSR543"/>
      <c r="LSS543"/>
      <c r="LST543"/>
      <c r="LSU543"/>
      <c r="LSV543"/>
      <c r="LSW543"/>
      <c r="LSX543"/>
      <c r="LSY543"/>
      <c r="LSZ543"/>
      <c r="LTA543"/>
      <c r="LTB543"/>
      <c r="LTC543"/>
      <c r="LTD543"/>
      <c r="LTE543"/>
      <c r="LTF543"/>
      <c r="LTG543"/>
      <c r="LTH543"/>
      <c r="LTI543"/>
      <c r="LTJ543"/>
      <c r="LTK543"/>
      <c r="LTL543"/>
      <c r="LTM543"/>
      <c r="LTN543"/>
      <c r="LTO543"/>
      <c r="LTP543"/>
      <c r="LTQ543"/>
      <c r="LTR543"/>
      <c r="LTS543"/>
      <c r="LTT543"/>
      <c r="LTU543"/>
      <c r="LTV543"/>
      <c r="LTW543"/>
      <c r="LTX543"/>
      <c r="LTY543"/>
      <c r="LTZ543"/>
      <c r="LUA543"/>
      <c r="LUB543"/>
      <c r="LUC543"/>
      <c r="LUD543"/>
      <c r="LUE543"/>
      <c r="LUF543"/>
      <c r="LUG543"/>
      <c r="LUH543"/>
      <c r="LUI543"/>
      <c r="LUJ543"/>
      <c r="LUK543"/>
      <c r="LUL543"/>
      <c r="LUM543"/>
      <c r="LUN543"/>
      <c r="LUO543"/>
      <c r="LUP543"/>
      <c r="LUQ543"/>
      <c r="LUR543"/>
      <c r="LUS543"/>
      <c r="LUT543"/>
      <c r="LUU543"/>
      <c r="LUV543"/>
      <c r="LUW543"/>
      <c r="LUX543"/>
      <c r="LUY543"/>
      <c r="LUZ543"/>
      <c r="LVA543"/>
      <c r="LVB543"/>
      <c r="LVC543"/>
      <c r="LVD543"/>
      <c r="LVE543"/>
      <c r="LVF543"/>
      <c r="LVG543"/>
      <c r="LVH543"/>
      <c r="LVI543"/>
      <c r="LVJ543"/>
      <c r="LVK543"/>
      <c r="LVL543"/>
      <c r="LVM543"/>
      <c r="LVN543"/>
      <c r="LVO543"/>
      <c r="LVP543"/>
      <c r="LVQ543"/>
      <c r="LVR543"/>
      <c r="LVS543"/>
      <c r="LVT543"/>
      <c r="LVU543"/>
      <c r="LVV543"/>
      <c r="LVW543"/>
      <c r="LVX543"/>
      <c r="LVY543"/>
      <c r="LVZ543"/>
      <c r="LWA543"/>
      <c r="LWB543"/>
      <c r="LWC543"/>
      <c r="LWD543"/>
      <c r="LWE543"/>
      <c r="LWF543"/>
      <c r="LWG543"/>
      <c r="LWH543"/>
      <c r="LWI543"/>
      <c r="LWJ543"/>
      <c r="LWK543"/>
      <c r="LWL543"/>
      <c r="LWM543"/>
      <c r="LWN543"/>
      <c r="LWO543"/>
      <c r="LWP543"/>
      <c r="LWQ543"/>
      <c r="LWR543"/>
      <c r="LWS543"/>
      <c r="LWT543"/>
      <c r="LWU543"/>
      <c r="LWV543"/>
      <c r="LWW543"/>
      <c r="LWX543"/>
      <c r="LWY543"/>
      <c r="LWZ543"/>
      <c r="LXA543"/>
      <c r="LXB543"/>
      <c r="LXC543"/>
      <c r="LXD543"/>
      <c r="LXE543"/>
      <c r="LXF543"/>
      <c r="LXG543"/>
      <c r="LXH543"/>
      <c r="LXI543"/>
      <c r="LXJ543"/>
      <c r="LXK543"/>
      <c r="LXL543"/>
      <c r="LXM543"/>
      <c r="LXN543"/>
      <c r="LXO543"/>
      <c r="LXP543"/>
      <c r="LXQ543"/>
      <c r="LXR543"/>
      <c r="LXS543"/>
      <c r="LXT543"/>
      <c r="LXU543"/>
      <c r="LXV543"/>
      <c r="LXW543"/>
      <c r="LXX543"/>
      <c r="LXY543"/>
      <c r="LXZ543"/>
      <c r="LYA543"/>
      <c r="LYB543"/>
      <c r="LYC543"/>
      <c r="LYD543"/>
      <c r="LYE543"/>
      <c r="LYF543"/>
      <c r="LYG543"/>
      <c r="LYH543"/>
      <c r="LYI543"/>
      <c r="LYJ543"/>
      <c r="LYK543"/>
      <c r="LYL543"/>
      <c r="LYM543"/>
      <c r="LYN543"/>
      <c r="LYO543"/>
      <c r="LYP543"/>
      <c r="LYQ543"/>
      <c r="LYR543"/>
      <c r="LYS543"/>
      <c r="LYT543"/>
      <c r="LYU543"/>
      <c r="LYV543"/>
      <c r="LYW543"/>
      <c r="LYX543"/>
      <c r="LYY543"/>
      <c r="LYZ543"/>
      <c r="LZA543"/>
      <c r="LZB543"/>
      <c r="LZC543"/>
      <c r="LZD543"/>
      <c r="LZE543"/>
      <c r="LZF543"/>
      <c r="LZG543"/>
      <c r="LZH543"/>
      <c r="LZI543"/>
      <c r="LZJ543"/>
      <c r="LZK543"/>
      <c r="LZL543"/>
      <c r="LZM543"/>
      <c r="LZN543"/>
      <c r="LZO543"/>
      <c r="LZP543"/>
      <c r="LZQ543"/>
      <c r="LZR543"/>
      <c r="LZS543"/>
      <c r="LZT543"/>
      <c r="LZU543"/>
      <c r="LZV543"/>
      <c r="LZW543"/>
      <c r="LZX543"/>
      <c r="LZY543"/>
      <c r="LZZ543"/>
      <c r="MAA543"/>
      <c r="MAB543"/>
      <c r="MAC543"/>
      <c r="MAD543"/>
      <c r="MAE543"/>
      <c r="MAF543"/>
      <c r="MAG543"/>
      <c r="MAH543"/>
      <c r="MAI543"/>
      <c r="MAJ543"/>
      <c r="MAK543"/>
      <c r="MAL543"/>
      <c r="MAM543"/>
      <c r="MAN543"/>
      <c r="MAO543"/>
      <c r="MAP543"/>
      <c r="MAQ543"/>
      <c r="MAR543"/>
      <c r="MAS543"/>
      <c r="MAT543"/>
      <c r="MAU543"/>
      <c r="MAV543"/>
      <c r="MAW543"/>
      <c r="MAX543"/>
      <c r="MAY543"/>
      <c r="MAZ543"/>
      <c r="MBA543"/>
      <c r="MBB543"/>
      <c r="MBC543"/>
      <c r="MBD543"/>
      <c r="MBE543"/>
      <c r="MBF543"/>
      <c r="MBG543"/>
      <c r="MBH543"/>
      <c r="MBI543"/>
      <c r="MBJ543"/>
      <c r="MBK543"/>
      <c r="MBL543"/>
      <c r="MBM543"/>
      <c r="MBN543"/>
      <c r="MBO543"/>
      <c r="MBP543"/>
      <c r="MBQ543"/>
      <c r="MBR543"/>
      <c r="MBS543"/>
      <c r="MBT543"/>
      <c r="MBU543"/>
      <c r="MBV543"/>
      <c r="MBW543"/>
      <c r="MBX543"/>
      <c r="MBY543"/>
      <c r="MBZ543"/>
      <c r="MCA543"/>
      <c r="MCB543"/>
      <c r="MCC543"/>
      <c r="MCD543"/>
      <c r="MCE543"/>
      <c r="MCF543"/>
      <c r="MCG543"/>
      <c r="MCH543"/>
      <c r="MCI543"/>
      <c r="MCJ543"/>
      <c r="MCK543"/>
      <c r="MCL543"/>
      <c r="MCM543"/>
      <c r="MCN543"/>
      <c r="MCO543"/>
      <c r="MCP543"/>
      <c r="MCQ543"/>
      <c r="MCR543"/>
      <c r="MCS543"/>
      <c r="MCT543"/>
      <c r="MCU543"/>
      <c r="MCV543"/>
      <c r="MCW543"/>
      <c r="MCX543"/>
      <c r="MCY543"/>
      <c r="MCZ543"/>
      <c r="MDA543"/>
      <c r="MDB543"/>
      <c r="MDC543"/>
      <c r="MDD543"/>
      <c r="MDE543"/>
      <c r="MDF543"/>
      <c r="MDG543"/>
      <c r="MDH543"/>
      <c r="MDI543"/>
      <c r="MDJ543"/>
      <c r="MDK543"/>
      <c r="MDL543"/>
      <c r="MDM543"/>
      <c r="MDN543"/>
      <c r="MDO543"/>
      <c r="MDP543"/>
      <c r="MDQ543"/>
      <c r="MDR543"/>
      <c r="MDS543"/>
      <c r="MDT543"/>
      <c r="MDU543"/>
      <c r="MDV543"/>
      <c r="MDW543"/>
      <c r="MDX543"/>
      <c r="MDY543"/>
      <c r="MDZ543"/>
      <c r="MEA543"/>
      <c r="MEB543"/>
      <c r="MEC543"/>
      <c r="MED543"/>
      <c r="MEE543"/>
      <c r="MEF543"/>
      <c r="MEG543"/>
      <c r="MEH543"/>
      <c r="MEI543"/>
      <c r="MEJ543"/>
      <c r="MEK543"/>
      <c r="MEL543"/>
      <c r="MEM543"/>
      <c r="MEN543"/>
      <c r="MEO543"/>
      <c r="MEP543"/>
      <c r="MEQ543"/>
      <c r="MER543"/>
      <c r="MES543"/>
      <c r="MET543"/>
      <c r="MEU543"/>
      <c r="MEV543"/>
      <c r="MEW543"/>
      <c r="MEX543"/>
      <c r="MEY543"/>
      <c r="MEZ543"/>
      <c r="MFA543"/>
      <c r="MFB543"/>
      <c r="MFC543"/>
      <c r="MFD543"/>
      <c r="MFE543"/>
      <c r="MFF543"/>
      <c r="MFG543"/>
      <c r="MFH543"/>
      <c r="MFI543"/>
      <c r="MFJ543"/>
      <c r="MFK543"/>
      <c r="MFL543"/>
      <c r="MFM543"/>
      <c r="MFN543"/>
      <c r="MFO543"/>
      <c r="MFP543"/>
      <c r="MFQ543"/>
      <c r="MFR543"/>
      <c r="MFS543"/>
      <c r="MFT543"/>
      <c r="MFU543"/>
      <c r="MFV543"/>
      <c r="MFW543"/>
      <c r="MFX543"/>
      <c r="MFY543"/>
      <c r="MFZ543"/>
      <c r="MGA543"/>
      <c r="MGB543"/>
      <c r="MGC543"/>
      <c r="MGD543"/>
      <c r="MGE543"/>
      <c r="MGF543"/>
      <c r="MGG543"/>
      <c r="MGH543"/>
      <c r="MGI543"/>
      <c r="MGJ543"/>
      <c r="MGK543"/>
      <c r="MGL543"/>
      <c r="MGM543"/>
      <c r="MGN543"/>
      <c r="MGO543"/>
      <c r="MGP543"/>
      <c r="MGQ543"/>
      <c r="MGR543"/>
      <c r="MGS543"/>
      <c r="MGT543"/>
      <c r="MGU543"/>
      <c r="MGV543"/>
      <c r="MGW543"/>
      <c r="MGX543"/>
      <c r="MGY543"/>
      <c r="MGZ543"/>
      <c r="MHA543"/>
      <c r="MHB543"/>
      <c r="MHC543"/>
      <c r="MHD543"/>
      <c r="MHE543"/>
      <c r="MHF543"/>
      <c r="MHG543"/>
      <c r="MHH543"/>
      <c r="MHI543"/>
      <c r="MHJ543"/>
      <c r="MHK543"/>
      <c r="MHL543"/>
      <c r="MHM543"/>
      <c r="MHN543"/>
      <c r="MHO543"/>
      <c r="MHP543"/>
      <c r="MHQ543"/>
      <c r="MHR543"/>
      <c r="MHS543"/>
      <c r="MHT543"/>
      <c r="MHU543"/>
      <c r="MHV543"/>
      <c r="MHW543"/>
      <c r="MHX543"/>
      <c r="MHY543"/>
      <c r="MHZ543"/>
      <c r="MIA543"/>
      <c r="MIB543"/>
      <c r="MIC543"/>
      <c r="MID543"/>
      <c r="MIE543"/>
      <c r="MIF543"/>
      <c r="MIG543"/>
      <c r="MIH543"/>
      <c r="MII543"/>
      <c r="MIJ543"/>
      <c r="MIK543"/>
      <c r="MIL543"/>
      <c r="MIM543"/>
      <c r="MIN543"/>
      <c r="MIO543"/>
      <c r="MIP543"/>
      <c r="MIQ543"/>
      <c r="MIR543"/>
      <c r="MIS543"/>
      <c r="MIT543"/>
      <c r="MIU543"/>
      <c r="MIV543"/>
      <c r="MIW543"/>
      <c r="MIX543"/>
      <c r="MIY543"/>
      <c r="MIZ543"/>
      <c r="MJA543"/>
      <c r="MJB543"/>
      <c r="MJC543"/>
      <c r="MJD543"/>
      <c r="MJE543"/>
      <c r="MJF543"/>
      <c r="MJG543"/>
      <c r="MJH543"/>
      <c r="MJI543"/>
      <c r="MJJ543"/>
      <c r="MJK543"/>
      <c r="MJL543"/>
      <c r="MJM543"/>
      <c r="MJN543"/>
      <c r="MJO543"/>
      <c r="MJP543"/>
      <c r="MJQ543"/>
      <c r="MJR543"/>
      <c r="MJS543"/>
      <c r="MJT543"/>
      <c r="MJU543"/>
      <c r="MJV543"/>
      <c r="MJW543"/>
      <c r="MJX543"/>
      <c r="MJY543"/>
      <c r="MJZ543"/>
      <c r="MKA543"/>
      <c r="MKB543"/>
      <c r="MKC543"/>
      <c r="MKD543"/>
      <c r="MKE543"/>
      <c r="MKF543"/>
      <c r="MKG543"/>
      <c r="MKH543"/>
      <c r="MKI543"/>
      <c r="MKJ543"/>
      <c r="MKK543"/>
      <c r="MKL543"/>
      <c r="MKM543"/>
      <c r="MKN543"/>
      <c r="MKO543"/>
      <c r="MKP543"/>
      <c r="MKQ543"/>
      <c r="MKR543"/>
      <c r="MKS543"/>
      <c r="MKT543"/>
      <c r="MKU543"/>
      <c r="MKV543"/>
      <c r="MKW543"/>
      <c r="MKX543"/>
      <c r="MKY543"/>
      <c r="MKZ543"/>
      <c r="MLA543"/>
      <c r="MLB543"/>
      <c r="MLC543"/>
      <c r="MLD543"/>
      <c r="MLE543"/>
      <c r="MLF543"/>
      <c r="MLG543"/>
      <c r="MLH543"/>
      <c r="MLI543"/>
      <c r="MLJ543"/>
      <c r="MLK543"/>
      <c r="MLL543"/>
      <c r="MLM543"/>
      <c r="MLN543"/>
      <c r="MLO543"/>
      <c r="MLP543"/>
      <c r="MLQ543"/>
      <c r="MLR543"/>
      <c r="MLS543"/>
      <c r="MLT543"/>
      <c r="MLU543"/>
      <c r="MLV543"/>
      <c r="MLW543"/>
      <c r="MLX543"/>
      <c r="MLY543"/>
      <c r="MLZ543"/>
      <c r="MMA543"/>
      <c r="MMB543"/>
      <c r="MMC543"/>
      <c r="MMD543"/>
      <c r="MME543"/>
      <c r="MMF543"/>
      <c r="MMG543"/>
      <c r="MMH543"/>
      <c r="MMI543"/>
      <c r="MMJ543"/>
      <c r="MMK543"/>
      <c r="MML543"/>
      <c r="MMM543"/>
      <c r="MMN543"/>
      <c r="MMO543"/>
      <c r="MMP543"/>
      <c r="MMQ543"/>
      <c r="MMR543"/>
      <c r="MMS543"/>
      <c r="MMT543"/>
      <c r="MMU543"/>
      <c r="MMV543"/>
      <c r="MMW543"/>
      <c r="MMX543"/>
      <c r="MMY543"/>
      <c r="MMZ543"/>
      <c r="MNA543"/>
      <c r="MNB543"/>
      <c r="MNC543"/>
      <c r="MND543"/>
      <c r="MNE543"/>
      <c r="MNF543"/>
      <c r="MNG543"/>
      <c r="MNH543"/>
      <c r="MNI543"/>
      <c r="MNJ543"/>
      <c r="MNK543"/>
      <c r="MNL543"/>
      <c r="MNM543"/>
      <c r="MNN543"/>
      <c r="MNO543"/>
      <c r="MNP543"/>
      <c r="MNQ543"/>
      <c r="MNR543"/>
      <c r="MNS543"/>
      <c r="MNT543"/>
      <c r="MNU543"/>
      <c r="MNV543"/>
      <c r="MNW543"/>
      <c r="MNX543"/>
      <c r="MNY543"/>
      <c r="MNZ543"/>
      <c r="MOA543"/>
      <c r="MOB543"/>
      <c r="MOC543"/>
      <c r="MOD543"/>
      <c r="MOE543"/>
      <c r="MOF543"/>
      <c r="MOG543"/>
      <c r="MOH543"/>
      <c r="MOI543"/>
      <c r="MOJ543"/>
      <c r="MOK543"/>
      <c r="MOL543"/>
      <c r="MOM543"/>
      <c r="MON543"/>
      <c r="MOO543"/>
      <c r="MOP543"/>
      <c r="MOQ543"/>
      <c r="MOR543"/>
      <c r="MOS543"/>
      <c r="MOT543"/>
      <c r="MOU543"/>
      <c r="MOV543"/>
      <c r="MOW543"/>
      <c r="MOX543"/>
      <c r="MOY543"/>
      <c r="MOZ543"/>
      <c r="MPA543"/>
      <c r="MPB543"/>
      <c r="MPC543"/>
      <c r="MPD543"/>
      <c r="MPE543"/>
      <c r="MPF543"/>
      <c r="MPG543"/>
      <c r="MPH543"/>
      <c r="MPI543"/>
      <c r="MPJ543"/>
      <c r="MPK543"/>
      <c r="MPL543"/>
      <c r="MPM543"/>
      <c r="MPN543"/>
      <c r="MPO543"/>
      <c r="MPP543"/>
      <c r="MPQ543"/>
      <c r="MPR543"/>
      <c r="MPS543"/>
      <c r="MPT543"/>
      <c r="MPU543"/>
      <c r="MPV543"/>
      <c r="MPW543"/>
      <c r="MPX543"/>
      <c r="MPY543"/>
      <c r="MPZ543"/>
      <c r="MQA543"/>
      <c r="MQB543"/>
      <c r="MQC543"/>
      <c r="MQD543"/>
      <c r="MQE543"/>
      <c r="MQF543"/>
      <c r="MQG543"/>
      <c r="MQH543"/>
      <c r="MQI543"/>
      <c r="MQJ543"/>
      <c r="MQK543"/>
      <c r="MQL543"/>
      <c r="MQM543"/>
      <c r="MQN543"/>
      <c r="MQO543"/>
      <c r="MQP543"/>
      <c r="MQQ543"/>
      <c r="MQR543"/>
      <c r="MQS543"/>
      <c r="MQT543"/>
      <c r="MQU543"/>
      <c r="MQV543"/>
      <c r="MQW543"/>
      <c r="MQX543"/>
      <c r="MQY543"/>
      <c r="MQZ543"/>
      <c r="MRA543"/>
      <c r="MRB543"/>
      <c r="MRC543"/>
      <c r="MRD543"/>
      <c r="MRE543"/>
      <c r="MRF543"/>
      <c r="MRG543"/>
      <c r="MRH543"/>
      <c r="MRI543"/>
      <c r="MRJ543"/>
      <c r="MRK543"/>
      <c r="MRL543"/>
      <c r="MRM543"/>
      <c r="MRN543"/>
      <c r="MRO543"/>
      <c r="MRP543"/>
      <c r="MRQ543"/>
      <c r="MRR543"/>
      <c r="MRS543"/>
      <c r="MRT543"/>
      <c r="MRU543"/>
      <c r="MRV543"/>
      <c r="MRW543"/>
      <c r="MRX543"/>
      <c r="MRY543"/>
      <c r="MRZ543"/>
      <c r="MSA543"/>
      <c r="MSB543"/>
      <c r="MSC543"/>
      <c r="MSD543"/>
      <c r="MSE543"/>
      <c r="MSF543"/>
      <c r="MSG543"/>
      <c r="MSH543"/>
      <c r="MSI543"/>
      <c r="MSJ543"/>
      <c r="MSK543"/>
      <c r="MSL543"/>
      <c r="MSM543"/>
      <c r="MSN543"/>
      <c r="MSO543"/>
      <c r="MSP543"/>
      <c r="MSQ543"/>
      <c r="MSR543"/>
      <c r="MSS543"/>
      <c r="MST543"/>
      <c r="MSU543"/>
      <c r="MSV543"/>
      <c r="MSW543"/>
      <c r="MSX543"/>
      <c r="MSY543"/>
      <c r="MSZ543"/>
      <c r="MTA543"/>
      <c r="MTB543"/>
      <c r="MTC543"/>
      <c r="MTD543"/>
      <c r="MTE543"/>
      <c r="MTF543"/>
      <c r="MTG543"/>
      <c r="MTH543"/>
      <c r="MTI543"/>
      <c r="MTJ543"/>
      <c r="MTK543"/>
      <c r="MTL543"/>
      <c r="MTM543"/>
      <c r="MTN543"/>
      <c r="MTO543"/>
      <c r="MTP543"/>
      <c r="MTQ543"/>
      <c r="MTR543"/>
      <c r="MTS543"/>
      <c r="MTT543"/>
      <c r="MTU543"/>
      <c r="MTV543"/>
      <c r="MTW543"/>
      <c r="MTX543"/>
      <c r="MTY543"/>
      <c r="MTZ543"/>
      <c r="MUA543"/>
      <c r="MUB543"/>
      <c r="MUC543"/>
      <c r="MUD543"/>
      <c r="MUE543"/>
      <c r="MUF543"/>
      <c r="MUG543"/>
      <c r="MUH543"/>
      <c r="MUI543"/>
      <c r="MUJ543"/>
      <c r="MUK543"/>
      <c r="MUL543"/>
      <c r="MUM543"/>
      <c r="MUN543"/>
      <c r="MUO543"/>
      <c r="MUP543"/>
      <c r="MUQ543"/>
      <c r="MUR543"/>
      <c r="MUS543"/>
      <c r="MUT543"/>
      <c r="MUU543"/>
      <c r="MUV543"/>
      <c r="MUW543"/>
      <c r="MUX543"/>
      <c r="MUY543"/>
      <c r="MUZ543"/>
      <c r="MVA543"/>
      <c r="MVB543"/>
      <c r="MVC543"/>
      <c r="MVD543"/>
      <c r="MVE543"/>
      <c r="MVF543"/>
      <c r="MVG543"/>
      <c r="MVH543"/>
      <c r="MVI543"/>
      <c r="MVJ543"/>
      <c r="MVK543"/>
      <c r="MVL543"/>
      <c r="MVM543"/>
      <c r="MVN543"/>
      <c r="MVO543"/>
      <c r="MVP543"/>
      <c r="MVQ543"/>
      <c r="MVR543"/>
      <c r="MVS543"/>
      <c r="MVT543"/>
      <c r="MVU543"/>
      <c r="MVV543"/>
      <c r="MVW543"/>
      <c r="MVX543"/>
      <c r="MVY543"/>
      <c r="MVZ543"/>
      <c r="MWA543"/>
      <c r="MWB543"/>
      <c r="MWC543"/>
      <c r="MWD543"/>
      <c r="MWE543"/>
      <c r="MWF543"/>
      <c r="MWG543"/>
      <c r="MWH543"/>
      <c r="MWI543"/>
      <c r="MWJ543"/>
      <c r="MWK543"/>
      <c r="MWL543"/>
      <c r="MWM543"/>
      <c r="MWN543"/>
      <c r="MWO543"/>
      <c r="MWP543"/>
      <c r="MWQ543"/>
      <c r="MWR543"/>
      <c r="MWS543"/>
      <c r="MWT543"/>
      <c r="MWU543"/>
      <c r="MWV543"/>
      <c r="MWW543"/>
      <c r="MWX543"/>
      <c r="MWY543"/>
      <c r="MWZ543"/>
      <c r="MXA543"/>
      <c r="MXB543"/>
      <c r="MXC543"/>
      <c r="MXD543"/>
      <c r="MXE543"/>
      <c r="MXF543"/>
      <c r="MXG543"/>
      <c r="MXH543"/>
      <c r="MXI543"/>
      <c r="MXJ543"/>
      <c r="MXK543"/>
      <c r="MXL543"/>
      <c r="MXM543"/>
      <c r="MXN543"/>
      <c r="MXO543"/>
      <c r="MXP543"/>
      <c r="MXQ543"/>
      <c r="MXR543"/>
      <c r="MXS543"/>
      <c r="MXT543"/>
      <c r="MXU543"/>
      <c r="MXV543"/>
      <c r="MXW543"/>
      <c r="MXX543"/>
      <c r="MXY543"/>
      <c r="MXZ543"/>
      <c r="MYA543"/>
      <c r="MYB543"/>
      <c r="MYC543"/>
      <c r="MYD543"/>
      <c r="MYE543"/>
      <c r="MYF543"/>
      <c r="MYG543"/>
      <c r="MYH543"/>
      <c r="MYI543"/>
      <c r="MYJ543"/>
      <c r="MYK543"/>
      <c r="MYL543"/>
      <c r="MYM543"/>
      <c r="MYN543"/>
      <c r="MYO543"/>
      <c r="MYP543"/>
      <c r="MYQ543"/>
      <c r="MYR543"/>
      <c r="MYS543"/>
      <c r="MYT543"/>
      <c r="MYU543"/>
      <c r="MYV543"/>
      <c r="MYW543"/>
      <c r="MYX543"/>
      <c r="MYY543"/>
      <c r="MYZ543"/>
      <c r="MZA543"/>
      <c r="MZB543"/>
      <c r="MZC543"/>
      <c r="MZD543"/>
      <c r="MZE543"/>
      <c r="MZF543"/>
      <c r="MZG543"/>
      <c r="MZH543"/>
      <c r="MZI543"/>
      <c r="MZJ543"/>
      <c r="MZK543"/>
      <c r="MZL543"/>
      <c r="MZM543"/>
      <c r="MZN543"/>
      <c r="MZO543"/>
      <c r="MZP543"/>
      <c r="MZQ543"/>
      <c r="MZR543"/>
      <c r="MZS543"/>
      <c r="MZT543"/>
      <c r="MZU543"/>
      <c r="MZV543"/>
      <c r="MZW543"/>
      <c r="MZX543"/>
      <c r="MZY543"/>
      <c r="MZZ543"/>
      <c r="NAA543"/>
      <c r="NAB543"/>
      <c r="NAC543"/>
      <c r="NAD543"/>
      <c r="NAE543"/>
      <c r="NAF543"/>
      <c r="NAG543"/>
      <c r="NAH543"/>
      <c r="NAI543"/>
      <c r="NAJ543"/>
      <c r="NAK543"/>
      <c r="NAL543"/>
      <c r="NAM543"/>
      <c r="NAN543"/>
      <c r="NAO543"/>
      <c r="NAP543"/>
      <c r="NAQ543"/>
      <c r="NAR543"/>
      <c r="NAS543"/>
      <c r="NAT543"/>
      <c r="NAU543"/>
      <c r="NAV543"/>
      <c r="NAW543"/>
      <c r="NAX543"/>
      <c r="NAY543"/>
      <c r="NAZ543"/>
      <c r="NBA543"/>
      <c r="NBB543"/>
      <c r="NBC543"/>
      <c r="NBD543"/>
      <c r="NBE543"/>
      <c r="NBF543"/>
      <c r="NBG543"/>
      <c r="NBH543"/>
      <c r="NBI543"/>
      <c r="NBJ543"/>
      <c r="NBK543"/>
      <c r="NBL543"/>
      <c r="NBM543"/>
      <c r="NBN543"/>
      <c r="NBO543"/>
      <c r="NBP543"/>
      <c r="NBQ543"/>
      <c r="NBR543"/>
      <c r="NBS543"/>
      <c r="NBT543"/>
      <c r="NBU543"/>
      <c r="NBV543"/>
      <c r="NBW543"/>
      <c r="NBX543"/>
      <c r="NBY543"/>
      <c r="NBZ543"/>
      <c r="NCA543"/>
      <c r="NCB543"/>
      <c r="NCC543"/>
      <c r="NCD543"/>
      <c r="NCE543"/>
      <c r="NCF543"/>
      <c r="NCG543"/>
      <c r="NCH543"/>
      <c r="NCI543"/>
      <c r="NCJ543"/>
      <c r="NCK543"/>
      <c r="NCL543"/>
      <c r="NCM543"/>
      <c r="NCN543"/>
      <c r="NCO543"/>
      <c r="NCP543"/>
      <c r="NCQ543"/>
      <c r="NCR543"/>
      <c r="NCS543"/>
      <c r="NCT543"/>
      <c r="NCU543"/>
      <c r="NCV543"/>
      <c r="NCW543"/>
      <c r="NCX543"/>
      <c r="NCY543"/>
      <c r="NCZ543"/>
      <c r="NDA543"/>
      <c r="NDB543"/>
      <c r="NDC543"/>
      <c r="NDD543"/>
      <c r="NDE543"/>
      <c r="NDF543"/>
      <c r="NDG543"/>
      <c r="NDH543"/>
      <c r="NDI543"/>
      <c r="NDJ543"/>
      <c r="NDK543"/>
      <c r="NDL543"/>
      <c r="NDM543"/>
      <c r="NDN543"/>
      <c r="NDO543"/>
      <c r="NDP543"/>
      <c r="NDQ543"/>
      <c r="NDR543"/>
      <c r="NDS543"/>
      <c r="NDT543"/>
      <c r="NDU543"/>
      <c r="NDV543"/>
      <c r="NDW543"/>
      <c r="NDX543"/>
      <c r="NDY543"/>
      <c r="NDZ543"/>
      <c r="NEA543"/>
      <c r="NEB543"/>
      <c r="NEC543"/>
      <c r="NED543"/>
      <c r="NEE543"/>
      <c r="NEF543"/>
      <c r="NEG543"/>
      <c r="NEH543"/>
      <c r="NEI543"/>
      <c r="NEJ543"/>
      <c r="NEK543"/>
      <c r="NEL543"/>
      <c r="NEM543"/>
      <c r="NEN543"/>
      <c r="NEO543"/>
      <c r="NEP543"/>
      <c r="NEQ543"/>
      <c r="NER543"/>
      <c r="NES543"/>
      <c r="NET543"/>
      <c r="NEU543"/>
      <c r="NEV543"/>
      <c r="NEW543"/>
      <c r="NEX543"/>
      <c r="NEY543"/>
      <c r="NEZ543"/>
      <c r="NFA543"/>
      <c r="NFB543"/>
      <c r="NFC543"/>
      <c r="NFD543"/>
      <c r="NFE543"/>
      <c r="NFF543"/>
      <c r="NFG543"/>
      <c r="NFH543"/>
      <c r="NFI543"/>
      <c r="NFJ543"/>
      <c r="NFK543"/>
      <c r="NFL543"/>
      <c r="NFM543"/>
      <c r="NFN543"/>
      <c r="NFO543"/>
      <c r="NFP543"/>
      <c r="NFQ543"/>
      <c r="NFR543"/>
      <c r="NFS543"/>
      <c r="NFT543"/>
      <c r="NFU543"/>
      <c r="NFV543"/>
      <c r="NFW543"/>
      <c r="NFX543"/>
      <c r="NFY543"/>
      <c r="NFZ543"/>
      <c r="NGA543"/>
      <c r="NGB543"/>
      <c r="NGC543"/>
      <c r="NGD543"/>
      <c r="NGE543"/>
      <c r="NGF543"/>
      <c r="NGG543"/>
      <c r="NGH543"/>
      <c r="NGI543"/>
      <c r="NGJ543"/>
      <c r="NGK543"/>
      <c r="NGL543"/>
      <c r="NGM543"/>
      <c r="NGN543"/>
      <c r="NGO543"/>
      <c r="NGP543"/>
      <c r="NGQ543"/>
      <c r="NGR543"/>
      <c r="NGS543"/>
      <c r="NGT543"/>
      <c r="NGU543"/>
      <c r="NGV543"/>
      <c r="NGW543"/>
      <c r="NGX543"/>
      <c r="NGY543"/>
      <c r="NGZ543"/>
      <c r="NHA543"/>
      <c r="NHB543"/>
      <c r="NHC543"/>
      <c r="NHD543"/>
      <c r="NHE543"/>
      <c r="NHF543"/>
      <c r="NHG543"/>
      <c r="NHH543"/>
      <c r="NHI543"/>
      <c r="NHJ543"/>
      <c r="NHK543"/>
      <c r="NHL543"/>
      <c r="NHM543"/>
      <c r="NHN543"/>
      <c r="NHO543"/>
      <c r="NHP543"/>
      <c r="NHQ543"/>
      <c r="NHR543"/>
      <c r="NHS543"/>
      <c r="NHT543"/>
      <c r="NHU543"/>
      <c r="NHV543"/>
      <c r="NHW543"/>
      <c r="NHX543"/>
      <c r="NHY543"/>
      <c r="NHZ543"/>
      <c r="NIA543"/>
      <c r="NIB543"/>
      <c r="NIC543"/>
      <c r="NID543"/>
      <c r="NIE543"/>
      <c r="NIF543"/>
      <c r="NIG543"/>
      <c r="NIH543"/>
      <c r="NII543"/>
      <c r="NIJ543"/>
      <c r="NIK543"/>
      <c r="NIL543"/>
      <c r="NIM543"/>
      <c r="NIN543"/>
      <c r="NIO543"/>
      <c r="NIP543"/>
      <c r="NIQ543"/>
      <c r="NIR543"/>
      <c r="NIS543"/>
      <c r="NIT543"/>
      <c r="NIU543"/>
      <c r="NIV543"/>
      <c r="NIW543"/>
      <c r="NIX543"/>
      <c r="NIY543"/>
      <c r="NIZ543"/>
      <c r="NJA543"/>
      <c r="NJB543"/>
      <c r="NJC543"/>
      <c r="NJD543"/>
      <c r="NJE543"/>
      <c r="NJF543"/>
      <c r="NJG543"/>
      <c r="NJH543"/>
      <c r="NJI543"/>
      <c r="NJJ543"/>
      <c r="NJK543"/>
      <c r="NJL543"/>
      <c r="NJM543"/>
      <c r="NJN543"/>
      <c r="NJO543"/>
      <c r="NJP543"/>
      <c r="NJQ543"/>
      <c r="NJR543"/>
      <c r="NJS543"/>
      <c r="NJT543"/>
      <c r="NJU543"/>
      <c r="NJV543"/>
      <c r="NJW543"/>
      <c r="NJX543"/>
      <c r="NJY543"/>
      <c r="NJZ543"/>
      <c r="NKA543"/>
      <c r="NKB543"/>
      <c r="NKC543"/>
      <c r="NKD543"/>
      <c r="NKE543"/>
      <c r="NKF543"/>
      <c r="NKG543"/>
      <c r="NKH543"/>
      <c r="NKI543"/>
      <c r="NKJ543"/>
      <c r="NKK543"/>
      <c r="NKL543"/>
      <c r="NKM543"/>
      <c r="NKN543"/>
      <c r="NKO543"/>
      <c r="NKP543"/>
      <c r="NKQ543"/>
      <c r="NKR543"/>
      <c r="NKS543"/>
      <c r="NKT543"/>
      <c r="NKU543"/>
      <c r="NKV543"/>
      <c r="NKW543"/>
      <c r="NKX543"/>
      <c r="NKY543"/>
      <c r="NKZ543"/>
      <c r="NLA543"/>
      <c r="NLB543"/>
      <c r="NLC543"/>
      <c r="NLD543"/>
      <c r="NLE543"/>
      <c r="NLF543"/>
      <c r="NLG543"/>
      <c r="NLH543"/>
      <c r="NLI543"/>
      <c r="NLJ543"/>
      <c r="NLK543"/>
      <c r="NLL543"/>
      <c r="NLM543"/>
      <c r="NLN543"/>
      <c r="NLO543"/>
      <c r="NLP543"/>
      <c r="NLQ543"/>
      <c r="NLR543"/>
      <c r="NLS543"/>
      <c r="NLT543"/>
      <c r="NLU543"/>
      <c r="NLV543"/>
      <c r="NLW543"/>
      <c r="NLX543"/>
      <c r="NLY543"/>
      <c r="NLZ543"/>
      <c r="NMA543"/>
      <c r="NMB543"/>
      <c r="NMC543"/>
      <c r="NMD543"/>
      <c r="NME543"/>
      <c r="NMF543"/>
      <c r="NMG543"/>
      <c r="NMH543"/>
      <c r="NMI543"/>
      <c r="NMJ543"/>
      <c r="NMK543"/>
      <c r="NML543"/>
      <c r="NMM543"/>
      <c r="NMN543"/>
      <c r="NMO543"/>
      <c r="NMP543"/>
      <c r="NMQ543"/>
      <c r="NMR543"/>
      <c r="NMS543"/>
      <c r="NMT543"/>
      <c r="NMU543"/>
      <c r="NMV543"/>
      <c r="NMW543"/>
      <c r="NMX543"/>
      <c r="NMY543"/>
      <c r="NMZ543"/>
      <c r="NNA543"/>
      <c r="NNB543"/>
      <c r="NNC543"/>
      <c r="NND543"/>
      <c r="NNE543"/>
      <c r="NNF543"/>
      <c r="NNG543"/>
      <c r="NNH543"/>
      <c r="NNI543"/>
      <c r="NNJ543"/>
      <c r="NNK543"/>
      <c r="NNL543"/>
      <c r="NNM543"/>
      <c r="NNN543"/>
      <c r="NNO543"/>
      <c r="NNP543"/>
      <c r="NNQ543"/>
      <c r="NNR543"/>
      <c r="NNS543"/>
      <c r="NNT543"/>
      <c r="NNU543"/>
      <c r="NNV543"/>
      <c r="NNW543"/>
      <c r="NNX543"/>
      <c r="NNY543"/>
      <c r="NNZ543"/>
      <c r="NOA543"/>
      <c r="NOB543"/>
      <c r="NOC543"/>
      <c r="NOD543"/>
      <c r="NOE543"/>
      <c r="NOF543"/>
      <c r="NOG543"/>
      <c r="NOH543"/>
      <c r="NOI543"/>
      <c r="NOJ543"/>
      <c r="NOK543"/>
      <c r="NOL543"/>
      <c r="NOM543"/>
      <c r="NON543"/>
      <c r="NOO543"/>
      <c r="NOP543"/>
      <c r="NOQ543"/>
      <c r="NOR543"/>
      <c r="NOS543"/>
      <c r="NOT543"/>
      <c r="NOU543"/>
      <c r="NOV543"/>
      <c r="NOW543"/>
      <c r="NOX543"/>
      <c r="NOY543"/>
      <c r="NOZ543"/>
      <c r="NPA543"/>
      <c r="NPB543"/>
      <c r="NPC543"/>
      <c r="NPD543"/>
      <c r="NPE543"/>
      <c r="NPF543"/>
      <c r="NPG543"/>
      <c r="NPH543"/>
      <c r="NPI543"/>
      <c r="NPJ543"/>
      <c r="NPK543"/>
      <c r="NPL543"/>
      <c r="NPM543"/>
      <c r="NPN543"/>
      <c r="NPO543"/>
      <c r="NPP543"/>
      <c r="NPQ543"/>
      <c r="NPR543"/>
      <c r="NPS543"/>
      <c r="NPT543"/>
      <c r="NPU543"/>
      <c r="NPV543"/>
      <c r="NPW543"/>
      <c r="NPX543"/>
      <c r="NPY543"/>
      <c r="NPZ543"/>
      <c r="NQA543"/>
      <c r="NQB543"/>
      <c r="NQC543"/>
      <c r="NQD543"/>
      <c r="NQE543"/>
      <c r="NQF543"/>
      <c r="NQG543"/>
      <c r="NQH543"/>
      <c r="NQI543"/>
      <c r="NQJ543"/>
      <c r="NQK543"/>
      <c r="NQL543"/>
      <c r="NQM543"/>
      <c r="NQN543"/>
      <c r="NQO543"/>
      <c r="NQP543"/>
      <c r="NQQ543"/>
      <c r="NQR543"/>
      <c r="NQS543"/>
      <c r="NQT543"/>
      <c r="NQU543"/>
      <c r="NQV543"/>
      <c r="NQW543"/>
      <c r="NQX543"/>
      <c r="NQY543"/>
      <c r="NQZ543"/>
      <c r="NRA543"/>
      <c r="NRB543"/>
      <c r="NRC543"/>
      <c r="NRD543"/>
      <c r="NRE543"/>
      <c r="NRF543"/>
      <c r="NRG543"/>
      <c r="NRH543"/>
      <c r="NRI543"/>
      <c r="NRJ543"/>
      <c r="NRK543"/>
      <c r="NRL543"/>
      <c r="NRM543"/>
      <c r="NRN543"/>
      <c r="NRO543"/>
      <c r="NRP543"/>
      <c r="NRQ543"/>
      <c r="NRR543"/>
      <c r="NRS543"/>
      <c r="NRT543"/>
      <c r="NRU543"/>
      <c r="NRV543"/>
      <c r="NRW543"/>
      <c r="NRX543"/>
      <c r="NRY543"/>
      <c r="NRZ543"/>
      <c r="NSA543"/>
      <c r="NSB543"/>
      <c r="NSC543"/>
      <c r="NSD543"/>
      <c r="NSE543"/>
      <c r="NSF543"/>
      <c r="NSG543"/>
      <c r="NSH543"/>
      <c r="NSI543"/>
      <c r="NSJ543"/>
      <c r="NSK543"/>
      <c r="NSL543"/>
      <c r="NSM543"/>
      <c r="NSN543"/>
      <c r="NSO543"/>
      <c r="NSP543"/>
      <c r="NSQ543"/>
      <c r="NSR543"/>
      <c r="NSS543"/>
      <c r="NST543"/>
      <c r="NSU543"/>
      <c r="NSV543"/>
      <c r="NSW543"/>
      <c r="NSX543"/>
      <c r="NSY543"/>
      <c r="NSZ543"/>
      <c r="NTA543"/>
      <c r="NTB543"/>
      <c r="NTC543"/>
      <c r="NTD543"/>
      <c r="NTE543"/>
      <c r="NTF543"/>
      <c r="NTG543"/>
      <c r="NTH543"/>
      <c r="NTI543"/>
      <c r="NTJ543"/>
      <c r="NTK543"/>
      <c r="NTL543"/>
      <c r="NTM543"/>
      <c r="NTN543"/>
      <c r="NTO543"/>
      <c r="NTP543"/>
      <c r="NTQ543"/>
      <c r="NTR543"/>
      <c r="NTS543"/>
      <c r="NTT543"/>
      <c r="NTU543"/>
      <c r="NTV543"/>
      <c r="NTW543"/>
      <c r="NTX543"/>
      <c r="NTY543"/>
      <c r="NTZ543"/>
      <c r="NUA543"/>
      <c r="NUB543"/>
      <c r="NUC543"/>
      <c r="NUD543"/>
      <c r="NUE543"/>
      <c r="NUF543"/>
      <c r="NUG543"/>
      <c r="NUH543"/>
      <c r="NUI543"/>
      <c r="NUJ543"/>
      <c r="NUK543"/>
      <c r="NUL543"/>
      <c r="NUM543"/>
      <c r="NUN543"/>
      <c r="NUO543"/>
      <c r="NUP543"/>
      <c r="NUQ543"/>
      <c r="NUR543"/>
      <c r="NUS543"/>
      <c r="NUT543"/>
      <c r="NUU543"/>
      <c r="NUV543"/>
      <c r="NUW543"/>
      <c r="NUX543"/>
      <c r="NUY543"/>
      <c r="NUZ543"/>
      <c r="NVA543"/>
      <c r="NVB543"/>
      <c r="NVC543"/>
      <c r="NVD543"/>
      <c r="NVE543"/>
      <c r="NVF543"/>
      <c r="NVG543"/>
      <c r="NVH543"/>
      <c r="NVI543"/>
      <c r="NVJ543"/>
      <c r="NVK543"/>
      <c r="NVL543"/>
      <c r="NVM543"/>
      <c r="NVN543"/>
      <c r="NVO543"/>
      <c r="NVP543"/>
      <c r="NVQ543"/>
      <c r="NVR543"/>
      <c r="NVS543"/>
      <c r="NVT543"/>
      <c r="NVU543"/>
      <c r="NVV543"/>
      <c r="NVW543"/>
      <c r="NVX543"/>
      <c r="NVY543"/>
      <c r="NVZ543"/>
      <c r="NWA543"/>
      <c r="NWB543"/>
      <c r="NWC543"/>
      <c r="NWD543"/>
      <c r="NWE543"/>
      <c r="NWF543"/>
      <c r="NWG543"/>
      <c r="NWH543"/>
      <c r="NWI543"/>
      <c r="NWJ543"/>
      <c r="NWK543"/>
      <c r="NWL543"/>
      <c r="NWM543"/>
      <c r="NWN543"/>
      <c r="NWO543"/>
      <c r="NWP543"/>
      <c r="NWQ543"/>
      <c r="NWR543"/>
      <c r="NWS543"/>
      <c r="NWT543"/>
      <c r="NWU543"/>
      <c r="NWV543"/>
      <c r="NWW543"/>
      <c r="NWX543"/>
      <c r="NWY543"/>
      <c r="NWZ543"/>
      <c r="NXA543"/>
      <c r="NXB543"/>
      <c r="NXC543"/>
      <c r="NXD543"/>
      <c r="NXE543"/>
      <c r="NXF543"/>
      <c r="NXG543"/>
      <c r="NXH543"/>
      <c r="NXI543"/>
      <c r="NXJ543"/>
      <c r="NXK543"/>
      <c r="NXL543"/>
      <c r="NXM543"/>
      <c r="NXN543"/>
      <c r="NXO543"/>
      <c r="NXP543"/>
      <c r="NXQ543"/>
      <c r="NXR543"/>
      <c r="NXS543"/>
      <c r="NXT543"/>
      <c r="NXU543"/>
      <c r="NXV543"/>
      <c r="NXW543"/>
      <c r="NXX543"/>
      <c r="NXY543"/>
      <c r="NXZ543"/>
      <c r="NYA543"/>
      <c r="NYB543"/>
      <c r="NYC543"/>
      <c r="NYD543"/>
      <c r="NYE543"/>
      <c r="NYF543"/>
      <c r="NYG543"/>
      <c r="NYH543"/>
      <c r="NYI543"/>
      <c r="NYJ543"/>
      <c r="NYK543"/>
      <c r="NYL543"/>
      <c r="NYM543"/>
      <c r="NYN543"/>
      <c r="NYO543"/>
      <c r="NYP543"/>
      <c r="NYQ543"/>
      <c r="NYR543"/>
      <c r="NYS543"/>
      <c r="NYT543"/>
      <c r="NYU543"/>
      <c r="NYV543"/>
      <c r="NYW543"/>
      <c r="NYX543"/>
      <c r="NYY543"/>
      <c r="NYZ543"/>
      <c r="NZA543"/>
      <c r="NZB543"/>
      <c r="NZC543"/>
      <c r="NZD543"/>
      <c r="NZE543"/>
      <c r="NZF543"/>
      <c r="NZG543"/>
      <c r="NZH543"/>
      <c r="NZI543"/>
      <c r="NZJ543"/>
      <c r="NZK543"/>
      <c r="NZL543"/>
      <c r="NZM543"/>
      <c r="NZN543"/>
      <c r="NZO543"/>
      <c r="NZP543"/>
      <c r="NZQ543"/>
      <c r="NZR543"/>
      <c r="NZS543"/>
      <c r="NZT543"/>
      <c r="NZU543"/>
      <c r="NZV543"/>
      <c r="NZW543"/>
      <c r="NZX543"/>
      <c r="NZY543"/>
      <c r="NZZ543"/>
      <c r="OAA543"/>
      <c r="OAB543"/>
      <c r="OAC543"/>
      <c r="OAD543"/>
      <c r="OAE543"/>
      <c r="OAF543"/>
      <c r="OAG543"/>
      <c r="OAH543"/>
      <c r="OAI543"/>
      <c r="OAJ543"/>
      <c r="OAK543"/>
      <c r="OAL543"/>
      <c r="OAM543"/>
      <c r="OAN543"/>
      <c r="OAO543"/>
      <c r="OAP543"/>
      <c r="OAQ543"/>
      <c r="OAR543"/>
      <c r="OAS543"/>
      <c r="OAT543"/>
      <c r="OAU543"/>
      <c r="OAV543"/>
      <c r="OAW543"/>
      <c r="OAX543"/>
      <c r="OAY543"/>
      <c r="OAZ543"/>
      <c r="OBA543"/>
      <c r="OBB543"/>
      <c r="OBC543"/>
      <c r="OBD543"/>
      <c r="OBE543"/>
      <c r="OBF543"/>
      <c r="OBG543"/>
      <c r="OBH543"/>
      <c r="OBI543"/>
      <c r="OBJ543"/>
      <c r="OBK543"/>
      <c r="OBL543"/>
      <c r="OBM543"/>
      <c r="OBN543"/>
      <c r="OBO543"/>
      <c r="OBP543"/>
      <c r="OBQ543"/>
      <c r="OBR543"/>
      <c r="OBS543"/>
      <c r="OBT543"/>
      <c r="OBU543"/>
      <c r="OBV543"/>
      <c r="OBW543"/>
      <c r="OBX543"/>
      <c r="OBY543"/>
      <c r="OBZ543"/>
      <c r="OCA543"/>
      <c r="OCB543"/>
      <c r="OCC543"/>
      <c r="OCD543"/>
      <c r="OCE543"/>
      <c r="OCF543"/>
      <c r="OCG543"/>
      <c r="OCH543"/>
      <c r="OCI543"/>
      <c r="OCJ543"/>
      <c r="OCK543"/>
      <c r="OCL543"/>
      <c r="OCM543"/>
      <c r="OCN543"/>
      <c r="OCO543"/>
      <c r="OCP543"/>
      <c r="OCQ543"/>
      <c r="OCR543"/>
      <c r="OCS543"/>
      <c r="OCT543"/>
      <c r="OCU543"/>
      <c r="OCV543"/>
      <c r="OCW543"/>
      <c r="OCX543"/>
      <c r="OCY543"/>
      <c r="OCZ543"/>
      <c r="ODA543"/>
      <c r="ODB543"/>
      <c r="ODC543"/>
      <c r="ODD543"/>
      <c r="ODE543"/>
      <c r="ODF543"/>
      <c r="ODG543"/>
      <c r="ODH543"/>
      <c r="ODI543"/>
      <c r="ODJ543"/>
      <c r="ODK543"/>
      <c r="ODL543"/>
      <c r="ODM543"/>
      <c r="ODN543"/>
      <c r="ODO543"/>
      <c r="ODP543"/>
      <c r="ODQ543"/>
      <c r="ODR543"/>
      <c r="ODS543"/>
      <c r="ODT543"/>
      <c r="ODU543"/>
      <c r="ODV543"/>
      <c r="ODW543"/>
      <c r="ODX543"/>
      <c r="ODY543"/>
      <c r="ODZ543"/>
      <c r="OEA543"/>
      <c r="OEB543"/>
      <c r="OEC543"/>
      <c r="OED543"/>
      <c r="OEE543"/>
      <c r="OEF543"/>
      <c r="OEG543"/>
      <c r="OEH543"/>
      <c r="OEI543"/>
      <c r="OEJ543"/>
      <c r="OEK543"/>
      <c r="OEL543"/>
      <c r="OEM543"/>
      <c r="OEN543"/>
      <c r="OEO543"/>
      <c r="OEP543"/>
      <c r="OEQ543"/>
      <c r="OER543"/>
      <c r="OES543"/>
      <c r="OET543"/>
      <c r="OEU543"/>
      <c r="OEV543"/>
      <c r="OEW543"/>
      <c r="OEX543"/>
      <c r="OEY543"/>
      <c r="OEZ543"/>
      <c r="OFA543"/>
      <c r="OFB543"/>
      <c r="OFC543"/>
      <c r="OFD543"/>
      <c r="OFE543"/>
      <c r="OFF543"/>
      <c r="OFG543"/>
      <c r="OFH543"/>
      <c r="OFI543"/>
      <c r="OFJ543"/>
      <c r="OFK543"/>
      <c r="OFL543"/>
      <c r="OFM543"/>
      <c r="OFN543"/>
      <c r="OFO543"/>
      <c r="OFP543"/>
      <c r="OFQ543"/>
      <c r="OFR543"/>
      <c r="OFS543"/>
      <c r="OFT543"/>
      <c r="OFU543"/>
      <c r="OFV543"/>
      <c r="OFW543"/>
      <c r="OFX543"/>
      <c r="OFY543"/>
      <c r="OFZ543"/>
      <c r="OGA543"/>
      <c r="OGB543"/>
      <c r="OGC543"/>
      <c r="OGD543"/>
      <c r="OGE543"/>
      <c r="OGF543"/>
      <c r="OGG543"/>
      <c r="OGH543"/>
      <c r="OGI543"/>
      <c r="OGJ543"/>
      <c r="OGK543"/>
      <c r="OGL543"/>
      <c r="OGM543"/>
      <c r="OGN543"/>
      <c r="OGO543"/>
      <c r="OGP543"/>
      <c r="OGQ543"/>
      <c r="OGR543"/>
      <c r="OGS543"/>
      <c r="OGT543"/>
      <c r="OGU543"/>
      <c r="OGV543"/>
      <c r="OGW543"/>
      <c r="OGX543"/>
      <c r="OGY543"/>
      <c r="OGZ543"/>
      <c r="OHA543"/>
      <c r="OHB543"/>
      <c r="OHC543"/>
      <c r="OHD543"/>
      <c r="OHE543"/>
      <c r="OHF543"/>
      <c r="OHG543"/>
      <c r="OHH543"/>
      <c r="OHI543"/>
      <c r="OHJ543"/>
      <c r="OHK543"/>
      <c r="OHL543"/>
      <c r="OHM543"/>
      <c r="OHN543"/>
      <c r="OHO543"/>
      <c r="OHP543"/>
      <c r="OHQ543"/>
      <c r="OHR543"/>
      <c r="OHS543"/>
      <c r="OHT543"/>
      <c r="OHU543"/>
      <c r="OHV543"/>
      <c r="OHW543"/>
      <c r="OHX543"/>
      <c r="OHY543"/>
      <c r="OHZ543"/>
      <c r="OIA543"/>
      <c r="OIB543"/>
      <c r="OIC543"/>
      <c r="OID543"/>
      <c r="OIE543"/>
      <c r="OIF543"/>
      <c r="OIG543"/>
      <c r="OIH543"/>
      <c r="OII543"/>
      <c r="OIJ543"/>
      <c r="OIK543"/>
      <c r="OIL543"/>
      <c r="OIM543"/>
      <c r="OIN543"/>
      <c r="OIO543"/>
      <c r="OIP543"/>
      <c r="OIQ543"/>
      <c r="OIR543"/>
      <c r="OIS543"/>
      <c r="OIT543"/>
      <c r="OIU543"/>
      <c r="OIV543"/>
      <c r="OIW543"/>
      <c r="OIX543"/>
      <c r="OIY543"/>
      <c r="OIZ543"/>
      <c r="OJA543"/>
      <c r="OJB543"/>
      <c r="OJC543"/>
      <c r="OJD543"/>
      <c r="OJE543"/>
      <c r="OJF543"/>
      <c r="OJG543"/>
      <c r="OJH543"/>
      <c r="OJI543"/>
      <c r="OJJ543"/>
      <c r="OJK543"/>
      <c r="OJL543"/>
      <c r="OJM543"/>
      <c r="OJN543"/>
      <c r="OJO543"/>
      <c r="OJP543"/>
      <c r="OJQ543"/>
      <c r="OJR543"/>
      <c r="OJS543"/>
      <c r="OJT543"/>
      <c r="OJU543"/>
      <c r="OJV543"/>
      <c r="OJW543"/>
      <c r="OJX543"/>
      <c r="OJY543"/>
      <c r="OJZ543"/>
      <c r="OKA543"/>
      <c r="OKB543"/>
      <c r="OKC543"/>
      <c r="OKD543"/>
      <c r="OKE543"/>
      <c r="OKF543"/>
      <c r="OKG543"/>
      <c r="OKH543"/>
      <c r="OKI543"/>
      <c r="OKJ543"/>
      <c r="OKK543"/>
      <c r="OKL543"/>
      <c r="OKM543"/>
      <c r="OKN543"/>
      <c r="OKO543"/>
      <c r="OKP543"/>
      <c r="OKQ543"/>
      <c r="OKR543"/>
      <c r="OKS543"/>
      <c r="OKT543"/>
      <c r="OKU543"/>
      <c r="OKV543"/>
      <c r="OKW543"/>
      <c r="OKX543"/>
      <c r="OKY543"/>
      <c r="OKZ543"/>
      <c r="OLA543"/>
      <c r="OLB543"/>
      <c r="OLC543"/>
      <c r="OLD543"/>
      <c r="OLE543"/>
      <c r="OLF543"/>
      <c r="OLG543"/>
      <c r="OLH543"/>
      <c r="OLI543"/>
      <c r="OLJ543"/>
      <c r="OLK543"/>
      <c r="OLL543"/>
      <c r="OLM543"/>
      <c r="OLN543"/>
      <c r="OLO543"/>
      <c r="OLP543"/>
      <c r="OLQ543"/>
      <c r="OLR543"/>
      <c r="OLS543"/>
      <c r="OLT543"/>
      <c r="OLU543"/>
      <c r="OLV543"/>
      <c r="OLW543"/>
      <c r="OLX543"/>
      <c r="OLY543"/>
      <c r="OLZ543"/>
      <c r="OMA543"/>
      <c r="OMB543"/>
      <c r="OMC543"/>
      <c r="OMD543"/>
      <c r="OME543"/>
      <c r="OMF543"/>
      <c r="OMG543"/>
      <c r="OMH543"/>
      <c r="OMI543"/>
      <c r="OMJ543"/>
      <c r="OMK543"/>
      <c r="OML543"/>
      <c r="OMM543"/>
      <c r="OMN543"/>
      <c r="OMO543"/>
      <c r="OMP543"/>
      <c r="OMQ543"/>
      <c r="OMR543"/>
      <c r="OMS543"/>
      <c r="OMT543"/>
      <c r="OMU543"/>
      <c r="OMV543"/>
      <c r="OMW543"/>
      <c r="OMX543"/>
      <c r="OMY543"/>
      <c r="OMZ543"/>
      <c r="ONA543"/>
      <c r="ONB543"/>
      <c r="ONC543"/>
      <c r="OND543"/>
      <c r="ONE543"/>
      <c r="ONF543"/>
      <c r="ONG543"/>
      <c r="ONH543"/>
      <c r="ONI543"/>
      <c r="ONJ543"/>
      <c r="ONK543"/>
      <c r="ONL543"/>
      <c r="ONM543"/>
      <c r="ONN543"/>
      <c r="ONO543"/>
      <c r="ONP543"/>
      <c r="ONQ543"/>
      <c r="ONR543"/>
      <c r="ONS543"/>
      <c r="ONT543"/>
      <c r="ONU543"/>
      <c r="ONV543"/>
      <c r="ONW543"/>
      <c r="ONX543"/>
      <c r="ONY543"/>
      <c r="ONZ543"/>
      <c r="OOA543"/>
      <c r="OOB543"/>
      <c r="OOC543"/>
      <c r="OOD543"/>
      <c r="OOE543"/>
      <c r="OOF543"/>
      <c r="OOG543"/>
      <c r="OOH543"/>
      <c r="OOI543"/>
      <c r="OOJ543"/>
      <c r="OOK543"/>
      <c r="OOL543"/>
      <c r="OOM543"/>
      <c r="OON543"/>
      <c r="OOO543"/>
      <c r="OOP543"/>
      <c r="OOQ543"/>
      <c r="OOR543"/>
      <c r="OOS543"/>
      <c r="OOT543"/>
      <c r="OOU543"/>
      <c r="OOV543"/>
      <c r="OOW543"/>
      <c r="OOX543"/>
      <c r="OOY543"/>
      <c r="OOZ543"/>
      <c r="OPA543"/>
      <c r="OPB543"/>
      <c r="OPC543"/>
      <c r="OPD543"/>
      <c r="OPE543"/>
      <c r="OPF543"/>
      <c r="OPG543"/>
      <c r="OPH543"/>
      <c r="OPI543"/>
      <c r="OPJ543"/>
      <c r="OPK543"/>
      <c r="OPL543"/>
      <c r="OPM543"/>
      <c r="OPN543"/>
      <c r="OPO543"/>
      <c r="OPP543"/>
      <c r="OPQ543"/>
      <c r="OPR543"/>
      <c r="OPS543"/>
      <c r="OPT543"/>
      <c r="OPU543"/>
      <c r="OPV543"/>
      <c r="OPW543"/>
      <c r="OPX543"/>
      <c r="OPY543"/>
      <c r="OPZ543"/>
      <c r="OQA543"/>
      <c r="OQB543"/>
      <c r="OQC543"/>
      <c r="OQD543"/>
      <c r="OQE543"/>
      <c r="OQF543"/>
      <c r="OQG543"/>
      <c r="OQH543"/>
      <c r="OQI543"/>
      <c r="OQJ543"/>
      <c r="OQK543"/>
      <c r="OQL543"/>
      <c r="OQM543"/>
      <c r="OQN543"/>
      <c r="OQO543"/>
      <c r="OQP543"/>
      <c r="OQQ543"/>
      <c r="OQR543"/>
      <c r="OQS543"/>
      <c r="OQT543"/>
      <c r="OQU543"/>
      <c r="OQV543"/>
      <c r="OQW543"/>
      <c r="OQX543"/>
      <c r="OQY543"/>
      <c r="OQZ543"/>
      <c r="ORA543"/>
      <c r="ORB543"/>
      <c r="ORC543"/>
      <c r="ORD543"/>
      <c r="ORE543"/>
      <c r="ORF543"/>
      <c r="ORG543"/>
      <c r="ORH543"/>
      <c r="ORI543"/>
      <c r="ORJ543"/>
      <c r="ORK543"/>
      <c r="ORL543"/>
      <c r="ORM543"/>
      <c r="ORN543"/>
      <c r="ORO543"/>
      <c r="ORP543"/>
      <c r="ORQ543"/>
      <c r="ORR543"/>
      <c r="ORS543"/>
      <c r="ORT543"/>
      <c r="ORU543"/>
      <c r="ORV543"/>
      <c r="ORW543"/>
      <c r="ORX543"/>
      <c r="ORY543"/>
      <c r="ORZ543"/>
      <c r="OSA543"/>
      <c r="OSB543"/>
      <c r="OSC543"/>
      <c r="OSD543"/>
      <c r="OSE543"/>
      <c r="OSF543"/>
      <c r="OSG543"/>
      <c r="OSH543"/>
      <c r="OSI543"/>
      <c r="OSJ543"/>
      <c r="OSK543"/>
      <c r="OSL543"/>
      <c r="OSM543"/>
      <c r="OSN543"/>
      <c r="OSO543"/>
      <c r="OSP543"/>
      <c r="OSQ543"/>
      <c r="OSR543"/>
      <c r="OSS543"/>
      <c r="OST543"/>
      <c r="OSU543"/>
      <c r="OSV543"/>
      <c r="OSW543"/>
      <c r="OSX543"/>
      <c r="OSY543"/>
      <c r="OSZ543"/>
      <c r="OTA543"/>
      <c r="OTB543"/>
      <c r="OTC543"/>
      <c r="OTD543"/>
      <c r="OTE543"/>
      <c r="OTF543"/>
      <c r="OTG543"/>
      <c r="OTH543"/>
      <c r="OTI543"/>
      <c r="OTJ543"/>
      <c r="OTK543"/>
      <c r="OTL543"/>
      <c r="OTM543"/>
      <c r="OTN543"/>
      <c r="OTO543"/>
      <c r="OTP543"/>
      <c r="OTQ543"/>
      <c r="OTR543"/>
      <c r="OTS543"/>
      <c r="OTT543"/>
      <c r="OTU543"/>
      <c r="OTV543"/>
      <c r="OTW543"/>
      <c r="OTX543"/>
      <c r="OTY543"/>
      <c r="OTZ543"/>
      <c r="OUA543"/>
      <c r="OUB543"/>
      <c r="OUC543"/>
      <c r="OUD543"/>
      <c r="OUE543"/>
      <c r="OUF543"/>
      <c r="OUG543"/>
      <c r="OUH543"/>
      <c r="OUI543"/>
      <c r="OUJ543"/>
      <c r="OUK543"/>
      <c r="OUL543"/>
      <c r="OUM543"/>
      <c r="OUN543"/>
      <c r="OUO543"/>
      <c r="OUP543"/>
      <c r="OUQ543"/>
      <c r="OUR543"/>
      <c r="OUS543"/>
      <c r="OUT543"/>
      <c r="OUU543"/>
      <c r="OUV543"/>
      <c r="OUW543"/>
      <c r="OUX543"/>
      <c r="OUY543"/>
      <c r="OUZ543"/>
      <c r="OVA543"/>
      <c r="OVB543"/>
      <c r="OVC543"/>
      <c r="OVD543"/>
      <c r="OVE543"/>
      <c r="OVF543"/>
      <c r="OVG543"/>
      <c r="OVH543"/>
      <c r="OVI543"/>
      <c r="OVJ543"/>
      <c r="OVK543"/>
      <c r="OVL543"/>
      <c r="OVM543"/>
      <c r="OVN543"/>
      <c r="OVO543"/>
      <c r="OVP543"/>
      <c r="OVQ543"/>
      <c r="OVR543"/>
      <c r="OVS543"/>
      <c r="OVT543"/>
      <c r="OVU543"/>
      <c r="OVV543"/>
      <c r="OVW543"/>
      <c r="OVX543"/>
      <c r="OVY543"/>
      <c r="OVZ543"/>
      <c r="OWA543"/>
      <c r="OWB543"/>
      <c r="OWC543"/>
      <c r="OWD543"/>
      <c r="OWE543"/>
      <c r="OWF543"/>
      <c r="OWG543"/>
      <c r="OWH543"/>
      <c r="OWI543"/>
      <c r="OWJ543"/>
      <c r="OWK543"/>
      <c r="OWL543"/>
      <c r="OWM543"/>
      <c r="OWN543"/>
      <c r="OWO543"/>
      <c r="OWP543"/>
      <c r="OWQ543"/>
      <c r="OWR543"/>
      <c r="OWS543"/>
      <c r="OWT543"/>
      <c r="OWU543"/>
      <c r="OWV543"/>
      <c r="OWW543"/>
      <c r="OWX543"/>
      <c r="OWY543"/>
      <c r="OWZ543"/>
      <c r="OXA543"/>
      <c r="OXB543"/>
      <c r="OXC543"/>
      <c r="OXD543"/>
      <c r="OXE543"/>
      <c r="OXF543"/>
      <c r="OXG543"/>
      <c r="OXH543"/>
      <c r="OXI543"/>
      <c r="OXJ543"/>
      <c r="OXK543"/>
      <c r="OXL543"/>
      <c r="OXM543"/>
      <c r="OXN543"/>
      <c r="OXO543"/>
      <c r="OXP543"/>
      <c r="OXQ543"/>
      <c r="OXR543"/>
      <c r="OXS543"/>
      <c r="OXT543"/>
      <c r="OXU543"/>
      <c r="OXV543"/>
      <c r="OXW543"/>
      <c r="OXX543"/>
      <c r="OXY543"/>
      <c r="OXZ543"/>
      <c r="OYA543"/>
      <c r="OYB543"/>
      <c r="OYC543"/>
      <c r="OYD543"/>
      <c r="OYE543"/>
      <c r="OYF543"/>
      <c r="OYG543"/>
      <c r="OYH543"/>
      <c r="OYI543"/>
      <c r="OYJ543"/>
      <c r="OYK543"/>
      <c r="OYL543"/>
      <c r="OYM543"/>
      <c r="OYN543"/>
      <c r="OYO543"/>
      <c r="OYP543"/>
      <c r="OYQ543"/>
      <c r="OYR543"/>
      <c r="OYS543"/>
      <c r="OYT543"/>
      <c r="OYU543"/>
      <c r="OYV543"/>
      <c r="OYW543"/>
      <c r="OYX543"/>
      <c r="OYY543"/>
      <c r="OYZ543"/>
      <c r="OZA543"/>
      <c r="OZB543"/>
      <c r="OZC543"/>
      <c r="OZD543"/>
      <c r="OZE543"/>
      <c r="OZF543"/>
      <c r="OZG543"/>
      <c r="OZH543"/>
      <c r="OZI543"/>
      <c r="OZJ543"/>
      <c r="OZK543"/>
      <c r="OZL543"/>
      <c r="OZM543"/>
      <c r="OZN543"/>
      <c r="OZO543"/>
      <c r="OZP543"/>
      <c r="OZQ543"/>
      <c r="OZR543"/>
      <c r="OZS543"/>
      <c r="OZT543"/>
      <c r="OZU543"/>
      <c r="OZV543"/>
      <c r="OZW543"/>
      <c r="OZX543"/>
      <c r="OZY543"/>
      <c r="OZZ543"/>
      <c r="PAA543"/>
      <c r="PAB543"/>
      <c r="PAC543"/>
      <c r="PAD543"/>
      <c r="PAE543"/>
      <c r="PAF543"/>
      <c r="PAG543"/>
      <c r="PAH543"/>
      <c r="PAI543"/>
      <c r="PAJ543"/>
      <c r="PAK543"/>
      <c r="PAL543"/>
      <c r="PAM543"/>
      <c r="PAN543"/>
      <c r="PAO543"/>
      <c r="PAP543"/>
      <c r="PAQ543"/>
      <c r="PAR543"/>
      <c r="PAS543"/>
      <c r="PAT543"/>
      <c r="PAU543"/>
      <c r="PAV543"/>
      <c r="PAW543"/>
      <c r="PAX543"/>
      <c r="PAY543"/>
      <c r="PAZ543"/>
      <c r="PBA543"/>
      <c r="PBB543"/>
      <c r="PBC543"/>
      <c r="PBD543"/>
      <c r="PBE543"/>
      <c r="PBF543"/>
      <c r="PBG543"/>
      <c r="PBH543"/>
      <c r="PBI543"/>
      <c r="PBJ543"/>
      <c r="PBK543"/>
      <c r="PBL543"/>
      <c r="PBM543"/>
      <c r="PBN543"/>
      <c r="PBO543"/>
      <c r="PBP543"/>
      <c r="PBQ543"/>
      <c r="PBR543"/>
      <c r="PBS543"/>
      <c r="PBT543"/>
      <c r="PBU543"/>
      <c r="PBV543"/>
      <c r="PBW543"/>
      <c r="PBX543"/>
      <c r="PBY543"/>
      <c r="PBZ543"/>
      <c r="PCA543"/>
      <c r="PCB543"/>
      <c r="PCC543"/>
      <c r="PCD543"/>
      <c r="PCE543"/>
      <c r="PCF543"/>
      <c r="PCG543"/>
      <c r="PCH543"/>
      <c r="PCI543"/>
      <c r="PCJ543"/>
      <c r="PCK543"/>
      <c r="PCL543"/>
      <c r="PCM543"/>
      <c r="PCN543"/>
      <c r="PCO543"/>
      <c r="PCP543"/>
      <c r="PCQ543"/>
      <c r="PCR543"/>
      <c r="PCS543"/>
      <c r="PCT543"/>
      <c r="PCU543"/>
      <c r="PCV543"/>
      <c r="PCW543"/>
      <c r="PCX543"/>
      <c r="PCY543"/>
      <c r="PCZ543"/>
      <c r="PDA543"/>
      <c r="PDB543"/>
      <c r="PDC543"/>
      <c r="PDD543"/>
      <c r="PDE543"/>
      <c r="PDF543"/>
      <c r="PDG543"/>
      <c r="PDH543"/>
      <c r="PDI543"/>
      <c r="PDJ543"/>
      <c r="PDK543"/>
      <c r="PDL543"/>
      <c r="PDM543"/>
      <c r="PDN543"/>
      <c r="PDO543"/>
      <c r="PDP543"/>
      <c r="PDQ543"/>
      <c r="PDR543"/>
      <c r="PDS543"/>
      <c r="PDT543"/>
      <c r="PDU543"/>
      <c r="PDV543"/>
      <c r="PDW543"/>
      <c r="PDX543"/>
      <c r="PDY543"/>
      <c r="PDZ543"/>
      <c r="PEA543"/>
      <c r="PEB543"/>
      <c r="PEC543"/>
      <c r="PED543"/>
      <c r="PEE543"/>
      <c r="PEF543"/>
      <c r="PEG543"/>
      <c r="PEH543"/>
      <c r="PEI543"/>
      <c r="PEJ543"/>
      <c r="PEK543"/>
      <c r="PEL543"/>
      <c r="PEM543"/>
      <c r="PEN543"/>
      <c r="PEO543"/>
      <c r="PEP543"/>
      <c r="PEQ543"/>
      <c r="PER543"/>
      <c r="PES543"/>
      <c r="PET543"/>
      <c r="PEU543"/>
      <c r="PEV543"/>
      <c r="PEW543"/>
      <c r="PEX543"/>
      <c r="PEY543"/>
      <c r="PEZ543"/>
      <c r="PFA543"/>
      <c r="PFB543"/>
      <c r="PFC543"/>
      <c r="PFD543"/>
      <c r="PFE543"/>
      <c r="PFF543"/>
      <c r="PFG543"/>
      <c r="PFH543"/>
      <c r="PFI543"/>
      <c r="PFJ543"/>
      <c r="PFK543"/>
      <c r="PFL543"/>
      <c r="PFM543"/>
      <c r="PFN543"/>
      <c r="PFO543"/>
      <c r="PFP543"/>
      <c r="PFQ543"/>
      <c r="PFR543"/>
      <c r="PFS543"/>
      <c r="PFT543"/>
      <c r="PFU543"/>
      <c r="PFV543"/>
      <c r="PFW543"/>
      <c r="PFX543"/>
      <c r="PFY543"/>
      <c r="PFZ543"/>
      <c r="PGA543"/>
      <c r="PGB543"/>
      <c r="PGC543"/>
      <c r="PGD543"/>
      <c r="PGE543"/>
      <c r="PGF543"/>
      <c r="PGG543"/>
      <c r="PGH543"/>
      <c r="PGI543"/>
      <c r="PGJ543"/>
      <c r="PGK543"/>
      <c r="PGL543"/>
      <c r="PGM543"/>
      <c r="PGN543"/>
      <c r="PGO543"/>
      <c r="PGP543"/>
      <c r="PGQ543"/>
      <c r="PGR543"/>
      <c r="PGS543"/>
      <c r="PGT543"/>
      <c r="PGU543"/>
      <c r="PGV543"/>
      <c r="PGW543"/>
      <c r="PGX543"/>
      <c r="PGY543"/>
      <c r="PGZ543"/>
      <c r="PHA543"/>
      <c r="PHB543"/>
      <c r="PHC543"/>
      <c r="PHD543"/>
      <c r="PHE543"/>
      <c r="PHF543"/>
      <c r="PHG543"/>
      <c r="PHH543"/>
      <c r="PHI543"/>
      <c r="PHJ543"/>
      <c r="PHK543"/>
      <c r="PHL543"/>
      <c r="PHM543"/>
      <c r="PHN543"/>
      <c r="PHO543"/>
      <c r="PHP543"/>
      <c r="PHQ543"/>
      <c r="PHR543"/>
      <c r="PHS543"/>
      <c r="PHT543"/>
      <c r="PHU543"/>
      <c r="PHV543"/>
      <c r="PHW543"/>
      <c r="PHX543"/>
      <c r="PHY543"/>
      <c r="PHZ543"/>
      <c r="PIA543"/>
      <c r="PIB543"/>
      <c r="PIC543"/>
      <c r="PID543"/>
      <c r="PIE543"/>
      <c r="PIF543"/>
      <c r="PIG543"/>
      <c r="PIH543"/>
      <c r="PII543"/>
      <c r="PIJ543"/>
      <c r="PIK543"/>
      <c r="PIL543"/>
      <c r="PIM543"/>
      <c r="PIN543"/>
      <c r="PIO543"/>
      <c r="PIP543"/>
      <c r="PIQ543"/>
      <c r="PIR543"/>
      <c r="PIS543"/>
      <c r="PIT543"/>
      <c r="PIU543"/>
      <c r="PIV543"/>
      <c r="PIW543"/>
      <c r="PIX543"/>
      <c r="PIY543"/>
      <c r="PIZ543"/>
      <c r="PJA543"/>
      <c r="PJB543"/>
      <c r="PJC543"/>
      <c r="PJD543"/>
      <c r="PJE543"/>
      <c r="PJF543"/>
      <c r="PJG543"/>
      <c r="PJH543"/>
      <c r="PJI543"/>
      <c r="PJJ543"/>
      <c r="PJK543"/>
      <c r="PJL543"/>
      <c r="PJM543"/>
      <c r="PJN543"/>
      <c r="PJO543"/>
      <c r="PJP543"/>
      <c r="PJQ543"/>
      <c r="PJR543"/>
      <c r="PJS543"/>
      <c r="PJT543"/>
      <c r="PJU543"/>
      <c r="PJV543"/>
      <c r="PJW543"/>
      <c r="PJX543"/>
      <c r="PJY543"/>
      <c r="PJZ543"/>
      <c r="PKA543"/>
      <c r="PKB543"/>
      <c r="PKC543"/>
      <c r="PKD543"/>
      <c r="PKE543"/>
      <c r="PKF543"/>
      <c r="PKG543"/>
      <c r="PKH543"/>
      <c r="PKI543"/>
      <c r="PKJ543"/>
      <c r="PKK543"/>
      <c r="PKL543"/>
      <c r="PKM543"/>
      <c r="PKN543"/>
      <c r="PKO543"/>
      <c r="PKP543"/>
      <c r="PKQ543"/>
      <c r="PKR543"/>
      <c r="PKS543"/>
      <c r="PKT543"/>
      <c r="PKU543"/>
      <c r="PKV543"/>
      <c r="PKW543"/>
      <c r="PKX543"/>
      <c r="PKY543"/>
      <c r="PKZ543"/>
      <c r="PLA543"/>
      <c r="PLB543"/>
      <c r="PLC543"/>
      <c r="PLD543"/>
      <c r="PLE543"/>
      <c r="PLF543"/>
      <c r="PLG543"/>
      <c r="PLH543"/>
      <c r="PLI543"/>
      <c r="PLJ543"/>
      <c r="PLK543"/>
      <c r="PLL543"/>
      <c r="PLM543"/>
      <c r="PLN543"/>
      <c r="PLO543"/>
      <c r="PLP543"/>
      <c r="PLQ543"/>
      <c r="PLR543"/>
      <c r="PLS543"/>
      <c r="PLT543"/>
      <c r="PLU543"/>
      <c r="PLV543"/>
      <c r="PLW543"/>
      <c r="PLX543"/>
      <c r="PLY543"/>
      <c r="PLZ543"/>
      <c r="PMA543"/>
      <c r="PMB543"/>
      <c r="PMC543"/>
      <c r="PMD543"/>
      <c r="PME543"/>
      <c r="PMF543"/>
      <c r="PMG543"/>
      <c r="PMH543"/>
      <c r="PMI543"/>
      <c r="PMJ543"/>
      <c r="PMK543"/>
      <c r="PML543"/>
      <c r="PMM543"/>
      <c r="PMN543"/>
      <c r="PMO543"/>
      <c r="PMP543"/>
      <c r="PMQ543"/>
      <c r="PMR543"/>
      <c r="PMS543"/>
      <c r="PMT543"/>
      <c r="PMU543"/>
      <c r="PMV543"/>
      <c r="PMW543"/>
      <c r="PMX543"/>
      <c r="PMY543"/>
      <c r="PMZ543"/>
      <c r="PNA543"/>
      <c r="PNB543"/>
      <c r="PNC543"/>
      <c r="PND543"/>
      <c r="PNE543"/>
      <c r="PNF543"/>
      <c r="PNG543"/>
      <c r="PNH543"/>
      <c r="PNI543"/>
      <c r="PNJ543"/>
      <c r="PNK543"/>
      <c r="PNL543"/>
      <c r="PNM543"/>
      <c r="PNN543"/>
      <c r="PNO543"/>
      <c r="PNP543"/>
      <c r="PNQ543"/>
      <c r="PNR543"/>
      <c r="PNS543"/>
      <c r="PNT543"/>
      <c r="PNU543"/>
      <c r="PNV543"/>
      <c r="PNW543"/>
      <c r="PNX543"/>
      <c r="PNY543"/>
      <c r="PNZ543"/>
      <c r="POA543"/>
      <c r="POB543"/>
      <c r="POC543"/>
      <c r="POD543"/>
      <c r="POE543"/>
      <c r="POF543"/>
      <c r="POG543"/>
      <c r="POH543"/>
      <c r="POI543"/>
      <c r="POJ543"/>
      <c r="POK543"/>
      <c r="POL543"/>
      <c r="POM543"/>
      <c r="PON543"/>
      <c r="POO543"/>
      <c r="POP543"/>
      <c r="POQ543"/>
      <c r="POR543"/>
      <c r="POS543"/>
      <c r="POT543"/>
      <c r="POU543"/>
      <c r="POV543"/>
      <c r="POW543"/>
      <c r="POX543"/>
      <c r="POY543"/>
      <c r="POZ543"/>
      <c r="PPA543"/>
      <c r="PPB543"/>
      <c r="PPC543"/>
      <c r="PPD543"/>
      <c r="PPE543"/>
      <c r="PPF543"/>
      <c r="PPG543"/>
      <c r="PPH543"/>
      <c r="PPI543"/>
      <c r="PPJ543"/>
      <c r="PPK543"/>
      <c r="PPL543"/>
      <c r="PPM543"/>
      <c r="PPN543"/>
      <c r="PPO543"/>
      <c r="PPP543"/>
      <c r="PPQ543"/>
      <c r="PPR543"/>
      <c r="PPS543"/>
      <c r="PPT543"/>
      <c r="PPU543"/>
      <c r="PPV543"/>
      <c r="PPW543"/>
      <c r="PPX543"/>
      <c r="PPY543"/>
      <c r="PPZ543"/>
      <c r="PQA543"/>
      <c r="PQB543"/>
      <c r="PQC543"/>
      <c r="PQD543"/>
      <c r="PQE543"/>
      <c r="PQF543"/>
      <c r="PQG543"/>
      <c r="PQH543"/>
      <c r="PQI543"/>
      <c r="PQJ543"/>
      <c r="PQK543"/>
      <c r="PQL543"/>
      <c r="PQM543"/>
      <c r="PQN543"/>
      <c r="PQO543"/>
      <c r="PQP543"/>
      <c r="PQQ543"/>
      <c r="PQR543"/>
      <c r="PQS543"/>
      <c r="PQT543"/>
      <c r="PQU543"/>
      <c r="PQV543"/>
      <c r="PQW543"/>
      <c r="PQX543"/>
      <c r="PQY543"/>
      <c r="PQZ543"/>
      <c r="PRA543"/>
      <c r="PRB543"/>
      <c r="PRC543"/>
      <c r="PRD543"/>
      <c r="PRE543"/>
      <c r="PRF543"/>
      <c r="PRG543"/>
      <c r="PRH543"/>
      <c r="PRI543"/>
      <c r="PRJ543"/>
      <c r="PRK543"/>
      <c r="PRL543"/>
      <c r="PRM543"/>
      <c r="PRN543"/>
      <c r="PRO543"/>
      <c r="PRP543"/>
      <c r="PRQ543"/>
      <c r="PRR543"/>
      <c r="PRS543"/>
      <c r="PRT543"/>
      <c r="PRU543"/>
      <c r="PRV543"/>
      <c r="PRW543"/>
      <c r="PRX543"/>
      <c r="PRY543"/>
      <c r="PRZ543"/>
      <c r="PSA543"/>
      <c r="PSB543"/>
      <c r="PSC543"/>
      <c r="PSD543"/>
      <c r="PSE543"/>
      <c r="PSF543"/>
      <c r="PSG543"/>
      <c r="PSH543"/>
      <c r="PSI543"/>
      <c r="PSJ543"/>
      <c r="PSK543"/>
      <c r="PSL543"/>
      <c r="PSM543"/>
      <c r="PSN543"/>
      <c r="PSO543"/>
      <c r="PSP543"/>
      <c r="PSQ543"/>
      <c r="PSR543"/>
      <c r="PSS543"/>
      <c r="PST543"/>
      <c r="PSU543"/>
      <c r="PSV543"/>
      <c r="PSW543"/>
      <c r="PSX543"/>
      <c r="PSY543"/>
      <c r="PSZ543"/>
      <c r="PTA543"/>
      <c r="PTB543"/>
      <c r="PTC543"/>
      <c r="PTD543"/>
      <c r="PTE543"/>
      <c r="PTF543"/>
      <c r="PTG543"/>
      <c r="PTH543"/>
      <c r="PTI543"/>
      <c r="PTJ543"/>
      <c r="PTK543"/>
      <c r="PTL543"/>
      <c r="PTM543"/>
      <c r="PTN543"/>
      <c r="PTO543"/>
      <c r="PTP543"/>
      <c r="PTQ543"/>
      <c r="PTR543"/>
      <c r="PTS543"/>
      <c r="PTT543"/>
      <c r="PTU543"/>
      <c r="PTV543"/>
      <c r="PTW543"/>
      <c r="PTX543"/>
      <c r="PTY543"/>
      <c r="PTZ543"/>
      <c r="PUA543"/>
      <c r="PUB543"/>
      <c r="PUC543"/>
      <c r="PUD543"/>
      <c r="PUE543"/>
      <c r="PUF543"/>
      <c r="PUG543"/>
      <c r="PUH543"/>
      <c r="PUI543"/>
      <c r="PUJ543"/>
      <c r="PUK543"/>
      <c r="PUL543"/>
      <c r="PUM543"/>
      <c r="PUN543"/>
      <c r="PUO543"/>
      <c r="PUP543"/>
      <c r="PUQ543"/>
      <c r="PUR543"/>
      <c r="PUS543"/>
      <c r="PUT543"/>
      <c r="PUU543"/>
      <c r="PUV543"/>
      <c r="PUW543"/>
      <c r="PUX543"/>
      <c r="PUY543"/>
      <c r="PUZ543"/>
      <c r="PVA543"/>
      <c r="PVB543"/>
      <c r="PVC543"/>
      <c r="PVD543"/>
      <c r="PVE543"/>
      <c r="PVF543"/>
      <c r="PVG543"/>
      <c r="PVH543"/>
      <c r="PVI543"/>
      <c r="PVJ543"/>
      <c r="PVK543"/>
      <c r="PVL543"/>
      <c r="PVM543"/>
      <c r="PVN543"/>
      <c r="PVO543"/>
      <c r="PVP543"/>
      <c r="PVQ543"/>
      <c r="PVR543"/>
      <c r="PVS543"/>
      <c r="PVT543"/>
      <c r="PVU543"/>
      <c r="PVV543"/>
      <c r="PVW543"/>
      <c r="PVX543"/>
      <c r="PVY543"/>
      <c r="PVZ543"/>
      <c r="PWA543"/>
      <c r="PWB543"/>
      <c r="PWC543"/>
      <c r="PWD543"/>
      <c r="PWE543"/>
      <c r="PWF543"/>
      <c r="PWG543"/>
      <c r="PWH543"/>
      <c r="PWI543"/>
      <c r="PWJ543"/>
      <c r="PWK543"/>
      <c r="PWL543"/>
      <c r="PWM543"/>
      <c r="PWN543"/>
      <c r="PWO543"/>
      <c r="PWP543"/>
      <c r="PWQ543"/>
      <c r="PWR543"/>
      <c r="PWS543"/>
      <c r="PWT543"/>
      <c r="PWU543"/>
      <c r="PWV543"/>
      <c r="PWW543"/>
      <c r="PWX543"/>
      <c r="PWY543"/>
      <c r="PWZ543"/>
      <c r="PXA543"/>
      <c r="PXB543"/>
      <c r="PXC543"/>
      <c r="PXD543"/>
      <c r="PXE543"/>
      <c r="PXF543"/>
      <c r="PXG543"/>
      <c r="PXH543"/>
      <c r="PXI543"/>
      <c r="PXJ543"/>
      <c r="PXK543"/>
      <c r="PXL543"/>
      <c r="PXM543"/>
      <c r="PXN543"/>
      <c r="PXO543"/>
      <c r="PXP543"/>
      <c r="PXQ543"/>
      <c r="PXR543"/>
      <c r="PXS543"/>
      <c r="PXT543"/>
      <c r="PXU543"/>
      <c r="PXV543"/>
      <c r="PXW543"/>
      <c r="PXX543"/>
      <c r="PXY543"/>
      <c r="PXZ543"/>
      <c r="PYA543"/>
      <c r="PYB543"/>
      <c r="PYC543"/>
      <c r="PYD543"/>
      <c r="PYE543"/>
      <c r="PYF543"/>
      <c r="PYG543"/>
      <c r="PYH543"/>
      <c r="PYI543"/>
      <c r="PYJ543"/>
      <c r="PYK543"/>
      <c r="PYL543"/>
      <c r="PYM543"/>
      <c r="PYN543"/>
      <c r="PYO543"/>
      <c r="PYP543"/>
      <c r="PYQ543"/>
      <c r="PYR543"/>
      <c r="PYS543"/>
      <c r="PYT543"/>
      <c r="PYU543"/>
      <c r="PYV543"/>
      <c r="PYW543"/>
      <c r="PYX543"/>
      <c r="PYY543"/>
      <c r="PYZ543"/>
      <c r="PZA543"/>
      <c r="PZB543"/>
      <c r="PZC543"/>
      <c r="PZD543"/>
      <c r="PZE543"/>
      <c r="PZF543"/>
      <c r="PZG543"/>
      <c r="PZH543"/>
      <c r="PZI543"/>
      <c r="PZJ543"/>
      <c r="PZK543"/>
      <c r="PZL543"/>
      <c r="PZM543"/>
      <c r="PZN543"/>
      <c r="PZO543"/>
      <c r="PZP543"/>
      <c r="PZQ543"/>
      <c r="PZR543"/>
      <c r="PZS543"/>
      <c r="PZT543"/>
      <c r="PZU543"/>
      <c r="PZV543"/>
      <c r="PZW543"/>
      <c r="PZX543"/>
      <c r="PZY543"/>
      <c r="PZZ543"/>
      <c r="QAA543"/>
      <c r="QAB543"/>
      <c r="QAC543"/>
      <c r="QAD543"/>
      <c r="QAE543"/>
      <c r="QAF543"/>
      <c r="QAG543"/>
      <c r="QAH543"/>
      <c r="QAI543"/>
      <c r="QAJ543"/>
      <c r="QAK543"/>
      <c r="QAL543"/>
      <c r="QAM543"/>
      <c r="QAN543"/>
      <c r="QAO543"/>
      <c r="QAP543"/>
      <c r="QAQ543"/>
      <c r="QAR543"/>
      <c r="QAS543"/>
      <c r="QAT543"/>
      <c r="QAU543"/>
      <c r="QAV543"/>
      <c r="QAW543"/>
      <c r="QAX543"/>
      <c r="QAY543"/>
      <c r="QAZ543"/>
      <c r="QBA543"/>
      <c r="QBB543"/>
      <c r="QBC543"/>
      <c r="QBD543"/>
      <c r="QBE543"/>
      <c r="QBF543"/>
      <c r="QBG543"/>
      <c r="QBH543"/>
      <c r="QBI543"/>
      <c r="QBJ543"/>
      <c r="QBK543"/>
      <c r="QBL543"/>
      <c r="QBM543"/>
      <c r="QBN543"/>
      <c r="QBO543"/>
      <c r="QBP543"/>
      <c r="QBQ543"/>
      <c r="QBR543"/>
      <c r="QBS543"/>
      <c r="QBT543"/>
      <c r="QBU543"/>
      <c r="QBV543"/>
      <c r="QBW543"/>
      <c r="QBX543"/>
      <c r="QBY543"/>
      <c r="QBZ543"/>
      <c r="QCA543"/>
      <c r="QCB543"/>
      <c r="QCC543"/>
      <c r="QCD543"/>
      <c r="QCE543"/>
      <c r="QCF543"/>
      <c r="QCG543"/>
      <c r="QCH543"/>
      <c r="QCI543"/>
      <c r="QCJ543"/>
      <c r="QCK543"/>
      <c r="QCL543"/>
      <c r="QCM543"/>
      <c r="QCN543"/>
      <c r="QCO543"/>
      <c r="QCP543"/>
      <c r="QCQ543"/>
      <c r="QCR543"/>
      <c r="QCS543"/>
      <c r="QCT543"/>
      <c r="QCU543"/>
      <c r="QCV543"/>
      <c r="QCW543"/>
      <c r="QCX543"/>
      <c r="QCY543"/>
      <c r="QCZ543"/>
      <c r="QDA543"/>
      <c r="QDB543"/>
      <c r="QDC543"/>
      <c r="QDD543"/>
      <c r="QDE543"/>
      <c r="QDF543"/>
      <c r="QDG543"/>
      <c r="QDH543"/>
      <c r="QDI543"/>
      <c r="QDJ543"/>
      <c r="QDK543"/>
      <c r="QDL543"/>
      <c r="QDM543"/>
      <c r="QDN543"/>
      <c r="QDO543"/>
      <c r="QDP543"/>
      <c r="QDQ543"/>
      <c r="QDR543"/>
      <c r="QDS543"/>
      <c r="QDT543"/>
      <c r="QDU543"/>
      <c r="QDV543"/>
      <c r="QDW543"/>
      <c r="QDX543"/>
      <c r="QDY543"/>
      <c r="QDZ543"/>
      <c r="QEA543"/>
      <c r="QEB543"/>
      <c r="QEC543"/>
      <c r="QED543"/>
      <c r="QEE543"/>
      <c r="QEF543"/>
      <c r="QEG543"/>
      <c r="QEH543"/>
      <c r="QEI543"/>
      <c r="QEJ543"/>
      <c r="QEK543"/>
      <c r="QEL543"/>
      <c r="QEM543"/>
      <c r="QEN543"/>
      <c r="QEO543"/>
      <c r="QEP543"/>
      <c r="QEQ543"/>
      <c r="QER543"/>
      <c r="QES543"/>
      <c r="QET543"/>
      <c r="QEU543"/>
      <c r="QEV543"/>
      <c r="QEW543"/>
      <c r="QEX543"/>
      <c r="QEY543"/>
      <c r="QEZ543"/>
      <c r="QFA543"/>
      <c r="QFB543"/>
      <c r="QFC543"/>
      <c r="QFD543"/>
      <c r="QFE543"/>
      <c r="QFF543"/>
      <c r="QFG543"/>
      <c r="QFH543"/>
      <c r="QFI543"/>
      <c r="QFJ543"/>
      <c r="QFK543"/>
      <c r="QFL543"/>
      <c r="QFM543"/>
      <c r="QFN543"/>
      <c r="QFO543"/>
      <c r="QFP543"/>
      <c r="QFQ543"/>
      <c r="QFR543"/>
      <c r="QFS543"/>
      <c r="QFT543"/>
      <c r="QFU543"/>
      <c r="QFV543"/>
      <c r="QFW543"/>
      <c r="QFX543"/>
      <c r="QFY543"/>
      <c r="QFZ543"/>
      <c r="QGA543"/>
      <c r="QGB543"/>
      <c r="QGC543"/>
      <c r="QGD543"/>
      <c r="QGE543"/>
      <c r="QGF543"/>
      <c r="QGG543"/>
      <c r="QGH543"/>
      <c r="QGI543"/>
      <c r="QGJ543"/>
      <c r="QGK543"/>
      <c r="QGL543"/>
      <c r="QGM543"/>
      <c r="QGN543"/>
      <c r="QGO543"/>
      <c r="QGP543"/>
      <c r="QGQ543"/>
      <c r="QGR543"/>
      <c r="QGS543"/>
      <c r="QGT543"/>
      <c r="QGU543"/>
      <c r="QGV543"/>
      <c r="QGW543"/>
      <c r="QGX543"/>
      <c r="QGY543"/>
      <c r="QGZ543"/>
      <c r="QHA543"/>
      <c r="QHB543"/>
      <c r="QHC543"/>
      <c r="QHD543"/>
      <c r="QHE543"/>
      <c r="QHF543"/>
      <c r="QHG543"/>
      <c r="QHH543"/>
      <c r="QHI543"/>
      <c r="QHJ543"/>
      <c r="QHK543"/>
      <c r="QHL543"/>
      <c r="QHM543"/>
      <c r="QHN543"/>
      <c r="QHO543"/>
      <c r="QHP543"/>
      <c r="QHQ543"/>
      <c r="QHR543"/>
      <c r="QHS543"/>
      <c r="QHT543"/>
      <c r="QHU543"/>
      <c r="QHV543"/>
      <c r="QHW543"/>
      <c r="QHX543"/>
      <c r="QHY543"/>
      <c r="QHZ543"/>
      <c r="QIA543"/>
      <c r="QIB543"/>
      <c r="QIC543"/>
      <c r="QID543"/>
      <c r="QIE543"/>
      <c r="QIF543"/>
      <c r="QIG543"/>
      <c r="QIH543"/>
      <c r="QII543"/>
      <c r="QIJ543"/>
      <c r="QIK543"/>
      <c r="QIL543"/>
      <c r="QIM543"/>
      <c r="QIN543"/>
      <c r="QIO543"/>
      <c r="QIP543"/>
      <c r="QIQ543"/>
      <c r="QIR543"/>
      <c r="QIS543"/>
      <c r="QIT543"/>
      <c r="QIU543"/>
      <c r="QIV543"/>
      <c r="QIW543"/>
      <c r="QIX543"/>
      <c r="QIY543"/>
      <c r="QIZ543"/>
      <c r="QJA543"/>
      <c r="QJB543"/>
      <c r="QJC543"/>
      <c r="QJD543"/>
      <c r="QJE543"/>
      <c r="QJF543"/>
      <c r="QJG543"/>
      <c r="QJH543"/>
      <c r="QJI543"/>
      <c r="QJJ543"/>
      <c r="QJK543"/>
      <c r="QJL543"/>
      <c r="QJM543"/>
      <c r="QJN543"/>
      <c r="QJO543"/>
      <c r="QJP543"/>
      <c r="QJQ543"/>
      <c r="QJR543"/>
      <c r="QJS543"/>
      <c r="QJT543"/>
      <c r="QJU543"/>
      <c r="QJV543"/>
      <c r="QJW543"/>
      <c r="QJX543"/>
      <c r="QJY543"/>
      <c r="QJZ543"/>
      <c r="QKA543"/>
      <c r="QKB543"/>
      <c r="QKC543"/>
      <c r="QKD543"/>
      <c r="QKE543"/>
      <c r="QKF543"/>
      <c r="QKG543"/>
      <c r="QKH543"/>
      <c r="QKI543"/>
      <c r="QKJ543"/>
      <c r="QKK543"/>
      <c r="QKL543"/>
      <c r="QKM543"/>
      <c r="QKN543"/>
      <c r="QKO543"/>
      <c r="QKP543"/>
      <c r="QKQ543"/>
      <c r="QKR543"/>
      <c r="QKS543"/>
      <c r="QKT543"/>
      <c r="QKU543"/>
      <c r="QKV543"/>
      <c r="QKW543"/>
      <c r="QKX543"/>
      <c r="QKY543"/>
      <c r="QKZ543"/>
      <c r="QLA543"/>
      <c r="QLB543"/>
      <c r="QLC543"/>
      <c r="QLD543"/>
      <c r="QLE543"/>
      <c r="QLF543"/>
      <c r="QLG543"/>
      <c r="QLH543"/>
      <c r="QLI543"/>
      <c r="QLJ543"/>
      <c r="QLK543"/>
      <c r="QLL543"/>
      <c r="QLM543"/>
      <c r="QLN543"/>
      <c r="QLO543"/>
      <c r="QLP543"/>
      <c r="QLQ543"/>
      <c r="QLR543"/>
      <c r="QLS543"/>
      <c r="QLT543"/>
      <c r="QLU543"/>
      <c r="QLV543"/>
      <c r="QLW543"/>
      <c r="QLX543"/>
      <c r="QLY543"/>
      <c r="QLZ543"/>
      <c r="QMA543"/>
      <c r="QMB543"/>
      <c r="QMC543"/>
      <c r="QMD543"/>
      <c r="QME543"/>
      <c r="QMF543"/>
      <c r="QMG543"/>
      <c r="QMH543"/>
      <c r="QMI543"/>
      <c r="QMJ543"/>
      <c r="QMK543"/>
      <c r="QML543"/>
      <c r="QMM543"/>
      <c r="QMN543"/>
      <c r="QMO543"/>
      <c r="QMP543"/>
      <c r="QMQ543"/>
      <c r="QMR543"/>
      <c r="QMS543"/>
      <c r="QMT543"/>
      <c r="QMU543"/>
      <c r="QMV543"/>
      <c r="QMW543"/>
      <c r="QMX543"/>
      <c r="QMY543"/>
      <c r="QMZ543"/>
      <c r="QNA543"/>
      <c r="QNB543"/>
      <c r="QNC543"/>
      <c r="QND543"/>
      <c r="QNE543"/>
      <c r="QNF543"/>
      <c r="QNG543"/>
      <c r="QNH543"/>
      <c r="QNI543"/>
      <c r="QNJ543"/>
      <c r="QNK543"/>
      <c r="QNL543"/>
      <c r="QNM543"/>
      <c r="QNN543"/>
      <c r="QNO543"/>
      <c r="QNP543"/>
      <c r="QNQ543"/>
      <c r="QNR543"/>
      <c r="QNS543"/>
      <c r="QNT543"/>
      <c r="QNU543"/>
      <c r="QNV543"/>
      <c r="QNW543"/>
      <c r="QNX543"/>
      <c r="QNY543"/>
      <c r="QNZ543"/>
      <c r="QOA543"/>
      <c r="QOB543"/>
      <c r="QOC543"/>
      <c r="QOD543"/>
      <c r="QOE543"/>
      <c r="QOF543"/>
      <c r="QOG543"/>
      <c r="QOH543"/>
      <c r="QOI543"/>
      <c r="QOJ543"/>
      <c r="QOK543"/>
      <c r="QOL543"/>
      <c r="QOM543"/>
      <c r="QON543"/>
      <c r="QOO543"/>
      <c r="QOP543"/>
      <c r="QOQ543"/>
      <c r="QOR543"/>
      <c r="QOS543"/>
      <c r="QOT543"/>
      <c r="QOU543"/>
      <c r="QOV543"/>
      <c r="QOW543"/>
      <c r="QOX543"/>
      <c r="QOY543"/>
      <c r="QOZ543"/>
      <c r="QPA543"/>
      <c r="QPB543"/>
      <c r="QPC543"/>
      <c r="QPD543"/>
      <c r="QPE543"/>
      <c r="QPF543"/>
      <c r="QPG543"/>
      <c r="QPH543"/>
      <c r="QPI543"/>
      <c r="QPJ543"/>
      <c r="QPK543"/>
      <c r="QPL543"/>
      <c r="QPM543"/>
      <c r="QPN543"/>
      <c r="QPO543"/>
      <c r="QPP543"/>
      <c r="QPQ543"/>
      <c r="QPR543"/>
      <c r="QPS543"/>
      <c r="QPT543"/>
      <c r="QPU543"/>
      <c r="QPV543"/>
      <c r="QPW543"/>
      <c r="QPX543"/>
      <c r="QPY543"/>
      <c r="QPZ543"/>
      <c r="QQA543"/>
      <c r="QQB543"/>
      <c r="QQC543"/>
      <c r="QQD543"/>
      <c r="QQE543"/>
      <c r="QQF543"/>
      <c r="QQG543"/>
      <c r="QQH543"/>
      <c r="QQI543"/>
      <c r="QQJ543"/>
      <c r="QQK543"/>
      <c r="QQL543"/>
      <c r="QQM543"/>
      <c r="QQN543"/>
      <c r="QQO543"/>
      <c r="QQP543"/>
      <c r="QQQ543"/>
      <c r="QQR543"/>
      <c r="QQS543"/>
      <c r="QQT543"/>
      <c r="QQU543"/>
      <c r="QQV543"/>
      <c r="QQW543"/>
      <c r="QQX543"/>
      <c r="QQY543"/>
      <c r="QQZ543"/>
      <c r="QRA543"/>
      <c r="QRB543"/>
      <c r="QRC543"/>
      <c r="QRD543"/>
      <c r="QRE543"/>
      <c r="QRF543"/>
      <c r="QRG543"/>
      <c r="QRH543"/>
      <c r="QRI543"/>
      <c r="QRJ543"/>
      <c r="QRK543"/>
      <c r="QRL543"/>
      <c r="QRM543"/>
      <c r="QRN543"/>
      <c r="QRO543"/>
      <c r="QRP543"/>
      <c r="QRQ543"/>
      <c r="QRR543"/>
      <c r="QRS543"/>
      <c r="QRT543"/>
      <c r="QRU543"/>
      <c r="QRV543"/>
      <c r="QRW543"/>
      <c r="QRX543"/>
      <c r="QRY543"/>
      <c r="QRZ543"/>
      <c r="QSA543"/>
      <c r="QSB543"/>
      <c r="QSC543"/>
      <c r="QSD543"/>
      <c r="QSE543"/>
      <c r="QSF543"/>
      <c r="QSG543"/>
      <c r="QSH543"/>
      <c r="QSI543"/>
      <c r="QSJ543"/>
      <c r="QSK543"/>
      <c r="QSL543"/>
      <c r="QSM543"/>
      <c r="QSN543"/>
      <c r="QSO543"/>
      <c r="QSP543"/>
      <c r="QSQ543"/>
      <c r="QSR543"/>
      <c r="QSS543"/>
      <c r="QST543"/>
      <c r="QSU543"/>
      <c r="QSV543"/>
      <c r="QSW543"/>
      <c r="QSX543"/>
      <c r="QSY543"/>
      <c r="QSZ543"/>
      <c r="QTA543"/>
      <c r="QTB543"/>
      <c r="QTC543"/>
      <c r="QTD543"/>
      <c r="QTE543"/>
      <c r="QTF543"/>
      <c r="QTG543"/>
      <c r="QTH543"/>
      <c r="QTI543"/>
      <c r="QTJ543"/>
      <c r="QTK543"/>
      <c r="QTL543"/>
      <c r="QTM543"/>
      <c r="QTN543"/>
      <c r="QTO543"/>
      <c r="QTP543"/>
      <c r="QTQ543"/>
      <c r="QTR543"/>
      <c r="QTS543"/>
      <c r="QTT543"/>
      <c r="QTU543"/>
      <c r="QTV543"/>
      <c r="QTW543"/>
      <c r="QTX543"/>
      <c r="QTY543"/>
      <c r="QTZ543"/>
      <c r="QUA543"/>
      <c r="QUB543"/>
      <c r="QUC543"/>
      <c r="QUD543"/>
      <c r="QUE543"/>
      <c r="QUF543"/>
      <c r="QUG543"/>
      <c r="QUH543"/>
      <c r="QUI543"/>
      <c r="QUJ543"/>
      <c r="QUK543"/>
      <c r="QUL543"/>
      <c r="QUM543"/>
      <c r="QUN543"/>
      <c r="QUO543"/>
      <c r="QUP543"/>
      <c r="QUQ543"/>
      <c r="QUR543"/>
      <c r="QUS543"/>
      <c r="QUT543"/>
      <c r="QUU543"/>
      <c r="QUV543"/>
      <c r="QUW543"/>
      <c r="QUX543"/>
      <c r="QUY543"/>
      <c r="QUZ543"/>
      <c r="QVA543"/>
      <c r="QVB543"/>
      <c r="QVC543"/>
      <c r="QVD543"/>
      <c r="QVE543"/>
      <c r="QVF543"/>
      <c r="QVG543"/>
      <c r="QVH543"/>
      <c r="QVI543"/>
      <c r="QVJ543"/>
      <c r="QVK543"/>
      <c r="QVL543"/>
      <c r="QVM543"/>
      <c r="QVN543"/>
      <c r="QVO543"/>
      <c r="QVP543"/>
      <c r="QVQ543"/>
      <c r="QVR543"/>
      <c r="QVS543"/>
      <c r="QVT543"/>
      <c r="QVU543"/>
      <c r="QVV543"/>
      <c r="QVW543"/>
      <c r="QVX543"/>
      <c r="QVY543"/>
      <c r="QVZ543"/>
      <c r="QWA543"/>
      <c r="QWB543"/>
      <c r="QWC543"/>
      <c r="QWD543"/>
      <c r="QWE543"/>
      <c r="QWF543"/>
      <c r="QWG543"/>
      <c r="QWH543"/>
      <c r="QWI543"/>
      <c r="QWJ543"/>
      <c r="QWK543"/>
      <c r="QWL543"/>
      <c r="QWM543"/>
      <c r="QWN543"/>
      <c r="QWO543"/>
      <c r="QWP543"/>
      <c r="QWQ543"/>
      <c r="QWR543"/>
      <c r="QWS543"/>
      <c r="QWT543"/>
      <c r="QWU543"/>
      <c r="QWV543"/>
      <c r="QWW543"/>
      <c r="QWX543"/>
      <c r="QWY543"/>
      <c r="QWZ543"/>
      <c r="QXA543"/>
      <c r="QXB543"/>
      <c r="QXC543"/>
      <c r="QXD543"/>
      <c r="QXE543"/>
      <c r="QXF543"/>
      <c r="QXG543"/>
      <c r="QXH543"/>
      <c r="QXI543"/>
      <c r="QXJ543"/>
      <c r="QXK543"/>
      <c r="QXL543"/>
      <c r="QXM543"/>
      <c r="QXN543"/>
      <c r="QXO543"/>
      <c r="QXP543"/>
      <c r="QXQ543"/>
      <c r="QXR543"/>
      <c r="QXS543"/>
      <c r="QXT543"/>
      <c r="QXU543"/>
      <c r="QXV543"/>
      <c r="QXW543"/>
      <c r="QXX543"/>
      <c r="QXY543"/>
      <c r="QXZ543"/>
      <c r="QYA543"/>
      <c r="QYB543"/>
      <c r="QYC543"/>
      <c r="QYD543"/>
      <c r="QYE543"/>
      <c r="QYF543"/>
      <c r="QYG543"/>
      <c r="QYH543"/>
      <c r="QYI543"/>
      <c r="QYJ543"/>
      <c r="QYK543"/>
      <c r="QYL543"/>
      <c r="QYM543"/>
      <c r="QYN543"/>
      <c r="QYO543"/>
      <c r="QYP543"/>
      <c r="QYQ543"/>
      <c r="QYR543"/>
      <c r="QYS543"/>
      <c r="QYT543"/>
      <c r="QYU543"/>
      <c r="QYV543"/>
      <c r="QYW543"/>
      <c r="QYX543"/>
      <c r="QYY543"/>
      <c r="QYZ543"/>
      <c r="QZA543"/>
      <c r="QZB543"/>
      <c r="QZC543"/>
      <c r="QZD543"/>
      <c r="QZE543"/>
      <c r="QZF543"/>
      <c r="QZG543"/>
      <c r="QZH543"/>
      <c r="QZI543"/>
      <c r="QZJ543"/>
      <c r="QZK543"/>
      <c r="QZL543"/>
      <c r="QZM543"/>
      <c r="QZN543"/>
      <c r="QZO543"/>
      <c r="QZP543"/>
      <c r="QZQ543"/>
      <c r="QZR543"/>
      <c r="QZS543"/>
      <c r="QZT543"/>
      <c r="QZU543"/>
      <c r="QZV543"/>
      <c r="QZW543"/>
      <c r="QZX543"/>
      <c r="QZY543"/>
      <c r="QZZ543"/>
      <c r="RAA543"/>
      <c r="RAB543"/>
      <c r="RAC543"/>
      <c r="RAD543"/>
      <c r="RAE543"/>
      <c r="RAF543"/>
      <c r="RAG543"/>
      <c r="RAH543"/>
      <c r="RAI543"/>
      <c r="RAJ543"/>
      <c r="RAK543"/>
      <c r="RAL543"/>
      <c r="RAM543"/>
      <c r="RAN543"/>
      <c r="RAO543"/>
      <c r="RAP543"/>
      <c r="RAQ543"/>
      <c r="RAR543"/>
      <c r="RAS543"/>
      <c r="RAT543"/>
      <c r="RAU543"/>
      <c r="RAV543"/>
      <c r="RAW543"/>
      <c r="RAX543"/>
      <c r="RAY543"/>
      <c r="RAZ543"/>
      <c r="RBA543"/>
      <c r="RBB543"/>
      <c r="RBC543"/>
      <c r="RBD543"/>
      <c r="RBE543"/>
      <c r="RBF543"/>
      <c r="RBG543"/>
      <c r="RBH543"/>
      <c r="RBI543"/>
      <c r="RBJ543"/>
      <c r="RBK543"/>
      <c r="RBL543"/>
      <c r="RBM543"/>
      <c r="RBN543"/>
      <c r="RBO543"/>
      <c r="RBP543"/>
      <c r="RBQ543"/>
      <c r="RBR543"/>
      <c r="RBS543"/>
      <c r="RBT543"/>
      <c r="RBU543"/>
      <c r="RBV543"/>
      <c r="RBW543"/>
      <c r="RBX543"/>
      <c r="RBY543"/>
      <c r="RBZ543"/>
      <c r="RCA543"/>
      <c r="RCB543"/>
      <c r="RCC543"/>
      <c r="RCD543"/>
      <c r="RCE543"/>
      <c r="RCF543"/>
      <c r="RCG543"/>
      <c r="RCH543"/>
      <c r="RCI543"/>
      <c r="RCJ543"/>
      <c r="RCK543"/>
      <c r="RCL543"/>
      <c r="RCM543"/>
      <c r="RCN543"/>
      <c r="RCO543"/>
      <c r="RCP543"/>
      <c r="RCQ543"/>
      <c r="RCR543"/>
      <c r="RCS543"/>
      <c r="RCT543"/>
      <c r="RCU543"/>
      <c r="RCV543"/>
      <c r="RCW543"/>
      <c r="RCX543"/>
      <c r="RCY543"/>
      <c r="RCZ543"/>
      <c r="RDA543"/>
      <c r="RDB543"/>
      <c r="RDC543"/>
      <c r="RDD543"/>
      <c r="RDE543"/>
      <c r="RDF543"/>
      <c r="RDG543"/>
      <c r="RDH543"/>
      <c r="RDI543"/>
      <c r="RDJ543"/>
      <c r="RDK543"/>
      <c r="RDL543"/>
      <c r="RDM543"/>
      <c r="RDN543"/>
      <c r="RDO543"/>
      <c r="RDP543"/>
      <c r="RDQ543"/>
      <c r="RDR543"/>
      <c r="RDS543"/>
      <c r="RDT543"/>
      <c r="RDU543"/>
      <c r="RDV543"/>
      <c r="RDW543"/>
      <c r="RDX543"/>
      <c r="RDY543"/>
      <c r="RDZ543"/>
      <c r="REA543"/>
      <c r="REB543"/>
      <c r="REC543"/>
      <c r="RED543"/>
      <c r="REE543"/>
      <c r="REF543"/>
      <c r="REG543"/>
      <c r="REH543"/>
      <c r="REI543"/>
      <c r="REJ543"/>
      <c r="REK543"/>
      <c r="REL543"/>
      <c r="REM543"/>
      <c r="REN543"/>
      <c r="REO543"/>
      <c r="REP543"/>
      <c r="REQ543"/>
      <c r="RER543"/>
      <c r="RES543"/>
      <c r="RET543"/>
      <c r="REU543"/>
      <c r="REV543"/>
      <c r="REW543"/>
      <c r="REX543"/>
      <c r="REY543"/>
      <c r="REZ543"/>
      <c r="RFA543"/>
      <c r="RFB543"/>
      <c r="RFC543"/>
      <c r="RFD543"/>
      <c r="RFE543"/>
      <c r="RFF543"/>
      <c r="RFG543"/>
      <c r="RFH543"/>
      <c r="RFI543"/>
      <c r="RFJ543"/>
      <c r="RFK543"/>
      <c r="RFL543"/>
      <c r="RFM543"/>
      <c r="RFN543"/>
      <c r="RFO543"/>
      <c r="RFP543"/>
      <c r="RFQ543"/>
      <c r="RFR543"/>
      <c r="RFS543"/>
      <c r="RFT543"/>
      <c r="RFU543"/>
      <c r="RFV543"/>
      <c r="RFW543"/>
      <c r="RFX543"/>
      <c r="RFY543"/>
      <c r="RFZ543"/>
      <c r="RGA543"/>
      <c r="RGB543"/>
      <c r="RGC543"/>
      <c r="RGD543"/>
      <c r="RGE543"/>
      <c r="RGF543"/>
      <c r="RGG543"/>
      <c r="RGH543"/>
      <c r="RGI543"/>
      <c r="RGJ543"/>
      <c r="RGK543"/>
      <c r="RGL543"/>
      <c r="RGM543"/>
      <c r="RGN543"/>
      <c r="RGO543"/>
      <c r="RGP543"/>
      <c r="RGQ543"/>
      <c r="RGR543"/>
      <c r="RGS543"/>
      <c r="RGT543"/>
      <c r="RGU543"/>
      <c r="RGV543"/>
      <c r="RGW543"/>
      <c r="RGX543"/>
      <c r="RGY543"/>
      <c r="RGZ543"/>
      <c r="RHA543"/>
      <c r="RHB543"/>
      <c r="RHC543"/>
      <c r="RHD543"/>
      <c r="RHE543"/>
      <c r="RHF543"/>
      <c r="RHG543"/>
      <c r="RHH543"/>
      <c r="RHI543"/>
      <c r="RHJ543"/>
      <c r="RHK543"/>
      <c r="RHL543"/>
      <c r="RHM543"/>
      <c r="RHN543"/>
      <c r="RHO543"/>
      <c r="RHP543"/>
      <c r="RHQ543"/>
      <c r="RHR543"/>
      <c r="RHS543"/>
      <c r="RHT543"/>
      <c r="RHU543"/>
      <c r="RHV543"/>
      <c r="RHW543"/>
      <c r="RHX543"/>
      <c r="RHY543"/>
      <c r="RHZ543"/>
      <c r="RIA543"/>
      <c r="RIB543"/>
      <c r="RIC543"/>
      <c r="RID543"/>
      <c r="RIE543"/>
      <c r="RIF543"/>
      <c r="RIG543"/>
      <c r="RIH543"/>
      <c r="RII543"/>
      <c r="RIJ543"/>
      <c r="RIK543"/>
      <c r="RIL543"/>
      <c r="RIM543"/>
      <c r="RIN543"/>
      <c r="RIO543"/>
      <c r="RIP543"/>
      <c r="RIQ543"/>
      <c r="RIR543"/>
      <c r="RIS543"/>
      <c r="RIT543"/>
      <c r="RIU543"/>
      <c r="RIV543"/>
      <c r="RIW543"/>
      <c r="RIX543"/>
      <c r="RIY543"/>
      <c r="RIZ543"/>
      <c r="RJA543"/>
      <c r="RJB543"/>
      <c r="RJC543"/>
      <c r="RJD543"/>
      <c r="RJE543"/>
      <c r="RJF543"/>
      <c r="RJG543"/>
      <c r="RJH543"/>
      <c r="RJI543"/>
      <c r="RJJ543"/>
      <c r="RJK543"/>
      <c r="RJL543"/>
      <c r="RJM543"/>
      <c r="RJN543"/>
      <c r="RJO543"/>
      <c r="RJP543"/>
      <c r="RJQ543"/>
      <c r="RJR543"/>
      <c r="RJS543"/>
      <c r="RJT543"/>
      <c r="RJU543"/>
      <c r="RJV543"/>
      <c r="RJW543"/>
      <c r="RJX543"/>
      <c r="RJY543"/>
      <c r="RJZ543"/>
      <c r="RKA543"/>
      <c r="RKB543"/>
      <c r="RKC543"/>
      <c r="RKD543"/>
      <c r="RKE543"/>
      <c r="RKF543"/>
      <c r="RKG543"/>
      <c r="RKH543"/>
      <c r="RKI543"/>
      <c r="RKJ543"/>
      <c r="RKK543"/>
      <c r="RKL543"/>
      <c r="RKM543"/>
      <c r="RKN543"/>
      <c r="RKO543"/>
      <c r="RKP543"/>
      <c r="RKQ543"/>
      <c r="RKR543"/>
      <c r="RKS543"/>
      <c r="RKT543"/>
      <c r="RKU543"/>
      <c r="RKV543"/>
      <c r="RKW543"/>
      <c r="RKX543"/>
      <c r="RKY543"/>
      <c r="RKZ543"/>
      <c r="RLA543"/>
      <c r="RLB543"/>
      <c r="RLC543"/>
      <c r="RLD543"/>
      <c r="RLE543"/>
      <c r="RLF543"/>
      <c r="RLG543"/>
      <c r="RLH543"/>
      <c r="RLI543"/>
      <c r="RLJ543"/>
      <c r="RLK543"/>
      <c r="RLL543"/>
      <c r="RLM543"/>
      <c r="RLN543"/>
      <c r="RLO543"/>
      <c r="RLP543"/>
      <c r="RLQ543"/>
      <c r="RLR543"/>
      <c r="RLS543"/>
      <c r="RLT543"/>
      <c r="RLU543"/>
      <c r="RLV543"/>
      <c r="RLW543"/>
      <c r="RLX543"/>
      <c r="RLY543"/>
      <c r="RLZ543"/>
      <c r="RMA543"/>
      <c r="RMB543"/>
      <c r="RMC543"/>
      <c r="RMD543"/>
      <c r="RME543"/>
      <c r="RMF543"/>
      <c r="RMG543"/>
      <c r="RMH543"/>
      <c r="RMI543"/>
      <c r="RMJ543"/>
      <c r="RMK543"/>
      <c r="RML543"/>
      <c r="RMM543"/>
      <c r="RMN543"/>
      <c r="RMO543"/>
      <c r="RMP543"/>
      <c r="RMQ543"/>
      <c r="RMR543"/>
      <c r="RMS543"/>
      <c r="RMT543"/>
      <c r="RMU543"/>
      <c r="RMV543"/>
      <c r="RMW543"/>
      <c r="RMX543"/>
      <c r="RMY543"/>
      <c r="RMZ543"/>
      <c r="RNA543"/>
      <c r="RNB543"/>
      <c r="RNC543"/>
      <c r="RND543"/>
      <c r="RNE543"/>
      <c r="RNF543"/>
      <c r="RNG543"/>
      <c r="RNH543"/>
      <c r="RNI543"/>
      <c r="RNJ543"/>
      <c r="RNK543"/>
      <c r="RNL543"/>
      <c r="RNM543"/>
      <c r="RNN543"/>
      <c r="RNO543"/>
      <c r="RNP543"/>
      <c r="RNQ543"/>
      <c r="RNR543"/>
      <c r="RNS543"/>
      <c r="RNT543"/>
      <c r="RNU543"/>
      <c r="RNV543"/>
      <c r="RNW543"/>
      <c r="RNX543"/>
      <c r="RNY543"/>
      <c r="RNZ543"/>
      <c r="ROA543"/>
      <c r="ROB543"/>
      <c r="ROC543"/>
      <c r="ROD543"/>
      <c r="ROE543"/>
      <c r="ROF543"/>
      <c r="ROG543"/>
      <c r="ROH543"/>
      <c r="ROI543"/>
      <c r="ROJ543"/>
      <c r="ROK543"/>
      <c r="ROL543"/>
      <c r="ROM543"/>
      <c r="RON543"/>
      <c r="ROO543"/>
      <c r="ROP543"/>
      <c r="ROQ543"/>
      <c r="ROR543"/>
      <c r="ROS543"/>
      <c r="ROT543"/>
      <c r="ROU543"/>
      <c r="ROV543"/>
      <c r="ROW543"/>
      <c r="ROX543"/>
      <c r="ROY543"/>
      <c r="ROZ543"/>
      <c r="RPA543"/>
      <c r="RPB543"/>
      <c r="RPC543"/>
      <c r="RPD543"/>
      <c r="RPE543"/>
      <c r="RPF543"/>
      <c r="RPG543"/>
      <c r="RPH543"/>
      <c r="RPI543"/>
      <c r="RPJ543"/>
      <c r="RPK543"/>
      <c r="RPL543"/>
      <c r="RPM543"/>
      <c r="RPN543"/>
      <c r="RPO543"/>
      <c r="RPP543"/>
      <c r="RPQ543"/>
      <c r="RPR543"/>
      <c r="RPS543"/>
      <c r="RPT543"/>
      <c r="RPU543"/>
      <c r="RPV543"/>
      <c r="RPW543"/>
      <c r="RPX543"/>
      <c r="RPY543"/>
      <c r="RPZ543"/>
      <c r="RQA543"/>
      <c r="RQB543"/>
      <c r="RQC543"/>
      <c r="RQD543"/>
      <c r="RQE543"/>
      <c r="RQF543"/>
      <c r="RQG543"/>
      <c r="RQH543"/>
      <c r="RQI543"/>
      <c r="RQJ543"/>
      <c r="RQK543"/>
      <c r="RQL543"/>
      <c r="RQM543"/>
      <c r="RQN543"/>
      <c r="RQO543"/>
      <c r="RQP543"/>
      <c r="RQQ543"/>
      <c r="RQR543"/>
      <c r="RQS543"/>
      <c r="RQT543"/>
      <c r="RQU543"/>
      <c r="RQV543"/>
      <c r="RQW543"/>
      <c r="RQX543"/>
      <c r="RQY543"/>
      <c r="RQZ543"/>
      <c r="RRA543"/>
      <c r="RRB543"/>
      <c r="RRC543"/>
      <c r="RRD543"/>
      <c r="RRE543"/>
      <c r="RRF543"/>
      <c r="RRG543"/>
      <c r="RRH543"/>
      <c r="RRI543"/>
      <c r="RRJ543"/>
      <c r="RRK543"/>
      <c r="RRL543"/>
      <c r="RRM543"/>
      <c r="RRN543"/>
      <c r="RRO543"/>
      <c r="RRP543"/>
      <c r="RRQ543"/>
      <c r="RRR543"/>
      <c r="RRS543"/>
      <c r="RRT543"/>
      <c r="RRU543"/>
      <c r="RRV543"/>
      <c r="RRW543"/>
      <c r="RRX543"/>
      <c r="RRY543"/>
      <c r="RRZ543"/>
      <c r="RSA543"/>
      <c r="RSB543"/>
      <c r="RSC543"/>
      <c r="RSD543"/>
      <c r="RSE543"/>
      <c r="RSF543"/>
      <c r="RSG543"/>
      <c r="RSH543"/>
      <c r="RSI543"/>
      <c r="RSJ543"/>
      <c r="RSK543"/>
      <c r="RSL543"/>
      <c r="RSM543"/>
      <c r="RSN543"/>
      <c r="RSO543"/>
      <c r="RSP543"/>
      <c r="RSQ543"/>
      <c r="RSR543"/>
      <c r="RSS543"/>
      <c r="RST543"/>
      <c r="RSU543"/>
      <c r="RSV543"/>
      <c r="RSW543"/>
      <c r="RSX543"/>
      <c r="RSY543"/>
      <c r="RSZ543"/>
      <c r="RTA543"/>
      <c r="RTB543"/>
      <c r="RTC543"/>
      <c r="RTD543"/>
      <c r="RTE543"/>
      <c r="RTF543"/>
      <c r="RTG543"/>
      <c r="RTH543"/>
      <c r="RTI543"/>
      <c r="RTJ543"/>
      <c r="RTK543"/>
      <c r="RTL543"/>
      <c r="RTM543"/>
      <c r="RTN543"/>
      <c r="RTO543"/>
      <c r="RTP543"/>
      <c r="RTQ543"/>
      <c r="RTR543"/>
      <c r="RTS543"/>
      <c r="RTT543"/>
      <c r="RTU543"/>
      <c r="RTV543"/>
      <c r="RTW543"/>
      <c r="RTX543"/>
      <c r="RTY543"/>
      <c r="RTZ543"/>
      <c r="RUA543"/>
      <c r="RUB543"/>
      <c r="RUC543"/>
      <c r="RUD543"/>
      <c r="RUE543"/>
      <c r="RUF543"/>
      <c r="RUG543"/>
      <c r="RUH543"/>
      <c r="RUI543"/>
      <c r="RUJ543"/>
      <c r="RUK543"/>
      <c r="RUL543"/>
      <c r="RUM543"/>
      <c r="RUN543"/>
      <c r="RUO543"/>
      <c r="RUP543"/>
      <c r="RUQ543"/>
      <c r="RUR543"/>
      <c r="RUS543"/>
      <c r="RUT543"/>
      <c r="RUU543"/>
      <c r="RUV543"/>
      <c r="RUW543"/>
      <c r="RUX543"/>
      <c r="RUY543"/>
      <c r="RUZ543"/>
      <c r="RVA543"/>
      <c r="RVB543"/>
      <c r="RVC543"/>
      <c r="RVD543"/>
      <c r="RVE543"/>
      <c r="RVF543"/>
      <c r="RVG543"/>
      <c r="RVH543"/>
      <c r="RVI543"/>
      <c r="RVJ543"/>
      <c r="RVK543"/>
      <c r="RVL543"/>
      <c r="RVM543"/>
      <c r="RVN543"/>
      <c r="RVO543"/>
      <c r="RVP543"/>
      <c r="RVQ543"/>
      <c r="RVR543"/>
      <c r="RVS543"/>
      <c r="RVT543"/>
      <c r="RVU543"/>
      <c r="RVV543"/>
      <c r="RVW543"/>
      <c r="RVX543"/>
      <c r="RVY543"/>
      <c r="RVZ543"/>
      <c r="RWA543"/>
      <c r="RWB543"/>
      <c r="RWC543"/>
      <c r="RWD543"/>
      <c r="RWE543"/>
      <c r="RWF543"/>
      <c r="RWG543"/>
      <c r="RWH543"/>
      <c r="RWI543"/>
      <c r="RWJ543"/>
      <c r="RWK543"/>
      <c r="RWL543"/>
      <c r="RWM543"/>
      <c r="RWN543"/>
      <c r="RWO543"/>
      <c r="RWP543"/>
      <c r="RWQ543"/>
      <c r="RWR543"/>
      <c r="RWS543"/>
      <c r="RWT543"/>
      <c r="RWU543"/>
      <c r="RWV543"/>
      <c r="RWW543"/>
      <c r="RWX543"/>
      <c r="RWY543"/>
      <c r="RWZ543"/>
      <c r="RXA543"/>
      <c r="RXB543"/>
      <c r="RXC543"/>
      <c r="RXD543"/>
      <c r="RXE543"/>
      <c r="RXF543"/>
      <c r="RXG543"/>
      <c r="RXH543"/>
      <c r="RXI543"/>
      <c r="RXJ543"/>
      <c r="RXK543"/>
      <c r="RXL543"/>
      <c r="RXM543"/>
      <c r="RXN543"/>
      <c r="RXO543"/>
      <c r="RXP543"/>
      <c r="RXQ543"/>
      <c r="RXR543"/>
      <c r="RXS543"/>
      <c r="RXT543"/>
      <c r="RXU543"/>
      <c r="RXV543"/>
      <c r="RXW543"/>
      <c r="RXX543"/>
      <c r="RXY543"/>
      <c r="RXZ543"/>
      <c r="RYA543"/>
      <c r="RYB543"/>
      <c r="RYC543"/>
      <c r="RYD543"/>
      <c r="RYE543"/>
      <c r="RYF543"/>
      <c r="RYG543"/>
      <c r="RYH543"/>
      <c r="RYI543"/>
      <c r="RYJ543"/>
      <c r="RYK543"/>
      <c r="RYL543"/>
      <c r="RYM543"/>
      <c r="RYN543"/>
      <c r="RYO543"/>
      <c r="RYP543"/>
      <c r="RYQ543"/>
      <c r="RYR543"/>
      <c r="RYS543"/>
      <c r="RYT543"/>
      <c r="RYU543"/>
      <c r="RYV543"/>
      <c r="RYW543"/>
      <c r="RYX543"/>
      <c r="RYY543"/>
      <c r="RYZ543"/>
      <c r="RZA543"/>
      <c r="RZB543"/>
      <c r="RZC543"/>
      <c r="RZD543"/>
      <c r="RZE543"/>
      <c r="RZF543"/>
      <c r="RZG543"/>
      <c r="RZH543"/>
      <c r="RZI543"/>
      <c r="RZJ543"/>
      <c r="RZK543"/>
      <c r="RZL543"/>
      <c r="RZM543"/>
      <c r="RZN543"/>
      <c r="RZO543"/>
      <c r="RZP543"/>
      <c r="RZQ543"/>
      <c r="RZR543"/>
      <c r="RZS543"/>
      <c r="RZT543"/>
      <c r="RZU543"/>
      <c r="RZV543"/>
      <c r="RZW543"/>
      <c r="RZX543"/>
      <c r="RZY543"/>
      <c r="RZZ543"/>
      <c r="SAA543"/>
      <c r="SAB543"/>
      <c r="SAC543"/>
      <c r="SAD543"/>
      <c r="SAE543"/>
      <c r="SAF543"/>
      <c r="SAG543"/>
      <c r="SAH543"/>
      <c r="SAI543"/>
      <c r="SAJ543"/>
      <c r="SAK543"/>
      <c r="SAL543"/>
      <c r="SAM543"/>
      <c r="SAN543"/>
      <c r="SAO543"/>
      <c r="SAP543"/>
      <c r="SAQ543"/>
      <c r="SAR543"/>
      <c r="SAS543"/>
      <c r="SAT543"/>
      <c r="SAU543"/>
      <c r="SAV543"/>
      <c r="SAW543"/>
      <c r="SAX543"/>
      <c r="SAY543"/>
      <c r="SAZ543"/>
      <c r="SBA543"/>
      <c r="SBB543"/>
      <c r="SBC543"/>
      <c r="SBD543"/>
      <c r="SBE543"/>
      <c r="SBF543"/>
      <c r="SBG543"/>
      <c r="SBH543"/>
      <c r="SBI543"/>
      <c r="SBJ543"/>
      <c r="SBK543"/>
      <c r="SBL543"/>
      <c r="SBM543"/>
      <c r="SBN543"/>
      <c r="SBO543"/>
      <c r="SBP543"/>
      <c r="SBQ543"/>
      <c r="SBR543"/>
      <c r="SBS543"/>
      <c r="SBT543"/>
      <c r="SBU543"/>
      <c r="SBV543"/>
      <c r="SBW543"/>
      <c r="SBX543"/>
      <c r="SBY543"/>
      <c r="SBZ543"/>
      <c r="SCA543"/>
      <c r="SCB543"/>
      <c r="SCC543"/>
      <c r="SCD543"/>
      <c r="SCE543"/>
      <c r="SCF543"/>
      <c r="SCG543"/>
      <c r="SCH543"/>
      <c r="SCI543"/>
      <c r="SCJ543"/>
      <c r="SCK543"/>
      <c r="SCL543"/>
      <c r="SCM543"/>
      <c r="SCN543"/>
      <c r="SCO543"/>
      <c r="SCP543"/>
      <c r="SCQ543"/>
      <c r="SCR543"/>
      <c r="SCS543"/>
      <c r="SCT543"/>
      <c r="SCU543"/>
      <c r="SCV543"/>
      <c r="SCW543"/>
      <c r="SCX543"/>
      <c r="SCY543"/>
      <c r="SCZ543"/>
      <c r="SDA543"/>
      <c r="SDB543"/>
      <c r="SDC543"/>
      <c r="SDD543"/>
      <c r="SDE543"/>
      <c r="SDF543"/>
      <c r="SDG543"/>
      <c r="SDH543"/>
      <c r="SDI543"/>
      <c r="SDJ543"/>
      <c r="SDK543"/>
      <c r="SDL543"/>
      <c r="SDM543"/>
      <c r="SDN543"/>
      <c r="SDO543"/>
      <c r="SDP543"/>
      <c r="SDQ543"/>
      <c r="SDR543"/>
      <c r="SDS543"/>
      <c r="SDT543"/>
      <c r="SDU543"/>
      <c r="SDV543"/>
      <c r="SDW543"/>
      <c r="SDX543"/>
      <c r="SDY543"/>
      <c r="SDZ543"/>
      <c r="SEA543"/>
      <c r="SEB543"/>
      <c r="SEC543"/>
      <c r="SED543"/>
      <c r="SEE543"/>
      <c r="SEF543"/>
      <c r="SEG543"/>
      <c r="SEH543"/>
      <c r="SEI543"/>
      <c r="SEJ543"/>
      <c r="SEK543"/>
      <c r="SEL543"/>
      <c r="SEM543"/>
      <c r="SEN543"/>
      <c r="SEO543"/>
      <c r="SEP543"/>
      <c r="SEQ543"/>
      <c r="SER543"/>
      <c r="SES543"/>
      <c r="SET543"/>
      <c r="SEU543"/>
      <c r="SEV543"/>
      <c r="SEW543"/>
      <c r="SEX543"/>
      <c r="SEY543"/>
      <c r="SEZ543"/>
      <c r="SFA543"/>
      <c r="SFB543"/>
      <c r="SFC543"/>
      <c r="SFD543"/>
      <c r="SFE543"/>
      <c r="SFF543"/>
      <c r="SFG543"/>
      <c r="SFH543"/>
      <c r="SFI543"/>
      <c r="SFJ543"/>
      <c r="SFK543"/>
      <c r="SFL543"/>
      <c r="SFM543"/>
      <c r="SFN543"/>
      <c r="SFO543"/>
      <c r="SFP543"/>
      <c r="SFQ543"/>
      <c r="SFR543"/>
      <c r="SFS543"/>
      <c r="SFT543"/>
      <c r="SFU543"/>
      <c r="SFV543"/>
      <c r="SFW543"/>
      <c r="SFX543"/>
      <c r="SFY543"/>
      <c r="SFZ543"/>
      <c r="SGA543"/>
      <c r="SGB543"/>
      <c r="SGC543"/>
      <c r="SGD543"/>
      <c r="SGE543"/>
      <c r="SGF543"/>
      <c r="SGG543"/>
      <c r="SGH543"/>
      <c r="SGI543"/>
      <c r="SGJ543"/>
      <c r="SGK543"/>
      <c r="SGL543"/>
      <c r="SGM543"/>
      <c r="SGN543"/>
      <c r="SGO543"/>
      <c r="SGP543"/>
      <c r="SGQ543"/>
      <c r="SGR543"/>
      <c r="SGS543"/>
      <c r="SGT543"/>
      <c r="SGU543"/>
      <c r="SGV543"/>
      <c r="SGW543"/>
      <c r="SGX543"/>
      <c r="SGY543"/>
      <c r="SGZ543"/>
      <c r="SHA543"/>
      <c r="SHB543"/>
      <c r="SHC543"/>
      <c r="SHD543"/>
      <c r="SHE543"/>
      <c r="SHF543"/>
      <c r="SHG543"/>
      <c r="SHH543"/>
      <c r="SHI543"/>
      <c r="SHJ543"/>
      <c r="SHK543"/>
      <c r="SHL543"/>
      <c r="SHM543"/>
      <c r="SHN543"/>
      <c r="SHO543"/>
      <c r="SHP543"/>
      <c r="SHQ543"/>
      <c r="SHR543"/>
      <c r="SHS543"/>
      <c r="SHT543"/>
      <c r="SHU543"/>
      <c r="SHV543"/>
      <c r="SHW543"/>
      <c r="SHX543"/>
      <c r="SHY543"/>
      <c r="SHZ543"/>
      <c r="SIA543"/>
      <c r="SIB543"/>
      <c r="SIC543"/>
      <c r="SID543"/>
      <c r="SIE543"/>
      <c r="SIF543"/>
      <c r="SIG543"/>
      <c r="SIH543"/>
      <c r="SII543"/>
      <c r="SIJ543"/>
      <c r="SIK543"/>
      <c r="SIL543"/>
      <c r="SIM543"/>
      <c r="SIN543"/>
      <c r="SIO543"/>
      <c r="SIP543"/>
      <c r="SIQ543"/>
      <c r="SIR543"/>
      <c r="SIS543"/>
      <c r="SIT543"/>
      <c r="SIU543"/>
      <c r="SIV543"/>
      <c r="SIW543"/>
      <c r="SIX543"/>
      <c r="SIY543"/>
      <c r="SIZ543"/>
      <c r="SJA543"/>
      <c r="SJB543"/>
      <c r="SJC543"/>
      <c r="SJD543"/>
      <c r="SJE543"/>
      <c r="SJF543"/>
      <c r="SJG543"/>
      <c r="SJH543"/>
      <c r="SJI543"/>
      <c r="SJJ543"/>
      <c r="SJK543"/>
      <c r="SJL543"/>
      <c r="SJM543"/>
      <c r="SJN543"/>
      <c r="SJO543"/>
      <c r="SJP543"/>
      <c r="SJQ543"/>
      <c r="SJR543"/>
      <c r="SJS543"/>
      <c r="SJT543"/>
      <c r="SJU543"/>
      <c r="SJV543"/>
      <c r="SJW543"/>
      <c r="SJX543"/>
      <c r="SJY543"/>
      <c r="SJZ543"/>
      <c r="SKA543"/>
      <c r="SKB543"/>
      <c r="SKC543"/>
      <c r="SKD543"/>
      <c r="SKE543"/>
      <c r="SKF543"/>
      <c r="SKG543"/>
      <c r="SKH543"/>
      <c r="SKI543"/>
      <c r="SKJ543"/>
      <c r="SKK543"/>
      <c r="SKL543"/>
      <c r="SKM543"/>
      <c r="SKN543"/>
      <c r="SKO543"/>
      <c r="SKP543"/>
      <c r="SKQ543"/>
      <c r="SKR543"/>
      <c r="SKS543"/>
      <c r="SKT543"/>
      <c r="SKU543"/>
      <c r="SKV543"/>
      <c r="SKW543"/>
      <c r="SKX543"/>
      <c r="SKY543"/>
      <c r="SKZ543"/>
      <c r="SLA543"/>
      <c r="SLB543"/>
      <c r="SLC543"/>
      <c r="SLD543"/>
      <c r="SLE543"/>
      <c r="SLF543"/>
      <c r="SLG543"/>
      <c r="SLH543"/>
      <c r="SLI543"/>
      <c r="SLJ543"/>
      <c r="SLK543"/>
      <c r="SLL543"/>
      <c r="SLM543"/>
      <c r="SLN543"/>
      <c r="SLO543"/>
      <c r="SLP543"/>
      <c r="SLQ543"/>
      <c r="SLR543"/>
      <c r="SLS543"/>
      <c r="SLT543"/>
      <c r="SLU543"/>
      <c r="SLV543"/>
      <c r="SLW543"/>
      <c r="SLX543"/>
      <c r="SLY543"/>
      <c r="SLZ543"/>
      <c r="SMA543"/>
      <c r="SMB543"/>
      <c r="SMC543"/>
      <c r="SMD543"/>
      <c r="SME543"/>
      <c r="SMF543"/>
      <c r="SMG543"/>
      <c r="SMH543"/>
      <c r="SMI543"/>
      <c r="SMJ543"/>
      <c r="SMK543"/>
      <c r="SML543"/>
      <c r="SMM543"/>
      <c r="SMN543"/>
      <c r="SMO543"/>
      <c r="SMP543"/>
      <c r="SMQ543"/>
      <c r="SMR543"/>
      <c r="SMS543"/>
      <c r="SMT543"/>
      <c r="SMU543"/>
      <c r="SMV543"/>
      <c r="SMW543"/>
      <c r="SMX543"/>
      <c r="SMY543"/>
      <c r="SMZ543"/>
      <c r="SNA543"/>
      <c r="SNB543"/>
      <c r="SNC543"/>
      <c r="SND543"/>
      <c r="SNE543"/>
      <c r="SNF543"/>
      <c r="SNG543"/>
      <c r="SNH543"/>
      <c r="SNI543"/>
      <c r="SNJ543"/>
      <c r="SNK543"/>
      <c r="SNL543"/>
      <c r="SNM543"/>
      <c r="SNN543"/>
      <c r="SNO543"/>
      <c r="SNP543"/>
      <c r="SNQ543"/>
      <c r="SNR543"/>
      <c r="SNS543"/>
      <c r="SNT543"/>
      <c r="SNU543"/>
      <c r="SNV543"/>
      <c r="SNW543"/>
      <c r="SNX543"/>
      <c r="SNY543"/>
      <c r="SNZ543"/>
      <c r="SOA543"/>
      <c r="SOB543"/>
      <c r="SOC543"/>
      <c r="SOD543"/>
      <c r="SOE543"/>
      <c r="SOF543"/>
      <c r="SOG543"/>
      <c r="SOH543"/>
      <c r="SOI543"/>
      <c r="SOJ543"/>
      <c r="SOK543"/>
      <c r="SOL543"/>
      <c r="SOM543"/>
      <c r="SON543"/>
      <c r="SOO543"/>
      <c r="SOP543"/>
      <c r="SOQ543"/>
      <c r="SOR543"/>
      <c r="SOS543"/>
      <c r="SOT543"/>
      <c r="SOU543"/>
      <c r="SOV543"/>
      <c r="SOW543"/>
      <c r="SOX543"/>
      <c r="SOY543"/>
      <c r="SOZ543"/>
      <c r="SPA543"/>
      <c r="SPB543"/>
      <c r="SPC543"/>
      <c r="SPD543"/>
      <c r="SPE543"/>
      <c r="SPF543"/>
      <c r="SPG543"/>
      <c r="SPH543"/>
      <c r="SPI543"/>
      <c r="SPJ543"/>
      <c r="SPK543"/>
      <c r="SPL543"/>
      <c r="SPM543"/>
      <c r="SPN543"/>
      <c r="SPO543"/>
      <c r="SPP543"/>
      <c r="SPQ543"/>
      <c r="SPR543"/>
      <c r="SPS543"/>
      <c r="SPT543"/>
      <c r="SPU543"/>
      <c r="SPV543"/>
      <c r="SPW543"/>
      <c r="SPX543"/>
      <c r="SPY543"/>
      <c r="SPZ543"/>
      <c r="SQA543"/>
      <c r="SQB543"/>
      <c r="SQC543"/>
      <c r="SQD543"/>
      <c r="SQE543"/>
      <c r="SQF543"/>
      <c r="SQG543"/>
      <c r="SQH543"/>
      <c r="SQI543"/>
      <c r="SQJ543"/>
      <c r="SQK543"/>
      <c r="SQL543"/>
      <c r="SQM543"/>
      <c r="SQN543"/>
      <c r="SQO543"/>
      <c r="SQP543"/>
      <c r="SQQ543"/>
      <c r="SQR543"/>
      <c r="SQS543"/>
      <c r="SQT543"/>
      <c r="SQU543"/>
      <c r="SQV543"/>
      <c r="SQW543"/>
      <c r="SQX543"/>
      <c r="SQY543"/>
      <c r="SQZ543"/>
      <c r="SRA543"/>
      <c r="SRB543"/>
      <c r="SRC543"/>
      <c r="SRD543"/>
      <c r="SRE543"/>
      <c r="SRF543"/>
      <c r="SRG543"/>
      <c r="SRH543"/>
      <c r="SRI543"/>
      <c r="SRJ543"/>
      <c r="SRK543"/>
      <c r="SRL543"/>
      <c r="SRM543"/>
      <c r="SRN543"/>
      <c r="SRO543"/>
      <c r="SRP543"/>
      <c r="SRQ543"/>
      <c r="SRR543"/>
      <c r="SRS543"/>
      <c r="SRT543"/>
      <c r="SRU543"/>
      <c r="SRV543"/>
      <c r="SRW543"/>
      <c r="SRX543"/>
      <c r="SRY543"/>
      <c r="SRZ543"/>
      <c r="SSA543"/>
      <c r="SSB543"/>
      <c r="SSC543"/>
      <c r="SSD543"/>
      <c r="SSE543"/>
      <c r="SSF543"/>
      <c r="SSG543"/>
      <c r="SSH543"/>
      <c r="SSI543"/>
      <c r="SSJ543"/>
      <c r="SSK543"/>
      <c r="SSL543"/>
      <c r="SSM543"/>
      <c r="SSN543"/>
      <c r="SSO543"/>
      <c r="SSP543"/>
      <c r="SSQ543"/>
      <c r="SSR543"/>
      <c r="SSS543"/>
      <c r="SST543"/>
      <c r="SSU543"/>
      <c r="SSV543"/>
      <c r="SSW543"/>
      <c r="SSX543"/>
      <c r="SSY543"/>
      <c r="SSZ543"/>
      <c r="STA543"/>
      <c r="STB543"/>
      <c r="STC543"/>
      <c r="STD543"/>
      <c r="STE543"/>
      <c r="STF543"/>
      <c r="STG543"/>
      <c r="STH543"/>
      <c r="STI543"/>
      <c r="STJ543"/>
      <c r="STK543"/>
      <c r="STL543"/>
      <c r="STM543"/>
      <c r="STN543"/>
      <c r="STO543"/>
      <c r="STP543"/>
      <c r="STQ543"/>
      <c r="STR543"/>
      <c r="STS543"/>
      <c r="STT543"/>
      <c r="STU543"/>
      <c r="STV543"/>
      <c r="STW543"/>
      <c r="STX543"/>
      <c r="STY543"/>
      <c r="STZ543"/>
      <c r="SUA543"/>
      <c r="SUB543"/>
      <c r="SUC543"/>
      <c r="SUD543"/>
      <c r="SUE543"/>
      <c r="SUF543"/>
      <c r="SUG543"/>
      <c r="SUH543"/>
      <c r="SUI543"/>
      <c r="SUJ543"/>
      <c r="SUK543"/>
      <c r="SUL543"/>
      <c r="SUM543"/>
      <c r="SUN543"/>
      <c r="SUO543"/>
      <c r="SUP543"/>
      <c r="SUQ543"/>
      <c r="SUR543"/>
      <c r="SUS543"/>
      <c r="SUT543"/>
      <c r="SUU543"/>
      <c r="SUV543"/>
      <c r="SUW543"/>
      <c r="SUX543"/>
      <c r="SUY543"/>
      <c r="SUZ543"/>
      <c r="SVA543"/>
      <c r="SVB543"/>
      <c r="SVC543"/>
      <c r="SVD543"/>
      <c r="SVE543"/>
      <c r="SVF543"/>
      <c r="SVG543"/>
      <c r="SVH543"/>
      <c r="SVI543"/>
      <c r="SVJ543"/>
      <c r="SVK543"/>
      <c r="SVL543"/>
      <c r="SVM543"/>
      <c r="SVN543"/>
      <c r="SVO543"/>
      <c r="SVP543"/>
      <c r="SVQ543"/>
      <c r="SVR543"/>
      <c r="SVS543"/>
      <c r="SVT543"/>
      <c r="SVU543"/>
      <c r="SVV543"/>
      <c r="SVW543"/>
      <c r="SVX543"/>
      <c r="SVY543"/>
      <c r="SVZ543"/>
      <c r="SWA543"/>
      <c r="SWB543"/>
      <c r="SWC543"/>
      <c r="SWD543"/>
      <c r="SWE543"/>
      <c r="SWF543"/>
      <c r="SWG543"/>
      <c r="SWH543"/>
      <c r="SWI543"/>
      <c r="SWJ543"/>
      <c r="SWK543"/>
      <c r="SWL543"/>
      <c r="SWM543"/>
      <c r="SWN543"/>
      <c r="SWO543"/>
      <c r="SWP543"/>
      <c r="SWQ543"/>
      <c r="SWR543"/>
      <c r="SWS543"/>
      <c r="SWT543"/>
      <c r="SWU543"/>
      <c r="SWV543"/>
      <c r="SWW543"/>
      <c r="SWX543"/>
      <c r="SWY543"/>
      <c r="SWZ543"/>
      <c r="SXA543"/>
      <c r="SXB543"/>
      <c r="SXC543"/>
      <c r="SXD543"/>
      <c r="SXE543"/>
      <c r="SXF543"/>
      <c r="SXG543"/>
      <c r="SXH543"/>
      <c r="SXI543"/>
      <c r="SXJ543"/>
      <c r="SXK543"/>
      <c r="SXL543"/>
      <c r="SXM543"/>
      <c r="SXN543"/>
      <c r="SXO543"/>
      <c r="SXP543"/>
      <c r="SXQ543"/>
      <c r="SXR543"/>
      <c r="SXS543"/>
      <c r="SXT543"/>
      <c r="SXU543"/>
      <c r="SXV543"/>
      <c r="SXW543"/>
      <c r="SXX543"/>
      <c r="SXY543"/>
      <c r="SXZ543"/>
      <c r="SYA543"/>
      <c r="SYB543"/>
      <c r="SYC543"/>
      <c r="SYD543"/>
      <c r="SYE543"/>
      <c r="SYF543"/>
      <c r="SYG543"/>
      <c r="SYH543"/>
      <c r="SYI543"/>
      <c r="SYJ543"/>
      <c r="SYK543"/>
      <c r="SYL543"/>
      <c r="SYM543"/>
      <c r="SYN543"/>
      <c r="SYO543"/>
      <c r="SYP543"/>
      <c r="SYQ543"/>
      <c r="SYR543"/>
      <c r="SYS543"/>
      <c r="SYT543"/>
      <c r="SYU543"/>
      <c r="SYV543"/>
      <c r="SYW543"/>
      <c r="SYX543"/>
      <c r="SYY543"/>
      <c r="SYZ543"/>
      <c r="SZA543"/>
      <c r="SZB543"/>
      <c r="SZC543"/>
      <c r="SZD543"/>
      <c r="SZE543"/>
      <c r="SZF543"/>
      <c r="SZG543"/>
      <c r="SZH543"/>
      <c r="SZI543"/>
      <c r="SZJ543"/>
      <c r="SZK543"/>
      <c r="SZL543"/>
      <c r="SZM543"/>
      <c r="SZN543"/>
      <c r="SZO543"/>
      <c r="SZP543"/>
      <c r="SZQ543"/>
      <c r="SZR543"/>
      <c r="SZS543"/>
      <c r="SZT543"/>
      <c r="SZU543"/>
      <c r="SZV543"/>
      <c r="SZW543"/>
      <c r="SZX543"/>
      <c r="SZY543"/>
      <c r="SZZ543"/>
      <c r="TAA543"/>
      <c r="TAB543"/>
      <c r="TAC543"/>
      <c r="TAD543"/>
      <c r="TAE543"/>
      <c r="TAF543"/>
      <c r="TAG543"/>
      <c r="TAH543"/>
      <c r="TAI543"/>
      <c r="TAJ543"/>
      <c r="TAK543"/>
      <c r="TAL543"/>
      <c r="TAM543"/>
      <c r="TAN543"/>
      <c r="TAO543"/>
      <c r="TAP543"/>
      <c r="TAQ543"/>
      <c r="TAR543"/>
      <c r="TAS543"/>
      <c r="TAT543"/>
      <c r="TAU543"/>
      <c r="TAV543"/>
      <c r="TAW543"/>
      <c r="TAX543"/>
      <c r="TAY543"/>
      <c r="TAZ543"/>
      <c r="TBA543"/>
      <c r="TBB543"/>
      <c r="TBC543"/>
      <c r="TBD543"/>
      <c r="TBE543"/>
      <c r="TBF543"/>
      <c r="TBG543"/>
      <c r="TBH543"/>
      <c r="TBI543"/>
      <c r="TBJ543"/>
      <c r="TBK543"/>
      <c r="TBL543"/>
      <c r="TBM543"/>
      <c r="TBN543"/>
      <c r="TBO543"/>
      <c r="TBP543"/>
      <c r="TBQ543"/>
      <c r="TBR543"/>
      <c r="TBS543"/>
      <c r="TBT543"/>
      <c r="TBU543"/>
      <c r="TBV543"/>
      <c r="TBW543"/>
      <c r="TBX543"/>
      <c r="TBY543"/>
      <c r="TBZ543"/>
      <c r="TCA543"/>
      <c r="TCB543"/>
      <c r="TCC543"/>
      <c r="TCD543"/>
      <c r="TCE543"/>
      <c r="TCF543"/>
      <c r="TCG543"/>
      <c r="TCH543"/>
      <c r="TCI543"/>
      <c r="TCJ543"/>
      <c r="TCK543"/>
      <c r="TCL543"/>
      <c r="TCM543"/>
      <c r="TCN543"/>
      <c r="TCO543"/>
      <c r="TCP543"/>
      <c r="TCQ543"/>
      <c r="TCR543"/>
      <c r="TCS543"/>
      <c r="TCT543"/>
      <c r="TCU543"/>
      <c r="TCV543"/>
      <c r="TCW543"/>
      <c r="TCX543"/>
      <c r="TCY543"/>
      <c r="TCZ543"/>
      <c r="TDA543"/>
      <c r="TDB543"/>
      <c r="TDC543"/>
      <c r="TDD543"/>
      <c r="TDE543"/>
      <c r="TDF543"/>
      <c r="TDG543"/>
      <c r="TDH543"/>
      <c r="TDI543"/>
      <c r="TDJ543"/>
      <c r="TDK543"/>
      <c r="TDL543"/>
      <c r="TDM543"/>
      <c r="TDN543"/>
      <c r="TDO543"/>
      <c r="TDP543"/>
      <c r="TDQ543"/>
      <c r="TDR543"/>
      <c r="TDS543"/>
      <c r="TDT543"/>
      <c r="TDU543"/>
      <c r="TDV543"/>
      <c r="TDW543"/>
      <c r="TDX543"/>
      <c r="TDY543"/>
      <c r="TDZ543"/>
      <c r="TEA543"/>
      <c r="TEB543"/>
      <c r="TEC543"/>
      <c r="TED543"/>
      <c r="TEE543"/>
      <c r="TEF543"/>
      <c r="TEG543"/>
      <c r="TEH543"/>
      <c r="TEI543"/>
      <c r="TEJ543"/>
      <c r="TEK543"/>
      <c r="TEL543"/>
      <c r="TEM543"/>
      <c r="TEN543"/>
      <c r="TEO543"/>
      <c r="TEP543"/>
      <c r="TEQ543"/>
      <c r="TER543"/>
      <c r="TES543"/>
      <c r="TET543"/>
      <c r="TEU543"/>
      <c r="TEV543"/>
      <c r="TEW543"/>
      <c r="TEX543"/>
      <c r="TEY543"/>
      <c r="TEZ543"/>
      <c r="TFA543"/>
      <c r="TFB543"/>
      <c r="TFC543"/>
      <c r="TFD543"/>
      <c r="TFE543"/>
      <c r="TFF543"/>
      <c r="TFG543"/>
      <c r="TFH543"/>
      <c r="TFI543"/>
      <c r="TFJ543"/>
      <c r="TFK543"/>
      <c r="TFL543"/>
      <c r="TFM543"/>
      <c r="TFN543"/>
      <c r="TFO543"/>
      <c r="TFP543"/>
      <c r="TFQ543"/>
      <c r="TFR543"/>
      <c r="TFS543"/>
      <c r="TFT543"/>
      <c r="TFU543"/>
      <c r="TFV543"/>
      <c r="TFW543"/>
      <c r="TFX543"/>
      <c r="TFY543"/>
      <c r="TFZ543"/>
      <c r="TGA543"/>
      <c r="TGB543"/>
      <c r="TGC543"/>
      <c r="TGD543"/>
      <c r="TGE543"/>
      <c r="TGF543"/>
      <c r="TGG543"/>
      <c r="TGH543"/>
      <c r="TGI543"/>
      <c r="TGJ543"/>
      <c r="TGK543"/>
      <c r="TGL543"/>
      <c r="TGM543"/>
      <c r="TGN543"/>
      <c r="TGO543"/>
      <c r="TGP543"/>
      <c r="TGQ543"/>
      <c r="TGR543"/>
      <c r="TGS543"/>
      <c r="TGT543"/>
      <c r="TGU543"/>
      <c r="TGV543"/>
      <c r="TGW543"/>
      <c r="TGX543"/>
      <c r="TGY543"/>
      <c r="TGZ543"/>
      <c r="THA543"/>
      <c r="THB543"/>
      <c r="THC543"/>
      <c r="THD543"/>
      <c r="THE543"/>
      <c r="THF543"/>
      <c r="THG543"/>
      <c r="THH543"/>
      <c r="THI543"/>
      <c r="THJ543"/>
      <c r="THK543"/>
      <c r="THL543"/>
      <c r="THM543"/>
      <c r="THN543"/>
      <c r="THO543"/>
      <c r="THP543"/>
      <c r="THQ543"/>
      <c r="THR543"/>
      <c r="THS543"/>
      <c r="THT543"/>
      <c r="THU543"/>
      <c r="THV543"/>
      <c r="THW543"/>
      <c r="THX543"/>
      <c r="THY543"/>
      <c r="THZ543"/>
      <c r="TIA543"/>
      <c r="TIB543"/>
      <c r="TIC543"/>
      <c r="TID543"/>
      <c r="TIE543"/>
      <c r="TIF543"/>
      <c r="TIG543"/>
      <c r="TIH543"/>
      <c r="TII543"/>
      <c r="TIJ543"/>
      <c r="TIK543"/>
      <c r="TIL543"/>
      <c r="TIM543"/>
      <c r="TIN543"/>
      <c r="TIO543"/>
      <c r="TIP543"/>
      <c r="TIQ543"/>
      <c r="TIR543"/>
      <c r="TIS543"/>
      <c r="TIT543"/>
      <c r="TIU543"/>
      <c r="TIV543"/>
      <c r="TIW543"/>
      <c r="TIX543"/>
      <c r="TIY543"/>
      <c r="TIZ543"/>
      <c r="TJA543"/>
      <c r="TJB543"/>
      <c r="TJC543"/>
      <c r="TJD543"/>
      <c r="TJE543"/>
      <c r="TJF543"/>
      <c r="TJG543"/>
      <c r="TJH543"/>
      <c r="TJI543"/>
      <c r="TJJ543"/>
      <c r="TJK543"/>
      <c r="TJL543"/>
      <c r="TJM543"/>
      <c r="TJN543"/>
      <c r="TJO543"/>
      <c r="TJP543"/>
      <c r="TJQ543"/>
      <c r="TJR543"/>
      <c r="TJS543"/>
      <c r="TJT543"/>
      <c r="TJU543"/>
      <c r="TJV543"/>
      <c r="TJW543"/>
      <c r="TJX543"/>
      <c r="TJY543"/>
      <c r="TJZ543"/>
      <c r="TKA543"/>
      <c r="TKB543"/>
      <c r="TKC543"/>
      <c r="TKD543"/>
      <c r="TKE543"/>
      <c r="TKF543"/>
      <c r="TKG543"/>
      <c r="TKH543"/>
      <c r="TKI543"/>
      <c r="TKJ543"/>
      <c r="TKK543"/>
      <c r="TKL543"/>
      <c r="TKM543"/>
      <c r="TKN543"/>
      <c r="TKO543"/>
      <c r="TKP543"/>
      <c r="TKQ543"/>
      <c r="TKR543"/>
      <c r="TKS543"/>
      <c r="TKT543"/>
      <c r="TKU543"/>
      <c r="TKV543"/>
      <c r="TKW543"/>
      <c r="TKX543"/>
      <c r="TKY543"/>
      <c r="TKZ543"/>
      <c r="TLA543"/>
      <c r="TLB543"/>
      <c r="TLC543"/>
      <c r="TLD543"/>
      <c r="TLE543"/>
      <c r="TLF543"/>
      <c r="TLG543"/>
      <c r="TLH543"/>
      <c r="TLI543"/>
      <c r="TLJ543"/>
      <c r="TLK543"/>
      <c r="TLL543"/>
      <c r="TLM543"/>
      <c r="TLN543"/>
      <c r="TLO543"/>
      <c r="TLP543"/>
      <c r="TLQ543"/>
      <c r="TLR543"/>
      <c r="TLS543"/>
      <c r="TLT543"/>
      <c r="TLU543"/>
      <c r="TLV543"/>
      <c r="TLW543"/>
      <c r="TLX543"/>
      <c r="TLY543"/>
      <c r="TLZ543"/>
      <c r="TMA543"/>
      <c r="TMB543"/>
      <c r="TMC543"/>
      <c r="TMD543"/>
      <c r="TME543"/>
      <c r="TMF543"/>
      <c r="TMG543"/>
      <c r="TMH543"/>
      <c r="TMI543"/>
      <c r="TMJ543"/>
      <c r="TMK543"/>
      <c r="TML543"/>
      <c r="TMM543"/>
      <c r="TMN543"/>
      <c r="TMO543"/>
      <c r="TMP543"/>
      <c r="TMQ543"/>
      <c r="TMR543"/>
      <c r="TMS543"/>
      <c r="TMT543"/>
      <c r="TMU543"/>
      <c r="TMV543"/>
      <c r="TMW543"/>
      <c r="TMX543"/>
      <c r="TMY543"/>
      <c r="TMZ543"/>
      <c r="TNA543"/>
      <c r="TNB543"/>
      <c r="TNC543"/>
      <c r="TND543"/>
      <c r="TNE543"/>
      <c r="TNF543"/>
      <c r="TNG543"/>
      <c r="TNH543"/>
      <c r="TNI543"/>
      <c r="TNJ543"/>
      <c r="TNK543"/>
      <c r="TNL543"/>
      <c r="TNM543"/>
      <c r="TNN543"/>
      <c r="TNO543"/>
      <c r="TNP543"/>
      <c r="TNQ543"/>
      <c r="TNR543"/>
      <c r="TNS543"/>
      <c r="TNT543"/>
      <c r="TNU543"/>
      <c r="TNV543"/>
      <c r="TNW543"/>
      <c r="TNX543"/>
      <c r="TNY543"/>
      <c r="TNZ543"/>
      <c r="TOA543"/>
      <c r="TOB543"/>
      <c r="TOC543"/>
      <c r="TOD543"/>
      <c r="TOE543"/>
      <c r="TOF543"/>
      <c r="TOG543"/>
      <c r="TOH543"/>
      <c r="TOI543"/>
      <c r="TOJ543"/>
      <c r="TOK543"/>
      <c r="TOL543"/>
      <c r="TOM543"/>
      <c r="TON543"/>
      <c r="TOO543"/>
      <c r="TOP543"/>
      <c r="TOQ543"/>
      <c r="TOR543"/>
      <c r="TOS543"/>
      <c r="TOT543"/>
      <c r="TOU543"/>
      <c r="TOV543"/>
      <c r="TOW543"/>
      <c r="TOX543"/>
      <c r="TOY543"/>
      <c r="TOZ543"/>
      <c r="TPA543"/>
      <c r="TPB543"/>
      <c r="TPC543"/>
      <c r="TPD543"/>
      <c r="TPE543"/>
      <c r="TPF543"/>
      <c r="TPG543"/>
      <c r="TPH543"/>
      <c r="TPI543"/>
      <c r="TPJ543"/>
      <c r="TPK543"/>
      <c r="TPL543"/>
      <c r="TPM543"/>
      <c r="TPN543"/>
      <c r="TPO543"/>
      <c r="TPP543"/>
      <c r="TPQ543"/>
      <c r="TPR543"/>
      <c r="TPS543"/>
      <c r="TPT543"/>
      <c r="TPU543"/>
      <c r="TPV543"/>
      <c r="TPW543"/>
      <c r="TPX543"/>
      <c r="TPY543"/>
      <c r="TPZ543"/>
      <c r="TQA543"/>
      <c r="TQB543"/>
      <c r="TQC543"/>
      <c r="TQD543"/>
      <c r="TQE543"/>
      <c r="TQF543"/>
      <c r="TQG543"/>
      <c r="TQH543"/>
      <c r="TQI543"/>
      <c r="TQJ543"/>
      <c r="TQK543"/>
      <c r="TQL543"/>
      <c r="TQM543"/>
      <c r="TQN543"/>
      <c r="TQO543"/>
      <c r="TQP543"/>
      <c r="TQQ543"/>
      <c r="TQR543"/>
      <c r="TQS543"/>
      <c r="TQT543"/>
      <c r="TQU543"/>
      <c r="TQV543"/>
      <c r="TQW543"/>
      <c r="TQX543"/>
      <c r="TQY543"/>
      <c r="TQZ543"/>
      <c r="TRA543"/>
      <c r="TRB543"/>
      <c r="TRC543"/>
      <c r="TRD543"/>
      <c r="TRE543"/>
      <c r="TRF543"/>
      <c r="TRG543"/>
      <c r="TRH543"/>
      <c r="TRI543"/>
      <c r="TRJ543"/>
      <c r="TRK543"/>
      <c r="TRL543"/>
      <c r="TRM543"/>
      <c r="TRN543"/>
      <c r="TRO543"/>
      <c r="TRP543"/>
      <c r="TRQ543"/>
      <c r="TRR543"/>
      <c r="TRS543"/>
      <c r="TRT543"/>
      <c r="TRU543"/>
      <c r="TRV543"/>
      <c r="TRW543"/>
      <c r="TRX543"/>
      <c r="TRY543"/>
      <c r="TRZ543"/>
      <c r="TSA543"/>
      <c r="TSB543"/>
      <c r="TSC543"/>
      <c r="TSD543"/>
      <c r="TSE543"/>
      <c r="TSF543"/>
      <c r="TSG543"/>
      <c r="TSH543"/>
      <c r="TSI543"/>
      <c r="TSJ543"/>
      <c r="TSK543"/>
      <c r="TSL543"/>
      <c r="TSM543"/>
      <c r="TSN543"/>
      <c r="TSO543"/>
      <c r="TSP543"/>
      <c r="TSQ543"/>
      <c r="TSR543"/>
      <c r="TSS543"/>
      <c r="TST543"/>
      <c r="TSU543"/>
      <c r="TSV543"/>
      <c r="TSW543"/>
      <c r="TSX543"/>
      <c r="TSY543"/>
      <c r="TSZ543"/>
      <c r="TTA543"/>
      <c r="TTB543"/>
      <c r="TTC543"/>
      <c r="TTD543"/>
      <c r="TTE543"/>
      <c r="TTF543"/>
      <c r="TTG543"/>
      <c r="TTH543"/>
      <c r="TTI543"/>
      <c r="TTJ543"/>
      <c r="TTK543"/>
      <c r="TTL543"/>
      <c r="TTM543"/>
      <c r="TTN543"/>
      <c r="TTO543"/>
      <c r="TTP543"/>
      <c r="TTQ543"/>
      <c r="TTR543"/>
      <c r="TTS543"/>
      <c r="TTT543"/>
      <c r="TTU543"/>
      <c r="TTV543"/>
      <c r="TTW543"/>
      <c r="TTX543"/>
      <c r="TTY543"/>
      <c r="TTZ543"/>
      <c r="TUA543"/>
      <c r="TUB543"/>
      <c r="TUC543"/>
      <c r="TUD543"/>
      <c r="TUE543"/>
      <c r="TUF543"/>
      <c r="TUG543"/>
      <c r="TUH543"/>
      <c r="TUI543"/>
      <c r="TUJ543"/>
      <c r="TUK543"/>
      <c r="TUL543"/>
      <c r="TUM543"/>
      <c r="TUN543"/>
      <c r="TUO543"/>
      <c r="TUP543"/>
      <c r="TUQ543"/>
      <c r="TUR543"/>
      <c r="TUS543"/>
      <c r="TUT543"/>
      <c r="TUU543"/>
      <c r="TUV543"/>
      <c r="TUW543"/>
      <c r="TUX543"/>
      <c r="TUY543"/>
      <c r="TUZ543"/>
      <c r="TVA543"/>
      <c r="TVB543"/>
      <c r="TVC543"/>
      <c r="TVD543"/>
      <c r="TVE543"/>
      <c r="TVF543"/>
      <c r="TVG543"/>
      <c r="TVH543"/>
      <c r="TVI543"/>
      <c r="TVJ543"/>
      <c r="TVK543"/>
      <c r="TVL543"/>
      <c r="TVM543"/>
      <c r="TVN543"/>
      <c r="TVO543"/>
      <c r="TVP543"/>
      <c r="TVQ543"/>
      <c r="TVR543"/>
      <c r="TVS543"/>
      <c r="TVT543"/>
      <c r="TVU543"/>
      <c r="TVV543"/>
      <c r="TVW543"/>
      <c r="TVX543"/>
      <c r="TVY543"/>
      <c r="TVZ543"/>
      <c r="TWA543"/>
      <c r="TWB543"/>
      <c r="TWC543"/>
      <c r="TWD543"/>
      <c r="TWE543"/>
      <c r="TWF543"/>
      <c r="TWG543"/>
      <c r="TWH543"/>
      <c r="TWI543"/>
      <c r="TWJ543"/>
      <c r="TWK543"/>
      <c r="TWL543"/>
      <c r="TWM543"/>
      <c r="TWN543"/>
      <c r="TWO543"/>
      <c r="TWP543"/>
      <c r="TWQ543"/>
      <c r="TWR543"/>
      <c r="TWS543"/>
      <c r="TWT543"/>
      <c r="TWU543"/>
      <c r="TWV543"/>
      <c r="TWW543"/>
      <c r="TWX543"/>
      <c r="TWY543"/>
      <c r="TWZ543"/>
      <c r="TXA543"/>
      <c r="TXB543"/>
      <c r="TXC543"/>
      <c r="TXD543"/>
      <c r="TXE543"/>
      <c r="TXF543"/>
      <c r="TXG543"/>
      <c r="TXH543"/>
      <c r="TXI543"/>
      <c r="TXJ543"/>
      <c r="TXK543"/>
      <c r="TXL543"/>
      <c r="TXM543"/>
      <c r="TXN543"/>
      <c r="TXO543"/>
      <c r="TXP543"/>
      <c r="TXQ543"/>
      <c r="TXR543"/>
      <c r="TXS543"/>
      <c r="TXT543"/>
      <c r="TXU543"/>
      <c r="TXV543"/>
      <c r="TXW543"/>
      <c r="TXX543"/>
      <c r="TXY543"/>
      <c r="TXZ543"/>
      <c r="TYA543"/>
      <c r="TYB543"/>
      <c r="TYC543"/>
      <c r="TYD543"/>
      <c r="TYE543"/>
      <c r="TYF543"/>
      <c r="TYG543"/>
      <c r="TYH543"/>
      <c r="TYI543"/>
      <c r="TYJ543"/>
      <c r="TYK543"/>
      <c r="TYL543"/>
      <c r="TYM543"/>
      <c r="TYN543"/>
      <c r="TYO543"/>
      <c r="TYP543"/>
      <c r="TYQ543"/>
      <c r="TYR543"/>
      <c r="TYS543"/>
      <c r="TYT543"/>
      <c r="TYU543"/>
      <c r="TYV543"/>
      <c r="TYW543"/>
      <c r="TYX543"/>
      <c r="TYY543"/>
      <c r="TYZ543"/>
      <c r="TZA543"/>
      <c r="TZB543"/>
      <c r="TZC543"/>
      <c r="TZD543"/>
      <c r="TZE543"/>
      <c r="TZF543"/>
      <c r="TZG543"/>
      <c r="TZH543"/>
      <c r="TZI543"/>
      <c r="TZJ543"/>
      <c r="TZK543"/>
      <c r="TZL543"/>
      <c r="TZM543"/>
      <c r="TZN543"/>
      <c r="TZO543"/>
      <c r="TZP543"/>
      <c r="TZQ543"/>
      <c r="TZR543"/>
      <c r="TZS543"/>
      <c r="TZT543"/>
      <c r="TZU543"/>
      <c r="TZV543"/>
      <c r="TZW543"/>
      <c r="TZX543"/>
      <c r="TZY543"/>
      <c r="TZZ543"/>
      <c r="UAA543"/>
      <c r="UAB543"/>
      <c r="UAC543"/>
      <c r="UAD543"/>
      <c r="UAE543"/>
      <c r="UAF543"/>
      <c r="UAG543"/>
      <c r="UAH543"/>
      <c r="UAI543"/>
      <c r="UAJ543"/>
      <c r="UAK543"/>
      <c r="UAL543"/>
      <c r="UAM543"/>
      <c r="UAN543"/>
      <c r="UAO543"/>
      <c r="UAP543"/>
      <c r="UAQ543"/>
      <c r="UAR543"/>
      <c r="UAS543"/>
      <c r="UAT543"/>
      <c r="UAU543"/>
      <c r="UAV543"/>
      <c r="UAW543"/>
      <c r="UAX543"/>
      <c r="UAY543"/>
      <c r="UAZ543"/>
      <c r="UBA543"/>
      <c r="UBB543"/>
      <c r="UBC543"/>
      <c r="UBD543"/>
      <c r="UBE543"/>
      <c r="UBF543"/>
      <c r="UBG543"/>
      <c r="UBH543"/>
      <c r="UBI543"/>
      <c r="UBJ543"/>
      <c r="UBK543"/>
      <c r="UBL543"/>
      <c r="UBM543"/>
      <c r="UBN543"/>
      <c r="UBO543"/>
      <c r="UBP543"/>
      <c r="UBQ543"/>
      <c r="UBR543"/>
      <c r="UBS543"/>
      <c r="UBT543"/>
      <c r="UBU543"/>
      <c r="UBV543"/>
      <c r="UBW543"/>
      <c r="UBX543"/>
      <c r="UBY543"/>
      <c r="UBZ543"/>
      <c r="UCA543"/>
      <c r="UCB543"/>
      <c r="UCC543"/>
      <c r="UCD543"/>
      <c r="UCE543"/>
      <c r="UCF543"/>
      <c r="UCG543"/>
      <c r="UCH543"/>
      <c r="UCI543"/>
      <c r="UCJ543"/>
      <c r="UCK543"/>
      <c r="UCL543"/>
      <c r="UCM543"/>
      <c r="UCN543"/>
      <c r="UCO543"/>
      <c r="UCP543"/>
      <c r="UCQ543"/>
      <c r="UCR543"/>
      <c r="UCS543"/>
      <c r="UCT543"/>
      <c r="UCU543"/>
      <c r="UCV543"/>
      <c r="UCW543"/>
      <c r="UCX543"/>
      <c r="UCY543"/>
      <c r="UCZ543"/>
      <c r="UDA543"/>
      <c r="UDB543"/>
      <c r="UDC543"/>
      <c r="UDD543"/>
      <c r="UDE543"/>
      <c r="UDF543"/>
      <c r="UDG543"/>
      <c r="UDH543"/>
      <c r="UDI543"/>
      <c r="UDJ543"/>
      <c r="UDK543"/>
      <c r="UDL543"/>
      <c r="UDM543"/>
      <c r="UDN543"/>
      <c r="UDO543"/>
      <c r="UDP543"/>
      <c r="UDQ543"/>
      <c r="UDR543"/>
      <c r="UDS543"/>
      <c r="UDT543"/>
      <c r="UDU543"/>
      <c r="UDV543"/>
      <c r="UDW543"/>
      <c r="UDX543"/>
      <c r="UDY543"/>
      <c r="UDZ543"/>
      <c r="UEA543"/>
      <c r="UEB543"/>
      <c r="UEC543"/>
      <c r="UED543"/>
      <c r="UEE543"/>
      <c r="UEF543"/>
      <c r="UEG543"/>
      <c r="UEH543"/>
      <c r="UEI543"/>
      <c r="UEJ543"/>
      <c r="UEK543"/>
      <c r="UEL543"/>
      <c r="UEM543"/>
      <c r="UEN543"/>
      <c r="UEO543"/>
      <c r="UEP543"/>
      <c r="UEQ543"/>
      <c r="UER543"/>
      <c r="UES543"/>
      <c r="UET543"/>
      <c r="UEU543"/>
      <c r="UEV543"/>
      <c r="UEW543"/>
      <c r="UEX543"/>
      <c r="UEY543"/>
      <c r="UEZ543"/>
      <c r="UFA543"/>
      <c r="UFB543"/>
      <c r="UFC543"/>
      <c r="UFD543"/>
      <c r="UFE543"/>
      <c r="UFF543"/>
      <c r="UFG543"/>
      <c r="UFH543"/>
      <c r="UFI543"/>
      <c r="UFJ543"/>
      <c r="UFK543"/>
      <c r="UFL543"/>
      <c r="UFM543"/>
      <c r="UFN543"/>
      <c r="UFO543"/>
      <c r="UFP543"/>
      <c r="UFQ543"/>
      <c r="UFR543"/>
      <c r="UFS543"/>
      <c r="UFT543"/>
      <c r="UFU543"/>
      <c r="UFV543"/>
      <c r="UFW543"/>
      <c r="UFX543"/>
      <c r="UFY543"/>
      <c r="UFZ543"/>
      <c r="UGA543"/>
      <c r="UGB543"/>
      <c r="UGC543"/>
      <c r="UGD543"/>
      <c r="UGE543"/>
      <c r="UGF543"/>
      <c r="UGG543"/>
      <c r="UGH543"/>
      <c r="UGI543"/>
      <c r="UGJ543"/>
      <c r="UGK543"/>
      <c r="UGL543"/>
      <c r="UGM543"/>
      <c r="UGN543"/>
      <c r="UGO543"/>
      <c r="UGP543"/>
      <c r="UGQ543"/>
      <c r="UGR543"/>
      <c r="UGS543"/>
      <c r="UGT543"/>
      <c r="UGU543"/>
      <c r="UGV543"/>
      <c r="UGW543"/>
      <c r="UGX543"/>
      <c r="UGY543"/>
      <c r="UGZ543"/>
      <c r="UHA543"/>
      <c r="UHB543"/>
      <c r="UHC543"/>
      <c r="UHD543"/>
      <c r="UHE543"/>
      <c r="UHF543"/>
      <c r="UHG543"/>
      <c r="UHH543"/>
      <c r="UHI543"/>
      <c r="UHJ543"/>
      <c r="UHK543"/>
      <c r="UHL543"/>
      <c r="UHM543"/>
      <c r="UHN543"/>
      <c r="UHO543"/>
      <c r="UHP543"/>
      <c r="UHQ543"/>
      <c r="UHR543"/>
      <c r="UHS543"/>
      <c r="UHT543"/>
      <c r="UHU543"/>
      <c r="UHV543"/>
      <c r="UHW543"/>
      <c r="UHX543"/>
      <c r="UHY543"/>
      <c r="UHZ543"/>
      <c r="UIA543"/>
      <c r="UIB543"/>
      <c r="UIC543"/>
      <c r="UID543"/>
      <c r="UIE543"/>
      <c r="UIF543"/>
      <c r="UIG543"/>
      <c r="UIH543"/>
      <c r="UII543"/>
      <c r="UIJ543"/>
      <c r="UIK543"/>
      <c r="UIL543"/>
      <c r="UIM543"/>
      <c r="UIN543"/>
      <c r="UIO543"/>
      <c r="UIP543"/>
      <c r="UIQ543"/>
      <c r="UIR543"/>
      <c r="UIS543"/>
      <c r="UIT543"/>
      <c r="UIU543"/>
      <c r="UIV543"/>
      <c r="UIW543"/>
      <c r="UIX543"/>
      <c r="UIY543"/>
      <c r="UIZ543"/>
      <c r="UJA543"/>
      <c r="UJB543"/>
      <c r="UJC543"/>
      <c r="UJD543"/>
      <c r="UJE543"/>
      <c r="UJF543"/>
      <c r="UJG543"/>
      <c r="UJH543"/>
      <c r="UJI543"/>
      <c r="UJJ543"/>
      <c r="UJK543"/>
      <c r="UJL543"/>
      <c r="UJM543"/>
      <c r="UJN543"/>
      <c r="UJO543"/>
      <c r="UJP543"/>
      <c r="UJQ543"/>
      <c r="UJR543"/>
      <c r="UJS543"/>
      <c r="UJT543"/>
      <c r="UJU543"/>
      <c r="UJV543"/>
      <c r="UJW543"/>
      <c r="UJX543"/>
      <c r="UJY543"/>
      <c r="UJZ543"/>
      <c r="UKA543"/>
      <c r="UKB543"/>
      <c r="UKC543"/>
      <c r="UKD543"/>
      <c r="UKE543"/>
      <c r="UKF543"/>
      <c r="UKG543"/>
      <c r="UKH543"/>
      <c r="UKI543"/>
      <c r="UKJ543"/>
      <c r="UKK543"/>
      <c r="UKL543"/>
      <c r="UKM543"/>
      <c r="UKN543"/>
      <c r="UKO543"/>
      <c r="UKP543"/>
      <c r="UKQ543"/>
      <c r="UKR543"/>
      <c r="UKS543"/>
      <c r="UKT543"/>
      <c r="UKU543"/>
      <c r="UKV543"/>
      <c r="UKW543"/>
      <c r="UKX543"/>
      <c r="UKY543"/>
      <c r="UKZ543"/>
      <c r="ULA543"/>
      <c r="ULB543"/>
      <c r="ULC543"/>
      <c r="ULD543"/>
      <c r="ULE543"/>
      <c r="ULF543"/>
      <c r="ULG543"/>
      <c r="ULH543"/>
      <c r="ULI543"/>
      <c r="ULJ543"/>
      <c r="ULK543"/>
      <c r="ULL543"/>
      <c r="ULM543"/>
      <c r="ULN543"/>
      <c r="ULO543"/>
      <c r="ULP543"/>
      <c r="ULQ543"/>
      <c r="ULR543"/>
      <c r="ULS543"/>
      <c r="ULT543"/>
      <c r="ULU543"/>
      <c r="ULV543"/>
      <c r="ULW543"/>
      <c r="ULX543"/>
      <c r="ULY543"/>
      <c r="ULZ543"/>
      <c r="UMA543"/>
      <c r="UMB543"/>
      <c r="UMC543"/>
      <c r="UMD543"/>
      <c r="UME543"/>
      <c r="UMF543"/>
      <c r="UMG543"/>
      <c r="UMH543"/>
      <c r="UMI543"/>
      <c r="UMJ543"/>
      <c r="UMK543"/>
      <c r="UML543"/>
      <c r="UMM543"/>
      <c r="UMN543"/>
      <c r="UMO543"/>
      <c r="UMP543"/>
      <c r="UMQ543"/>
      <c r="UMR543"/>
      <c r="UMS543"/>
      <c r="UMT543"/>
      <c r="UMU543"/>
      <c r="UMV543"/>
      <c r="UMW543"/>
      <c r="UMX543"/>
      <c r="UMY543"/>
      <c r="UMZ543"/>
      <c r="UNA543"/>
      <c r="UNB543"/>
      <c r="UNC543"/>
      <c r="UND543"/>
      <c r="UNE543"/>
      <c r="UNF543"/>
      <c r="UNG543"/>
      <c r="UNH543"/>
      <c r="UNI543"/>
      <c r="UNJ543"/>
      <c r="UNK543"/>
      <c r="UNL543"/>
      <c r="UNM543"/>
      <c r="UNN543"/>
      <c r="UNO543"/>
      <c r="UNP543"/>
      <c r="UNQ543"/>
      <c r="UNR543"/>
      <c r="UNS543"/>
      <c r="UNT543"/>
      <c r="UNU543"/>
      <c r="UNV543"/>
      <c r="UNW543"/>
      <c r="UNX543"/>
      <c r="UNY543"/>
      <c r="UNZ543"/>
      <c r="UOA543"/>
      <c r="UOB543"/>
      <c r="UOC543"/>
      <c r="UOD543"/>
      <c r="UOE543"/>
      <c r="UOF543"/>
      <c r="UOG543"/>
      <c r="UOH543"/>
      <c r="UOI543"/>
      <c r="UOJ543"/>
      <c r="UOK543"/>
      <c r="UOL543"/>
      <c r="UOM543"/>
      <c r="UON543"/>
      <c r="UOO543"/>
      <c r="UOP543"/>
      <c r="UOQ543"/>
      <c r="UOR543"/>
      <c r="UOS543"/>
      <c r="UOT543"/>
      <c r="UOU543"/>
      <c r="UOV543"/>
      <c r="UOW543"/>
      <c r="UOX543"/>
      <c r="UOY543"/>
      <c r="UOZ543"/>
      <c r="UPA543"/>
      <c r="UPB543"/>
      <c r="UPC543"/>
      <c r="UPD543"/>
      <c r="UPE543"/>
      <c r="UPF543"/>
      <c r="UPG543"/>
      <c r="UPH543"/>
      <c r="UPI543"/>
      <c r="UPJ543"/>
      <c r="UPK543"/>
      <c r="UPL543"/>
      <c r="UPM543"/>
      <c r="UPN543"/>
      <c r="UPO543"/>
      <c r="UPP543"/>
      <c r="UPQ543"/>
      <c r="UPR543"/>
      <c r="UPS543"/>
      <c r="UPT543"/>
      <c r="UPU543"/>
      <c r="UPV543"/>
      <c r="UPW543"/>
      <c r="UPX543"/>
      <c r="UPY543"/>
      <c r="UPZ543"/>
      <c r="UQA543"/>
      <c r="UQB543"/>
      <c r="UQC543"/>
      <c r="UQD543"/>
      <c r="UQE543"/>
      <c r="UQF543"/>
      <c r="UQG543"/>
      <c r="UQH543"/>
      <c r="UQI543"/>
      <c r="UQJ543"/>
      <c r="UQK543"/>
      <c r="UQL543"/>
      <c r="UQM543"/>
      <c r="UQN543"/>
      <c r="UQO543"/>
      <c r="UQP543"/>
      <c r="UQQ543"/>
      <c r="UQR543"/>
      <c r="UQS543"/>
      <c r="UQT543"/>
      <c r="UQU543"/>
      <c r="UQV543"/>
      <c r="UQW543"/>
      <c r="UQX543"/>
      <c r="UQY543"/>
      <c r="UQZ543"/>
      <c r="URA543"/>
      <c r="URB543"/>
      <c r="URC543"/>
      <c r="URD543"/>
      <c r="URE543"/>
      <c r="URF543"/>
      <c r="URG543"/>
      <c r="URH543"/>
      <c r="URI543"/>
      <c r="URJ543"/>
      <c r="URK543"/>
      <c r="URL543"/>
      <c r="URM543"/>
      <c r="URN543"/>
      <c r="URO543"/>
      <c r="URP543"/>
      <c r="URQ543"/>
      <c r="URR543"/>
      <c r="URS543"/>
      <c r="URT543"/>
      <c r="URU543"/>
      <c r="URV543"/>
      <c r="URW543"/>
      <c r="URX543"/>
      <c r="URY543"/>
      <c r="URZ543"/>
      <c r="USA543"/>
      <c r="USB543"/>
      <c r="USC543"/>
      <c r="USD543"/>
      <c r="USE543"/>
      <c r="USF543"/>
      <c r="USG543"/>
      <c r="USH543"/>
      <c r="USI543"/>
      <c r="USJ543"/>
      <c r="USK543"/>
      <c r="USL543"/>
      <c r="USM543"/>
      <c r="USN543"/>
      <c r="USO543"/>
      <c r="USP543"/>
      <c r="USQ543"/>
      <c r="USR543"/>
      <c r="USS543"/>
      <c r="UST543"/>
      <c r="USU543"/>
      <c r="USV543"/>
      <c r="USW543"/>
      <c r="USX543"/>
      <c r="USY543"/>
      <c r="USZ543"/>
      <c r="UTA543"/>
      <c r="UTB543"/>
      <c r="UTC543"/>
      <c r="UTD543"/>
      <c r="UTE543"/>
      <c r="UTF543"/>
      <c r="UTG543"/>
      <c r="UTH543"/>
      <c r="UTI543"/>
      <c r="UTJ543"/>
      <c r="UTK543"/>
      <c r="UTL543"/>
      <c r="UTM543"/>
      <c r="UTN543"/>
      <c r="UTO543"/>
      <c r="UTP543"/>
      <c r="UTQ543"/>
      <c r="UTR543"/>
      <c r="UTS543"/>
      <c r="UTT543"/>
      <c r="UTU543"/>
      <c r="UTV543"/>
      <c r="UTW543"/>
      <c r="UTX543"/>
      <c r="UTY543"/>
      <c r="UTZ543"/>
      <c r="UUA543"/>
      <c r="UUB543"/>
      <c r="UUC543"/>
      <c r="UUD543"/>
      <c r="UUE543"/>
      <c r="UUF543"/>
      <c r="UUG543"/>
      <c r="UUH543"/>
      <c r="UUI543"/>
      <c r="UUJ543"/>
      <c r="UUK543"/>
      <c r="UUL543"/>
      <c r="UUM543"/>
      <c r="UUN543"/>
      <c r="UUO543"/>
      <c r="UUP543"/>
      <c r="UUQ543"/>
      <c r="UUR543"/>
      <c r="UUS543"/>
      <c r="UUT543"/>
      <c r="UUU543"/>
      <c r="UUV543"/>
      <c r="UUW543"/>
      <c r="UUX543"/>
      <c r="UUY543"/>
      <c r="UUZ543"/>
      <c r="UVA543"/>
      <c r="UVB543"/>
      <c r="UVC543"/>
      <c r="UVD543"/>
      <c r="UVE543"/>
      <c r="UVF543"/>
      <c r="UVG543"/>
      <c r="UVH543"/>
      <c r="UVI543"/>
      <c r="UVJ543"/>
      <c r="UVK543"/>
      <c r="UVL543"/>
      <c r="UVM543"/>
      <c r="UVN543"/>
      <c r="UVO543"/>
      <c r="UVP543"/>
      <c r="UVQ543"/>
      <c r="UVR543"/>
      <c r="UVS543"/>
      <c r="UVT543"/>
      <c r="UVU543"/>
      <c r="UVV543"/>
      <c r="UVW543"/>
      <c r="UVX543"/>
      <c r="UVY543"/>
      <c r="UVZ543"/>
      <c r="UWA543"/>
      <c r="UWB543"/>
      <c r="UWC543"/>
      <c r="UWD543"/>
      <c r="UWE543"/>
      <c r="UWF543"/>
      <c r="UWG543"/>
      <c r="UWH543"/>
      <c r="UWI543"/>
      <c r="UWJ543"/>
      <c r="UWK543"/>
      <c r="UWL543"/>
      <c r="UWM543"/>
      <c r="UWN543"/>
      <c r="UWO543"/>
      <c r="UWP543"/>
      <c r="UWQ543"/>
      <c r="UWR543"/>
      <c r="UWS543"/>
      <c r="UWT543"/>
      <c r="UWU543"/>
      <c r="UWV543"/>
      <c r="UWW543"/>
      <c r="UWX543"/>
      <c r="UWY543"/>
      <c r="UWZ543"/>
      <c r="UXA543"/>
      <c r="UXB543"/>
      <c r="UXC543"/>
      <c r="UXD543"/>
      <c r="UXE543"/>
      <c r="UXF543"/>
      <c r="UXG543"/>
      <c r="UXH543"/>
      <c r="UXI543"/>
      <c r="UXJ543"/>
      <c r="UXK543"/>
      <c r="UXL543"/>
      <c r="UXM543"/>
      <c r="UXN543"/>
      <c r="UXO543"/>
      <c r="UXP543"/>
      <c r="UXQ543"/>
      <c r="UXR543"/>
      <c r="UXS543"/>
      <c r="UXT543"/>
      <c r="UXU543"/>
      <c r="UXV543"/>
      <c r="UXW543"/>
      <c r="UXX543"/>
      <c r="UXY543"/>
      <c r="UXZ543"/>
      <c r="UYA543"/>
      <c r="UYB543"/>
      <c r="UYC543"/>
      <c r="UYD543"/>
      <c r="UYE543"/>
      <c r="UYF543"/>
      <c r="UYG543"/>
      <c r="UYH543"/>
      <c r="UYI543"/>
      <c r="UYJ543"/>
      <c r="UYK543"/>
      <c r="UYL543"/>
      <c r="UYM543"/>
      <c r="UYN543"/>
      <c r="UYO543"/>
      <c r="UYP543"/>
      <c r="UYQ543"/>
      <c r="UYR543"/>
      <c r="UYS543"/>
      <c r="UYT543"/>
      <c r="UYU543"/>
      <c r="UYV543"/>
      <c r="UYW543"/>
      <c r="UYX543"/>
      <c r="UYY543"/>
      <c r="UYZ543"/>
      <c r="UZA543"/>
      <c r="UZB543"/>
      <c r="UZC543"/>
      <c r="UZD543"/>
      <c r="UZE543"/>
      <c r="UZF543"/>
      <c r="UZG543"/>
      <c r="UZH543"/>
      <c r="UZI543"/>
      <c r="UZJ543"/>
      <c r="UZK543"/>
      <c r="UZL543"/>
      <c r="UZM543"/>
      <c r="UZN543"/>
      <c r="UZO543"/>
      <c r="UZP543"/>
      <c r="UZQ543"/>
      <c r="UZR543"/>
      <c r="UZS543"/>
      <c r="UZT543"/>
      <c r="UZU543"/>
      <c r="UZV543"/>
      <c r="UZW543"/>
      <c r="UZX543"/>
      <c r="UZY543"/>
      <c r="UZZ543"/>
      <c r="VAA543"/>
      <c r="VAB543"/>
      <c r="VAC543"/>
      <c r="VAD543"/>
      <c r="VAE543"/>
      <c r="VAF543"/>
      <c r="VAG543"/>
      <c r="VAH543"/>
      <c r="VAI543"/>
      <c r="VAJ543"/>
      <c r="VAK543"/>
      <c r="VAL543"/>
      <c r="VAM543"/>
      <c r="VAN543"/>
      <c r="VAO543"/>
      <c r="VAP543"/>
      <c r="VAQ543"/>
      <c r="VAR543"/>
      <c r="VAS543"/>
      <c r="VAT543"/>
      <c r="VAU543"/>
      <c r="VAV543"/>
      <c r="VAW543"/>
      <c r="VAX543"/>
      <c r="VAY543"/>
      <c r="VAZ543"/>
      <c r="VBA543"/>
      <c r="VBB543"/>
      <c r="VBC543"/>
      <c r="VBD543"/>
      <c r="VBE543"/>
      <c r="VBF543"/>
      <c r="VBG543"/>
      <c r="VBH543"/>
      <c r="VBI543"/>
      <c r="VBJ543"/>
      <c r="VBK543"/>
      <c r="VBL543"/>
      <c r="VBM543"/>
      <c r="VBN543"/>
      <c r="VBO543"/>
      <c r="VBP543"/>
      <c r="VBQ543"/>
      <c r="VBR543"/>
      <c r="VBS543"/>
      <c r="VBT543"/>
      <c r="VBU543"/>
      <c r="VBV543"/>
      <c r="VBW543"/>
      <c r="VBX543"/>
      <c r="VBY543"/>
      <c r="VBZ543"/>
      <c r="VCA543"/>
      <c r="VCB543"/>
      <c r="VCC543"/>
      <c r="VCD543"/>
      <c r="VCE543"/>
      <c r="VCF543"/>
      <c r="VCG543"/>
      <c r="VCH543"/>
      <c r="VCI543"/>
      <c r="VCJ543"/>
      <c r="VCK543"/>
      <c r="VCL543"/>
      <c r="VCM543"/>
      <c r="VCN543"/>
      <c r="VCO543"/>
      <c r="VCP543"/>
      <c r="VCQ543"/>
      <c r="VCR543"/>
      <c r="VCS543"/>
      <c r="VCT543"/>
      <c r="VCU543"/>
      <c r="VCV543"/>
      <c r="VCW543"/>
      <c r="VCX543"/>
      <c r="VCY543"/>
      <c r="VCZ543"/>
      <c r="VDA543"/>
      <c r="VDB543"/>
      <c r="VDC543"/>
      <c r="VDD543"/>
      <c r="VDE543"/>
      <c r="VDF543"/>
      <c r="VDG543"/>
      <c r="VDH543"/>
      <c r="VDI543"/>
      <c r="VDJ543"/>
      <c r="VDK543"/>
      <c r="VDL543"/>
      <c r="VDM543"/>
      <c r="VDN543"/>
      <c r="VDO543"/>
      <c r="VDP543"/>
      <c r="VDQ543"/>
      <c r="VDR543"/>
      <c r="VDS543"/>
      <c r="VDT543"/>
      <c r="VDU543"/>
      <c r="VDV543"/>
      <c r="VDW543"/>
      <c r="VDX543"/>
      <c r="VDY543"/>
      <c r="VDZ543"/>
      <c r="VEA543"/>
      <c r="VEB543"/>
      <c r="VEC543"/>
      <c r="VED543"/>
      <c r="VEE543"/>
      <c r="VEF543"/>
      <c r="VEG543"/>
      <c r="VEH543"/>
      <c r="VEI543"/>
      <c r="VEJ543"/>
      <c r="VEK543"/>
      <c r="VEL543"/>
      <c r="VEM543"/>
      <c r="VEN543"/>
      <c r="VEO543"/>
      <c r="VEP543"/>
      <c r="VEQ543"/>
      <c r="VER543"/>
      <c r="VES543"/>
      <c r="VET543"/>
      <c r="VEU543"/>
      <c r="VEV543"/>
      <c r="VEW543"/>
      <c r="VEX543"/>
      <c r="VEY543"/>
      <c r="VEZ543"/>
      <c r="VFA543"/>
      <c r="VFB543"/>
      <c r="VFC543"/>
      <c r="VFD543"/>
      <c r="VFE543"/>
      <c r="VFF543"/>
      <c r="VFG543"/>
      <c r="VFH543"/>
      <c r="VFI543"/>
      <c r="VFJ543"/>
      <c r="VFK543"/>
      <c r="VFL543"/>
      <c r="VFM543"/>
      <c r="VFN543"/>
      <c r="VFO543"/>
      <c r="VFP543"/>
      <c r="VFQ543"/>
      <c r="VFR543"/>
      <c r="VFS543"/>
      <c r="VFT543"/>
      <c r="VFU543"/>
      <c r="VFV543"/>
      <c r="VFW543"/>
      <c r="VFX543"/>
      <c r="VFY543"/>
      <c r="VFZ543"/>
      <c r="VGA543"/>
      <c r="VGB543"/>
      <c r="VGC543"/>
      <c r="VGD543"/>
      <c r="VGE543"/>
      <c r="VGF543"/>
      <c r="VGG543"/>
      <c r="VGH543"/>
      <c r="VGI543"/>
      <c r="VGJ543"/>
      <c r="VGK543"/>
      <c r="VGL543"/>
      <c r="VGM543"/>
      <c r="VGN543"/>
      <c r="VGO543"/>
      <c r="VGP543"/>
      <c r="VGQ543"/>
      <c r="VGR543"/>
      <c r="VGS543"/>
      <c r="VGT543"/>
      <c r="VGU543"/>
      <c r="VGV543"/>
      <c r="VGW543"/>
      <c r="VGX543"/>
      <c r="VGY543"/>
      <c r="VGZ543"/>
      <c r="VHA543"/>
      <c r="VHB543"/>
      <c r="VHC543"/>
      <c r="VHD543"/>
      <c r="VHE543"/>
      <c r="VHF543"/>
      <c r="VHG543"/>
      <c r="VHH543"/>
      <c r="VHI543"/>
      <c r="VHJ543"/>
      <c r="VHK543"/>
      <c r="VHL543"/>
      <c r="VHM543"/>
      <c r="VHN543"/>
      <c r="VHO543"/>
      <c r="VHP543"/>
      <c r="VHQ543"/>
      <c r="VHR543"/>
      <c r="VHS543"/>
      <c r="VHT543"/>
      <c r="VHU543"/>
      <c r="VHV543"/>
      <c r="VHW543"/>
      <c r="VHX543"/>
      <c r="VHY543"/>
      <c r="VHZ543"/>
      <c r="VIA543"/>
      <c r="VIB543"/>
      <c r="VIC543"/>
      <c r="VID543"/>
      <c r="VIE543"/>
      <c r="VIF543"/>
      <c r="VIG543"/>
      <c r="VIH543"/>
      <c r="VII543"/>
      <c r="VIJ543"/>
      <c r="VIK543"/>
      <c r="VIL543"/>
      <c r="VIM543"/>
      <c r="VIN543"/>
      <c r="VIO543"/>
      <c r="VIP543"/>
      <c r="VIQ543"/>
      <c r="VIR543"/>
      <c r="VIS543"/>
      <c r="VIT543"/>
      <c r="VIU543"/>
      <c r="VIV543"/>
      <c r="VIW543"/>
      <c r="VIX543"/>
      <c r="VIY543"/>
      <c r="VIZ543"/>
      <c r="VJA543"/>
      <c r="VJB543"/>
      <c r="VJC543"/>
      <c r="VJD543"/>
      <c r="VJE543"/>
      <c r="VJF543"/>
      <c r="VJG543"/>
      <c r="VJH543"/>
      <c r="VJI543"/>
      <c r="VJJ543"/>
      <c r="VJK543"/>
      <c r="VJL543"/>
      <c r="VJM543"/>
      <c r="VJN543"/>
      <c r="VJO543"/>
      <c r="VJP543"/>
      <c r="VJQ543"/>
      <c r="VJR543"/>
      <c r="VJS543"/>
      <c r="VJT543"/>
      <c r="VJU543"/>
      <c r="VJV543"/>
      <c r="VJW543"/>
      <c r="VJX543"/>
      <c r="VJY543"/>
      <c r="VJZ543"/>
      <c r="VKA543"/>
      <c r="VKB543"/>
      <c r="VKC543"/>
      <c r="VKD543"/>
      <c r="VKE543"/>
      <c r="VKF543"/>
      <c r="VKG543"/>
      <c r="VKH543"/>
      <c r="VKI543"/>
      <c r="VKJ543"/>
      <c r="VKK543"/>
      <c r="VKL543"/>
      <c r="VKM543"/>
      <c r="VKN543"/>
      <c r="VKO543"/>
      <c r="VKP543"/>
      <c r="VKQ543"/>
      <c r="VKR543"/>
      <c r="VKS543"/>
      <c r="VKT543"/>
      <c r="VKU543"/>
      <c r="VKV543"/>
      <c r="VKW543"/>
      <c r="VKX543"/>
      <c r="VKY543"/>
      <c r="VKZ543"/>
      <c r="VLA543"/>
      <c r="VLB543"/>
      <c r="VLC543"/>
      <c r="VLD543"/>
      <c r="VLE543"/>
      <c r="VLF543"/>
      <c r="VLG543"/>
      <c r="VLH543"/>
      <c r="VLI543"/>
      <c r="VLJ543"/>
      <c r="VLK543"/>
      <c r="VLL543"/>
      <c r="VLM543"/>
      <c r="VLN543"/>
      <c r="VLO543"/>
      <c r="VLP543"/>
      <c r="VLQ543"/>
      <c r="VLR543"/>
      <c r="VLS543"/>
      <c r="VLT543"/>
      <c r="VLU543"/>
      <c r="VLV543"/>
      <c r="VLW543"/>
      <c r="VLX543"/>
      <c r="VLY543"/>
      <c r="VLZ543"/>
      <c r="VMA543"/>
      <c r="VMB543"/>
      <c r="VMC543"/>
      <c r="VMD543"/>
      <c r="VME543"/>
      <c r="VMF543"/>
      <c r="VMG543"/>
      <c r="VMH543"/>
      <c r="VMI543"/>
      <c r="VMJ543"/>
      <c r="VMK543"/>
      <c r="VML543"/>
      <c r="VMM543"/>
      <c r="VMN543"/>
      <c r="VMO543"/>
      <c r="VMP543"/>
      <c r="VMQ543"/>
      <c r="VMR543"/>
      <c r="VMS543"/>
      <c r="VMT543"/>
      <c r="VMU543"/>
      <c r="VMV543"/>
      <c r="VMW543"/>
      <c r="VMX543"/>
      <c r="VMY543"/>
      <c r="VMZ543"/>
      <c r="VNA543"/>
      <c r="VNB543"/>
      <c r="VNC543"/>
      <c r="VND543"/>
      <c r="VNE543"/>
      <c r="VNF543"/>
      <c r="VNG543"/>
      <c r="VNH543"/>
      <c r="VNI543"/>
      <c r="VNJ543"/>
      <c r="VNK543"/>
      <c r="VNL543"/>
      <c r="VNM543"/>
      <c r="VNN543"/>
      <c r="VNO543"/>
      <c r="VNP543"/>
      <c r="VNQ543"/>
      <c r="VNR543"/>
      <c r="VNS543"/>
      <c r="VNT543"/>
      <c r="VNU543"/>
      <c r="VNV543"/>
      <c r="VNW543"/>
      <c r="VNX543"/>
      <c r="VNY543"/>
      <c r="VNZ543"/>
      <c r="VOA543"/>
      <c r="VOB543"/>
      <c r="VOC543"/>
      <c r="VOD543"/>
      <c r="VOE543"/>
      <c r="VOF543"/>
      <c r="VOG543"/>
      <c r="VOH543"/>
      <c r="VOI543"/>
      <c r="VOJ543"/>
      <c r="VOK543"/>
      <c r="VOL543"/>
      <c r="VOM543"/>
      <c r="VON543"/>
      <c r="VOO543"/>
      <c r="VOP543"/>
      <c r="VOQ543"/>
      <c r="VOR543"/>
      <c r="VOS543"/>
      <c r="VOT543"/>
      <c r="VOU543"/>
      <c r="VOV543"/>
      <c r="VOW543"/>
      <c r="VOX543"/>
      <c r="VOY543"/>
      <c r="VOZ543"/>
      <c r="VPA543"/>
      <c r="VPB543"/>
      <c r="VPC543"/>
      <c r="VPD543"/>
      <c r="VPE543"/>
      <c r="VPF543"/>
      <c r="VPG543"/>
      <c r="VPH543"/>
      <c r="VPI543"/>
      <c r="VPJ543"/>
      <c r="VPK543"/>
      <c r="VPL543"/>
      <c r="VPM543"/>
      <c r="VPN543"/>
      <c r="VPO543"/>
      <c r="VPP543"/>
      <c r="VPQ543"/>
      <c r="VPR543"/>
      <c r="VPS543"/>
      <c r="VPT543"/>
      <c r="VPU543"/>
      <c r="VPV543"/>
      <c r="VPW543"/>
      <c r="VPX543"/>
      <c r="VPY543"/>
      <c r="VPZ543"/>
      <c r="VQA543"/>
      <c r="VQB543"/>
      <c r="VQC543"/>
      <c r="VQD543"/>
      <c r="VQE543"/>
      <c r="VQF543"/>
      <c r="VQG543"/>
      <c r="VQH543"/>
      <c r="VQI543"/>
      <c r="VQJ543"/>
      <c r="VQK543"/>
      <c r="VQL543"/>
      <c r="VQM543"/>
      <c r="VQN543"/>
      <c r="VQO543"/>
      <c r="VQP543"/>
      <c r="VQQ543"/>
      <c r="VQR543"/>
      <c r="VQS543"/>
      <c r="VQT543"/>
      <c r="VQU543"/>
      <c r="VQV543"/>
      <c r="VQW543"/>
      <c r="VQX543"/>
      <c r="VQY543"/>
      <c r="VQZ543"/>
      <c r="VRA543"/>
      <c r="VRB543"/>
      <c r="VRC543"/>
      <c r="VRD543"/>
      <c r="VRE543"/>
      <c r="VRF543"/>
      <c r="VRG543"/>
      <c r="VRH543"/>
      <c r="VRI543"/>
      <c r="VRJ543"/>
      <c r="VRK543"/>
      <c r="VRL543"/>
      <c r="VRM543"/>
      <c r="VRN543"/>
      <c r="VRO543"/>
      <c r="VRP543"/>
      <c r="VRQ543"/>
      <c r="VRR543"/>
      <c r="VRS543"/>
      <c r="VRT543"/>
      <c r="VRU543"/>
      <c r="VRV543"/>
      <c r="VRW543"/>
      <c r="VRX543"/>
      <c r="VRY543"/>
      <c r="VRZ543"/>
      <c r="VSA543"/>
      <c r="VSB543"/>
      <c r="VSC543"/>
      <c r="VSD543"/>
      <c r="VSE543"/>
      <c r="VSF543"/>
      <c r="VSG543"/>
      <c r="VSH543"/>
      <c r="VSI543"/>
      <c r="VSJ543"/>
      <c r="VSK543"/>
      <c r="VSL543"/>
      <c r="VSM543"/>
      <c r="VSN543"/>
      <c r="VSO543"/>
      <c r="VSP543"/>
      <c r="VSQ543"/>
      <c r="VSR543"/>
      <c r="VSS543"/>
      <c r="VST543"/>
      <c r="VSU543"/>
      <c r="VSV543"/>
      <c r="VSW543"/>
      <c r="VSX543"/>
      <c r="VSY543"/>
      <c r="VSZ543"/>
      <c r="VTA543"/>
      <c r="VTB543"/>
      <c r="VTC543"/>
      <c r="VTD543"/>
      <c r="VTE543"/>
      <c r="VTF543"/>
      <c r="VTG543"/>
      <c r="VTH543"/>
      <c r="VTI543"/>
      <c r="VTJ543"/>
      <c r="VTK543"/>
      <c r="VTL543"/>
      <c r="VTM543"/>
      <c r="VTN543"/>
      <c r="VTO543"/>
      <c r="VTP543"/>
      <c r="VTQ543"/>
      <c r="VTR543"/>
      <c r="VTS543"/>
      <c r="VTT543"/>
      <c r="VTU543"/>
      <c r="VTV543"/>
      <c r="VTW543"/>
      <c r="VTX543"/>
      <c r="VTY543"/>
      <c r="VTZ543"/>
      <c r="VUA543"/>
      <c r="VUB543"/>
      <c r="VUC543"/>
      <c r="VUD543"/>
      <c r="VUE543"/>
      <c r="VUF543"/>
      <c r="VUG543"/>
      <c r="VUH543"/>
      <c r="VUI543"/>
      <c r="VUJ543"/>
      <c r="VUK543"/>
      <c r="VUL543"/>
      <c r="VUM543"/>
      <c r="VUN543"/>
      <c r="VUO543"/>
      <c r="VUP543"/>
      <c r="VUQ543"/>
      <c r="VUR543"/>
      <c r="VUS543"/>
      <c r="VUT543"/>
      <c r="VUU543"/>
      <c r="VUV543"/>
      <c r="VUW543"/>
      <c r="VUX543"/>
      <c r="VUY543"/>
      <c r="VUZ543"/>
      <c r="VVA543"/>
      <c r="VVB543"/>
      <c r="VVC543"/>
      <c r="VVD543"/>
      <c r="VVE543"/>
      <c r="VVF543"/>
      <c r="VVG543"/>
      <c r="VVH543"/>
      <c r="VVI543"/>
      <c r="VVJ543"/>
      <c r="VVK543"/>
      <c r="VVL543"/>
      <c r="VVM543"/>
      <c r="VVN543"/>
      <c r="VVO543"/>
      <c r="VVP543"/>
      <c r="VVQ543"/>
      <c r="VVR543"/>
      <c r="VVS543"/>
      <c r="VVT543"/>
      <c r="VVU543"/>
      <c r="VVV543"/>
      <c r="VVW543"/>
      <c r="VVX543"/>
      <c r="VVY543"/>
      <c r="VVZ543"/>
      <c r="VWA543"/>
      <c r="VWB543"/>
      <c r="VWC543"/>
      <c r="VWD543"/>
      <c r="VWE543"/>
      <c r="VWF543"/>
      <c r="VWG543"/>
      <c r="VWH543"/>
      <c r="VWI543"/>
      <c r="VWJ543"/>
      <c r="VWK543"/>
      <c r="VWL543"/>
      <c r="VWM543"/>
      <c r="VWN543"/>
      <c r="VWO543"/>
      <c r="VWP543"/>
      <c r="VWQ543"/>
      <c r="VWR543"/>
      <c r="VWS543"/>
      <c r="VWT543"/>
      <c r="VWU543"/>
      <c r="VWV543"/>
      <c r="VWW543"/>
      <c r="VWX543"/>
      <c r="VWY543"/>
      <c r="VWZ543"/>
      <c r="VXA543"/>
      <c r="VXB543"/>
      <c r="VXC543"/>
      <c r="VXD543"/>
      <c r="VXE543"/>
      <c r="VXF543"/>
      <c r="VXG543"/>
      <c r="VXH543"/>
      <c r="VXI543"/>
      <c r="VXJ543"/>
      <c r="VXK543"/>
      <c r="VXL543"/>
      <c r="VXM543"/>
      <c r="VXN543"/>
      <c r="VXO543"/>
      <c r="VXP543"/>
      <c r="VXQ543"/>
      <c r="VXR543"/>
      <c r="VXS543"/>
      <c r="VXT543"/>
      <c r="VXU543"/>
      <c r="VXV543"/>
      <c r="VXW543"/>
      <c r="VXX543"/>
      <c r="VXY543"/>
      <c r="VXZ543"/>
      <c r="VYA543"/>
      <c r="VYB543"/>
      <c r="VYC543"/>
      <c r="VYD543"/>
      <c r="VYE543"/>
      <c r="VYF543"/>
      <c r="VYG543"/>
      <c r="VYH543"/>
      <c r="VYI543"/>
      <c r="VYJ543"/>
      <c r="VYK543"/>
      <c r="VYL543"/>
      <c r="VYM543"/>
      <c r="VYN543"/>
      <c r="VYO543"/>
      <c r="VYP543"/>
      <c r="VYQ543"/>
      <c r="VYR543"/>
      <c r="VYS543"/>
      <c r="VYT543"/>
      <c r="VYU543"/>
      <c r="VYV543"/>
      <c r="VYW543"/>
      <c r="VYX543"/>
      <c r="VYY543"/>
      <c r="VYZ543"/>
      <c r="VZA543"/>
      <c r="VZB543"/>
      <c r="VZC543"/>
      <c r="VZD543"/>
      <c r="VZE543"/>
      <c r="VZF543"/>
      <c r="VZG543"/>
      <c r="VZH543"/>
      <c r="VZI543"/>
      <c r="VZJ543"/>
      <c r="VZK543"/>
      <c r="VZL543"/>
      <c r="VZM543"/>
      <c r="VZN543"/>
      <c r="VZO543"/>
      <c r="VZP543"/>
      <c r="VZQ543"/>
      <c r="VZR543"/>
      <c r="VZS543"/>
      <c r="VZT543"/>
      <c r="VZU543"/>
      <c r="VZV543"/>
      <c r="VZW543"/>
      <c r="VZX543"/>
      <c r="VZY543"/>
      <c r="VZZ543"/>
      <c r="WAA543"/>
      <c r="WAB543"/>
      <c r="WAC543"/>
      <c r="WAD543"/>
      <c r="WAE543"/>
      <c r="WAF543"/>
      <c r="WAG543"/>
      <c r="WAH543"/>
      <c r="WAI543"/>
      <c r="WAJ543"/>
      <c r="WAK543"/>
      <c r="WAL543"/>
      <c r="WAM543"/>
      <c r="WAN543"/>
      <c r="WAO543"/>
      <c r="WAP543"/>
      <c r="WAQ543"/>
      <c r="WAR543"/>
      <c r="WAS543"/>
      <c r="WAT543"/>
      <c r="WAU543"/>
      <c r="WAV543"/>
      <c r="WAW543"/>
      <c r="WAX543"/>
      <c r="WAY543"/>
      <c r="WAZ543"/>
      <c r="WBA543"/>
      <c r="WBB543"/>
      <c r="WBC543"/>
      <c r="WBD543"/>
      <c r="WBE543"/>
      <c r="WBF543"/>
      <c r="WBG543"/>
      <c r="WBH543"/>
      <c r="WBI543"/>
      <c r="WBJ543"/>
      <c r="WBK543"/>
      <c r="WBL543"/>
      <c r="WBM543"/>
      <c r="WBN543"/>
      <c r="WBO543"/>
      <c r="WBP543"/>
      <c r="WBQ543"/>
      <c r="WBR543"/>
      <c r="WBS543"/>
      <c r="WBT543"/>
      <c r="WBU543"/>
      <c r="WBV543"/>
      <c r="WBW543"/>
      <c r="WBX543"/>
      <c r="WBY543"/>
      <c r="WBZ543"/>
      <c r="WCA543"/>
      <c r="WCB543"/>
      <c r="WCC543"/>
      <c r="WCD543"/>
      <c r="WCE543"/>
      <c r="WCF543"/>
      <c r="WCG543"/>
      <c r="WCH543"/>
      <c r="WCI543"/>
      <c r="WCJ543"/>
      <c r="WCK543"/>
      <c r="WCL543"/>
      <c r="WCM543"/>
      <c r="WCN543"/>
      <c r="WCO543"/>
      <c r="WCP543"/>
      <c r="WCQ543"/>
      <c r="WCR543"/>
      <c r="WCS543"/>
      <c r="WCT543"/>
      <c r="WCU543"/>
      <c r="WCV543"/>
      <c r="WCW543"/>
      <c r="WCX543"/>
      <c r="WCY543"/>
      <c r="WCZ543"/>
      <c r="WDA543"/>
      <c r="WDB543"/>
      <c r="WDC543"/>
      <c r="WDD543"/>
      <c r="WDE543"/>
      <c r="WDF543"/>
      <c r="WDG543"/>
      <c r="WDH543"/>
      <c r="WDI543"/>
      <c r="WDJ543"/>
      <c r="WDK543"/>
      <c r="WDL543"/>
      <c r="WDM543"/>
      <c r="WDN543"/>
      <c r="WDO543"/>
      <c r="WDP543"/>
      <c r="WDQ543"/>
      <c r="WDR543"/>
      <c r="WDS543"/>
      <c r="WDT543"/>
      <c r="WDU543"/>
      <c r="WDV543"/>
      <c r="WDW543"/>
      <c r="WDX543"/>
      <c r="WDY543"/>
      <c r="WDZ543"/>
      <c r="WEA543"/>
      <c r="WEB543"/>
      <c r="WEC543"/>
      <c r="WED543"/>
      <c r="WEE543"/>
      <c r="WEF543"/>
      <c r="WEG543"/>
      <c r="WEH543"/>
      <c r="WEI543"/>
      <c r="WEJ543"/>
      <c r="WEK543"/>
      <c r="WEL543"/>
      <c r="WEM543"/>
      <c r="WEN543"/>
      <c r="WEO543"/>
      <c r="WEP543"/>
      <c r="WEQ543"/>
      <c r="WER543"/>
      <c r="WES543"/>
      <c r="WET543"/>
      <c r="WEU543"/>
      <c r="WEV543"/>
      <c r="WEW543"/>
      <c r="WEX543"/>
      <c r="WEY543"/>
      <c r="WEZ543"/>
      <c r="WFA543"/>
      <c r="WFB543"/>
      <c r="WFC543"/>
      <c r="WFD543"/>
      <c r="WFE543"/>
      <c r="WFF543"/>
      <c r="WFG543"/>
      <c r="WFH543"/>
      <c r="WFI543"/>
      <c r="WFJ543"/>
      <c r="WFK543"/>
      <c r="WFL543"/>
      <c r="WFM543"/>
      <c r="WFN543"/>
      <c r="WFO543"/>
      <c r="WFP543"/>
      <c r="WFQ543"/>
      <c r="WFR543"/>
      <c r="WFS543"/>
      <c r="WFT543"/>
      <c r="WFU543"/>
      <c r="WFV543"/>
      <c r="WFW543"/>
      <c r="WFX543"/>
      <c r="WFY543"/>
      <c r="WFZ543"/>
      <c r="WGA543"/>
      <c r="WGB543"/>
      <c r="WGC543"/>
      <c r="WGD543"/>
      <c r="WGE543"/>
      <c r="WGF543"/>
      <c r="WGG543"/>
      <c r="WGH543"/>
      <c r="WGI543"/>
      <c r="WGJ543"/>
      <c r="WGK543"/>
      <c r="WGL543"/>
      <c r="WGM543"/>
      <c r="WGN543"/>
      <c r="WGO543"/>
      <c r="WGP543"/>
      <c r="WGQ543"/>
      <c r="WGR543"/>
      <c r="WGS543"/>
      <c r="WGT543"/>
      <c r="WGU543"/>
      <c r="WGV543"/>
      <c r="WGW543"/>
      <c r="WGX543"/>
      <c r="WGY543"/>
      <c r="WGZ543"/>
      <c r="WHA543"/>
      <c r="WHB543"/>
      <c r="WHC543"/>
      <c r="WHD543"/>
      <c r="WHE543"/>
      <c r="WHF543"/>
      <c r="WHG543"/>
      <c r="WHH543"/>
      <c r="WHI543"/>
      <c r="WHJ543"/>
      <c r="WHK543"/>
      <c r="WHL543"/>
      <c r="WHM543"/>
      <c r="WHN543"/>
      <c r="WHO543"/>
      <c r="WHP543"/>
      <c r="WHQ543"/>
      <c r="WHR543"/>
      <c r="WHS543"/>
      <c r="WHT543"/>
      <c r="WHU543"/>
      <c r="WHV543"/>
      <c r="WHW543"/>
      <c r="WHX543"/>
      <c r="WHY543"/>
      <c r="WHZ543"/>
      <c r="WIA543"/>
      <c r="WIB543"/>
      <c r="WIC543"/>
      <c r="WID543"/>
      <c r="WIE543"/>
      <c r="WIF543"/>
      <c r="WIG543"/>
      <c r="WIH543"/>
      <c r="WII543"/>
      <c r="WIJ543"/>
      <c r="WIK543"/>
      <c r="WIL543"/>
      <c r="WIM543"/>
      <c r="WIN543"/>
      <c r="WIO543"/>
      <c r="WIP543"/>
      <c r="WIQ543"/>
      <c r="WIR543"/>
      <c r="WIS543"/>
      <c r="WIT543"/>
      <c r="WIU543"/>
      <c r="WIV543"/>
      <c r="WIW543"/>
      <c r="WIX543"/>
      <c r="WIY543"/>
      <c r="WIZ543"/>
      <c r="WJA543"/>
      <c r="WJB543"/>
      <c r="WJC543"/>
      <c r="WJD543"/>
      <c r="WJE543"/>
      <c r="WJF543"/>
      <c r="WJG543"/>
      <c r="WJH543"/>
      <c r="WJI543"/>
      <c r="WJJ543"/>
      <c r="WJK543"/>
      <c r="WJL543"/>
      <c r="WJM543"/>
      <c r="WJN543"/>
      <c r="WJO543"/>
      <c r="WJP543"/>
      <c r="WJQ543"/>
      <c r="WJR543"/>
      <c r="WJS543"/>
      <c r="WJT543"/>
      <c r="WJU543"/>
      <c r="WJV543"/>
      <c r="WJW543"/>
      <c r="WJX543"/>
      <c r="WJY543"/>
      <c r="WJZ543"/>
      <c r="WKA543"/>
      <c r="WKB543"/>
      <c r="WKC543"/>
      <c r="WKD543"/>
      <c r="WKE543"/>
      <c r="WKF543"/>
      <c r="WKG543"/>
      <c r="WKH543"/>
      <c r="WKI543"/>
      <c r="WKJ543"/>
      <c r="WKK543"/>
      <c r="WKL543"/>
      <c r="WKM543"/>
      <c r="WKN543"/>
      <c r="WKO543"/>
      <c r="WKP543"/>
      <c r="WKQ543"/>
      <c r="WKR543"/>
      <c r="WKS543"/>
      <c r="WKT543"/>
      <c r="WKU543"/>
      <c r="WKV543"/>
      <c r="WKW543"/>
      <c r="WKX543"/>
      <c r="WKY543"/>
      <c r="WKZ543"/>
      <c r="WLA543"/>
      <c r="WLB543"/>
      <c r="WLC543"/>
      <c r="WLD543"/>
      <c r="WLE543"/>
      <c r="WLF543"/>
      <c r="WLG543"/>
      <c r="WLH543"/>
      <c r="WLI543"/>
      <c r="WLJ543"/>
      <c r="WLK543"/>
      <c r="WLL543"/>
      <c r="WLM543"/>
      <c r="WLN543"/>
      <c r="WLO543"/>
      <c r="WLP543"/>
      <c r="WLQ543"/>
      <c r="WLR543"/>
      <c r="WLS543"/>
      <c r="WLT543"/>
      <c r="WLU543"/>
      <c r="WLV543"/>
      <c r="WLW543"/>
      <c r="WLX543"/>
      <c r="WLY543"/>
      <c r="WLZ543"/>
      <c r="WMA543"/>
      <c r="WMB543"/>
      <c r="WMC543"/>
      <c r="WMD543"/>
      <c r="WME543"/>
      <c r="WMF543"/>
      <c r="WMG543"/>
      <c r="WMH543"/>
      <c r="WMI543"/>
      <c r="WMJ543"/>
      <c r="WMK543"/>
      <c r="WML543"/>
      <c r="WMM543"/>
      <c r="WMN543"/>
      <c r="WMO543"/>
      <c r="WMP543"/>
      <c r="WMQ543"/>
      <c r="WMR543"/>
      <c r="WMS543"/>
      <c r="WMT543"/>
      <c r="WMU543"/>
      <c r="WMV543"/>
      <c r="WMW543"/>
      <c r="WMX543"/>
      <c r="WMY543"/>
      <c r="WMZ543"/>
      <c r="WNA543"/>
      <c r="WNB543"/>
      <c r="WNC543"/>
      <c r="WND543"/>
      <c r="WNE543"/>
      <c r="WNF543"/>
      <c r="WNG543"/>
      <c r="WNH543"/>
      <c r="WNI543"/>
      <c r="WNJ543"/>
      <c r="WNK543"/>
      <c r="WNL543"/>
      <c r="WNM543"/>
      <c r="WNN543"/>
      <c r="WNO543"/>
      <c r="WNP543"/>
      <c r="WNQ543"/>
      <c r="WNR543"/>
      <c r="WNS543"/>
      <c r="WNT543"/>
      <c r="WNU543"/>
      <c r="WNV543"/>
      <c r="WNW543"/>
      <c r="WNX543"/>
      <c r="WNY543"/>
      <c r="WNZ543"/>
      <c r="WOA543"/>
      <c r="WOB543"/>
      <c r="WOC543"/>
      <c r="WOD543"/>
      <c r="WOE543"/>
      <c r="WOF543"/>
      <c r="WOG543"/>
      <c r="WOH543"/>
      <c r="WOI543"/>
      <c r="WOJ543"/>
      <c r="WOK543"/>
      <c r="WOL543"/>
      <c r="WOM543"/>
      <c r="WON543"/>
      <c r="WOO543"/>
      <c r="WOP543"/>
      <c r="WOQ543"/>
      <c r="WOR543"/>
      <c r="WOS543"/>
      <c r="WOT543"/>
      <c r="WOU543"/>
      <c r="WOV543"/>
      <c r="WOW543"/>
      <c r="WOX543"/>
      <c r="WOY543"/>
      <c r="WOZ543"/>
      <c r="WPA543"/>
      <c r="WPB543"/>
      <c r="WPC543"/>
      <c r="WPD543"/>
      <c r="WPE543"/>
      <c r="WPF543"/>
      <c r="WPG543"/>
      <c r="WPH543"/>
      <c r="WPI543"/>
      <c r="WPJ543"/>
      <c r="WPK543"/>
      <c r="WPL543"/>
      <c r="WPM543"/>
      <c r="WPN543"/>
      <c r="WPO543"/>
      <c r="WPP543"/>
      <c r="WPQ543"/>
      <c r="WPR543"/>
      <c r="WPS543"/>
      <c r="WPT543"/>
      <c r="WPU543"/>
      <c r="WPV543"/>
      <c r="WPW543"/>
      <c r="WPX543"/>
      <c r="WPY543"/>
      <c r="WPZ543"/>
      <c r="WQA543"/>
      <c r="WQB543"/>
      <c r="WQC543"/>
      <c r="WQD543"/>
      <c r="WQE543"/>
      <c r="WQF543"/>
      <c r="WQG543"/>
      <c r="WQH543"/>
      <c r="WQI543"/>
      <c r="WQJ543"/>
      <c r="WQK543"/>
      <c r="WQL543"/>
      <c r="WQM543"/>
      <c r="WQN543"/>
      <c r="WQO543"/>
      <c r="WQP543"/>
      <c r="WQQ543"/>
      <c r="WQR543"/>
      <c r="WQS543"/>
      <c r="WQT543"/>
      <c r="WQU543"/>
      <c r="WQV543"/>
      <c r="WQW543"/>
      <c r="WQX543"/>
      <c r="WQY543"/>
      <c r="WQZ543"/>
      <c r="WRA543"/>
      <c r="WRB543"/>
      <c r="WRC543"/>
      <c r="WRD543"/>
      <c r="WRE543"/>
      <c r="WRF543"/>
      <c r="WRG543"/>
      <c r="WRH543"/>
      <c r="WRI543"/>
      <c r="WRJ543"/>
      <c r="WRK543"/>
      <c r="WRL543"/>
      <c r="WRM543"/>
      <c r="WRN543"/>
      <c r="WRO543"/>
      <c r="WRP543"/>
      <c r="WRQ543"/>
      <c r="WRR543"/>
      <c r="WRS543"/>
      <c r="WRT543"/>
      <c r="WRU543"/>
      <c r="WRV543"/>
      <c r="WRW543"/>
      <c r="WRX543"/>
      <c r="WRY543"/>
      <c r="WRZ543"/>
      <c r="WSA543"/>
      <c r="WSB543"/>
      <c r="WSC543"/>
      <c r="WSD543"/>
      <c r="WSE543"/>
      <c r="WSF543"/>
      <c r="WSG543"/>
      <c r="WSH543"/>
      <c r="WSI543"/>
      <c r="WSJ543"/>
      <c r="WSK543"/>
      <c r="WSL543"/>
      <c r="WSM543"/>
      <c r="WSN543"/>
      <c r="WSO543"/>
      <c r="WSP543"/>
      <c r="WSQ543"/>
      <c r="WSR543"/>
      <c r="WSS543"/>
      <c r="WST543"/>
      <c r="WSU543"/>
      <c r="WSV543"/>
      <c r="WSW543"/>
      <c r="WSX543"/>
      <c r="WSY543"/>
      <c r="WSZ543"/>
      <c r="WTA543"/>
      <c r="WTB543"/>
      <c r="WTC543"/>
      <c r="WTD543"/>
      <c r="WTE543"/>
      <c r="WTF543"/>
      <c r="WTG543"/>
      <c r="WTH543"/>
      <c r="WTI543"/>
      <c r="WTJ543"/>
      <c r="WTK543"/>
      <c r="WTL543"/>
      <c r="WTM543"/>
      <c r="WTN543"/>
      <c r="WTO543"/>
      <c r="WTP543"/>
      <c r="WTQ543"/>
      <c r="WTR543"/>
      <c r="WTS543"/>
      <c r="WTT543"/>
      <c r="WTU543"/>
      <c r="WTV543"/>
      <c r="WTW543"/>
      <c r="WTX543"/>
      <c r="WTY543"/>
      <c r="WTZ543"/>
      <c r="WUA543"/>
      <c r="WUB543"/>
      <c r="WUC543"/>
      <c r="WUD543"/>
      <c r="WUE543"/>
      <c r="WUF543"/>
      <c r="WUG543"/>
      <c r="WUH543"/>
      <c r="WUI543"/>
      <c r="WUJ543"/>
      <c r="WUK543"/>
      <c r="WUL543"/>
      <c r="WUM543"/>
      <c r="WUN543"/>
      <c r="WUO543"/>
      <c r="WUP543"/>
      <c r="WUQ543"/>
      <c r="WUR543"/>
      <c r="WUS543"/>
      <c r="WUT543"/>
      <c r="WUU543"/>
      <c r="WUV543"/>
      <c r="WUW543"/>
      <c r="WUX543"/>
      <c r="WUY543"/>
      <c r="WUZ543"/>
      <c r="WVA543"/>
      <c r="WVB543"/>
      <c r="WVC543"/>
      <c r="WVD543"/>
      <c r="WVE543"/>
      <c r="WVF543"/>
      <c r="WVG543"/>
      <c r="WVH543"/>
      <c r="WVI543"/>
      <c r="WVJ543"/>
      <c r="WVK543"/>
      <c r="WVL543"/>
      <c r="WVM543"/>
      <c r="WVN543"/>
      <c r="WVO543"/>
      <c r="WVP543"/>
      <c r="WVQ543"/>
      <c r="WVR543"/>
      <c r="WVS543"/>
      <c r="WVT543"/>
      <c r="WVU543"/>
      <c r="WVV543"/>
      <c r="WVW543"/>
      <c r="WVX543"/>
      <c r="WVY543"/>
      <c r="WVZ543"/>
      <c r="WWA543"/>
      <c r="WWB543"/>
      <c r="WWC543"/>
      <c r="WWD543"/>
      <c r="WWE543"/>
      <c r="WWF543"/>
      <c r="WWG543"/>
      <c r="WWH543"/>
      <c r="WWI543"/>
      <c r="WWJ543"/>
      <c r="WWK543"/>
      <c r="WWL543"/>
      <c r="WWM543"/>
      <c r="WWN543"/>
      <c r="WWO543"/>
      <c r="WWP543"/>
      <c r="WWQ543"/>
      <c r="WWR543"/>
      <c r="WWS543"/>
      <c r="WWT543"/>
      <c r="WWU543"/>
      <c r="WWV543"/>
      <c r="WWW543"/>
      <c r="WWX543"/>
      <c r="WWY543"/>
      <c r="WWZ543"/>
      <c r="WXA543"/>
      <c r="WXB543"/>
      <c r="WXC543"/>
      <c r="WXD543"/>
      <c r="WXE543"/>
      <c r="WXF543"/>
      <c r="WXG543"/>
      <c r="WXH543"/>
      <c r="WXI543"/>
      <c r="WXJ543"/>
      <c r="WXK543"/>
      <c r="WXL543"/>
      <c r="WXM543"/>
      <c r="WXN543"/>
      <c r="WXO543"/>
      <c r="WXP543"/>
      <c r="WXQ543"/>
      <c r="WXR543"/>
      <c r="WXS543"/>
      <c r="WXT543"/>
      <c r="WXU543"/>
      <c r="WXV543"/>
      <c r="WXW543"/>
      <c r="WXX543"/>
      <c r="WXY543"/>
      <c r="WXZ543"/>
      <c r="WYA543"/>
      <c r="WYB543"/>
      <c r="WYC543"/>
      <c r="WYD543"/>
      <c r="WYE543"/>
      <c r="WYF543"/>
      <c r="WYG543"/>
      <c r="WYH543"/>
      <c r="WYI543"/>
      <c r="WYJ543"/>
      <c r="WYK543"/>
      <c r="WYL543"/>
      <c r="WYM543"/>
      <c r="WYN543"/>
      <c r="WYO543"/>
      <c r="WYP543"/>
      <c r="WYQ543"/>
      <c r="WYR543"/>
      <c r="WYS543"/>
      <c r="WYT543"/>
      <c r="WYU543"/>
      <c r="WYV543"/>
      <c r="WYW543"/>
      <c r="WYX543"/>
      <c r="WYY543"/>
      <c r="WYZ543"/>
      <c r="WZA543"/>
      <c r="WZB543"/>
      <c r="WZC543"/>
      <c r="WZD543"/>
      <c r="WZE543"/>
      <c r="WZF543"/>
      <c r="WZG543"/>
      <c r="WZH543"/>
      <c r="WZI543"/>
      <c r="WZJ543"/>
      <c r="WZK543"/>
      <c r="WZL543"/>
      <c r="WZM543"/>
      <c r="WZN543"/>
      <c r="WZO543"/>
      <c r="WZP543"/>
      <c r="WZQ543"/>
      <c r="WZR543"/>
      <c r="WZS543"/>
      <c r="WZT543"/>
      <c r="WZU543"/>
      <c r="WZV543"/>
      <c r="WZW543"/>
      <c r="WZX543"/>
      <c r="WZY543"/>
      <c r="WZZ543"/>
      <c r="XAA543"/>
      <c r="XAB543"/>
      <c r="XAC543"/>
      <c r="XAD543"/>
      <c r="XAE543"/>
      <c r="XAF543"/>
      <c r="XAG543"/>
      <c r="XAH543"/>
      <c r="XAI543"/>
      <c r="XAJ543"/>
      <c r="XAK543"/>
      <c r="XAL543"/>
      <c r="XAM543"/>
      <c r="XAN543"/>
      <c r="XAO543"/>
      <c r="XAP543"/>
      <c r="XAQ543"/>
      <c r="XAR543"/>
      <c r="XAS543"/>
      <c r="XAT543"/>
      <c r="XAU543"/>
      <c r="XAV543"/>
      <c r="XAW543"/>
      <c r="XAX543"/>
      <c r="XAY543"/>
      <c r="XAZ543"/>
      <c r="XBA543"/>
      <c r="XBB543"/>
      <c r="XBC543"/>
      <c r="XBD543"/>
      <c r="XBE543"/>
      <c r="XBF543"/>
      <c r="XBG543"/>
      <c r="XBH543"/>
      <c r="XBI543"/>
      <c r="XBJ543"/>
      <c r="XBK543"/>
      <c r="XBL543"/>
      <c r="XBM543"/>
      <c r="XBN543"/>
      <c r="XBO543"/>
      <c r="XBP543"/>
      <c r="XBQ543"/>
      <c r="XBR543"/>
      <c r="XBS543"/>
      <c r="XBT543"/>
      <c r="XBU543"/>
      <c r="XBV543"/>
      <c r="XBW543"/>
      <c r="XBX543"/>
      <c r="XBY543"/>
      <c r="XBZ543"/>
      <c r="XCA543"/>
      <c r="XCB543"/>
      <c r="XCC543"/>
      <c r="XCD543"/>
      <c r="XCE543"/>
      <c r="XCF543"/>
      <c r="XCG543"/>
      <c r="XCH543"/>
      <c r="XCI543"/>
      <c r="XCJ543"/>
      <c r="XCK543"/>
      <c r="XCL543"/>
      <c r="XCM543"/>
      <c r="XCN543"/>
      <c r="XCO543"/>
      <c r="XCP543"/>
      <c r="XCQ543"/>
      <c r="XCR543"/>
      <c r="XCS543"/>
      <c r="XCT543"/>
      <c r="XCU543"/>
      <c r="XCV543"/>
      <c r="XCW543"/>
      <c r="XCX543"/>
      <c r="XCY543"/>
      <c r="XCZ543"/>
      <c r="XDA543"/>
      <c r="XDB543"/>
      <c r="XDC543"/>
      <c r="XDD543"/>
      <c r="XDE543"/>
      <c r="XDF543"/>
      <c r="XDG543"/>
      <c r="XDH543"/>
      <c r="XDI543"/>
      <c r="XDJ543"/>
      <c r="XDK543"/>
      <c r="XDL543"/>
      <c r="XDM543"/>
      <c r="XDN543"/>
      <c r="XDO543"/>
      <c r="XDP543"/>
      <c r="XDQ543"/>
      <c r="XDR543"/>
      <c r="XDS543"/>
      <c r="XDT543"/>
      <c r="XDU543"/>
      <c r="XDV543"/>
      <c r="XDW543"/>
      <c r="XDX543"/>
      <c r="XDY543"/>
      <c r="XDZ543"/>
      <c r="XEA543"/>
      <c r="XEB543"/>
      <c r="XEC543"/>
      <c r="XED543"/>
      <c r="XEE543"/>
      <c r="XEF543"/>
      <c r="XEG543"/>
      <c r="XEH543"/>
      <c r="XEI543"/>
      <c r="XEJ543"/>
      <c r="XEK543"/>
      <c r="XEL543"/>
      <c r="XEM543"/>
      <c r="XEN543"/>
      <c r="XEO543"/>
      <c r="XEP543"/>
      <c r="XEQ543"/>
      <c r="XER543"/>
      <c r="XES543"/>
      <c r="XET543"/>
      <c r="XEU543"/>
      <c r="XEV543"/>
      <c r="XEW543"/>
      <c r="XEX543"/>
      <c r="XEY543"/>
      <c r="XEZ543"/>
    </row>
    <row r="544" spans="1:16380">
      <c r="A544" s="371" t="s">
        <v>1511</v>
      </c>
      <c r="B544" s="377" t="s">
        <v>2146</v>
      </c>
      <c r="C544" s="369">
        <v>177.8</v>
      </c>
      <c r="D544" s="369">
        <v>100</v>
      </c>
      <c r="E544" s="369">
        <v>152.4</v>
      </c>
      <c r="F544" s="369">
        <v>137.30000000000001</v>
      </c>
      <c r="G544" s="17">
        <f t="shared" si="60"/>
        <v>2.5754330000000003</v>
      </c>
      <c r="K544" s="56"/>
      <c r="L544" s="20"/>
      <c r="M544" s="20"/>
      <c r="N544" s="20"/>
      <c r="O544" s="20"/>
      <c r="P544" s="20"/>
      <c r="Q544" s="23"/>
      <c r="R544" s="22" t="s">
        <v>16</v>
      </c>
      <c r="S544" s="22" t="s">
        <v>16</v>
      </c>
      <c r="T544" s="753">
        <f t="shared" si="59"/>
        <v>1796.1018967042469</v>
      </c>
      <c r="U544" s="22">
        <v>1</v>
      </c>
    </row>
    <row r="545" spans="1:21">
      <c r="A545" s="371" t="s">
        <v>1512</v>
      </c>
      <c r="B545" s="377" t="s">
        <v>2146</v>
      </c>
      <c r="C545" s="369">
        <v>177.8</v>
      </c>
      <c r="D545" s="369">
        <v>100</v>
      </c>
      <c r="E545" s="369">
        <v>152.4</v>
      </c>
      <c r="F545" s="369">
        <v>127</v>
      </c>
      <c r="G545" s="17">
        <f t="shared" si="60"/>
        <v>2.4838659999999999</v>
      </c>
      <c r="K545" s="56"/>
      <c r="L545" s="20"/>
      <c r="M545" s="20"/>
      <c r="N545" s="20"/>
      <c r="O545" s="20"/>
      <c r="P545" s="20"/>
      <c r="Q545" s="23"/>
      <c r="R545" s="22" t="s">
        <v>16</v>
      </c>
      <c r="S545" s="22" t="s">
        <v>16</v>
      </c>
      <c r="T545" s="753">
        <f t="shared" si="59"/>
        <v>1069.5179661885068</v>
      </c>
      <c r="U545" s="22">
        <v>1</v>
      </c>
    </row>
    <row r="546" spans="1:21">
      <c r="A546" s="379" t="s">
        <v>1538</v>
      </c>
      <c r="B546" s="443" t="s">
        <v>2146</v>
      </c>
      <c r="C546" s="375">
        <v>203.2</v>
      </c>
      <c r="D546" s="375">
        <v>171.5</v>
      </c>
      <c r="E546" s="375">
        <v>76.2</v>
      </c>
      <c r="F546" s="375">
        <v>69.900000000000006</v>
      </c>
      <c r="G546" s="17">
        <f>((E546+F546)/2)*D546*C546/10^6</f>
        <v>2.5457048400000004</v>
      </c>
      <c r="K546" s="56"/>
      <c r="L546" s="20"/>
      <c r="M546" s="20"/>
      <c r="N546" s="20"/>
      <c r="O546" s="20"/>
      <c r="P546" s="20"/>
      <c r="Q546" s="23"/>
      <c r="R546" s="22" t="s">
        <v>16</v>
      </c>
      <c r="S546" s="22" t="s">
        <v>16</v>
      </c>
      <c r="T546" s="753">
        <f t="shared" si="59"/>
        <v>2458.0476757128013</v>
      </c>
      <c r="U546" s="22">
        <v>1</v>
      </c>
    </row>
    <row r="547" spans="1:21">
      <c r="A547" s="379" t="s">
        <v>1537</v>
      </c>
      <c r="B547" s="443" t="s">
        <v>2146</v>
      </c>
      <c r="C547" s="375">
        <v>203.2</v>
      </c>
      <c r="D547" s="375">
        <v>171.5</v>
      </c>
      <c r="E547" s="375">
        <v>76.2</v>
      </c>
      <c r="F547" s="375">
        <v>63.5</v>
      </c>
      <c r="G547" s="17">
        <f t="shared" si="60"/>
        <v>2.4341886799999997</v>
      </c>
      <c r="K547" s="56"/>
      <c r="L547" s="20"/>
      <c r="M547" s="20"/>
      <c r="N547" s="20"/>
      <c r="O547" s="20"/>
      <c r="P547" s="20"/>
      <c r="Q547" s="23"/>
      <c r="R547" s="22" t="s">
        <v>16</v>
      </c>
      <c r="S547" s="22" t="s">
        <v>16</v>
      </c>
      <c r="T547" s="753">
        <f t="shared" si="59"/>
        <v>1219.7951672309575</v>
      </c>
      <c r="U547" s="22">
        <v>1</v>
      </c>
    </row>
    <row r="548" spans="1:21">
      <c r="A548" s="379" t="s">
        <v>1539</v>
      </c>
      <c r="B548" s="443" t="s">
        <v>2146</v>
      </c>
      <c r="C548" s="375">
        <v>203.2</v>
      </c>
      <c r="D548" s="375">
        <v>171.5</v>
      </c>
      <c r="E548" s="375">
        <v>100</v>
      </c>
      <c r="F548" s="375">
        <v>95</v>
      </c>
      <c r="G548" s="17">
        <f t="shared" si="60"/>
        <v>3.3977580000000001</v>
      </c>
      <c r="K548" s="56"/>
      <c r="L548" s="20"/>
      <c r="M548" s="20"/>
      <c r="N548" s="20"/>
      <c r="O548" s="20"/>
      <c r="P548" s="20"/>
      <c r="Q548" s="23"/>
      <c r="R548" s="22" t="s">
        <v>16</v>
      </c>
      <c r="S548" s="22" t="s">
        <v>16</v>
      </c>
      <c r="T548" s="753">
        <f t="shared" si="59"/>
        <v>4064.3075671016827</v>
      </c>
      <c r="U548" s="22">
        <v>1</v>
      </c>
    </row>
    <row r="549" spans="1:21">
      <c r="A549" s="379" t="s">
        <v>1536</v>
      </c>
      <c r="B549" s="443" t="s">
        <v>2146</v>
      </c>
      <c r="C549" s="375">
        <v>203.2</v>
      </c>
      <c r="D549" s="375">
        <v>171.5</v>
      </c>
      <c r="E549" s="375">
        <v>100</v>
      </c>
      <c r="F549" s="375">
        <v>90</v>
      </c>
      <c r="G549" s="17">
        <f t="shared" si="60"/>
        <v>3.3106360000000001</v>
      </c>
      <c r="K549" s="56"/>
      <c r="L549" s="20"/>
      <c r="M549" s="20"/>
      <c r="N549" s="20"/>
      <c r="O549" s="20"/>
      <c r="P549" s="20"/>
      <c r="Q549" s="23"/>
      <c r="R549" s="22" t="s">
        <v>16</v>
      </c>
      <c r="S549" s="22" t="s">
        <v>16</v>
      </c>
      <c r="T549" s="753">
        <f t="shared" si="59"/>
        <v>2032.6150643936494</v>
      </c>
      <c r="U549" s="22">
        <v>1</v>
      </c>
    </row>
    <row r="550" spans="1:21">
      <c r="A550" s="359" t="s">
        <v>1545</v>
      </c>
      <c r="B550" s="444" t="s">
        <v>2146</v>
      </c>
      <c r="C550" s="378">
        <v>228.6</v>
      </c>
      <c r="D550" s="378">
        <v>114.3</v>
      </c>
      <c r="E550" s="378">
        <v>76.2</v>
      </c>
      <c r="F550" s="378">
        <v>73</v>
      </c>
      <c r="G550" s="17">
        <f t="shared" ref="G550:G589" si="61">((E550+F550)/2)*D550*C550/10^6</f>
        <v>1.9492219079999995</v>
      </c>
      <c r="K550" s="56"/>
      <c r="L550" s="20"/>
      <c r="M550" s="20"/>
      <c r="N550" s="20"/>
      <c r="O550" s="20"/>
      <c r="P550" s="20"/>
      <c r="Q550" s="23"/>
      <c r="R550" s="22" t="s">
        <v>16</v>
      </c>
      <c r="S550" s="22" t="s">
        <v>16</v>
      </c>
      <c r="T550" s="753">
        <f t="shared" si="59"/>
        <v>5443.6708317004432</v>
      </c>
      <c r="U550" s="22">
        <v>1</v>
      </c>
    </row>
    <row r="551" spans="1:21">
      <c r="A551" s="359" t="s">
        <v>1540</v>
      </c>
      <c r="B551" s="444" t="s">
        <v>2146</v>
      </c>
      <c r="C551" s="378">
        <v>228.6</v>
      </c>
      <c r="D551" s="378">
        <v>114.3</v>
      </c>
      <c r="E551" s="378">
        <v>76.2</v>
      </c>
      <c r="F551" s="378">
        <v>69.900000000000006</v>
      </c>
      <c r="G551" s="17">
        <f t="shared" si="61"/>
        <v>1.9087219890000002</v>
      </c>
      <c r="K551" s="56"/>
      <c r="L551" s="20"/>
      <c r="M551" s="20"/>
      <c r="N551" s="20"/>
      <c r="O551" s="20"/>
      <c r="P551" s="20"/>
      <c r="Q551" s="23"/>
      <c r="R551" s="22" t="s">
        <v>16</v>
      </c>
      <c r="S551" s="22" t="s">
        <v>16</v>
      </c>
      <c r="T551" s="753">
        <f t="shared" si="59"/>
        <v>2765.2339161120412</v>
      </c>
      <c r="U551" s="22">
        <v>1</v>
      </c>
    </row>
    <row r="552" spans="1:21">
      <c r="A552" s="359" t="s">
        <v>1543</v>
      </c>
      <c r="B552" s="444" t="s">
        <v>2146</v>
      </c>
      <c r="C552" s="378">
        <v>228.6</v>
      </c>
      <c r="D552" s="378">
        <v>114.3</v>
      </c>
      <c r="E552" s="378">
        <v>76.2</v>
      </c>
      <c r="F552" s="378">
        <v>63.5</v>
      </c>
      <c r="G552" s="17">
        <f t="shared" si="61"/>
        <v>1.8251092529999997</v>
      </c>
      <c r="K552" s="56"/>
      <c r="L552" s="20"/>
      <c r="M552" s="20"/>
      <c r="N552" s="20"/>
      <c r="O552" s="20"/>
      <c r="P552" s="20"/>
      <c r="Q552" s="23"/>
      <c r="R552" s="22" t="s">
        <v>16</v>
      </c>
      <c r="S552" s="22" t="s">
        <v>16</v>
      </c>
      <c r="T552" s="753">
        <f t="shared" si="59"/>
        <v>1372.1290646291259</v>
      </c>
      <c r="U552" s="22">
        <v>1</v>
      </c>
    </row>
    <row r="553" spans="1:21">
      <c r="A553" s="359" t="s">
        <v>1521</v>
      </c>
      <c r="B553" s="444" t="s">
        <v>2146</v>
      </c>
      <c r="C553" s="378">
        <v>228.6</v>
      </c>
      <c r="D553" s="378">
        <v>114.3</v>
      </c>
      <c r="E553" s="378">
        <v>76.2</v>
      </c>
      <c r="F553" s="378">
        <v>50.8</v>
      </c>
      <c r="G553" s="17">
        <f t="shared" si="61"/>
        <v>1.6591902299999999</v>
      </c>
      <c r="K553" s="56"/>
      <c r="L553" s="20"/>
      <c r="M553" s="20"/>
      <c r="N553" s="20"/>
      <c r="O553" s="20"/>
      <c r="P553" s="20"/>
      <c r="Q553" s="23"/>
      <c r="R553" s="22" t="s">
        <v>16</v>
      </c>
      <c r="S553" s="22" t="s">
        <v>16</v>
      </c>
      <c r="T553" s="753">
        <f t="shared" si="59"/>
        <v>686.85751797588978</v>
      </c>
      <c r="U553" s="22">
        <v>1</v>
      </c>
    </row>
    <row r="554" spans="1:21">
      <c r="A554" s="359" t="s">
        <v>1550</v>
      </c>
      <c r="B554" s="444" t="s">
        <v>2146</v>
      </c>
      <c r="C554" s="378">
        <v>228.6</v>
      </c>
      <c r="D554" s="378">
        <v>114.3</v>
      </c>
      <c r="E554" s="378">
        <v>76.2</v>
      </c>
      <c r="F554" s="378">
        <v>38.1</v>
      </c>
      <c r="G554" s="17">
        <f t="shared" si="61"/>
        <v>1.4932712070000003</v>
      </c>
      <c r="K554" s="56"/>
      <c r="L554" s="20"/>
      <c r="M554" s="20"/>
      <c r="N554" s="20"/>
      <c r="O554" s="20"/>
      <c r="P554" s="20"/>
      <c r="Q554" s="23"/>
      <c r="R554" s="22" t="s">
        <v>16</v>
      </c>
      <c r="S554" s="22" t="s">
        <v>16</v>
      </c>
      <c r="T554" s="753">
        <f t="shared" si="59"/>
        <v>458.78475345198643</v>
      </c>
      <c r="U554" s="22">
        <v>1</v>
      </c>
    </row>
    <row r="555" spans="1:21">
      <c r="A555" s="359" t="s">
        <v>1522</v>
      </c>
      <c r="B555" s="444" t="s">
        <v>2146</v>
      </c>
      <c r="C555" s="378">
        <v>228.6</v>
      </c>
      <c r="D555" s="378">
        <v>114.3</v>
      </c>
      <c r="E555" s="378">
        <v>76.2</v>
      </c>
      <c r="F555" s="378">
        <v>25.4</v>
      </c>
      <c r="G555" s="17">
        <f t="shared" si="61"/>
        <v>1.327352184</v>
      </c>
      <c r="K555" s="56"/>
      <c r="L555" s="20"/>
      <c r="M555" s="20"/>
      <c r="N555" s="20"/>
      <c r="O555" s="20"/>
      <c r="P555" s="20"/>
      <c r="Q555" s="23"/>
      <c r="R555" s="22" t="s">
        <v>16</v>
      </c>
      <c r="S555" s="22" t="s">
        <v>16</v>
      </c>
      <c r="T555" s="753">
        <f t="shared" si="59"/>
        <v>345.0101737630356</v>
      </c>
      <c r="U555" s="22">
        <v>1</v>
      </c>
    </row>
    <row r="556" spans="1:21">
      <c r="A556" s="359" t="s">
        <v>1556</v>
      </c>
      <c r="B556" s="444" t="s">
        <v>2146</v>
      </c>
      <c r="C556" s="378">
        <v>229.6</v>
      </c>
      <c r="D556" s="378">
        <v>114.3</v>
      </c>
      <c r="E556" s="378">
        <v>100</v>
      </c>
      <c r="F556" s="378">
        <v>95</v>
      </c>
      <c r="G556" s="17">
        <f t="shared" si="61"/>
        <v>2.5587198</v>
      </c>
      <c r="K556" s="56"/>
      <c r="L556" s="20"/>
      <c r="M556" s="20"/>
      <c r="N556" s="20"/>
      <c r="O556" s="20"/>
      <c r="P556" s="20"/>
      <c r="Q556" s="23"/>
      <c r="R556" s="22" t="s">
        <v>16</v>
      </c>
      <c r="S556" s="22" t="s">
        <v>16</v>
      </c>
      <c r="T556" s="753">
        <f t="shared" si="59"/>
        <v>4592.2722044756883</v>
      </c>
      <c r="U556" s="22">
        <v>1</v>
      </c>
    </row>
    <row r="557" spans="1:21">
      <c r="A557" s="359" t="s">
        <v>1552</v>
      </c>
      <c r="B557" s="444" t="s">
        <v>2146</v>
      </c>
      <c r="C557" s="378">
        <v>228.6</v>
      </c>
      <c r="D557" s="378">
        <v>114.3</v>
      </c>
      <c r="E557" s="378">
        <v>100</v>
      </c>
      <c r="F557" s="378">
        <v>90</v>
      </c>
      <c r="G557" s="17">
        <f t="shared" si="61"/>
        <v>2.4822530999999999</v>
      </c>
      <c r="K557" s="56"/>
      <c r="L557" s="20"/>
      <c r="M557" s="20"/>
      <c r="N557" s="20"/>
      <c r="O557" s="20"/>
      <c r="P557" s="20"/>
      <c r="Q557" s="23"/>
      <c r="R557" s="22" t="s">
        <v>16</v>
      </c>
      <c r="S557" s="22" t="s">
        <v>16</v>
      </c>
      <c r="T557" s="753">
        <f t="shared" si="59"/>
        <v>2286.546741267276</v>
      </c>
      <c r="U557" s="22">
        <v>1</v>
      </c>
    </row>
    <row r="558" spans="1:21">
      <c r="A558" s="359" t="s">
        <v>1526</v>
      </c>
      <c r="B558" s="444" t="s">
        <v>2146</v>
      </c>
      <c r="C558" s="378">
        <v>228.6</v>
      </c>
      <c r="D558" s="378">
        <v>114.3</v>
      </c>
      <c r="E558" s="378">
        <v>101.6</v>
      </c>
      <c r="F558" s="378">
        <v>76.2</v>
      </c>
      <c r="G558" s="17">
        <f t="shared" si="61"/>
        <v>2.3228663220000003</v>
      </c>
      <c r="K558" s="56"/>
      <c r="L558" s="20"/>
      <c r="M558" s="20"/>
      <c r="N558" s="20"/>
      <c r="O558" s="20"/>
      <c r="P558" s="20"/>
      <c r="Q558" s="23"/>
      <c r="R558" s="22" t="s">
        <v>16</v>
      </c>
      <c r="S558" s="22" t="s">
        <v>16</v>
      </c>
      <c r="T558" s="753">
        <f t="shared" si="59"/>
        <v>915.81002396785345</v>
      </c>
      <c r="U558" s="22">
        <v>1</v>
      </c>
    </row>
    <row r="559" spans="1:21">
      <c r="A559" s="359" t="s">
        <v>1553</v>
      </c>
      <c r="B559" s="444" t="s">
        <v>2146</v>
      </c>
      <c r="C559" s="378">
        <v>228.6</v>
      </c>
      <c r="D559" s="378">
        <v>114.3</v>
      </c>
      <c r="E559" s="378">
        <v>101.6</v>
      </c>
      <c r="F559" s="378">
        <v>69.900000000000006</v>
      </c>
      <c r="G559" s="17">
        <f t="shared" si="61"/>
        <v>2.2405600350000001</v>
      </c>
      <c r="K559" s="56"/>
      <c r="L559" s="20"/>
      <c r="M559" s="20"/>
      <c r="N559" s="20"/>
      <c r="O559" s="20"/>
      <c r="P559" s="20"/>
      <c r="Q559" s="23"/>
      <c r="R559" s="22" t="s">
        <v>16</v>
      </c>
      <c r="S559" s="22" t="s">
        <v>16</v>
      </c>
      <c r="T559" s="753">
        <f t="shared" si="59"/>
        <v>734.43281664710344</v>
      </c>
      <c r="U559" s="22">
        <v>1</v>
      </c>
    </row>
    <row r="560" spans="1:21">
      <c r="A560" s="359" t="s">
        <v>1554</v>
      </c>
      <c r="B560" s="444" t="s">
        <v>2146</v>
      </c>
      <c r="C560" s="378">
        <v>228.6</v>
      </c>
      <c r="D560" s="378">
        <v>114.3</v>
      </c>
      <c r="E560" s="378">
        <v>101.6</v>
      </c>
      <c r="F560" s="378">
        <v>63.5</v>
      </c>
      <c r="G560" s="17">
        <f t="shared" si="61"/>
        <v>2.156947299</v>
      </c>
      <c r="K560" s="56"/>
      <c r="L560" s="20"/>
      <c r="M560" s="20"/>
      <c r="N560" s="20"/>
      <c r="O560" s="20"/>
      <c r="P560" s="20"/>
      <c r="Q560" s="23"/>
      <c r="R560" s="22" t="s">
        <v>16</v>
      </c>
      <c r="S560" s="22" t="s">
        <v>16</v>
      </c>
      <c r="T560" s="753">
        <f t="shared" si="59"/>
        <v>611.71300460264865</v>
      </c>
      <c r="U560" s="22">
        <v>1</v>
      </c>
    </row>
    <row r="561" spans="1:21">
      <c r="A561" s="359" t="s">
        <v>1530</v>
      </c>
      <c r="B561" s="444" t="s">
        <v>2146</v>
      </c>
      <c r="C561" s="378">
        <v>228.6</v>
      </c>
      <c r="D561" s="378">
        <v>127</v>
      </c>
      <c r="E561" s="378">
        <v>76.2</v>
      </c>
      <c r="F561" s="378">
        <v>69.900000000000006</v>
      </c>
      <c r="G561" s="17">
        <f t="shared" si="61"/>
        <v>2.1208022100000004</v>
      </c>
      <c r="K561" s="56"/>
      <c r="L561" s="20"/>
      <c r="M561" s="20"/>
      <c r="N561" s="20"/>
      <c r="O561" s="20"/>
      <c r="P561" s="20"/>
      <c r="Q561" s="23"/>
      <c r="R561" s="22" t="s">
        <v>16</v>
      </c>
      <c r="S561" s="22" t="s">
        <v>16</v>
      </c>
      <c r="T561" s="753">
        <f t="shared" si="59"/>
        <v>2765.2339161120412</v>
      </c>
      <c r="U561" s="22">
        <v>1</v>
      </c>
    </row>
    <row r="562" spans="1:21">
      <c r="A562" s="359" t="s">
        <v>1533</v>
      </c>
      <c r="B562" s="444" t="s">
        <v>2146</v>
      </c>
      <c r="C562" s="378">
        <v>228.6</v>
      </c>
      <c r="D562" s="378">
        <v>127</v>
      </c>
      <c r="E562" s="378">
        <v>76.2</v>
      </c>
      <c r="F562" s="378">
        <v>63.5</v>
      </c>
      <c r="G562" s="17">
        <f t="shared" si="61"/>
        <v>2.0278991699999995</v>
      </c>
      <c r="K562" s="56"/>
      <c r="L562" s="20"/>
      <c r="M562" s="20"/>
      <c r="N562" s="20"/>
      <c r="O562" s="20"/>
      <c r="P562" s="20"/>
      <c r="Q562" s="23"/>
      <c r="R562" s="22" t="s">
        <v>16</v>
      </c>
      <c r="S562" s="22" t="s">
        <v>16</v>
      </c>
      <c r="T562" s="753">
        <f t="shared" si="59"/>
        <v>1372.1290646291259</v>
      </c>
      <c r="U562" s="22">
        <v>1</v>
      </c>
    </row>
    <row r="563" spans="1:21">
      <c r="A563" s="359" t="s">
        <v>1534</v>
      </c>
      <c r="B563" s="444" t="s">
        <v>2146</v>
      </c>
      <c r="C563" s="378">
        <v>228.6</v>
      </c>
      <c r="D563" s="378">
        <v>127</v>
      </c>
      <c r="E563" s="378">
        <v>76.2</v>
      </c>
      <c r="F563" s="378">
        <v>50.8</v>
      </c>
      <c r="G563" s="17">
        <f t="shared" si="61"/>
        <v>1.8435447</v>
      </c>
      <c r="K563" s="56"/>
      <c r="L563" s="20"/>
      <c r="M563" s="20"/>
      <c r="N563" s="20"/>
      <c r="O563" s="20"/>
      <c r="P563" s="20"/>
      <c r="Q563" s="23"/>
      <c r="R563" s="22" t="s">
        <v>16</v>
      </c>
      <c r="S563" s="22" t="s">
        <v>16</v>
      </c>
      <c r="T563" s="753">
        <f t="shared" si="59"/>
        <v>686.85751797588978</v>
      </c>
      <c r="U563" s="22">
        <v>1</v>
      </c>
    </row>
    <row r="564" spans="1:21">
      <c r="A564" s="359" t="s">
        <v>1535</v>
      </c>
      <c r="B564" s="444" t="s">
        <v>2146</v>
      </c>
      <c r="C564" s="378">
        <v>228.6</v>
      </c>
      <c r="D564" s="378">
        <v>127</v>
      </c>
      <c r="E564" s="378">
        <v>76.2</v>
      </c>
      <c r="F564" s="378">
        <v>38.1</v>
      </c>
      <c r="G564" s="17">
        <f t="shared" si="61"/>
        <v>1.6591902300000003</v>
      </c>
      <c r="K564" s="56"/>
      <c r="L564" s="20"/>
      <c r="M564" s="20"/>
      <c r="N564" s="20"/>
      <c r="O564" s="20"/>
      <c r="P564" s="20"/>
      <c r="Q564" s="23"/>
      <c r="R564" s="22" t="s">
        <v>16</v>
      </c>
      <c r="S564" s="22" t="s">
        <v>16</v>
      </c>
      <c r="T564" s="753">
        <f t="shared" si="59"/>
        <v>458.78475345198643</v>
      </c>
      <c r="U564" s="22">
        <v>1</v>
      </c>
    </row>
    <row r="565" spans="1:21">
      <c r="A565" s="359" t="s">
        <v>1529</v>
      </c>
      <c r="B565" s="444" t="s">
        <v>2146</v>
      </c>
      <c r="C565" s="378">
        <v>228.6</v>
      </c>
      <c r="D565" s="378">
        <v>127</v>
      </c>
      <c r="E565" s="378">
        <v>100</v>
      </c>
      <c r="F565" s="378">
        <v>95</v>
      </c>
      <c r="G565" s="17">
        <f t="shared" si="61"/>
        <v>2.8306395000000002</v>
      </c>
      <c r="K565" s="56"/>
      <c r="L565" s="20"/>
      <c r="M565" s="20"/>
      <c r="N565" s="20"/>
      <c r="O565" s="20"/>
      <c r="P565" s="20"/>
      <c r="Q565" s="23"/>
      <c r="R565" s="22" t="s">
        <v>16</v>
      </c>
      <c r="S565" s="22" t="s">
        <v>16</v>
      </c>
      <c r="T565" s="753">
        <f t="shared" si="59"/>
        <v>4572.2733951503815</v>
      </c>
      <c r="U565" s="22">
        <v>1</v>
      </c>
    </row>
    <row r="566" spans="1:21">
      <c r="A566" s="359" t="s">
        <v>1532</v>
      </c>
      <c r="B566" s="444" t="s">
        <v>2146</v>
      </c>
      <c r="C566" s="378">
        <v>228.6</v>
      </c>
      <c r="D566" s="378">
        <v>127</v>
      </c>
      <c r="E566" s="378">
        <v>100</v>
      </c>
      <c r="F566" s="378">
        <v>90</v>
      </c>
      <c r="G566" s="17">
        <f t="shared" si="61"/>
        <v>2.7580589999999998</v>
      </c>
      <c r="K566" s="56"/>
      <c r="L566" s="20"/>
      <c r="M566" s="20"/>
      <c r="N566" s="20"/>
      <c r="O566" s="20"/>
      <c r="P566" s="20"/>
      <c r="Q566" s="23"/>
      <c r="R566" s="22" t="s">
        <v>16</v>
      </c>
      <c r="S566" s="22" t="s">
        <v>16</v>
      </c>
      <c r="T566" s="753">
        <f t="shared" si="59"/>
        <v>2286.546741267276</v>
      </c>
      <c r="U566" s="22">
        <v>1</v>
      </c>
    </row>
    <row r="567" spans="1:21">
      <c r="A567" s="359" t="s">
        <v>1523</v>
      </c>
      <c r="B567" s="444" t="s">
        <v>2146</v>
      </c>
      <c r="C567" s="378">
        <v>228.6</v>
      </c>
      <c r="D567" s="378">
        <v>152.4</v>
      </c>
      <c r="E567" s="378">
        <v>76.2</v>
      </c>
      <c r="F567" s="378">
        <v>73</v>
      </c>
      <c r="G567" s="17">
        <f t="shared" si="61"/>
        <v>2.5989625439999999</v>
      </c>
      <c r="K567" s="56"/>
      <c r="L567" s="20"/>
      <c r="M567" s="20"/>
      <c r="N567" s="20"/>
      <c r="O567" s="20"/>
      <c r="P567" s="20"/>
      <c r="Q567" s="23"/>
      <c r="R567" s="22" t="s">
        <v>16</v>
      </c>
      <c r="S567" s="22" t="s">
        <v>16</v>
      </c>
      <c r="T567" s="753">
        <f t="shared" si="59"/>
        <v>5443.6708317004432</v>
      </c>
      <c r="U567" s="22">
        <v>1</v>
      </c>
    </row>
    <row r="568" spans="1:21">
      <c r="A568" s="359" t="s">
        <v>1519</v>
      </c>
      <c r="B568" s="444" t="s">
        <v>2146</v>
      </c>
      <c r="C568" s="378">
        <v>228.6</v>
      </c>
      <c r="D568" s="378">
        <v>152.4</v>
      </c>
      <c r="E568" s="378">
        <v>76.2</v>
      </c>
      <c r="F568" s="378">
        <v>69.900000000000006</v>
      </c>
      <c r="G568" s="17">
        <f t="shared" si="61"/>
        <v>2.5449626520000002</v>
      </c>
      <c r="K568" s="56"/>
      <c r="L568" s="20"/>
      <c r="M568" s="20"/>
      <c r="N568" s="20"/>
      <c r="O568" s="20"/>
      <c r="P568" s="20"/>
      <c r="Q568" s="23"/>
      <c r="R568" s="22" t="s">
        <v>16</v>
      </c>
      <c r="S568" s="22" t="s">
        <v>16</v>
      </c>
      <c r="T568" s="753">
        <f t="shared" si="59"/>
        <v>2765.2339161120412</v>
      </c>
      <c r="U568" s="22">
        <v>1</v>
      </c>
    </row>
    <row r="569" spans="1:21">
      <c r="A569" s="359" t="s">
        <v>1515</v>
      </c>
      <c r="B569" s="444" t="s">
        <v>2146</v>
      </c>
      <c r="C569" s="378">
        <v>228.6</v>
      </c>
      <c r="D569" s="378">
        <v>152.4</v>
      </c>
      <c r="E569" s="378">
        <v>76.2</v>
      </c>
      <c r="F569" s="378">
        <v>63.5</v>
      </c>
      <c r="G569" s="17">
        <f t="shared" si="61"/>
        <v>2.4334790039999996</v>
      </c>
      <c r="K569" s="56"/>
      <c r="L569" s="20"/>
      <c r="M569" s="20"/>
      <c r="N569" s="20"/>
      <c r="O569" s="20"/>
      <c r="P569" s="20"/>
      <c r="Q569" s="23"/>
      <c r="R569" s="22" t="s">
        <v>16</v>
      </c>
      <c r="S569" s="22" t="s">
        <v>16</v>
      </c>
      <c r="T569" s="753">
        <f t="shared" si="59"/>
        <v>1372.1290646291259</v>
      </c>
      <c r="U569" s="22">
        <v>1</v>
      </c>
    </row>
    <row r="570" spans="1:21">
      <c r="A570" s="359" t="s">
        <v>1516</v>
      </c>
      <c r="B570" s="444" t="s">
        <v>2146</v>
      </c>
      <c r="C570" s="378">
        <v>228.6</v>
      </c>
      <c r="D570" s="378">
        <v>152.4</v>
      </c>
      <c r="E570" s="378">
        <v>76.2</v>
      </c>
      <c r="F570" s="378">
        <v>50.8</v>
      </c>
      <c r="G570" s="17">
        <f t="shared" si="61"/>
        <v>2.2122536399999997</v>
      </c>
      <c r="K570" s="56"/>
      <c r="L570" s="20"/>
      <c r="M570" s="20"/>
      <c r="N570" s="20"/>
      <c r="O570" s="20"/>
      <c r="P570" s="20"/>
      <c r="Q570" s="23"/>
      <c r="R570" s="22" t="s">
        <v>16</v>
      </c>
      <c r="S570" s="22" t="s">
        <v>16</v>
      </c>
      <c r="T570" s="753">
        <f t="shared" si="59"/>
        <v>686.85751797588978</v>
      </c>
      <c r="U570" s="22">
        <v>1</v>
      </c>
    </row>
    <row r="571" spans="1:21">
      <c r="A571" s="359" t="s">
        <v>1528</v>
      </c>
      <c r="B571" s="444" t="s">
        <v>2146</v>
      </c>
      <c r="C571" s="378">
        <v>228.6</v>
      </c>
      <c r="D571" s="378">
        <v>152.4</v>
      </c>
      <c r="E571" s="378">
        <v>76.2</v>
      </c>
      <c r="F571" s="378">
        <v>38.1</v>
      </c>
      <c r="G571" s="17">
        <f t="shared" si="61"/>
        <v>1.9910282760000002</v>
      </c>
      <c r="K571" s="56"/>
      <c r="L571" s="20"/>
      <c r="M571" s="20"/>
      <c r="N571" s="20"/>
      <c r="O571" s="20"/>
      <c r="P571" s="20"/>
      <c r="Q571" s="23"/>
      <c r="R571" s="22" t="s">
        <v>16</v>
      </c>
      <c r="S571" s="22" t="s">
        <v>16</v>
      </c>
      <c r="T571" s="753">
        <f t="shared" si="59"/>
        <v>458.78475345198643</v>
      </c>
      <c r="U571" s="22">
        <v>1</v>
      </c>
    </row>
    <row r="572" spans="1:21">
      <c r="A572" s="359" t="s">
        <v>1527</v>
      </c>
      <c r="B572" s="444" t="s">
        <v>2146</v>
      </c>
      <c r="C572" s="378">
        <v>228.6</v>
      </c>
      <c r="D572" s="378">
        <v>152.4</v>
      </c>
      <c r="E572" s="378">
        <v>88.9</v>
      </c>
      <c r="F572" s="378">
        <v>76.2</v>
      </c>
      <c r="G572" s="17">
        <f t="shared" si="61"/>
        <v>2.8759297320000003</v>
      </c>
      <c r="K572" s="56"/>
      <c r="L572" s="20"/>
      <c r="M572" s="20"/>
      <c r="N572" s="20"/>
      <c r="O572" s="20"/>
      <c r="P572" s="20"/>
      <c r="Q572" s="23"/>
      <c r="R572" s="22" t="s">
        <v>16</v>
      </c>
      <c r="S572" s="22" t="s">
        <v>16</v>
      </c>
      <c r="T572" s="753">
        <f t="shared" si="59"/>
        <v>1600.8172420673134</v>
      </c>
      <c r="U572" s="22">
        <v>1</v>
      </c>
    </row>
    <row r="573" spans="1:21">
      <c r="A573" s="359" t="s">
        <v>1547</v>
      </c>
      <c r="B573" s="444" t="s">
        <v>2146</v>
      </c>
      <c r="C573" s="378">
        <v>228.6</v>
      </c>
      <c r="D573" s="378">
        <v>152.4</v>
      </c>
      <c r="E573" s="378">
        <v>88.9</v>
      </c>
      <c r="F573" s="378">
        <v>69.900000000000006</v>
      </c>
      <c r="G573" s="17">
        <f t="shared" si="61"/>
        <v>2.7661880160000001</v>
      </c>
      <c r="K573" s="56"/>
      <c r="L573" s="20"/>
      <c r="M573" s="20"/>
      <c r="N573" s="20"/>
      <c r="O573" s="20"/>
      <c r="P573" s="20"/>
      <c r="Q573" s="23"/>
      <c r="R573" s="22" t="s">
        <v>16</v>
      </c>
      <c r="S573" s="22" t="s">
        <v>16</v>
      </c>
      <c r="T573" s="753">
        <f t="shared" si="59"/>
        <v>1070.5305811048133</v>
      </c>
      <c r="U573" s="22">
        <v>1</v>
      </c>
    </row>
    <row r="574" spans="1:21">
      <c r="A574" s="359" t="s">
        <v>1548</v>
      </c>
      <c r="B574" s="444" t="s">
        <v>2146</v>
      </c>
      <c r="C574" s="378">
        <v>228.6</v>
      </c>
      <c r="D574" s="378">
        <v>152.4</v>
      </c>
      <c r="E574" s="378">
        <v>88.9</v>
      </c>
      <c r="F574" s="378">
        <v>63.5</v>
      </c>
      <c r="G574" s="17">
        <f t="shared" si="61"/>
        <v>2.6547043680000004</v>
      </c>
      <c r="K574" s="56"/>
      <c r="L574" s="20"/>
      <c r="M574" s="20"/>
      <c r="N574" s="20"/>
      <c r="O574" s="20"/>
      <c r="P574" s="20"/>
      <c r="Q574" s="23"/>
      <c r="R574" s="22" t="s">
        <v>16</v>
      </c>
      <c r="S574" s="22" t="s">
        <v>16</v>
      </c>
      <c r="T574" s="753">
        <f t="shared" si="59"/>
        <v>801.33377097187144</v>
      </c>
      <c r="U574" s="22">
        <v>1</v>
      </c>
    </row>
    <row r="575" spans="1:21">
      <c r="A575" s="359" t="s">
        <v>1551</v>
      </c>
      <c r="B575" s="444" t="s">
        <v>2146</v>
      </c>
      <c r="C575" s="378">
        <v>228.6</v>
      </c>
      <c r="D575" s="378">
        <v>171.5</v>
      </c>
      <c r="E575" s="378">
        <v>76.2</v>
      </c>
      <c r="F575" s="378">
        <v>73</v>
      </c>
      <c r="G575" s="17">
        <f t="shared" si="61"/>
        <v>2.92468554</v>
      </c>
      <c r="K575" s="56"/>
      <c r="L575" s="20"/>
      <c r="M575" s="20"/>
      <c r="N575" s="20"/>
      <c r="O575" s="20"/>
      <c r="P575" s="20"/>
      <c r="Q575" s="23"/>
      <c r="R575" s="22" t="s">
        <v>16</v>
      </c>
      <c r="S575" s="22" t="s">
        <v>16</v>
      </c>
      <c r="T575" s="753">
        <f t="shared" si="59"/>
        <v>5443.6708317004432</v>
      </c>
      <c r="U575" s="22">
        <v>1</v>
      </c>
    </row>
    <row r="576" spans="1:21">
      <c r="A576" s="359" t="s">
        <v>1542</v>
      </c>
      <c r="B576" s="444" t="s">
        <v>2146</v>
      </c>
      <c r="C576" s="378">
        <v>228.6</v>
      </c>
      <c r="D576" s="378">
        <v>171.5</v>
      </c>
      <c r="E576" s="378">
        <v>76.2</v>
      </c>
      <c r="F576" s="378">
        <v>69.900000000000006</v>
      </c>
      <c r="G576" s="17">
        <f t="shared" si="61"/>
        <v>2.8639179450000003</v>
      </c>
      <c r="K576" s="56"/>
      <c r="L576" s="20"/>
      <c r="M576" s="20"/>
      <c r="N576" s="20"/>
      <c r="O576" s="20"/>
      <c r="P576" s="20"/>
      <c r="Q576" s="23"/>
      <c r="R576" s="22" t="s">
        <v>16</v>
      </c>
      <c r="S576" s="22" t="s">
        <v>16</v>
      </c>
      <c r="T576" s="753">
        <f t="shared" si="59"/>
        <v>2765.2339161120412</v>
      </c>
      <c r="U576" s="22">
        <v>1</v>
      </c>
    </row>
    <row r="577" spans="1:21">
      <c r="A577" s="359" t="s">
        <v>1544</v>
      </c>
      <c r="B577" s="444" t="s">
        <v>2146</v>
      </c>
      <c r="C577" s="378">
        <v>228.6</v>
      </c>
      <c r="D577" s="378">
        <v>171.5</v>
      </c>
      <c r="E577" s="378">
        <v>76.2</v>
      </c>
      <c r="F577" s="378">
        <v>63.5</v>
      </c>
      <c r="G577" s="17">
        <f t="shared" si="61"/>
        <v>2.7384622649999995</v>
      </c>
      <c r="K577" s="56"/>
      <c r="L577" s="20"/>
      <c r="M577" s="20"/>
      <c r="N577" s="20"/>
      <c r="O577" s="20"/>
      <c r="P577" s="20"/>
      <c r="Q577" s="23"/>
      <c r="R577" s="22" t="s">
        <v>16</v>
      </c>
      <c r="S577" s="22" t="s">
        <v>16</v>
      </c>
      <c r="T577" s="753">
        <f t="shared" si="59"/>
        <v>1372.1290646291259</v>
      </c>
      <c r="U577" s="22">
        <v>1</v>
      </c>
    </row>
    <row r="578" spans="1:21">
      <c r="A578" s="359" t="s">
        <v>1513</v>
      </c>
      <c r="B578" s="444" t="s">
        <v>2146</v>
      </c>
      <c r="C578" s="378">
        <v>228.6</v>
      </c>
      <c r="D578" s="378">
        <v>171.5</v>
      </c>
      <c r="E578" s="378">
        <v>76.2</v>
      </c>
      <c r="F578" s="378">
        <v>50.8</v>
      </c>
      <c r="G578" s="17">
        <f t="shared" si="61"/>
        <v>2.4895111499999998</v>
      </c>
      <c r="K578" s="56"/>
      <c r="L578" s="20"/>
      <c r="M578" s="20"/>
      <c r="N578" s="20"/>
      <c r="O578" s="20"/>
      <c r="P578" s="20"/>
      <c r="Q578" s="23"/>
      <c r="R578" s="22" t="s">
        <v>16</v>
      </c>
      <c r="S578" s="22" t="s">
        <v>16</v>
      </c>
      <c r="T578" s="753">
        <f t="shared" si="59"/>
        <v>686.85751797588978</v>
      </c>
      <c r="U578" s="22">
        <v>1</v>
      </c>
    </row>
    <row r="579" spans="1:21">
      <c r="A579" s="359" t="s">
        <v>1546</v>
      </c>
      <c r="B579" s="444" t="s">
        <v>2146</v>
      </c>
      <c r="C579" s="378">
        <v>228.6</v>
      </c>
      <c r="D579" s="378">
        <v>171.5</v>
      </c>
      <c r="E579" s="378">
        <v>63.5</v>
      </c>
      <c r="F579" s="378">
        <v>38.1</v>
      </c>
      <c r="G579" s="17">
        <f t="shared" si="61"/>
        <v>1.9916089199999998</v>
      </c>
      <c r="K579" s="56"/>
      <c r="L579" s="20"/>
      <c r="M579" s="20"/>
      <c r="N579" s="20"/>
      <c r="O579" s="20"/>
      <c r="P579" s="20"/>
      <c r="Q579" s="23"/>
      <c r="R579" s="22" t="s">
        <v>16</v>
      </c>
      <c r="S579" s="22" t="s">
        <v>16</v>
      </c>
      <c r="T579" s="753">
        <f t="shared" si="59"/>
        <v>572.38126497990822</v>
      </c>
      <c r="U579" s="22">
        <v>1</v>
      </c>
    </row>
    <row r="580" spans="1:21">
      <c r="A580" s="359" t="s">
        <v>1541</v>
      </c>
      <c r="B580" s="444" t="s">
        <v>2146</v>
      </c>
      <c r="C580" s="378">
        <v>228.6</v>
      </c>
      <c r="D580" s="378">
        <v>171.5</v>
      </c>
      <c r="E580" s="378">
        <v>100</v>
      </c>
      <c r="F580" s="378">
        <v>90</v>
      </c>
      <c r="G580" s="17">
        <f t="shared" si="61"/>
        <v>3.7244655</v>
      </c>
      <c r="K580" s="56"/>
      <c r="L580" s="20"/>
      <c r="M580" s="20"/>
      <c r="N580" s="20"/>
      <c r="O580" s="20"/>
      <c r="P580" s="20"/>
      <c r="Q580" s="23"/>
      <c r="R580" s="22" t="s">
        <v>16</v>
      </c>
      <c r="S580" s="22" t="s">
        <v>16</v>
      </c>
      <c r="T580" s="753">
        <f t="shared" si="59"/>
        <v>2286.546741267276</v>
      </c>
      <c r="U580" s="22">
        <v>1</v>
      </c>
    </row>
    <row r="581" spans="1:21">
      <c r="A581" s="359" t="s">
        <v>1524</v>
      </c>
      <c r="B581" s="444" t="s">
        <v>2146</v>
      </c>
      <c r="C581" s="378">
        <v>228.6</v>
      </c>
      <c r="D581" s="378">
        <v>228.6</v>
      </c>
      <c r="E581" s="378">
        <v>76.2</v>
      </c>
      <c r="F581" s="378">
        <v>73</v>
      </c>
      <c r="G581" s="17">
        <f t="shared" si="61"/>
        <v>3.898443815999999</v>
      </c>
      <c r="K581" s="56"/>
      <c r="L581" s="20"/>
      <c r="M581" s="20"/>
      <c r="N581" s="20"/>
      <c r="O581" s="20"/>
      <c r="P581" s="20"/>
      <c r="Q581" s="23"/>
      <c r="R581" s="22" t="s">
        <v>16</v>
      </c>
      <c r="S581" s="22" t="s">
        <v>16</v>
      </c>
      <c r="T581" s="753">
        <f t="shared" si="59"/>
        <v>5443.6708317004432</v>
      </c>
      <c r="U581" s="22">
        <v>1</v>
      </c>
    </row>
    <row r="582" spans="1:21">
      <c r="A582" s="359" t="s">
        <v>1520</v>
      </c>
      <c r="B582" s="444" t="s">
        <v>2146</v>
      </c>
      <c r="C582" s="378">
        <v>228.6</v>
      </c>
      <c r="D582" s="378">
        <v>228.6</v>
      </c>
      <c r="E582" s="378">
        <v>76.2</v>
      </c>
      <c r="F582" s="378">
        <v>69.900000000000006</v>
      </c>
      <c r="G582" s="17">
        <f t="shared" si="61"/>
        <v>3.8174439780000005</v>
      </c>
      <c r="K582" s="56"/>
      <c r="L582" s="20"/>
      <c r="M582" s="20"/>
      <c r="N582" s="20"/>
      <c r="O582" s="20"/>
      <c r="P582" s="20"/>
      <c r="Q582" s="23"/>
      <c r="R582" s="22" t="s">
        <v>16</v>
      </c>
      <c r="S582" s="22" t="s">
        <v>16</v>
      </c>
      <c r="T582" s="753">
        <f t="shared" si="59"/>
        <v>2765.2339161120412</v>
      </c>
      <c r="U582" s="22">
        <v>1</v>
      </c>
    </row>
    <row r="583" spans="1:21">
      <c r="A583" s="359" t="s">
        <v>1517</v>
      </c>
      <c r="B583" s="444" t="s">
        <v>2146</v>
      </c>
      <c r="C583" s="378">
        <v>228.6</v>
      </c>
      <c r="D583" s="378">
        <v>228.6</v>
      </c>
      <c r="E583" s="378">
        <v>76.2</v>
      </c>
      <c r="F583" s="378">
        <v>63.5</v>
      </c>
      <c r="G583" s="17">
        <f t="shared" si="61"/>
        <v>3.6502185059999994</v>
      </c>
      <c r="K583" s="56"/>
      <c r="L583" s="20"/>
      <c r="M583" s="20"/>
      <c r="N583" s="20"/>
      <c r="O583" s="20"/>
      <c r="P583" s="20"/>
      <c r="Q583" s="23"/>
      <c r="R583" s="22" t="s">
        <v>16</v>
      </c>
      <c r="S583" s="22" t="s">
        <v>16</v>
      </c>
      <c r="T583" s="753">
        <f t="shared" si="59"/>
        <v>1372.1290646291259</v>
      </c>
      <c r="U583" s="22">
        <v>1</v>
      </c>
    </row>
    <row r="584" spans="1:21">
      <c r="A584" s="359" t="s">
        <v>1518</v>
      </c>
      <c r="B584" s="444" t="s">
        <v>2146</v>
      </c>
      <c r="C584" s="378">
        <v>228.6</v>
      </c>
      <c r="D584" s="378">
        <v>228.6</v>
      </c>
      <c r="E584" s="378">
        <v>76.2</v>
      </c>
      <c r="F584" s="378">
        <v>50.8</v>
      </c>
      <c r="G584" s="17">
        <f t="shared" si="61"/>
        <v>3.3183804599999998</v>
      </c>
      <c r="K584" s="56"/>
      <c r="L584" s="20"/>
      <c r="M584" s="20"/>
      <c r="N584" s="20"/>
      <c r="O584" s="20"/>
      <c r="P584" s="20"/>
      <c r="Q584" s="23"/>
      <c r="R584" s="22" t="s">
        <v>16</v>
      </c>
      <c r="S584" s="22" t="s">
        <v>16</v>
      </c>
      <c r="T584" s="753">
        <f t="shared" si="59"/>
        <v>686.85751797588978</v>
      </c>
      <c r="U584" s="22">
        <v>1</v>
      </c>
    </row>
    <row r="585" spans="1:21">
      <c r="A585" s="359" t="s">
        <v>1514</v>
      </c>
      <c r="B585" s="444" t="s">
        <v>2146</v>
      </c>
      <c r="C585" s="378">
        <v>228.6</v>
      </c>
      <c r="D585" s="378">
        <v>228.6</v>
      </c>
      <c r="E585" s="378">
        <v>76.2</v>
      </c>
      <c r="F585" s="378">
        <v>25.4</v>
      </c>
      <c r="G585" s="17">
        <f t="shared" si="61"/>
        <v>2.654704368</v>
      </c>
      <c r="K585" s="56"/>
      <c r="L585" s="20"/>
      <c r="M585" s="20"/>
      <c r="N585" s="20"/>
      <c r="O585" s="20"/>
      <c r="P585" s="20"/>
      <c r="Q585" s="23"/>
      <c r="R585" s="22" t="s">
        <v>16</v>
      </c>
      <c r="S585" s="22" t="s">
        <v>16</v>
      </c>
      <c r="T585" s="753">
        <f t="shared" si="59"/>
        <v>345.0101737630356</v>
      </c>
      <c r="U585" s="22">
        <v>1</v>
      </c>
    </row>
    <row r="586" spans="1:21">
      <c r="A586" s="359" t="s">
        <v>1525</v>
      </c>
      <c r="B586" s="444" t="s">
        <v>2146</v>
      </c>
      <c r="C586" s="378">
        <v>228.6</v>
      </c>
      <c r="D586" s="378">
        <v>228.6</v>
      </c>
      <c r="E586" s="378">
        <v>88.9</v>
      </c>
      <c r="F586" s="378">
        <v>76.2</v>
      </c>
      <c r="G586" s="17">
        <f t="shared" si="61"/>
        <v>4.313894598000001</v>
      </c>
      <c r="K586" s="56"/>
      <c r="L586" s="20"/>
      <c r="M586" s="20"/>
      <c r="N586" s="20"/>
      <c r="O586" s="20"/>
      <c r="P586" s="20"/>
      <c r="Q586" s="23"/>
      <c r="R586" s="22" t="s">
        <v>16</v>
      </c>
      <c r="S586" s="22" t="s">
        <v>16</v>
      </c>
      <c r="T586" s="753">
        <f t="shared" si="59"/>
        <v>1600.8172420673134</v>
      </c>
      <c r="U586" s="22">
        <v>1</v>
      </c>
    </row>
    <row r="587" spans="1:21">
      <c r="A587" s="359" t="s">
        <v>1555</v>
      </c>
      <c r="B587" s="444" t="s">
        <v>2146</v>
      </c>
      <c r="C587" s="378">
        <v>228.6</v>
      </c>
      <c r="D587" s="378">
        <v>228.6</v>
      </c>
      <c r="E587" s="378">
        <v>88.9</v>
      </c>
      <c r="F587" s="378">
        <v>73</v>
      </c>
      <c r="G587" s="17">
        <f t="shared" si="61"/>
        <v>4.2302818620000009</v>
      </c>
      <c r="K587" s="56"/>
      <c r="L587" s="20"/>
      <c r="M587" s="20"/>
      <c r="N587" s="20"/>
      <c r="O587" s="20"/>
      <c r="P587" s="20"/>
      <c r="Q587" s="23"/>
      <c r="R587" s="22" t="s">
        <v>16</v>
      </c>
      <c r="S587" s="22" t="s">
        <v>16</v>
      </c>
      <c r="T587" s="753">
        <f t="shared" si="59"/>
        <v>1278.9198529214755</v>
      </c>
      <c r="U587" s="22">
        <v>1</v>
      </c>
    </row>
    <row r="588" spans="1:21">
      <c r="A588" s="359" t="s">
        <v>1549</v>
      </c>
      <c r="B588" s="444" t="s">
        <v>2146</v>
      </c>
      <c r="C588" s="378">
        <v>228.6</v>
      </c>
      <c r="D588" s="378">
        <v>228.6</v>
      </c>
      <c r="E588" s="378">
        <v>88.9</v>
      </c>
      <c r="F588" s="378">
        <v>69.900000000000006</v>
      </c>
      <c r="G588" s="17">
        <f t="shared" si="61"/>
        <v>4.1492820239999997</v>
      </c>
      <c r="K588" s="56"/>
      <c r="L588" s="20"/>
      <c r="M588" s="20"/>
      <c r="N588" s="20"/>
      <c r="O588" s="20"/>
      <c r="P588" s="20"/>
      <c r="Q588" s="23"/>
      <c r="R588" s="22" t="s">
        <v>16</v>
      </c>
      <c r="S588" s="22" t="s">
        <v>16</v>
      </c>
      <c r="T588" s="753">
        <f t="shared" si="59"/>
        <v>1070.5305811048133</v>
      </c>
      <c r="U588" s="22">
        <v>1</v>
      </c>
    </row>
    <row r="589" spans="1:21">
      <c r="A589" s="359" t="s">
        <v>1531</v>
      </c>
      <c r="B589" s="444" t="s">
        <v>2146</v>
      </c>
      <c r="C589" s="378">
        <v>228.6</v>
      </c>
      <c r="D589" s="378">
        <v>228.6</v>
      </c>
      <c r="E589" s="378">
        <v>100</v>
      </c>
      <c r="F589" s="378">
        <v>95</v>
      </c>
      <c r="G589" s="17">
        <f t="shared" si="61"/>
        <v>5.0951510999999998</v>
      </c>
      <c r="K589" s="56"/>
      <c r="L589" s="20"/>
      <c r="M589" s="20"/>
      <c r="N589" s="20"/>
      <c r="O589" s="20"/>
      <c r="P589" s="20"/>
      <c r="Q589" s="23"/>
      <c r="R589" s="22" t="s">
        <v>16</v>
      </c>
      <c r="S589" s="22" t="s">
        <v>16</v>
      </c>
      <c r="T589" s="753">
        <f t="shared" si="59"/>
        <v>4572.2733951503815</v>
      </c>
      <c r="U589" s="22">
        <v>1</v>
      </c>
    </row>
    <row r="590" spans="1:21">
      <c r="A590" s="430" t="s">
        <v>1582</v>
      </c>
      <c r="B590" s="445" t="s">
        <v>2146</v>
      </c>
      <c r="C590" s="431">
        <v>304.8</v>
      </c>
      <c r="D590" s="431">
        <v>114.3</v>
      </c>
      <c r="E590" s="431">
        <v>76.2</v>
      </c>
      <c r="F590" s="431">
        <v>73</v>
      </c>
      <c r="G590" s="17">
        <f t="shared" ref="G590:G617" si="62">((E590+F590)/2)*D590*C590/10^6</f>
        <v>2.5989625439999999</v>
      </c>
      <c r="K590" s="56"/>
      <c r="L590" s="20"/>
      <c r="M590" s="20"/>
      <c r="N590" s="20"/>
      <c r="O590" s="20"/>
      <c r="P590" s="20"/>
      <c r="Q590" s="23"/>
      <c r="R590" s="22" t="s">
        <v>16</v>
      </c>
      <c r="S590" s="22" t="s">
        <v>16</v>
      </c>
      <c r="T590" s="753">
        <f t="shared" si="59"/>
        <v>7258.1499993111129</v>
      </c>
      <c r="U590" s="22">
        <v>1</v>
      </c>
    </row>
    <row r="591" spans="1:21">
      <c r="A591" s="430" t="s">
        <v>1577</v>
      </c>
      <c r="B591" s="445" t="s">
        <v>2146</v>
      </c>
      <c r="C591" s="431">
        <v>304.8</v>
      </c>
      <c r="D591" s="431">
        <v>114.3</v>
      </c>
      <c r="E591" s="431">
        <v>76.2</v>
      </c>
      <c r="F591" s="431">
        <v>69.900000000000006</v>
      </c>
      <c r="G591" s="17">
        <f t="shared" si="62"/>
        <v>2.5449626520000006</v>
      </c>
      <c r="K591" s="56"/>
      <c r="L591" s="20"/>
      <c r="M591" s="20"/>
      <c r="N591" s="20"/>
      <c r="O591" s="20"/>
      <c r="P591" s="20"/>
      <c r="Q591" s="23"/>
      <c r="R591" s="22" t="s">
        <v>16</v>
      </c>
      <c r="S591" s="22" t="s">
        <v>16</v>
      </c>
      <c r="T591" s="753">
        <f t="shared" si="59"/>
        <v>3686.8254411720509</v>
      </c>
      <c r="U591" s="22">
        <v>1</v>
      </c>
    </row>
    <row r="592" spans="1:21">
      <c r="A592" s="430" t="s">
        <v>1578</v>
      </c>
      <c r="B592" s="445" t="s">
        <v>2146</v>
      </c>
      <c r="C592" s="431">
        <v>304.8</v>
      </c>
      <c r="D592" s="431">
        <v>114.3</v>
      </c>
      <c r="E592" s="431">
        <v>76.2</v>
      </c>
      <c r="F592" s="431">
        <v>63.5</v>
      </c>
      <c r="G592" s="17">
        <f t="shared" si="62"/>
        <v>2.4334790040000001</v>
      </c>
      <c r="K592" s="56"/>
      <c r="L592" s="20"/>
      <c r="M592" s="20"/>
      <c r="N592" s="20"/>
      <c r="O592" s="20"/>
      <c r="P592" s="20"/>
      <c r="Q592" s="23"/>
      <c r="R592" s="22" t="s">
        <v>16</v>
      </c>
      <c r="S592" s="22" t="s">
        <v>16</v>
      </c>
      <c r="T592" s="753">
        <f t="shared" si="59"/>
        <v>1829.1968319456491</v>
      </c>
      <c r="U592" s="22">
        <v>1</v>
      </c>
    </row>
    <row r="593" spans="1:21">
      <c r="A593" s="430" t="s">
        <v>1557</v>
      </c>
      <c r="B593" s="445" t="s">
        <v>2146</v>
      </c>
      <c r="C593" s="431">
        <v>304.8</v>
      </c>
      <c r="D593" s="431">
        <v>114.3</v>
      </c>
      <c r="E593" s="431">
        <v>76.2</v>
      </c>
      <c r="F593" s="431">
        <v>50.8</v>
      </c>
      <c r="G593" s="17">
        <f t="shared" si="62"/>
        <v>2.2122536400000001</v>
      </c>
      <c r="K593" s="56"/>
      <c r="L593" s="20"/>
      <c r="M593" s="20"/>
      <c r="N593" s="20"/>
      <c r="O593" s="20"/>
      <c r="P593" s="20"/>
      <c r="Q593" s="23"/>
      <c r="R593" s="22" t="s">
        <v>16</v>
      </c>
      <c r="S593" s="22" t="s">
        <v>16</v>
      </c>
      <c r="T593" s="753">
        <f t="shared" si="59"/>
        <v>915.19340578918059</v>
      </c>
      <c r="U593" s="22">
        <v>1</v>
      </c>
    </row>
    <row r="594" spans="1:21">
      <c r="A594" s="430" t="s">
        <v>1563</v>
      </c>
      <c r="B594" s="445" t="s">
        <v>2146</v>
      </c>
      <c r="C594" s="431">
        <v>304.8</v>
      </c>
      <c r="D594" s="431">
        <v>114.3</v>
      </c>
      <c r="E594" s="431">
        <v>76.2</v>
      </c>
      <c r="F594" s="431">
        <v>25.4</v>
      </c>
      <c r="G594" s="17">
        <f t="shared" si="62"/>
        <v>1.7698029120000001</v>
      </c>
      <c r="K594" s="56"/>
      <c r="L594" s="20"/>
      <c r="M594" s="20"/>
      <c r="N594" s="20"/>
      <c r="O594" s="20"/>
      <c r="P594" s="20"/>
      <c r="Q594" s="23"/>
      <c r="R594" s="22" t="s">
        <v>16</v>
      </c>
      <c r="S594" s="22" t="s">
        <v>16</v>
      </c>
      <c r="T594" s="753">
        <f t="shared" si="59"/>
        <v>458.78475345198649</v>
      </c>
      <c r="U594" s="22">
        <v>1</v>
      </c>
    </row>
    <row r="595" spans="1:21">
      <c r="A595" s="430" t="s">
        <v>1572</v>
      </c>
      <c r="B595" s="445" t="s">
        <v>2146</v>
      </c>
      <c r="C595" s="431">
        <v>304.8</v>
      </c>
      <c r="D595" s="431">
        <v>114.3</v>
      </c>
      <c r="E595" s="431">
        <v>102</v>
      </c>
      <c r="F595" s="431">
        <v>82</v>
      </c>
      <c r="G595" s="17">
        <f t="shared" si="62"/>
        <v>3.2051548800000003</v>
      </c>
      <c r="K595" s="56"/>
      <c r="L595" s="20"/>
      <c r="M595" s="20"/>
      <c r="N595" s="20"/>
      <c r="O595" s="20"/>
      <c r="P595" s="20"/>
      <c r="Q595" s="23"/>
      <c r="R595" s="22" t="s">
        <v>16</v>
      </c>
      <c r="S595" s="22" t="s">
        <v>16</v>
      </c>
      <c r="T595" s="753">
        <f t="shared" si="59"/>
        <v>1555.3163891633112</v>
      </c>
      <c r="U595" s="22">
        <v>1</v>
      </c>
    </row>
    <row r="596" spans="1:21">
      <c r="A596" s="430" t="s">
        <v>1566</v>
      </c>
      <c r="B596" s="445" t="s">
        <v>2146</v>
      </c>
      <c r="C596" s="431">
        <v>304.8</v>
      </c>
      <c r="D596" s="431">
        <v>152.4</v>
      </c>
      <c r="E596" s="431">
        <v>76.2</v>
      </c>
      <c r="F596" s="431">
        <v>73</v>
      </c>
      <c r="G596" s="17">
        <f t="shared" si="62"/>
        <v>3.4652833919999999</v>
      </c>
      <c r="K596" s="56"/>
      <c r="L596" s="20"/>
      <c r="M596" s="20"/>
      <c r="N596" s="20"/>
      <c r="O596" s="20"/>
      <c r="P596" s="20"/>
      <c r="Q596" s="23"/>
      <c r="R596" s="22" t="s">
        <v>16</v>
      </c>
      <c r="S596" s="22" t="s">
        <v>16</v>
      </c>
      <c r="T596" s="753">
        <f t="shared" si="59"/>
        <v>7258.1499993111129</v>
      </c>
      <c r="U596" s="22">
        <v>1</v>
      </c>
    </row>
    <row r="597" spans="1:21">
      <c r="A597" s="430" t="s">
        <v>1564</v>
      </c>
      <c r="B597" s="445" t="s">
        <v>2146</v>
      </c>
      <c r="C597" s="431">
        <v>304.8</v>
      </c>
      <c r="D597" s="431">
        <v>152.4</v>
      </c>
      <c r="E597" s="431">
        <v>76.2</v>
      </c>
      <c r="F597" s="431">
        <v>69.900000000000006</v>
      </c>
      <c r="G597" s="17">
        <f t="shared" si="62"/>
        <v>3.3932835360000007</v>
      </c>
      <c r="K597" s="56"/>
      <c r="L597" s="20"/>
      <c r="M597" s="20"/>
      <c r="N597" s="20"/>
      <c r="O597" s="20"/>
      <c r="P597" s="20"/>
      <c r="Q597" s="23"/>
      <c r="R597" s="22" t="s">
        <v>16</v>
      </c>
      <c r="S597" s="22" t="s">
        <v>16</v>
      </c>
      <c r="T597" s="753">
        <f t="shared" si="59"/>
        <v>3686.8254411720509</v>
      </c>
      <c r="U597" s="22">
        <v>1</v>
      </c>
    </row>
    <row r="598" spans="1:21">
      <c r="A598" s="430" t="s">
        <v>1560</v>
      </c>
      <c r="B598" s="445" t="s">
        <v>2146</v>
      </c>
      <c r="C598" s="431">
        <v>304.8</v>
      </c>
      <c r="D598" s="431">
        <v>152.4</v>
      </c>
      <c r="E598" s="431">
        <v>76.2</v>
      </c>
      <c r="F598" s="431">
        <v>63.5</v>
      </c>
      <c r="G598" s="17">
        <f t="shared" si="62"/>
        <v>3.2446386719999998</v>
      </c>
      <c r="K598" s="56"/>
      <c r="L598" s="20"/>
      <c r="M598" s="20"/>
      <c r="N598" s="20"/>
      <c r="O598" s="20"/>
      <c r="P598" s="20"/>
      <c r="Q598" s="23"/>
      <c r="R598" s="22" t="s">
        <v>16</v>
      </c>
      <c r="S598" s="22" t="s">
        <v>16</v>
      </c>
      <c r="T598" s="753">
        <f t="shared" si="59"/>
        <v>1829.1968319456491</v>
      </c>
      <c r="U598" s="22">
        <v>1</v>
      </c>
    </row>
    <row r="599" spans="1:21">
      <c r="A599" s="430" t="s">
        <v>1558</v>
      </c>
      <c r="B599" s="445" t="s">
        <v>2146</v>
      </c>
      <c r="C599" s="431">
        <v>304.8</v>
      </c>
      <c r="D599" s="431">
        <v>152.4</v>
      </c>
      <c r="E599" s="431">
        <v>76.2</v>
      </c>
      <c r="F599" s="431">
        <v>50.8</v>
      </c>
      <c r="G599" s="17">
        <f t="shared" si="62"/>
        <v>2.9496715199999999</v>
      </c>
      <c r="K599" s="56"/>
      <c r="L599" s="20"/>
      <c r="M599" s="20"/>
      <c r="N599" s="20"/>
      <c r="O599" s="20"/>
      <c r="P599" s="20"/>
      <c r="Q599" s="23"/>
      <c r="R599" s="22" t="s">
        <v>16</v>
      </c>
      <c r="S599" s="22" t="s">
        <v>16</v>
      </c>
      <c r="T599" s="753">
        <f t="shared" si="59"/>
        <v>915.19340578918059</v>
      </c>
      <c r="U599" s="22">
        <v>1</v>
      </c>
    </row>
    <row r="600" spans="1:21">
      <c r="A600" s="430" t="s">
        <v>1570</v>
      </c>
      <c r="B600" s="445" t="s">
        <v>2146</v>
      </c>
      <c r="C600" s="431">
        <v>304.8</v>
      </c>
      <c r="D600" s="431">
        <v>152.4</v>
      </c>
      <c r="E600" s="431">
        <v>152.4</v>
      </c>
      <c r="F600" s="431">
        <v>127</v>
      </c>
      <c r="G600" s="17">
        <f t="shared" si="62"/>
        <v>6.4892773439999996</v>
      </c>
      <c r="K600" s="56"/>
      <c r="L600" s="20"/>
      <c r="M600" s="20"/>
      <c r="N600" s="20"/>
      <c r="O600" s="20"/>
      <c r="P600" s="20"/>
      <c r="Q600" s="23"/>
      <c r="R600" s="22" t="s">
        <v>16</v>
      </c>
      <c r="S600" s="22" t="s">
        <v>16</v>
      </c>
      <c r="T600" s="753">
        <f t="shared" si="59"/>
        <v>1830.3868115783612</v>
      </c>
      <c r="U600" s="22">
        <v>1</v>
      </c>
    </row>
    <row r="601" spans="1:21">
      <c r="A601" s="430" t="s">
        <v>1574</v>
      </c>
      <c r="B601" s="445" t="s">
        <v>2146</v>
      </c>
      <c r="C601" s="431">
        <v>304.8</v>
      </c>
      <c r="D601" s="431">
        <v>152.4</v>
      </c>
      <c r="E601" s="431">
        <v>102</v>
      </c>
      <c r="F601" s="431">
        <v>82</v>
      </c>
      <c r="G601" s="17">
        <f t="shared" si="62"/>
        <v>4.2735398400000006</v>
      </c>
      <c r="K601" s="56"/>
      <c r="L601" s="20"/>
      <c r="M601" s="20"/>
      <c r="N601" s="20"/>
      <c r="O601" s="20"/>
      <c r="P601" s="20"/>
      <c r="Q601" s="23"/>
      <c r="R601" s="22" t="s">
        <v>16</v>
      </c>
      <c r="S601" s="22" t="s">
        <v>16</v>
      </c>
      <c r="T601" s="753">
        <f t="shared" si="59"/>
        <v>1555.3163891633112</v>
      </c>
      <c r="U601" s="22">
        <v>1</v>
      </c>
    </row>
    <row r="602" spans="1:21">
      <c r="A602" s="430" t="s">
        <v>1580</v>
      </c>
      <c r="B602" s="445" t="s">
        <v>2146</v>
      </c>
      <c r="C602" s="431">
        <v>304.8</v>
      </c>
      <c r="D602" s="431">
        <v>171.5</v>
      </c>
      <c r="E602" s="431">
        <v>76.2</v>
      </c>
      <c r="F602" s="431">
        <v>69.900000000000006</v>
      </c>
      <c r="G602" s="17">
        <f t="shared" si="62"/>
        <v>3.8185572600000008</v>
      </c>
      <c r="K602" s="56"/>
      <c r="L602" s="20"/>
      <c r="M602" s="20"/>
      <c r="N602" s="20"/>
      <c r="O602" s="20"/>
      <c r="P602" s="20"/>
      <c r="Q602" s="23"/>
      <c r="R602" s="22" t="s">
        <v>16</v>
      </c>
      <c r="S602" s="22" t="s">
        <v>16</v>
      </c>
      <c r="T602" s="753">
        <f t="shared" si="59"/>
        <v>3686.8254411720509</v>
      </c>
      <c r="U602" s="22">
        <v>1</v>
      </c>
    </row>
    <row r="603" spans="1:21">
      <c r="A603" s="430" t="s">
        <v>1581</v>
      </c>
      <c r="B603" s="445" t="s">
        <v>2146</v>
      </c>
      <c r="C603" s="431">
        <v>304.8</v>
      </c>
      <c r="D603" s="431">
        <v>171.5</v>
      </c>
      <c r="E603" s="431">
        <v>76.2</v>
      </c>
      <c r="F603" s="431">
        <v>63.5</v>
      </c>
      <c r="G603" s="17">
        <f t="shared" si="62"/>
        <v>3.6512830200000002</v>
      </c>
      <c r="K603" s="56"/>
      <c r="L603" s="20"/>
      <c r="M603" s="20"/>
      <c r="N603" s="20"/>
      <c r="O603" s="20"/>
      <c r="P603" s="20"/>
      <c r="Q603" s="23"/>
      <c r="R603" s="22" t="s">
        <v>16</v>
      </c>
      <c r="S603" s="22" t="s">
        <v>16</v>
      </c>
      <c r="T603" s="753">
        <f t="shared" si="59"/>
        <v>1829.1968319456491</v>
      </c>
      <c r="U603" s="22">
        <v>1</v>
      </c>
    </row>
    <row r="604" spans="1:21">
      <c r="A604" s="430" t="s">
        <v>1569</v>
      </c>
      <c r="B604" s="445" t="s">
        <v>2146</v>
      </c>
      <c r="C604" s="431">
        <v>304.8</v>
      </c>
      <c r="D604" s="431">
        <v>171.5</v>
      </c>
      <c r="E604" s="431">
        <v>76.2</v>
      </c>
      <c r="F604" s="431">
        <v>50.8</v>
      </c>
      <c r="G604" s="17">
        <f t="shared" si="62"/>
        <v>3.3193482000000003</v>
      </c>
      <c r="K604" s="56"/>
      <c r="L604" s="20"/>
      <c r="M604" s="20"/>
      <c r="N604" s="20"/>
      <c r="O604" s="20"/>
      <c r="P604" s="20"/>
      <c r="Q604" s="23"/>
      <c r="R604" s="22" t="s">
        <v>16</v>
      </c>
      <c r="S604" s="22" t="s">
        <v>16</v>
      </c>
      <c r="T604" s="753">
        <f t="shared" si="59"/>
        <v>915.19340578918059</v>
      </c>
      <c r="U604" s="22">
        <v>1</v>
      </c>
    </row>
    <row r="605" spans="1:21">
      <c r="A605" s="430" t="s">
        <v>1567</v>
      </c>
      <c r="B605" s="445" t="s">
        <v>2146</v>
      </c>
      <c r="C605" s="431">
        <v>304.8</v>
      </c>
      <c r="D605" s="431">
        <v>228.6</v>
      </c>
      <c r="E605" s="431">
        <v>76.2</v>
      </c>
      <c r="F605" s="431">
        <v>73</v>
      </c>
      <c r="G605" s="17">
        <f t="shared" si="62"/>
        <v>5.1979250879999999</v>
      </c>
      <c r="K605" s="56"/>
      <c r="L605" s="20"/>
      <c r="M605" s="20"/>
      <c r="N605" s="20"/>
      <c r="O605" s="20"/>
      <c r="P605" s="20"/>
      <c r="Q605" s="23"/>
      <c r="R605" s="22" t="s">
        <v>16</v>
      </c>
      <c r="S605" s="22" t="s">
        <v>16</v>
      </c>
      <c r="T605" s="753">
        <f t="shared" ref="T605:T668" si="63">IF(E605=F605,"-",(E605/(E605-F605))*SQRT((C605^2)+((E605-F605)/2)^2))</f>
        <v>7258.1499993111129</v>
      </c>
      <c r="U605" s="22">
        <v>1</v>
      </c>
    </row>
    <row r="606" spans="1:21">
      <c r="A606" s="430" t="s">
        <v>1565</v>
      </c>
      <c r="B606" s="445" t="s">
        <v>2146</v>
      </c>
      <c r="C606" s="431">
        <v>304.8</v>
      </c>
      <c r="D606" s="431">
        <v>228.6</v>
      </c>
      <c r="E606" s="431">
        <v>76.2</v>
      </c>
      <c r="F606" s="431">
        <v>69.900000000000006</v>
      </c>
      <c r="G606" s="17">
        <f t="shared" si="62"/>
        <v>5.0899253040000012</v>
      </c>
      <c r="K606" s="56"/>
      <c r="L606" s="20"/>
      <c r="M606" s="20"/>
      <c r="N606" s="20"/>
      <c r="O606" s="20"/>
      <c r="P606" s="20"/>
      <c r="Q606" s="23"/>
      <c r="R606" s="22" t="s">
        <v>16</v>
      </c>
      <c r="S606" s="22" t="s">
        <v>16</v>
      </c>
      <c r="T606" s="753">
        <f t="shared" si="63"/>
        <v>3686.8254411720509</v>
      </c>
      <c r="U606" s="22">
        <v>1</v>
      </c>
    </row>
    <row r="607" spans="1:21">
      <c r="A607" s="430" t="s">
        <v>1561</v>
      </c>
      <c r="B607" s="445" t="s">
        <v>2146</v>
      </c>
      <c r="C607" s="431">
        <v>304.8</v>
      </c>
      <c r="D607" s="431">
        <v>228.6</v>
      </c>
      <c r="E607" s="431">
        <v>76.2</v>
      </c>
      <c r="F607" s="431">
        <v>63.5</v>
      </c>
      <c r="G607" s="17">
        <f t="shared" si="62"/>
        <v>4.8669580080000001</v>
      </c>
      <c r="H607" s="17"/>
      <c r="K607" s="56"/>
      <c r="L607" s="20"/>
      <c r="M607" s="20"/>
      <c r="N607" s="20"/>
      <c r="O607" s="20"/>
      <c r="P607" s="20"/>
      <c r="Q607" s="23"/>
      <c r="R607" s="22" t="s">
        <v>16</v>
      </c>
      <c r="S607" s="22" t="s">
        <v>16</v>
      </c>
      <c r="T607" s="753">
        <f t="shared" si="63"/>
        <v>1829.1968319456491</v>
      </c>
      <c r="U607" s="22">
        <v>1</v>
      </c>
    </row>
    <row r="608" spans="1:21">
      <c r="A608" s="430" t="s">
        <v>1559</v>
      </c>
      <c r="B608" s="445" t="s">
        <v>2146</v>
      </c>
      <c r="C608" s="431">
        <v>304.8</v>
      </c>
      <c r="D608" s="431">
        <v>228.6</v>
      </c>
      <c r="E608" s="431">
        <v>76.2</v>
      </c>
      <c r="F608" s="431">
        <v>50.8</v>
      </c>
      <c r="G608" s="17">
        <f t="shared" si="62"/>
        <v>4.4245072800000003</v>
      </c>
      <c r="K608" s="56"/>
      <c r="L608" s="20"/>
      <c r="M608" s="20"/>
      <c r="N608" s="20"/>
      <c r="O608" s="20"/>
      <c r="P608" s="20"/>
      <c r="Q608" s="23"/>
      <c r="R608" s="22" t="s">
        <v>16</v>
      </c>
      <c r="S608" s="22" t="s">
        <v>16</v>
      </c>
      <c r="T608" s="753">
        <f t="shared" si="63"/>
        <v>915.19340578918059</v>
      </c>
      <c r="U608" s="22">
        <v>1</v>
      </c>
    </row>
    <row r="609" spans="1:22">
      <c r="A609" s="430" t="s">
        <v>1576</v>
      </c>
      <c r="B609" s="445" t="s">
        <v>2146</v>
      </c>
      <c r="C609" s="431">
        <v>304.8</v>
      </c>
      <c r="D609" s="431">
        <v>228.6</v>
      </c>
      <c r="E609" s="431">
        <v>76.2</v>
      </c>
      <c r="F609" s="431">
        <v>38.1</v>
      </c>
      <c r="G609" s="17">
        <f t="shared" si="62"/>
        <v>3.9820565520000004</v>
      </c>
      <c r="K609" s="56"/>
      <c r="L609" s="20"/>
      <c r="M609" s="20"/>
      <c r="N609" s="20"/>
      <c r="O609" s="20"/>
      <c r="P609" s="20"/>
      <c r="Q609" s="23"/>
      <c r="R609" s="22" t="s">
        <v>16</v>
      </c>
      <c r="S609" s="22" t="s">
        <v>16</v>
      </c>
      <c r="T609" s="753">
        <f t="shared" si="63"/>
        <v>610.7894645456812</v>
      </c>
      <c r="U609" s="22">
        <v>1</v>
      </c>
    </row>
    <row r="610" spans="1:22">
      <c r="A610" s="430" t="s">
        <v>1571</v>
      </c>
      <c r="B610" s="445" t="s">
        <v>2146</v>
      </c>
      <c r="C610" s="431">
        <v>304.8</v>
      </c>
      <c r="D610" s="431">
        <v>228.6</v>
      </c>
      <c r="E610" s="431">
        <v>102</v>
      </c>
      <c r="F610" s="431">
        <v>92</v>
      </c>
      <c r="G610" s="17">
        <f t="shared" si="62"/>
        <v>6.7586961600000004</v>
      </c>
      <c r="K610" s="56"/>
      <c r="L610" s="20"/>
      <c r="M610" s="20"/>
      <c r="N610" s="20"/>
      <c r="O610" s="20"/>
      <c r="P610" s="20"/>
      <c r="Q610" s="23"/>
      <c r="R610" s="22" t="s">
        <v>16</v>
      </c>
      <c r="S610" s="22" t="s">
        <v>16</v>
      </c>
      <c r="T610" s="753">
        <f t="shared" si="63"/>
        <v>3109.3782789490251</v>
      </c>
      <c r="U610" s="22">
        <v>1</v>
      </c>
    </row>
    <row r="611" spans="1:22">
      <c r="A611" s="430" t="s">
        <v>1573</v>
      </c>
      <c r="B611" s="445" t="s">
        <v>2146</v>
      </c>
      <c r="C611" s="431">
        <v>304.8</v>
      </c>
      <c r="D611" s="431">
        <v>228.6</v>
      </c>
      <c r="E611" s="431">
        <v>102</v>
      </c>
      <c r="F611" s="431">
        <v>82</v>
      </c>
      <c r="G611" s="17">
        <f t="shared" si="62"/>
        <v>6.4103097600000005</v>
      </c>
      <c r="K611" s="56"/>
      <c r="L611" s="20"/>
      <c r="M611" s="20"/>
      <c r="N611" s="20"/>
      <c r="O611" s="20"/>
      <c r="P611" s="20"/>
      <c r="Q611" s="23"/>
      <c r="R611" s="22" t="s">
        <v>16</v>
      </c>
      <c r="S611" s="22" t="s">
        <v>16</v>
      </c>
      <c r="T611" s="753">
        <f t="shared" si="63"/>
        <v>1555.3163891633112</v>
      </c>
      <c r="U611" s="22">
        <v>1</v>
      </c>
    </row>
    <row r="612" spans="1:22">
      <c r="A612" s="430" t="s">
        <v>1575</v>
      </c>
      <c r="B612" s="445" t="s">
        <v>2146</v>
      </c>
      <c r="C612" s="431">
        <v>304.8</v>
      </c>
      <c r="D612" s="431">
        <v>228.6</v>
      </c>
      <c r="E612" s="431">
        <v>102</v>
      </c>
      <c r="F612" s="431">
        <v>62</v>
      </c>
      <c r="G612" s="17">
        <f t="shared" si="62"/>
        <v>5.7135369600000008</v>
      </c>
      <c r="K612" s="56"/>
      <c r="L612" s="20"/>
      <c r="M612" s="20"/>
      <c r="N612" s="20"/>
      <c r="O612" s="20"/>
      <c r="P612" s="20"/>
      <c r="Q612" s="23"/>
      <c r="R612" s="22" t="s">
        <v>16</v>
      </c>
      <c r="S612" s="22" t="s">
        <v>16</v>
      </c>
      <c r="T612" s="753">
        <f t="shared" si="63"/>
        <v>778.91143116531543</v>
      </c>
      <c r="U612" s="22">
        <v>1</v>
      </c>
    </row>
    <row r="613" spans="1:22">
      <c r="A613" s="430" t="s">
        <v>1562</v>
      </c>
      <c r="B613" s="445" t="s">
        <v>2146</v>
      </c>
      <c r="C613" s="431">
        <v>304.8</v>
      </c>
      <c r="D613" s="431">
        <v>228.6</v>
      </c>
      <c r="E613" s="431">
        <v>101.6</v>
      </c>
      <c r="F613" s="431">
        <v>76.2</v>
      </c>
      <c r="G613" s="17">
        <f t="shared" si="62"/>
        <v>6.1943101920000005</v>
      </c>
      <c r="K613" s="56"/>
      <c r="L613" s="20"/>
      <c r="M613" s="20"/>
      <c r="N613" s="20"/>
      <c r="O613" s="20"/>
      <c r="P613" s="20"/>
      <c r="Q613" s="23"/>
      <c r="R613" s="22" t="s">
        <v>16</v>
      </c>
      <c r="S613" s="22" t="s">
        <v>16</v>
      </c>
      <c r="T613" s="753">
        <f t="shared" si="63"/>
        <v>1220.2578743855745</v>
      </c>
      <c r="U613" s="22">
        <v>1</v>
      </c>
    </row>
    <row r="614" spans="1:22">
      <c r="A614" s="430" t="s">
        <v>1583</v>
      </c>
      <c r="B614" s="445" t="s">
        <v>2146</v>
      </c>
      <c r="C614" s="431">
        <v>304.8</v>
      </c>
      <c r="D614" s="431">
        <v>304.8</v>
      </c>
      <c r="E614" s="431">
        <v>76.2</v>
      </c>
      <c r="F614" s="431">
        <v>73</v>
      </c>
      <c r="G614" s="17">
        <f t="shared" si="62"/>
        <v>6.9305667839999998</v>
      </c>
      <c r="K614" s="56"/>
      <c r="L614" s="20"/>
      <c r="M614" s="20"/>
      <c r="N614" s="20"/>
      <c r="O614" s="20"/>
      <c r="P614" s="20"/>
      <c r="Q614" s="23"/>
      <c r="R614" s="22" t="s">
        <v>16</v>
      </c>
      <c r="S614" s="22" t="s">
        <v>16</v>
      </c>
      <c r="T614" s="753">
        <f t="shared" si="63"/>
        <v>7258.1499993111129</v>
      </c>
      <c r="U614" s="22">
        <v>1</v>
      </c>
    </row>
    <row r="615" spans="1:22">
      <c r="A615" s="430" t="s">
        <v>1584</v>
      </c>
      <c r="B615" s="445" t="s">
        <v>2146</v>
      </c>
      <c r="C615" s="431">
        <v>304.8</v>
      </c>
      <c r="D615" s="431">
        <v>304.8</v>
      </c>
      <c r="E615" s="431">
        <v>76.2</v>
      </c>
      <c r="F615" s="431">
        <v>69.900000000000006</v>
      </c>
      <c r="G615" s="17">
        <f t="shared" si="62"/>
        <v>6.7865670720000013</v>
      </c>
      <c r="K615" s="56"/>
      <c r="L615" s="20"/>
      <c r="M615" s="20"/>
      <c r="N615" s="20"/>
      <c r="O615" s="20"/>
      <c r="P615" s="20"/>
      <c r="Q615" s="23"/>
      <c r="R615" s="22" t="s">
        <v>16</v>
      </c>
      <c r="S615" s="22" t="s">
        <v>16</v>
      </c>
      <c r="T615" s="753">
        <f t="shared" si="63"/>
        <v>3686.8254411720509</v>
      </c>
      <c r="U615" s="22">
        <v>1</v>
      </c>
    </row>
    <row r="616" spans="1:22">
      <c r="A616" s="430" t="s">
        <v>1579</v>
      </c>
      <c r="B616" s="445" t="s">
        <v>2146</v>
      </c>
      <c r="C616" s="431">
        <v>304.8</v>
      </c>
      <c r="D616" s="431">
        <v>304.8</v>
      </c>
      <c r="E616" s="431">
        <v>76.2</v>
      </c>
      <c r="F616" s="431">
        <v>63.5</v>
      </c>
      <c r="G616" s="17">
        <f t="shared" si="62"/>
        <v>6.4892773439999996</v>
      </c>
      <c r="K616" s="56"/>
      <c r="L616" s="20"/>
      <c r="M616" s="20"/>
      <c r="N616" s="20"/>
      <c r="O616" s="20"/>
      <c r="P616" s="20"/>
      <c r="Q616" s="23"/>
      <c r="R616" s="22" t="s">
        <v>16</v>
      </c>
      <c r="S616" s="22" t="s">
        <v>16</v>
      </c>
      <c r="T616" s="753">
        <f t="shared" si="63"/>
        <v>1829.1968319456491</v>
      </c>
      <c r="U616" s="22">
        <v>1</v>
      </c>
    </row>
    <row r="617" spans="1:22" ht="13.8" thickBot="1">
      <c r="A617" s="430" t="s">
        <v>1568</v>
      </c>
      <c r="B617" s="445" t="s">
        <v>2146</v>
      </c>
      <c r="C617" s="431">
        <v>304.8</v>
      </c>
      <c r="D617" s="431">
        <v>304.8</v>
      </c>
      <c r="E617" s="431">
        <v>76.2</v>
      </c>
      <c r="F617" s="431">
        <v>50.8</v>
      </c>
      <c r="G617" s="17">
        <f t="shared" si="62"/>
        <v>5.8993430399999998</v>
      </c>
      <c r="K617" s="56"/>
      <c r="L617" s="20"/>
      <c r="M617" s="20"/>
      <c r="N617" s="20"/>
      <c r="O617" s="20"/>
      <c r="P617" s="20"/>
      <c r="Q617" s="23"/>
      <c r="R617" s="22" t="s">
        <v>16</v>
      </c>
      <c r="S617" s="22" t="s">
        <v>16</v>
      </c>
      <c r="T617" s="753">
        <f t="shared" si="63"/>
        <v>915.19340578918059</v>
      </c>
      <c r="U617" s="22">
        <v>1</v>
      </c>
    </row>
    <row r="618" spans="1:22" ht="25.2" thickBot="1">
      <c r="A618" s="61" t="s">
        <v>1586</v>
      </c>
      <c r="B618" s="69"/>
      <c r="C618" s="69"/>
      <c r="D618" s="69"/>
      <c r="E618" s="69"/>
      <c r="F618" s="69"/>
      <c r="G618" s="99"/>
      <c r="H618" s="69"/>
      <c r="I618" s="69"/>
      <c r="J618" s="69"/>
      <c r="K618" s="71"/>
      <c r="L618" s="20"/>
      <c r="M618" s="20"/>
      <c r="N618" s="20"/>
      <c r="O618" s="20"/>
      <c r="P618" s="20"/>
      <c r="Q618" s="21"/>
      <c r="R618" s="22"/>
      <c r="S618" s="22"/>
      <c r="T618" s="20"/>
      <c r="U618" s="22"/>
      <c r="V618" s="20"/>
    </row>
    <row r="619" spans="1:22" s="290" customFormat="1">
      <c r="A619" s="336" t="s">
        <v>1871</v>
      </c>
      <c r="B619" s="345" t="s">
        <v>2147</v>
      </c>
      <c r="C619" s="516">
        <v>171.5</v>
      </c>
      <c r="D619" s="516">
        <v>76.2</v>
      </c>
      <c r="E619" s="516">
        <v>152</v>
      </c>
      <c r="F619" s="516">
        <v>145</v>
      </c>
      <c r="G619" s="341">
        <f t="shared" ref="G619:G682" si="64">((E619+F619)/2)*D619*C619/10^6</f>
        <v>1.94064255</v>
      </c>
      <c r="H619" s="20"/>
      <c r="I619" s="20"/>
      <c r="J619" s="72"/>
      <c r="K619" s="830" t="s">
        <v>639</v>
      </c>
      <c r="L619" s="20"/>
      <c r="M619" s="20"/>
      <c r="N619" s="20"/>
      <c r="O619" s="20"/>
      <c r="P619" s="20"/>
      <c r="Q619" s="23"/>
      <c r="R619" s="22" t="s">
        <v>16</v>
      </c>
      <c r="S619" s="22" t="s">
        <v>16</v>
      </c>
      <c r="T619" s="753">
        <f t="shared" si="63"/>
        <v>3724.7754294722254</v>
      </c>
      <c r="U619" s="22">
        <v>1</v>
      </c>
      <c r="V619" s="3"/>
    </row>
    <row r="620" spans="1:22" s="290" customFormat="1">
      <c r="A620" s="336" t="s">
        <v>1872</v>
      </c>
      <c r="B620" s="345" t="s">
        <v>2147</v>
      </c>
      <c r="C620" s="516">
        <v>171.5</v>
      </c>
      <c r="D620" s="516">
        <v>76.2</v>
      </c>
      <c r="E620" s="516">
        <v>114.3</v>
      </c>
      <c r="F620" s="516">
        <v>101.6</v>
      </c>
      <c r="G620" s="341">
        <f t="shared" si="64"/>
        <v>1.4107229849999998</v>
      </c>
      <c r="H620" s="20"/>
      <c r="I620" s="20"/>
      <c r="J620" s="72"/>
      <c r="K620" s="831"/>
      <c r="L620" s="20"/>
      <c r="M620" s="20"/>
      <c r="N620" s="20"/>
      <c r="O620" s="20"/>
      <c r="P620" s="20"/>
      <c r="Q620" s="23"/>
      <c r="R620" s="22" t="s">
        <v>16</v>
      </c>
      <c r="S620" s="22" t="s">
        <v>16</v>
      </c>
      <c r="T620" s="753">
        <f t="shared" si="63"/>
        <v>1544.5576624069427</v>
      </c>
      <c r="U620" s="22">
        <v>1</v>
      </c>
      <c r="V620" s="3"/>
    </row>
    <row r="621" spans="1:22" s="290" customFormat="1">
      <c r="A621" s="336" t="s">
        <v>1873</v>
      </c>
      <c r="B621" s="345" t="s">
        <v>2147</v>
      </c>
      <c r="C621" s="516">
        <v>171.5</v>
      </c>
      <c r="D621" s="516">
        <v>76.2</v>
      </c>
      <c r="E621" s="516">
        <v>114.3</v>
      </c>
      <c r="F621" s="516">
        <v>88.9</v>
      </c>
      <c r="G621" s="341">
        <f t="shared" si="64"/>
        <v>1.3277392800000001</v>
      </c>
      <c r="H621" s="20"/>
      <c r="I621" s="20"/>
      <c r="J621" s="72"/>
      <c r="K621" s="831"/>
      <c r="L621" s="20"/>
      <c r="M621" s="20"/>
      <c r="N621" s="20"/>
      <c r="O621" s="20"/>
      <c r="P621" s="20"/>
      <c r="Q621" s="23"/>
      <c r="R621" s="22" t="s">
        <v>16</v>
      </c>
      <c r="S621" s="22" t="s">
        <v>16</v>
      </c>
      <c r="T621" s="753">
        <f t="shared" si="63"/>
        <v>773.86315650766096</v>
      </c>
      <c r="U621" s="22">
        <v>1</v>
      </c>
      <c r="V621" s="3"/>
    </row>
    <row r="622" spans="1:22" s="290" customFormat="1">
      <c r="A622" s="371" t="s">
        <v>1874</v>
      </c>
      <c r="B622" s="377" t="s">
        <v>2147</v>
      </c>
      <c r="C622" s="517">
        <v>228.6</v>
      </c>
      <c r="D622" s="517">
        <v>76.2</v>
      </c>
      <c r="E622" s="517">
        <v>114.3</v>
      </c>
      <c r="F622" s="517">
        <v>112.7</v>
      </c>
      <c r="G622" s="341">
        <f t="shared" si="64"/>
        <v>1.97709282</v>
      </c>
      <c r="H622" s="20"/>
      <c r="I622" s="20"/>
      <c r="J622" s="72"/>
      <c r="K622" s="831"/>
      <c r="L622" s="20"/>
      <c r="M622" s="20"/>
      <c r="N622" s="20"/>
      <c r="O622" s="20"/>
      <c r="P622" s="20"/>
      <c r="Q622" s="23"/>
      <c r="R622" s="22" t="s">
        <v>16</v>
      </c>
      <c r="S622" s="22" t="s">
        <v>16</v>
      </c>
      <c r="T622" s="753">
        <f t="shared" si="63"/>
        <v>16330.712499693886</v>
      </c>
      <c r="U622" s="22">
        <v>1</v>
      </c>
      <c r="V622" s="3"/>
    </row>
    <row r="623" spans="1:22" s="290" customFormat="1">
      <c r="A623" s="371" t="s">
        <v>1875</v>
      </c>
      <c r="B623" s="377" t="s">
        <v>2147</v>
      </c>
      <c r="C623" s="517">
        <v>228.6</v>
      </c>
      <c r="D623" s="517">
        <v>76.2</v>
      </c>
      <c r="E623" s="517">
        <v>114.3</v>
      </c>
      <c r="F623" s="517">
        <v>109.5</v>
      </c>
      <c r="G623" s="341">
        <f t="shared" si="64"/>
        <v>1.9492219079999999</v>
      </c>
      <c r="H623" s="20"/>
      <c r="I623" s="20"/>
      <c r="J623" s="72"/>
      <c r="K623" s="831"/>
      <c r="L623" s="20"/>
      <c r="M623" s="20"/>
      <c r="N623" s="20"/>
      <c r="O623" s="20"/>
      <c r="P623" s="20"/>
      <c r="Q623" s="23"/>
      <c r="R623" s="22" t="s">
        <v>16</v>
      </c>
      <c r="S623" s="22" t="s">
        <v>16</v>
      </c>
      <c r="T623" s="753">
        <f t="shared" si="63"/>
        <v>5443.837491733776</v>
      </c>
      <c r="U623" s="22">
        <v>1</v>
      </c>
      <c r="V623" s="3"/>
    </row>
    <row r="624" spans="1:22" s="290" customFormat="1">
      <c r="A624" s="371" t="s">
        <v>1876</v>
      </c>
      <c r="B624" s="377" t="s">
        <v>2147</v>
      </c>
      <c r="C624" s="517">
        <v>228.6</v>
      </c>
      <c r="D624" s="517">
        <v>76.2</v>
      </c>
      <c r="E624" s="517">
        <v>114.3</v>
      </c>
      <c r="F624" s="517">
        <v>108</v>
      </c>
      <c r="G624" s="341">
        <f t="shared" si="64"/>
        <v>1.9361574180000003</v>
      </c>
      <c r="H624" s="20"/>
      <c r="I624" s="20"/>
      <c r="J624" s="72"/>
      <c r="K624" s="831"/>
      <c r="L624" s="20"/>
      <c r="M624" s="20"/>
      <c r="N624" s="20"/>
      <c r="O624" s="20"/>
      <c r="P624" s="20"/>
      <c r="Q624" s="23"/>
      <c r="R624" s="22" t="s">
        <v>16</v>
      </c>
      <c r="S624" s="22" t="s">
        <v>16</v>
      </c>
      <c r="T624" s="753">
        <f t="shared" si="63"/>
        <v>4147.8508741680607</v>
      </c>
      <c r="U624" s="22">
        <v>1</v>
      </c>
      <c r="V624" s="3"/>
    </row>
    <row r="625" spans="1:22" s="290" customFormat="1">
      <c r="A625" s="371" t="s">
        <v>1877</v>
      </c>
      <c r="B625" s="377" t="s">
        <v>2147</v>
      </c>
      <c r="C625" s="517">
        <v>228.6</v>
      </c>
      <c r="D625" s="517">
        <v>76.2</v>
      </c>
      <c r="E625" s="517">
        <v>114.3</v>
      </c>
      <c r="F625" s="517">
        <v>101.6</v>
      </c>
      <c r="G625" s="341">
        <f t="shared" si="64"/>
        <v>1.8804155939999998</v>
      </c>
      <c r="H625" s="20"/>
      <c r="I625" s="20"/>
      <c r="J625" s="72"/>
      <c r="K625" s="831"/>
      <c r="L625" s="20"/>
      <c r="M625" s="20"/>
      <c r="N625" s="20"/>
      <c r="O625" s="20"/>
      <c r="P625" s="20"/>
      <c r="Q625" s="23"/>
      <c r="R625" s="22" t="s">
        <v>16</v>
      </c>
      <c r="S625" s="22" t="s">
        <v>16</v>
      </c>
      <c r="T625" s="753">
        <f t="shared" si="63"/>
        <v>2058.1935969436886</v>
      </c>
      <c r="U625" s="22">
        <v>1</v>
      </c>
      <c r="V625" s="3"/>
    </row>
    <row r="626" spans="1:22" s="290" customFormat="1">
      <c r="A626" s="371" t="s">
        <v>1878</v>
      </c>
      <c r="B626" s="377" t="s">
        <v>2147</v>
      </c>
      <c r="C626" s="517">
        <v>228.6</v>
      </c>
      <c r="D626" s="517">
        <v>76.2</v>
      </c>
      <c r="E626" s="517">
        <v>114.3</v>
      </c>
      <c r="F626" s="517">
        <v>95.2</v>
      </c>
      <c r="G626" s="341">
        <f t="shared" si="64"/>
        <v>1.82467377</v>
      </c>
      <c r="H626" s="20"/>
      <c r="I626" s="20"/>
      <c r="J626" s="72"/>
      <c r="K626" s="831"/>
      <c r="L626" s="20"/>
      <c r="M626" s="20"/>
      <c r="N626" s="20"/>
      <c r="O626" s="20"/>
      <c r="P626" s="20"/>
      <c r="Q626" s="23"/>
      <c r="R626" s="22" t="s">
        <v>16</v>
      </c>
      <c r="S626" s="22" t="s">
        <v>16</v>
      </c>
      <c r="T626" s="753">
        <f t="shared" si="63"/>
        <v>1369.2026536937503</v>
      </c>
      <c r="U626" s="22">
        <v>1</v>
      </c>
      <c r="V626" s="3"/>
    </row>
    <row r="627" spans="1:22" s="290" customFormat="1">
      <c r="A627" s="371" t="s">
        <v>1879</v>
      </c>
      <c r="B627" s="377" t="s">
        <v>2147</v>
      </c>
      <c r="C627" s="517">
        <v>228.6</v>
      </c>
      <c r="D627" s="517">
        <v>76.2</v>
      </c>
      <c r="E627" s="517">
        <v>114.3</v>
      </c>
      <c r="F627" s="517">
        <v>88.9</v>
      </c>
      <c r="G627" s="341">
        <f t="shared" si="64"/>
        <v>1.7698029120000001</v>
      </c>
      <c r="H627" s="20"/>
      <c r="I627" s="20"/>
      <c r="J627" s="72"/>
      <c r="K627" s="831"/>
      <c r="L627" s="20"/>
      <c r="M627" s="20"/>
      <c r="N627" s="20"/>
      <c r="O627" s="20"/>
      <c r="P627" s="20"/>
      <c r="Q627" s="23"/>
      <c r="R627" s="22" t="s">
        <v>16</v>
      </c>
      <c r="S627" s="22" t="s">
        <v>16</v>
      </c>
      <c r="T627" s="753">
        <f t="shared" si="63"/>
        <v>1030.2862769638352</v>
      </c>
      <c r="U627" s="22">
        <v>1</v>
      </c>
      <c r="V627" s="3"/>
    </row>
    <row r="628" spans="1:22" s="290" customFormat="1">
      <c r="A628" s="371" t="s">
        <v>1880</v>
      </c>
      <c r="B628" s="377" t="s">
        <v>2147</v>
      </c>
      <c r="C628" s="517">
        <v>228.6</v>
      </c>
      <c r="D628" s="517">
        <v>76.2</v>
      </c>
      <c r="E628" s="517">
        <v>114.3</v>
      </c>
      <c r="F628" s="517">
        <v>76.2</v>
      </c>
      <c r="G628" s="341">
        <f t="shared" si="64"/>
        <v>1.6591902299999999</v>
      </c>
      <c r="H628" s="20"/>
      <c r="I628" s="20"/>
      <c r="J628" s="72"/>
      <c r="K628" s="831"/>
      <c r="L628" s="20"/>
      <c r="M628" s="20"/>
      <c r="N628" s="20"/>
      <c r="O628" s="20"/>
      <c r="P628" s="20"/>
      <c r="Q628" s="23"/>
      <c r="R628" s="22" t="s">
        <v>16</v>
      </c>
      <c r="S628" s="22" t="s">
        <v>16</v>
      </c>
      <c r="T628" s="753">
        <f t="shared" si="63"/>
        <v>688.17713017797973</v>
      </c>
      <c r="U628" s="22">
        <v>1</v>
      </c>
      <c r="V628" s="3"/>
    </row>
    <row r="629" spans="1:22" s="290" customFormat="1">
      <c r="A629" s="371" t="s">
        <v>1881</v>
      </c>
      <c r="B629" s="377" t="s">
        <v>2147</v>
      </c>
      <c r="C629" s="517">
        <v>228.6</v>
      </c>
      <c r="D629" s="517">
        <v>76.2</v>
      </c>
      <c r="E629" s="517">
        <v>114.3</v>
      </c>
      <c r="F629" s="517">
        <v>63.5</v>
      </c>
      <c r="G629" s="341">
        <f t="shared" si="64"/>
        <v>1.5485775479999999</v>
      </c>
      <c r="H629" s="20"/>
      <c r="I629" s="20"/>
      <c r="J629" s="72"/>
      <c r="K629" s="831"/>
      <c r="L629" s="20"/>
      <c r="M629" s="20"/>
      <c r="N629" s="20"/>
      <c r="O629" s="20"/>
      <c r="P629" s="20"/>
      <c r="Q629" s="23"/>
      <c r="R629" s="22" t="s">
        <v>16</v>
      </c>
      <c r="S629" s="22" t="s">
        <v>16</v>
      </c>
      <c r="T629" s="753">
        <f t="shared" si="63"/>
        <v>517.51526064455334</v>
      </c>
      <c r="U629" s="22">
        <v>1</v>
      </c>
      <c r="V629" s="3"/>
    </row>
    <row r="630" spans="1:22" s="290" customFormat="1">
      <c r="A630" s="371" t="s">
        <v>1882</v>
      </c>
      <c r="B630" s="377" t="s">
        <v>2147</v>
      </c>
      <c r="C630" s="517">
        <v>228.6</v>
      </c>
      <c r="D630" s="517">
        <v>76.2</v>
      </c>
      <c r="E630" s="517">
        <v>114.3</v>
      </c>
      <c r="F630" s="517">
        <v>57.2</v>
      </c>
      <c r="G630" s="341">
        <f t="shared" si="64"/>
        <v>1.4937066900000002</v>
      </c>
      <c r="H630" s="20"/>
      <c r="I630" s="20"/>
      <c r="J630" s="72"/>
      <c r="K630" s="831"/>
      <c r="L630" s="20"/>
      <c r="M630" s="20"/>
      <c r="N630" s="20"/>
      <c r="O630" s="20"/>
      <c r="P630" s="20"/>
      <c r="Q630" s="23"/>
      <c r="R630" s="22" t="s">
        <v>16</v>
      </c>
      <c r="S630" s="22" t="s">
        <v>16</v>
      </c>
      <c r="T630" s="753">
        <f t="shared" si="63"/>
        <v>461.15529169743138</v>
      </c>
      <c r="U630" s="22">
        <v>1</v>
      </c>
      <c r="V630" s="3"/>
    </row>
    <row r="631" spans="1:22" s="290" customFormat="1">
      <c r="A631" s="371" t="s">
        <v>1883</v>
      </c>
      <c r="B631" s="377" t="s">
        <v>2147</v>
      </c>
      <c r="C631" s="517">
        <v>228.6</v>
      </c>
      <c r="D631" s="517">
        <v>76.2</v>
      </c>
      <c r="E631" s="517">
        <v>152.4</v>
      </c>
      <c r="F631" s="517">
        <v>142.80000000000001</v>
      </c>
      <c r="G631" s="341">
        <f t="shared" si="64"/>
        <v>2.5710916320000008</v>
      </c>
      <c r="H631" s="20"/>
      <c r="I631" s="20"/>
      <c r="J631" s="72"/>
      <c r="K631" s="831"/>
      <c r="L631" s="20"/>
      <c r="M631" s="20"/>
      <c r="N631" s="20"/>
      <c r="O631" s="20"/>
      <c r="P631" s="20"/>
      <c r="Q631" s="23"/>
      <c r="R631" s="22" t="s">
        <v>16</v>
      </c>
      <c r="S631" s="22" t="s">
        <v>16</v>
      </c>
      <c r="T631" s="753">
        <f t="shared" si="63"/>
        <v>3629.8249118414815</v>
      </c>
      <c r="U631" s="22">
        <v>1</v>
      </c>
      <c r="V631" s="3"/>
    </row>
    <row r="632" spans="1:22" s="290" customFormat="1">
      <c r="A632" s="371" t="s">
        <v>1884</v>
      </c>
      <c r="B632" s="377" t="s">
        <v>2147</v>
      </c>
      <c r="C632" s="517">
        <v>228.6</v>
      </c>
      <c r="D632" s="517">
        <v>76.2</v>
      </c>
      <c r="E632" s="517">
        <v>152.4</v>
      </c>
      <c r="F632" s="517">
        <v>139.69999999999999</v>
      </c>
      <c r="G632" s="341">
        <f t="shared" si="64"/>
        <v>2.5440916860000002</v>
      </c>
      <c r="H632" s="20"/>
      <c r="I632" s="20"/>
      <c r="J632" s="72"/>
      <c r="K632" s="831"/>
      <c r="L632" s="20"/>
      <c r="M632" s="20"/>
      <c r="N632" s="20"/>
      <c r="O632" s="20"/>
      <c r="P632" s="20"/>
      <c r="Q632" s="23"/>
      <c r="R632" s="22" t="s">
        <v>16</v>
      </c>
      <c r="S632" s="22" t="s">
        <v>16</v>
      </c>
      <c r="T632" s="753">
        <f t="shared" si="63"/>
        <v>2744.2581292582481</v>
      </c>
      <c r="U632" s="22">
        <v>1</v>
      </c>
      <c r="V632" s="3"/>
    </row>
    <row r="633" spans="1:22" s="290" customFormat="1">
      <c r="A633" s="371" t="s">
        <v>1885</v>
      </c>
      <c r="B633" s="377" t="s">
        <v>2147</v>
      </c>
      <c r="C633" s="517">
        <v>228.6</v>
      </c>
      <c r="D633" s="517">
        <v>76.2</v>
      </c>
      <c r="E633" s="517">
        <v>152.4</v>
      </c>
      <c r="F633" s="517">
        <v>137</v>
      </c>
      <c r="G633" s="341">
        <f t="shared" si="64"/>
        <v>2.5205756039999998</v>
      </c>
      <c r="H633" s="20"/>
      <c r="I633" s="20"/>
      <c r="J633" s="72"/>
      <c r="K633" s="831"/>
      <c r="L633" s="20"/>
      <c r="M633" s="20"/>
      <c r="N633" s="20"/>
      <c r="O633" s="20"/>
      <c r="P633" s="20"/>
      <c r="Q633" s="23"/>
      <c r="R633" s="22" t="s">
        <v>16</v>
      </c>
      <c r="S633" s="22" t="s">
        <v>16</v>
      </c>
      <c r="T633" s="753">
        <f t="shared" si="63"/>
        <v>2263.532320183082</v>
      </c>
      <c r="U633" s="22">
        <v>1</v>
      </c>
      <c r="V633" s="3"/>
    </row>
    <row r="634" spans="1:22" s="290" customFormat="1">
      <c r="A634" s="371" t="s">
        <v>1886</v>
      </c>
      <c r="B634" s="377" t="s">
        <v>2147</v>
      </c>
      <c r="C634" s="517">
        <v>228.6</v>
      </c>
      <c r="D634" s="517">
        <v>76.2</v>
      </c>
      <c r="E634" s="517">
        <v>152.4</v>
      </c>
      <c r="F634" s="517">
        <v>136.5</v>
      </c>
      <c r="G634" s="341">
        <f t="shared" si="64"/>
        <v>2.5162207739999998</v>
      </c>
      <c r="H634" s="20"/>
      <c r="I634" s="20"/>
      <c r="J634" s="72"/>
      <c r="K634" s="831"/>
      <c r="L634" s="20"/>
      <c r="M634" s="20"/>
      <c r="N634" s="20"/>
      <c r="O634" s="20"/>
      <c r="P634" s="20"/>
      <c r="Q634" s="23"/>
      <c r="R634" s="22" t="s">
        <v>16</v>
      </c>
      <c r="S634" s="22" t="s">
        <v>16</v>
      </c>
      <c r="T634" s="753">
        <f t="shared" si="63"/>
        <v>2192.4340335796719</v>
      </c>
      <c r="U634" s="22">
        <v>1</v>
      </c>
      <c r="V634" s="3"/>
    </row>
    <row r="635" spans="1:22" s="290" customFormat="1">
      <c r="A635" s="371" t="s">
        <v>1887</v>
      </c>
      <c r="B635" s="377" t="s">
        <v>2147</v>
      </c>
      <c r="C635" s="517">
        <v>228.6</v>
      </c>
      <c r="D635" s="517">
        <v>76.2</v>
      </c>
      <c r="E635" s="517">
        <v>152.4</v>
      </c>
      <c r="F635" s="517">
        <v>133.4</v>
      </c>
      <c r="G635" s="341">
        <f t="shared" si="64"/>
        <v>2.4892208280000001</v>
      </c>
      <c r="H635" s="20"/>
      <c r="I635" s="20"/>
      <c r="J635" s="72"/>
      <c r="K635" s="831"/>
      <c r="L635" s="20"/>
      <c r="M635" s="20"/>
      <c r="N635" s="20"/>
      <c r="O635" s="20"/>
      <c r="P635" s="20"/>
      <c r="Q635" s="23"/>
      <c r="R635" s="22" t="s">
        <v>16</v>
      </c>
      <c r="S635" s="22" t="s">
        <v>16</v>
      </c>
      <c r="T635" s="753">
        <f t="shared" si="63"/>
        <v>1835.195281893966</v>
      </c>
      <c r="U635" s="22">
        <v>1</v>
      </c>
      <c r="V635" s="3"/>
    </row>
    <row r="636" spans="1:22" s="290" customFormat="1">
      <c r="A636" s="371" t="s">
        <v>1888</v>
      </c>
      <c r="B636" s="377" t="s">
        <v>2147</v>
      </c>
      <c r="C636" s="517">
        <v>228.6</v>
      </c>
      <c r="D636" s="517">
        <v>76.2</v>
      </c>
      <c r="E636" s="517">
        <v>152.4</v>
      </c>
      <c r="F636" s="517">
        <v>127</v>
      </c>
      <c r="G636" s="341">
        <f t="shared" si="64"/>
        <v>2.4334790039999996</v>
      </c>
      <c r="H636" s="20"/>
      <c r="I636" s="20"/>
      <c r="J636" s="72"/>
      <c r="K636" s="831"/>
      <c r="L636" s="20"/>
      <c r="M636" s="20"/>
      <c r="N636" s="20"/>
      <c r="O636" s="20"/>
      <c r="P636" s="20"/>
      <c r="Q636" s="23"/>
      <c r="R636" s="22" t="s">
        <v>16</v>
      </c>
      <c r="S636" s="22" t="s">
        <v>16</v>
      </c>
      <c r="T636" s="753">
        <f t="shared" si="63"/>
        <v>1373.7150359517796</v>
      </c>
      <c r="U636" s="22">
        <v>1</v>
      </c>
      <c r="V636" s="3"/>
    </row>
    <row r="637" spans="1:22" s="290" customFormat="1">
      <c r="A637" s="371" t="s">
        <v>1889</v>
      </c>
      <c r="B637" s="377" t="s">
        <v>2147</v>
      </c>
      <c r="C637" s="517">
        <v>228.6</v>
      </c>
      <c r="D637" s="517">
        <v>76.2</v>
      </c>
      <c r="E637" s="517">
        <v>152.4</v>
      </c>
      <c r="F637" s="517">
        <v>122.2</v>
      </c>
      <c r="G637" s="341">
        <f t="shared" si="64"/>
        <v>2.3916726360000005</v>
      </c>
      <c r="H637" s="20"/>
      <c r="I637" s="20"/>
      <c r="J637" s="72"/>
      <c r="K637" s="831"/>
      <c r="L637" s="20"/>
      <c r="M637" s="20"/>
      <c r="N637" s="20"/>
      <c r="O637" s="20"/>
      <c r="P637" s="20"/>
      <c r="Q637" s="23"/>
      <c r="R637" s="22" t="s">
        <v>16</v>
      </c>
      <c r="S637" s="22" t="s">
        <v>16</v>
      </c>
      <c r="T637" s="753">
        <f t="shared" si="63"/>
        <v>1156.1112784757952</v>
      </c>
      <c r="U637" s="22">
        <v>1</v>
      </c>
      <c r="V637" s="3"/>
    </row>
    <row r="638" spans="1:22" s="290" customFormat="1">
      <c r="A638" s="371" t="s">
        <v>1890</v>
      </c>
      <c r="B638" s="377" t="s">
        <v>2147</v>
      </c>
      <c r="C638" s="517">
        <v>228.6</v>
      </c>
      <c r="D638" s="517">
        <v>76.2</v>
      </c>
      <c r="E638" s="517">
        <v>152.4</v>
      </c>
      <c r="F638" s="517">
        <v>114.3</v>
      </c>
      <c r="G638" s="341">
        <f t="shared" si="64"/>
        <v>2.3228663220000003</v>
      </c>
      <c r="H638" s="20"/>
      <c r="I638" s="20"/>
      <c r="J638" s="72"/>
      <c r="K638" s="831"/>
      <c r="L638" s="20"/>
      <c r="M638" s="20"/>
      <c r="N638" s="20"/>
      <c r="O638" s="20"/>
      <c r="P638" s="20"/>
      <c r="Q638" s="23"/>
      <c r="R638" s="22" t="s">
        <v>16</v>
      </c>
      <c r="S638" s="22" t="s">
        <v>16</v>
      </c>
      <c r="T638" s="753">
        <f t="shared" si="63"/>
        <v>917.56950690397275</v>
      </c>
      <c r="U638" s="22">
        <v>1</v>
      </c>
      <c r="V638" s="3"/>
    </row>
    <row r="639" spans="1:22" s="290" customFormat="1">
      <c r="A639" s="371" t="s">
        <v>1891</v>
      </c>
      <c r="B639" s="377" t="s">
        <v>2147</v>
      </c>
      <c r="C639" s="517">
        <v>228.6</v>
      </c>
      <c r="D639" s="517">
        <v>76.2</v>
      </c>
      <c r="E639" s="517">
        <v>152.4</v>
      </c>
      <c r="F639" s="517">
        <v>102.4</v>
      </c>
      <c r="G639" s="341">
        <f t="shared" si="64"/>
        <v>2.2192213680000004</v>
      </c>
      <c r="H639" s="20"/>
      <c r="I639" s="20"/>
      <c r="J639" s="72"/>
      <c r="K639" s="831"/>
      <c r="L639" s="20"/>
      <c r="M639" s="20"/>
      <c r="N639" s="20"/>
      <c r="O639" s="20"/>
      <c r="P639" s="20"/>
      <c r="Q639" s="23"/>
      <c r="R639" s="22" t="s">
        <v>16</v>
      </c>
      <c r="S639" s="22" t="s">
        <v>16</v>
      </c>
      <c r="T639" s="753">
        <f t="shared" si="63"/>
        <v>700.92708238435193</v>
      </c>
      <c r="U639" s="22">
        <v>1</v>
      </c>
      <c r="V639" s="3"/>
    </row>
    <row r="640" spans="1:22" s="290" customFormat="1">
      <c r="A640" s="371" t="s">
        <v>1892</v>
      </c>
      <c r="B640" s="377" t="s">
        <v>2147</v>
      </c>
      <c r="C640" s="517">
        <v>228.6</v>
      </c>
      <c r="D640" s="517">
        <v>76.2</v>
      </c>
      <c r="E640" s="517">
        <v>152.4</v>
      </c>
      <c r="F640" s="517">
        <v>95.3</v>
      </c>
      <c r="G640" s="341">
        <f t="shared" si="64"/>
        <v>2.157382782</v>
      </c>
      <c r="H640" s="20"/>
      <c r="I640" s="20"/>
      <c r="J640" s="72"/>
      <c r="K640" s="831"/>
      <c r="L640" s="20"/>
      <c r="M640" s="20"/>
      <c r="N640" s="20"/>
      <c r="O640" s="20"/>
      <c r="P640" s="20"/>
      <c r="Q640" s="23"/>
      <c r="R640" s="22" t="s">
        <v>16</v>
      </c>
      <c r="S640" s="22" t="s">
        <v>16</v>
      </c>
      <c r="T640" s="753">
        <f t="shared" si="63"/>
        <v>614.8737222632418</v>
      </c>
      <c r="U640" s="22">
        <v>1</v>
      </c>
      <c r="V640" s="3"/>
    </row>
    <row r="641" spans="1:22" s="290" customFormat="1">
      <c r="A641" s="371" t="s">
        <v>1893</v>
      </c>
      <c r="B641" s="377" t="s">
        <v>2147</v>
      </c>
      <c r="C641" s="517">
        <v>228.6</v>
      </c>
      <c r="D641" s="517">
        <v>76.2</v>
      </c>
      <c r="E641" s="517">
        <v>152.4</v>
      </c>
      <c r="F641" s="517">
        <v>76.2</v>
      </c>
      <c r="G641" s="341">
        <f t="shared" si="64"/>
        <v>1.9910282760000002</v>
      </c>
      <c r="H641" s="20"/>
      <c r="I641" s="20"/>
      <c r="J641" s="72"/>
      <c r="K641" s="831"/>
      <c r="L641" s="20"/>
      <c r="M641" s="20"/>
      <c r="N641" s="20"/>
      <c r="O641" s="20"/>
      <c r="P641" s="20"/>
      <c r="Q641" s="23"/>
      <c r="R641" s="22" t="s">
        <v>16</v>
      </c>
      <c r="S641" s="22" t="s">
        <v>16</v>
      </c>
      <c r="T641" s="753">
        <f t="shared" si="63"/>
        <v>463.50650480872434</v>
      </c>
      <c r="U641" s="22">
        <v>1</v>
      </c>
      <c r="V641" s="3"/>
    </row>
    <row r="642" spans="1:22" s="290" customFormat="1">
      <c r="A642" s="371" t="s">
        <v>1894</v>
      </c>
      <c r="B642" s="377" t="s">
        <v>2147</v>
      </c>
      <c r="C642" s="517">
        <v>228.6</v>
      </c>
      <c r="D642" s="517">
        <v>101.6</v>
      </c>
      <c r="E642" s="517">
        <v>152.4</v>
      </c>
      <c r="F642" s="517">
        <v>136.5</v>
      </c>
      <c r="G642" s="341">
        <f t="shared" si="64"/>
        <v>3.3549610319999994</v>
      </c>
      <c r="H642" s="20"/>
      <c r="I642" s="20"/>
      <c r="J642" s="72"/>
      <c r="K642" s="831"/>
      <c r="L642" s="20"/>
      <c r="M642" s="20"/>
      <c r="N642" s="20"/>
      <c r="O642" s="20"/>
      <c r="P642" s="20"/>
      <c r="Q642" s="23"/>
      <c r="R642" s="22" t="s">
        <v>16</v>
      </c>
      <c r="S642" s="22" t="s">
        <v>16</v>
      </c>
      <c r="T642" s="753">
        <f t="shared" si="63"/>
        <v>2192.4340335796719</v>
      </c>
      <c r="U642" s="22">
        <v>1</v>
      </c>
      <c r="V642" s="3"/>
    </row>
    <row r="643" spans="1:22" s="290" customFormat="1">
      <c r="A643" s="371" t="s">
        <v>1895</v>
      </c>
      <c r="B643" s="377" t="s">
        <v>2147</v>
      </c>
      <c r="C643" s="517">
        <v>228.6</v>
      </c>
      <c r="D643" s="517">
        <v>101.6</v>
      </c>
      <c r="E643" s="517">
        <v>152.4</v>
      </c>
      <c r="F643" s="517">
        <v>122.2</v>
      </c>
      <c r="G643" s="341">
        <f t="shared" si="64"/>
        <v>3.1888968479999997</v>
      </c>
      <c r="H643" s="20"/>
      <c r="I643" s="20"/>
      <c r="J643" s="72"/>
      <c r="K643" s="831"/>
      <c r="L643" s="20"/>
      <c r="M643" s="20"/>
      <c r="N643" s="20"/>
      <c r="O643" s="20"/>
      <c r="P643" s="20"/>
      <c r="Q643" s="23"/>
      <c r="R643" s="22" t="s">
        <v>16</v>
      </c>
      <c r="S643" s="22" t="s">
        <v>16</v>
      </c>
      <c r="T643" s="753">
        <f t="shared" si="63"/>
        <v>1156.1112784757952</v>
      </c>
      <c r="U643" s="22">
        <v>1</v>
      </c>
      <c r="V643" s="3"/>
    </row>
    <row r="644" spans="1:22" s="290" customFormat="1">
      <c r="A644" s="371" t="s">
        <v>1896</v>
      </c>
      <c r="B644" s="377" t="s">
        <v>2147</v>
      </c>
      <c r="C644" s="517">
        <v>228.6</v>
      </c>
      <c r="D644" s="517">
        <v>101.6</v>
      </c>
      <c r="E644" s="517">
        <v>152.4</v>
      </c>
      <c r="F644" s="517">
        <v>76.2</v>
      </c>
      <c r="G644" s="341">
        <f t="shared" si="64"/>
        <v>2.6547043680000004</v>
      </c>
      <c r="H644" s="20"/>
      <c r="I644" s="20"/>
      <c r="J644" s="72"/>
      <c r="K644" s="831"/>
      <c r="L644" s="20"/>
      <c r="M644" s="20"/>
      <c r="N644" s="20"/>
      <c r="O644" s="20"/>
      <c r="P644" s="20"/>
      <c r="Q644" s="23"/>
      <c r="R644" s="22" t="s">
        <v>16</v>
      </c>
      <c r="S644" s="22" t="s">
        <v>16</v>
      </c>
      <c r="T644" s="753">
        <f t="shared" si="63"/>
        <v>463.50650480872434</v>
      </c>
      <c r="U644" s="22">
        <v>1</v>
      </c>
      <c r="V644" s="3"/>
    </row>
    <row r="645" spans="1:22" s="290" customFormat="1">
      <c r="A645" s="371" t="s">
        <v>1897</v>
      </c>
      <c r="B645" s="377" t="s">
        <v>2147</v>
      </c>
      <c r="C645" s="517">
        <v>228.6</v>
      </c>
      <c r="D645" s="517">
        <v>101.6</v>
      </c>
      <c r="E645" s="517">
        <v>114.3</v>
      </c>
      <c r="F645" s="517">
        <v>101.6</v>
      </c>
      <c r="G645" s="341">
        <f t="shared" si="64"/>
        <v>2.5072207919999996</v>
      </c>
      <c r="H645" s="20"/>
      <c r="I645" s="20"/>
      <c r="J645" s="72"/>
      <c r="K645" s="831"/>
      <c r="L645" s="20"/>
      <c r="M645" s="20"/>
      <c r="N645" s="20"/>
      <c r="O645" s="20"/>
      <c r="P645" s="20"/>
      <c r="Q645" s="23"/>
      <c r="R645" s="22" t="s">
        <v>16</v>
      </c>
      <c r="S645" s="22" t="s">
        <v>16</v>
      </c>
      <c r="T645" s="753">
        <f t="shared" si="63"/>
        <v>2058.1935969436886</v>
      </c>
      <c r="U645" s="22">
        <v>1</v>
      </c>
      <c r="V645" s="3"/>
    </row>
    <row r="646" spans="1:22" s="290" customFormat="1">
      <c r="A646" s="379" t="s">
        <v>1898</v>
      </c>
      <c r="B646" s="443" t="s">
        <v>2147</v>
      </c>
      <c r="C646" s="518">
        <v>304.8</v>
      </c>
      <c r="D646" s="518">
        <v>76.2</v>
      </c>
      <c r="E646" s="518">
        <v>152.4</v>
      </c>
      <c r="F646" s="518">
        <v>149.19999999999999</v>
      </c>
      <c r="G646" s="341">
        <f t="shared" si="64"/>
        <v>3.5024446080000007</v>
      </c>
      <c r="H646" s="20"/>
      <c r="I646" s="20"/>
      <c r="J646" s="72"/>
      <c r="K646" s="831"/>
      <c r="L646" s="20"/>
      <c r="M646" s="20"/>
      <c r="N646" s="20"/>
      <c r="O646" s="20"/>
      <c r="P646" s="20"/>
      <c r="Q646" s="23"/>
      <c r="R646" s="22" t="s">
        <v>16</v>
      </c>
      <c r="S646" s="22" t="s">
        <v>16</v>
      </c>
      <c r="T646" s="753">
        <f t="shared" si="63"/>
        <v>14516.299998622162</v>
      </c>
      <c r="U646" s="22">
        <v>1</v>
      </c>
      <c r="V646" s="3"/>
    </row>
    <row r="647" spans="1:22" s="290" customFormat="1">
      <c r="A647" s="379" t="s">
        <v>1899</v>
      </c>
      <c r="B647" s="443" t="s">
        <v>2147</v>
      </c>
      <c r="C647" s="518">
        <v>304.8</v>
      </c>
      <c r="D647" s="518">
        <v>76.2</v>
      </c>
      <c r="E647" s="518">
        <v>152.4</v>
      </c>
      <c r="F647" s="518">
        <v>139.69999999999999</v>
      </c>
      <c r="G647" s="341">
        <f t="shared" si="64"/>
        <v>3.3921222480000006</v>
      </c>
      <c r="H647" s="20"/>
      <c r="I647" s="20"/>
      <c r="J647" s="72"/>
      <c r="K647" s="831"/>
      <c r="L647" s="20"/>
      <c r="M647" s="20"/>
      <c r="N647" s="20"/>
      <c r="O647" s="20"/>
      <c r="P647" s="20"/>
      <c r="Q647" s="23"/>
      <c r="R647" s="22" t="s">
        <v>16</v>
      </c>
      <c r="S647" s="22" t="s">
        <v>16</v>
      </c>
      <c r="T647" s="753">
        <f t="shared" si="63"/>
        <v>3658.3936638912942</v>
      </c>
      <c r="U647" s="22">
        <v>1</v>
      </c>
      <c r="V647" s="3"/>
    </row>
    <row r="648" spans="1:22" s="290" customFormat="1">
      <c r="A648" s="379" t="s">
        <v>1900</v>
      </c>
      <c r="B648" s="443" t="s">
        <v>2147</v>
      </c>
      <c r="C648" s="518">
        <v>304.8</v>
      </c>
      <c r="D648" s="518">
        <v>76.2</v>
      </c>
      <c r="E648" s="518">
        <v>152.4</v>
      </c>
      <c r="F648" s="518">
        <v>133.30000000000001</v>
      </c>
      <c r="G648" s="341">
        <f t="shared" si="64"/>
        <v>3.3177998160000004</v>
      </c>
      <c r="H648" s="20"/>
      <c r="I648" s="20"/>
      <c r="J648" s="72"/>
      <c r="K648" s="831"/>
      <c r="L648" s="20"/>
      <c r="M648" s="20"/>
      <c r="N648" s="20"/>
      <c r="O648" s="20"/>
      <c r="P648" s="20"/>
      <c r="Q648" s="23"/>
      <c r="R648" s="22" t="s">
        <v>16</v>
      </c>
      <c r="S648" s="22" t="s">
        <v>16</v>
      </c>
      <c r="T648" s="753">
        <f t="shared" si="63"/>
        <v>2433.2102110956575</v>
      </c>
      <c r="U648" s="22">
        <v>1</v>
      </c>
      <c r="V648" s="3"/>
    </row>
    <row r="649" spans="1:22" s="290" customFormat="1">
      <c r="A649" s="379" t="s">
        <v>1901</v>
      </c>
      <c r="B649" s="443" t="s">
        <v>2147</v>
      </c>
      <c r="C649" s="518">
        <v>304.8</v>
      </c>
      <c r="D649" s="518">
        <v>76.2</v>
      </c>
      <c r="E649" s="518">
        <v>152.4</v>
      </c>
      <c r="F649" s="518">
        <v>130.19999999999999</v>
      </c>
      <c r="G649" s="341">
        <f t="shared" si="64"/>
        <v>3.2817998880000006</v>
      </c>
      <c r="H649" s="20"/>
      <c r="I649" s="20"/>
      <c r="J649" s="72"/>
      <c r="K649" s="831"/>
      <c r="L649" s="20"/>
      <c r="M649" s="20"/>
      <c r="N649" s="20"/>
      <c r="O649" s="20"/>
      <c r="P649" s="20"/>
      <c r="Q649" s="23"/>
      <c r="R649" s="22" t="s">
        <v>16</v>
      </c>
      <c r="S649" s="22" t="s">
        <v>16</v>
      </c>
      <c r="T649" s="753">
        <f t="shared" si="63"/>
        <v>2093.7978510825606</v>
      </c>
      <c r="U649" s="22">
        <v>1</v>
      </c>
      <c r="V649" s="3"/>
    </row>
    <row r="650" spans="1:22" s="290" customFormat="1">
      <c r="A650" s="379" t="s">
        <v>1902</v>
      </c>
      <c r="B650" s="443" t="s">
        <v>2147</v>
      </c>
      <c r="C650" s="518">
        <v>304.8</v>
      </c>
      <c r="D650" s="518">
        <v>76.2</v>
      </c>
      <c r="E650" s="518">
        <v>152.4</v>
      </c>
      <c r="F650" s="518">
        <v>127</v>
      </c>
      <c r="G650" s="341">
        <f t="shared" si="64"/>
        <v>3.2446386719999998</v>
      </c>
      <c r="H650" s="20"/>
      <c r="I650" s="20"/>
      <c r="J650" s="72"/>
      <c r="K650" s="831"/>
      <c r="L650" s="20"/>
      <c r="M650" s="20"/>
      <c r="N650" s="20"/>
      <c r="O650" s="20"/>
      <c r="P650" s="20"/>
      <c r="Q650" s="23"/>
      <c r="R650" s="22" t="s">
        <v>16</v>
      </c>
      <c r="S650" s="22" t="s">
        <v>16</v>
      </c>
      <c r="T650" s="753">
        <f t="shared" si="63"/>
        <v>1830.3868115783612</v>
      </c>
      <c r="U650" s="22">
        <v>1</v>
      </c>
      <c r="V650" s="3"/>
    </row>
    <row r="651" spans="1:22" s="290" customFormat="1">
      <c r="A651" s="379" t="s">
        <v>1903</v>
      </c>
      <c r="B651" s="443" t="s">
        <v>2147</v>
      </c>
      <c r="C651" s="518">
        <v>304.8</v>
      </c>
      <c r="D651" s="518">
        <v>76.2</v>
      </c>
      <c r="E651" s="518">
        <v>152.4</v>
      </c>
      <c r="F651" s="518">
        <v>114.3</v>
      </c>
      <c r="G651" s="341">
        <f t="shared" si="64"/>
        <v>3.0971550960000003</v>
      </c>
      <c r="H651" s="20"/>
      <c r="I651" s="20"/>
      <c r="J651" s="72"/>
      <c r="K651" s="831"/>
      <c r="L651" s="20"/>
      <c r="M651" s="20"/>
      <c r="N651" s="20"/>
      <c r="O651" s="20"/>
      <c r="P651" s="20"/>
      <c r="Q651" s="23"/>
      <c r="R651" s="22" t="s">
        <v>16</v>
      </c>
      <c r="S651" s="22" t="s">
        <v>16</v>
      </c>
      <c r="T651" s="753">
        <f t="shared" si="63"/>
        <v>1221.5789290913622</v>
      </c>
      <c r="U651" s="22">
        <v>1</v>
      </c>
      <c r="V651" s="3"/>
    </row>
    <row r="652" spans="1:22" s="290" customFormat="1">
      <c r="A652" s="379" t="s">
        <v>1904</v>
      </c>
      <c r="B652" s="443" t="s">
        <v>2147</v>
      </c>
      <c r="C652" s="518">
        <v>304.8</v>
      </c>
      <c r="D652" s="518">
        <v>76.2</v>
      </c>
      <c r="E652" s="518">
        <v>152.4</v>
      </c>
      <c r="F652" s="518">
        <v>105.4</v>
      </c>
      <c r="G652" s="341">
        <f t="shared" si="64"/>
        <v>2.993800464</v>
      </c>
      <c r="H652" s="20"/>
      <c r="I652" s="20"/>
      <c r="J652" s="72"/>
      <c r="K652" s="831"/>
      <c r="L652" s="20"/>
      <c r="M652" s="20"/>
      <c r="N652" s="20"/>
      <c r="O652" s="20"/>
      <c r="P652" s="20"/>
      <c r="Q652" s="23"/>
      <c r="R652" s="22" t="s">
        <v>16</v>
      </c>
      <c r="S652" s="22" t="s">
        <v>16</v>
      </c>
      <c r="T652" s="753">
        <f t="shared" si="63"/>
        <v>991.2633602963457</v>
      </c>
      <c r="U652" s="22">
        <v>1</v>
      </c>
      <c r="V652" s="3"/>
    </row>
    <row r="653" spans="1:22" s="290" customFormat="1">
      <c r="A653" s="379" t="s">
        <v>1905</v>
      </c>
      <c r="B653" s="443" t="s">
        <v>2147</v>
      </c>
      <c r="C653" s="518">
        <v>304.8</v>
      </c>
      <c r="D653" s="518">
        <v>76.2</v>
      </c>
      <c r="E653" s="518">
        <v>152.4</v>
      </c>
      <c r="F653" s="518">
        <v>101.6</v>
      </c>
      <c r="G653" s="341">
        <f t="shared" si="64"/>
        <v>2.9496715199999999</v>
      </c>
      <c r="H653" s="20"/>
      <c r="I653" s="20"/>
      <c r="J653" s="72"/>
      <c r="K653" s="831"/>
      <c r="L653" s="20"/>
      <c r="M653" s="20"/>
      <c r="N653" s="20"/>
      <c r="O653" s="20"/>
      <c r="P653" s="20"/>
      <c r="Q653" s="23"/>
      <c r="R653" s="22" t="s">
        <v>16</v>
      </c>
      <c r="S653" s="22" t="s">
        <v>16</v>
      </c>
      <c r="T653" s="753">
        <f t="shared" si="63"/>
        <v>917.56950690397287</v>
      </c>
      <c r="U653" s="22">
        <v>1</v>
      </c>
      <c r="V653" s="3"/>
    </row>
    <row r="654" spans="1:22" s="290" customFormat="1">
      <c r="A654" s="379" t="s">
        <v>1906</v>
      </c>
      <c r="B654" s="443" t="s">
        <v>2147</v>
      </c>
      <c r="C654" s="518">
        <v>304.8</v>
      </c>
      <c r="D654" s="518">
        <v>76.2</v>
      </c>
      <c r="E654" s="518">
        <v>152.4</v>
      </c>
      <c r="F654" s="518">
        <v>76.2</v>
      </c>
      <c r="G654" s="341">
        <f t="shared" si="64"/>
        <v>2.6547043680000009</v>
      </c>
      <c r="H654" s="20"/>
      <c r="I654" s="20"/>
      <c r="J654" s="72"/>
      <c r="K654" s="831"/>
      <c r="L654" s="20"/>
      <c r="M654" s="20"/>
      <c r="N654" s="20"/>
      <c r="O654" s="20"/>
      <c r="P654" s="20"/>
      <c r="Q654" s="23"/>
      <c r="R654" s="22" t="s">
        <v>16</v>
      </c>
      <c r="S654" s="22" t="s">
        <v>16</v>
      </c>
      <c r="T654" s="753">
        <f t="shared" si="63"/>
        <v>614.34404042034953</v>
      </c>
      <c r="U654" s="22">
        <v>1</v>
      </c>
      <c r="V654" s="3"/>
    </row>
    <row r="655" spans="1:22" s="290" customFormat="1">
      <c r="A655" s="359" t="s">
        <v>1907</v>
      </c>
      <c r="B655" s="444" t="s">
        <v>2147</v>
      </c>
      <c r="C655" s="519">
        <v>342.9</v>
      </c>
      <c r="D655" s="520">
        <v>76.2</v>
      </c>
      <c r="E655" s="519">
        <v>152.4</v>
      </c>
      <c r="F655" s="520">
        <v>146.1</v>
      </c>
      <c r="G655" s="341">
        <f t="shared" si="64"/>
        <v>3.8997502649999998</v>
      </c>
      <c r="H655" s="20"/>
      <c r="I655" s="20"/>
      <c r="J655" s="72"/>
      <c r="K655" s="831"/>
      <c r="L655" s="20"/>
      <c r="M655" s="20"/>
      <c r="N655" s="20"/>
      <c r="O655" s="20"/>
      <c r="P655" s="20"/>
      <c r="Q655" s="23"/>
      <c r="R655" s="22" t="s">
        <v>16</v>
      </c>
      <c r="S655" s="22" t="s">
        <v>16</v>
      </c>
      <c r="T655" s="753">
        <f t="shared" si="63"/>
        <v>8295.26427833054</v>
      </c>
      <c r="U655" s="22">
        <v>1</v>
      </c>
      <c r="V655" s="3"/>
    </row>
    <row r="656" spans="1:22" s="290" customFormat="1">
      <c r="A656" s="359" t="s">
        <v>1908</v>
      </c>
      <c r="B656" s="444" t="s">
        <v>2147</v>
      </c>
      <c r="C656" s="519">
        <v>342.9</v>
      </c>
      <c r="D656" s="520">
        <v>76.2</v>
      </c>
      <c r="E656" s="519">
        <v>152.4</v>
      </c>
      <c r="F656" s="520">
        <v>139.69999999999999</v>
      </c>
      <c r="G656" s="341">
        <f t="shared" si="64"/>
        <v>3.8161375290000006</v>
      </c>
      <c r="H656" s="20"/>
      <c r="I656" s="20"/>
      <c r="J656" s="72"/>
      <c r="K656" s="831"/>
      <c r="L656" s="20"/>
      <c r="M656" s="20"/>
      <c r="N656" s="20"/>
      <c r="O656" s="20"/>
      <c r="P656" s="20"/>
      <c r="Q656" s="23"/>
      <c r="R656" s="22" t="s">
        <v>16</v>
      </c>
      <c r="S656" s="22" t="s">
        <v>16</v>
      </c>
      <c r="T656" s="753">
        <f t="shared" si="63"/>
        <v>4115.5054950759031</v>
      </c>
      <c r="U656" s="22">
        <v>1</v>
      </c>
      <c r="V656" s="3"/>
    </row>
    <row r="657" spans="1:22" s="290" customFormat="1">
      <c r="A657" s="359" t="s">
        <v>1909</v>
      </c>
      <c r="B657" s="444" t="s">
        <v>2147</v>
      </c>
      <c r="C657" s="519">
        <v>342.9</v>
      </c>
      <c r="D657" s="520">
        <v>76.2</v>
      </c>
      <c r="E657" s="519">
        <v>152.4</v>
      </c>
      <c r="F657" s="520">
        <v>136.5</v>
      </c>
      <c r="G657" s="341">
        <f t="shared" si="64"/>
        <v>3.7743311609999997</v>
      </c>
      <c r="H657" s="20"/>
      <c r="I657" s="20"/>
      <c r="J657" s="72"/>
      <c r="K657" s="831"/>
      <c r="L657" s="20"/>
      <c r="M657" s="20"/>
      <c r="N657" s="20"/>
      <c r="O657" s="20"/>
      <c r="P657" s="20"/>
      <c r="Q657" s="23"/>
      <c r="R657" s="22" t="s">
        <v>16</v>
      </c>
      <c r="S657" s="22" t="s">
        <v>16</v>
      </c>
      <c r="T657" s="753">
        <f t="shared" si="63"/>
        <v>3287.547365605014</v>
      </c>
      <c r="U657" s="22">
        <v>1</v>
      </c>
      <c r="V657" s="3"/>
    </row>
    <row r="658" spans="1:22" s="290" customFormat="1">
      <c r="A658" s="359" t="s">
        <v>1910</v>
      </c>
      <c r="B658" s="444" t="s">
        <v>2147</v>
      </c>
      <c r="C658" s="519">
        <v>342.9</v>
      </c>
      <c r="D658" s="520">
        <v>76.2</v>
      </c>
      <c r="E658" s="519">
        <v>152.4</v>
      </c>
      <c r="F658" s="520">
        <v>133.30000000000001</v>
      </c>
      <c r="G658" s="341">
        <f t="shared" si="64"/>
        <v>3.7325247930000005</v>
      </c>
      <c r="H658" s="20"/>
      <c r="I658" s="20"/>
      <c r="J658" s="72"/>
      <c r="K658" s="831"/>
      <c r="L658" s="20"/>
      <c r="M658" s="20"/>
      <c r="N658" s="20"/>
      <c r="O658" s="20"/>
      <c r="P658" s="20"/>
      <c r="Q658" s="23"/>
      <c r="R658" s="22" t="s">
        <v>16</v>
      </c>
      <c r="S658" s="22" t="s">
        <v>16</v>
      </c>
      <c r="T658" s="753">
        <f t="shared" si="63"/>
        <v>2737.079753592875</v>
      </c>
      <c r="U658" s="22">
        <v>1</v>
      </c>
      <c r="V658" s="3"/>
    </row>
    <row r="659" spans="1:22" s="290" customFormat="1">
      <c r="A659" s="359" t="s">
        <v>1911</v>
      </c>
      <c r="B659" s="444" t="s">
        <v>2147</v>
      </c>
      <c r="C659" s="519">
        <v>342.9</v>
      </c>
      <c r="D659" s="520">
        <v>76.2</v>
      </c>
      <c r="E659" s="519">
        <v>152.4</v>
      </c>
      <c r="F659" s="520">
        <v>131.80000000000001</v>
      </c>
      <c r="G659" s="341">
        <f t="shared" si="64"/>
        <v>3.7129280580000006</v>
      </c>
      <c r="H659" s="20"/>
      <c r="I659" s="20"/>
      <c r="J659" s="72"/>
      <c r="K659" s="831"/>
      <c r="L659" s="20"/>
      <c r="M659" s="20"/>
      <c r="N659" s="20"/>
      <c r="O659" s="20"/>
      <c r="P659" s="20"/>
      <c r="Q659" s="23"/>
      <c r="R659" s="22" t="s">
        <v>16</v>
      </c>
      <c r="S659" s="22" t="s">
        <v>16</v>
      </c>
      <c r="T659" s="753">
        <f t="shared" si="63"/>
        <v>2537.9383611668904</v>
      </c>
      <c r="U659" s="22">
        <v>1</v>
      </c>
      <c r="V659" s="3"/>
    </row>
    <row r="660" spans="1:22" s="290" customFormat="1">
      <c r="A660" s="359" t="s">
        <v>1912</v>
      </c>
      <c r="B660" s="444" t="s">
        <v>2147</v>
      </c>
      <c r="C660" s="519">
        <v>342.9</v>
      </c>
      <c r="D660" s="520">
        <v>76.2</v>
      </c>
      <c r="E660" s="519">
        <v>152.4</v>
      </c>
      <c r="F660" s="520">
        <v>130.19999999999999</v>
      </c>
      <c r="G660" s="341">
        <f t="shared" si="64"/>
        <v>3.6920248740000003</v>
      </c>
      <c r="H660" s="20"/>
      <c r="I660" s="20"/>
      <c r="J660" s="72"/>
      <c r="K660" s="831"/>
      <c r="L660" s="20"/>
      <c r="M660" s="20"/>
      <c r="N660" s="20"/>
      <c r="O660" s="20"/>
      <c r="P660" s="20"/>
      <c r="Q660" s="23"/>
      <c r="R660" s="22" t="s">
        <v>16</v>
      </c>
      <c r="S660" s="22" t="s">
        <v>16</v>
      </c>
      <c r="T660" s="753">
        <f t="shared" si="63"/>
        <v>2355.1951725687518</v>
      </c>
      <c r="U660" s="22">
        <v>1</v>
      </c>
      <c r="V660" s="3"/>
    </row>
    <row r="661" spans="1:22" s="290" customFormat="1">
      <c r="A661" s="359" t="s">
        <v>1913</v>
      </c>
      <c r="B661" s="444" t="s">
        <v>2147</v>
      </c>
      <c r="C661" s="519">
        <v>342.9</v>
      </c>
      <c r="D661" s="520">
        <v>76.2</v>
      </c>
      <c r="E661" s="519">
        <v>152.4</v>
      </c>
      <c r="F661" s="520">
        <v>127</v>
      </c>
      <c r="G661" s="341">
        <f t="shared" si="64"/>
        <v>3.6502185059999994</v>
      </c>
      <c r="H661" s="20"/>
      <c r="I661" s="20"/>
      <c r="J661" s="72"/>
      <c r="K661" s="831"/>
      <c r="L661" s="20"/>
      <c r="M661" s="20"/>
      <c r="N661" s="20"/>
      <c r="O661" s="20"/>
      <c r="P661" s="20"/>
      <c r="Q661" s="23"/>
      <c r="R661" s="22" t="s">
        <v>16</v>
      </c>
      <c r="S661" s="22" t="s">
        <v>16</v>
      </c>
      <c r="T661" s="753">
        <f t="shared" si="63"/>
        <v>2058.8106275225991</v>
      </c>
      <c r="U661" s="22">
        <v>1</v>
      </c>
      <c r="V661" s="3"/>
    </row>
    <row r="662" spans="1:22" s="290" customFormat="1">
      <c r="A662" s="359" t="s">
        <v>1914</v>
      </c>
      <c r="B662" s="444" t="s">
        <v>2147</v>
      </c>
      <c r="C662" s="519">
        <v>342.9</v>
      </c>
      <c r="D662" s="520">
        <v>76.2</v>
      </c>
      <c r="E662" s="519">
        <v>152.4</v>
      </c>
      <c r="F662" s="520">
        <v>114.3</v>
      </c>
      <c r="G662" s="341">
        <f t="shared" si="64"/>
        <v>3.484299483</v>
      </c>
      <c r="H662" s="20"/>
      <c r="I662" s="20"/>
      <c r="J662" s="72"/>
      <c r="K662" s="831"/>
      <c r="L662" s="20"/>
      <c r="M662" s="20"/>
      <c r="N662" s="20"/>
      <c r="O662" s="20"/>
      <c r="P662" s="20"/>
      <c r="Q662" s="23"/>
      <c r="R662" s="22" t="s">
        <v>16</v>
      </c>
      <c r="S662" s="22" t="s">
        <v>16</v>
      </c>
      <c r="T662" s="753">
        <f t="shared" si="63"/>
        <v>1373.7150359517796</v>
      </c>
      <c r="U662" s="22">
        <v>1</v>
      </c>
      <c r="V662" s="3"/>
    </row>
    <row r="663" spans="1:22" s="290" customFormat="1">
      <c r="A663" s="359" t="s">
        <v>1915</v>
      </c>
      <c r="B663" s="444" t="s">
        <v>2147</v>
      </c>
      <c r="C663" s="519">
        <v>342.9</v>
      </c>
      <c r="D663" s="520">
        <v>76.2</v>
      </c>
      <c r="E663" s="519">
        <v>152.4</v>
      </c>
      <c r="F663" s="520">
        <v>111.1</v>
      </c>
      <c r="G663" s="341">
        <f t="shared" si="64"/>
        <v>3.4424931149999995</v>
      </c>
      <c r="H663" s="20"/>
      <c r="I663" s="20"/>
      <c r="J663" s="72"/>
      <c r="K663" s="831"/>
      <c r="L663" s="20"/>
      <c r="M663" s="20"/>
      <c r="N663" s="20"/>
      <c r="O663" s="20"/>
      <c r="P663" s="20"/>
      <c r="Q663" s="23"/>
      <c r="R663" s="22" t="s">
        <v>16</v>
      </c>
      <c r="S663" s="22" t="s">
        <v>16</v>
      </c>
      <c r="T663" s="753">
        <f t="shared" si="63"/>
        <v>1267.6182759141307</v>
      </c>
      <c r="U663" s="22">
        <v>1</v>
      </c>
      <c r="V663" s="3"/>
    </row>
    <row r="664" spans="1:22" s="290" customFormat="1">
      <c r="A664" s="359" t="s">
        <v>1916</v>
      </c>
      <c r="B664" s="444" t="s">
        <v>2147</v>
      </c>
      <c r="C664" s="519">
        <v>342.9</v>
      </c>
      <c r="D664" s="520">
        <v>76.2</v>
      </c>
      <c r="E664" s="519">
        <v>152.4</v>
      </c>
      <c r="F664" s="520">
        <v>101.6</v>
      </c>
      <c r="G664" s="341">
        <f t="shared" si="64"/>
        <v>3.3183804599999993</v>
      </c>
      <c r="H664" s="20"/>
      <c r="I664" s="20"/>
      <c r="J664" s="72"/>
      <c r="K664" s="831"/>
      <c r="L664" s="20"/>
      <c r="M664" s="20"/>
      <c r="N664" s="20"/>
      <c r="O664" s="20"/>
      <c r="P664" s="20"/>
      <c r="Q664" s="23"/>
      <c r="R664" s="22" t="s">
        <v>16</v>
      </c>
      <c r="S664" s="22" t="s">
        <v>16</v>
      </c>
      <c r="T664" s="753">
        <f t="shared" si="63"/>
        <v>1031.5183614458831</v>
      </c>
      <c r="U664" s="22">
        <v>1</v>
      </c>
      <c r="V664" s="3"/>
    </row>
    <row r="665" spans="1:22" s="290" customFormat="1">
      <c r="A665" s="359" t="s">
        <v>1917</v>
      </c>
      <c r="B665" s="444" t="s">
        <v>2147</v>
      </c>
      <c r="C665" s="519">
        <v>342.9</v>
      </c>
      <c r="D665" s="520">
        <v>76.2</v>
      </c>
      <c r="E665" s="519">
        <v>152.4</v>
      </c>
      <c r="F665" s="520">
        <v>95.2</v>
      </c>
      <c r="G665" s="341">
        <f t="shared" si="64"/>
        <v>3.2347677240000006</v>
      </c>
      <c r="H665" s="20"/>
      <c r="I665" s="20"/>
      <c r="J665" s="72"/>
      <c r="K665" s="831"/>
      <c r="L665" s="20"/>
      <c r="M665" s="20"/>
      <c r="N665" s="20"/>
      <c r="O665" s="20"/>
      <c r="P665" s="20"/>
      <c r="Q665" s="23"/>
      <c r="R665" s="22" t="s">
        <v>16</v>
      </c>
      <c r="S665" s="22" t="s">
        <v>16</v>
      </c>
      <c r="T665" s="753">
        <f t="shared" si="63"/>
        <v>916.7729695855603</v>
      </c>
      <c r="U665" s="22">
        <v>1</v>
      </c>
      <c r="V665" s="3"/>
    </row>
    <row r="666" spans="1:22" s="290" customFormat="1">
      <c r="A666" s="359" t="s">
        <v>1918</v>
      </c>
      <c r="B666" s="444" t="s">
        <v>2147</v>
      </c>
      <c r="C666" s="519">
        <v>342.9</v>
      </c>
      <c r="D666" s="520">
        <v>76.2</v>
      </c>
      <c r="E666" s="519">
        <v>152.4</v>
      </c>
      <c r="F666" s="520">
        <v>88.9</v>
      </c>
      <c r="G666" s="341">
        <f t="shared" si="64"/>
        <v>3.1524614369999999</v>
      </c>
      <c r="H666" s="20"/>
      <c r="I666" s="20"/>
      <c r="J666" s="72"/>
      <c r="K666" s="831"/>
      <c r="L666" s="20"/>
      <c r="M666" s="20"/>
      <c r="N666" s="20"/>
      <c r="O666" s="20"/>
      <c r="P666" s="20"/>
      <c r="Q666" s="23"/>
      <c r="R666" s="22" t="s">
        <v>16</v>
      </c>
      <c r="S666" s="22" t="s">
        <v>16</v>
      </c>
      <c r="T666" s="753">
        <f t="shared" si="63"/>
        <v>826.4802487658128</v>
      </c>
      <c r="U666" s="22">
        <v>1</v>
      </c>
      <c r="V666" s="3"/>
    </row>
    <row r="667" spans="1:22" s="290" customFormat="1">
      <c r="A667" s="359" t="s">
        <v>1919</v>
      </c>
      <c r="B667" s="444" t="s">
        <v>2147</v>
      </c>
      <c r="C667" s="519">
        <v>342.9</v>
      </c>
      <c r="D667" s="520">
        <v>76.2</v>
      </c>
      <c r="E667" s="519">
        <v>152.4</v>
      </c>
      <c r="F667" s="520">
        <v>76.2</v>
      </c>
      <c r="G667" s="341">
        <f t="shared" si="64"/>
        <v>2.9865424140000005</v>
      </c>
      <c r="H667" s="20"/>
      <c r="I667" s="20"/>
      <c r="J667" s="72"/>
      <c r="K667" s="831"/>
      <c r="L667" s="20"/>
      <c r="M667" s="20"/>
      <c r="N667" s="20"/>
      <c r="O667" s="20"/>
      <c r="P667" s="20"/>
      <c r="Q667" s="23"/>
      <c r="R667" s="22" t="s">
        <v>16</v>
      </c>
      <c r="S667" s="22" t="s">
        <v>16</v>
      </c>
      <c r="T667" s="753">
        <f t="shared" si="63"/>
        <v>690.02034752607108</v>
      </c>
      <c r="U667" s="22">
        <v>1</v>
      </c>
      <c r="V667" s="3"/>
    </row>
    <row r="668" spans="1:22" s="290" customFormat="1">
      <c r="A668" s="359" t="s">
        <v>1920</v>
      </c>
      <c r="B668" s="444" t="s">
        <v>2147</v>
      </c>
      <c r="C668" s="519">
        <v>342.9</v>
      </c>
      <c r="D668" s="520">
        <v>101.6</v>
      </c>
      <c r="E668" s="519">
        <v>152.4</v>
      </c>
      <c r="F668" s="520">
        <v>127</v>
      </c>
      <c r="G668" s="341">
        <f t="shared" si="64"/>
        <v>4.8669580079999992</v>
      </c>
      <c r="H668" s="20"/>
      <c r="I668" s="20"/>
      <c r="J668" s="72"/>
      <c r="K668" s="831"/>
      <c r="L668" s="20"/>
      <c r="M668" s="20"/>
      <c r="N668" s="20"/>
      <c r="O668" s="20"/>
      <c r="P668" s="20"/>
      <c r="Q668" s="23"/>
      <c r="R668" s="22" t="s">
        <v>16</v>
      </c>
      <c r="S668" s="22" t="s">
        <v>16</v>
      </c>
      <c r="T668" s="753">
        <f t="shared" si="63"/>
        <v>2058.8106275225991</v>
      </c>
      <c r="U668" s="22">
        <v>1</v>
      </c>
      <c r="V668" s="3"/>
    </row>
    <row r="669" spans="1:22" s="290" customFormat="1">
      <c r="A669" s="430" t="s">
        <v>1921</v>
      </c>
      <c r="B669" s="445" t="s">
        <v>2147</v>
      </c>
      <c r="C669" s="521">
        <v>381</v>
      </c>
      <c r="D669" s="521">
        <v>76.2</v>
      </c>
      <c r="E669" s="521">
        <v>152.4</v>
      </c>
      <c r="F669" s="521">
        <v>146.1</v>
      </c>
      <c r="G669" s="341">
        <f t="shared" si="64"/>
        <v>4.3330558500000009</v>
      </c>
      <c r="H669" s="20"/>
      <c r="I669" s="20"/>
      <c r="J669" s="72"/>
      <c r="K669" s="831"/>
      <c r="L669" s="20"/>
      <c r="M669" s="20"/>
      <c r="N669" s="20"/>
      <c r="O669" s="20"/>
      <c r="P669" s="20"/>
      <c r="Q669" s="23"/>
      <c r="R669" s="22" t="s">
        <v>16</v>
      </c>
      <c r="S669" s="22" t="s">
        <v>16</v>
      </c>
      <c r="T669" s="753">
        <f t="shared" ref="T669:T732" si="65">IF(E669=F669,"-",(E669/(E669-F669))*SQRT((C669^2)+((E669-F669)/2)^2))</f>
        <v>9216.8864231886291</v>
      </c>
      <c r="U669" s="22">
        <v>1</v>
      </c>
      <c r="V669" s="3"/>
    </row>
    <row r="670" spans="1:22" s="290" customFormat="1">
      <c r="A670" s="430" t="s">
        <v>1922</v>
      </c>
      <c r="B670" s="445" t="s">
        <v>2147</v>
      </c>
      <c r="C670" s="521">
        <v>381</v>
      </c>
      <c r="D670" s="521">
        <v>76.2</v>
      </c>
      <c r="E670" s="521">
        <v>152.4</v>
      </c>
      <c r="F670" s="521">
        <v>139.69999999999999</v>
      </c>
      <c r="G670" s="341">
        <f t="shared" si="64"/>
        <v>4.2401528100000005</v>
      </c>
      <c r="H670" s="20"/>
      <c r="I670" s="20"/>
      <c r="J670" s="72"/>
      <c r="K670" s="831"/>
      <c r="L670" s="20"/>
      <c r="M670" s="20"/>
      <c r="N670" s="20"/>
      <c r="O670" s="20"/>
      <c r="P670" s="20"/>
      <c r="Q670" s="23"/>
      <c r="R670" s="22" t="s">
        <v>16</v>
      </c>
      <c r="S670" s="22" t="s">
        <v>16</v>
      </c>
      <c r="T670" s="753">
        <f t="shared" si="65"/>
        <v>4572.6349559088949</v>
      </c>
      <c r="U670" s="22">
        <v>1</v>
      </c>
      <c r="V670" s="3"/>
    </row>
    <row r="671" spans="1:22" s="290" customFormat="1">
      <c r="A671" s="430" t="s">
        <v>1923</v>
      </c>
      <c r="B671" s="445" t="s">
        <v>2147</v>
      </c>
      <c r="C671" s="521">
        <v>381</v>
      </c>
      <c r="D671" s="521">
        <v>76.2</v>
      </c>
      <c r="E671" s="521">
        <v>152.4</v>
      </c>
      <c r="F671" s="521">
        <v>136.5</v>
      </c>
      <c r="G671" s="341">
        <f t="shared" si="64"/>
        <v>4.1937012899999999</v>
      </c>
      <c r="H671" s="20"/>
      <c r="I671" s="20"/>
      <c r="J671" s="72"/>
      <c r="K671" s="831"/>
      <c r="L671" s="20"/>
      <c r="M671" s="20"/>
      <c r="N671" s="20"/>
      <c r="O671" s="20"/>
      <c r="P671" s="20"/>
      <c r="Q671" s="23"/>
      <c r="R671" s="22" t="s">
        <v>16</v>
      </c>
      <c r="S671" s="22" t="s">
        <v>16</v>
      </c>
      <c r="T671" s="753">
        <f t="shared" si="65"/>
        <v>3652.6439700876767</v>
      </c>
      <c r="U671" s="22">
        <v>1</v>
      </c>
      <c r="V671" s="3"/>
    </row>
    <row r="672" spans="1:22" s="290" customFormat="1">
      <c r="A672" s="430" t="s">
        <v>1924</v>
      </c>
      <c r="B672" s="445" t="s">
        <v>2147</v>
      </c>
      <c r="C672" s="521">
        <v>381</v>
      </c>
      <c r="D672" s="521">
        <v>76.2</v>
      </c>
      <c r="E672" s="521">
        <v>152.4</v>
      </c>
      <c r="F672" s="521">
        <v>133.4</v>
      </c>
      <c r="G672" s="341">
        <f t="shared" si="64"/>
        <v>4.1487013800000003</v>
      </c>
      <c r="H672" s="20"/>
      <c r="I672" s="20"/>
      <c r="J672" s="72"/>
      <c r="K672" s="831"/>
      <c r="L672" s="20"/>
      <c r="M672" s="20"/>
      <c r="N672" s="20"/>
      <c r="O672" s="20"/>
      <c r="P672" s="20"/>
      <c r="Q672" s="23"/>
      <c r="R672" s="22" t="s">
        <v>16</v>
      </c>
      <c r="S672" s="22" t="s">
        <v>16</v>
      </c>
      <c r="T672" s="753">
        <f t="shared" si="65"/>
        <v>3056.97090501814</v>
      </c>
      <c r="U672" s="22">
        <v>1</v>
      </c>
      <c r="V672" s="3"/>
    </row>
    <row r="673" spans="1:22" s="290" customFormat="1">
      <c r="A673" s="430" t="s">
        <v>1925</v>
      </c>
      <c r="B673" s="445" t="s">
        <v>2147</v>
      </c>
      <c r="C673" s="521">
        <v>381</v>
      </c>
      <c r="D673" s="521">
        <v>76.2</v>
      </c>
      <c r="E673" s="521">
        <v>152.4</v>
      </c>
      <c r="F673" s="521">
        <v>127</v>
      </c>
      <c r="G673" s="341">
        <f t="shared" si="64"/>
        <v>4.0557983399999999</v>
      </c>
      <c r="H673" s="20"/>
      <c r="I673" s="20"/>
      <c r="J673" s="72"/>
      <c r="K673" s="831"/>
      <c r="L673" s="20"/>
      <c r="M673" s="20"/>
      <c r="N673" s="20"/>
      <c r="O673" s="20"/>
      <c r="P673" s="20"/>
      <c r="Q673" s="23"/>
      <c r="R673" s="22" t="s">
        <v>16</v>
      </c>
      <c r="S673" s="22" t="s">
        <v>16</v>
      </c>
      <c r="T673" s="753">
        <f t="shared" si="65"/>
        <v>2287.2696474180739</v>
      </c>
      <c r="U673" s="22">
        <v>1</v>
      </c>
      <c r="V673" s="3"/>
    </row>
    <row r="674" spans="1:22" s="290" customFormat="1">
      <c r="A674" s="430" t="s">
        <v>1926</v>
      </c>
      <c r="B674" s="445" t="s">
        <v>2147</v>
      </c>
      <c r="C674" s="521">
        <v>381</v>
      </c>
      <c r="D674" s="521">
        <v>76.2</v>
      </c>
      <c r="E674" s="521">
        <v>152.4</v>
      </c>
      <c r="F674" s="521">
        <v>122.2</v>
      </c>
      <c r="G674" s="341">
        <f t="shared" si="64"/>
        <v>3.9861210600000008</v>
      </c>
      <c r="H674" s="20"/>
      <c r="I674" s="20"/>
      <c r="J674" s="72"/>
      <c r="K674" s="831"/>
      <c r="L674" s="20"/>
      <c r="M674" s="20"/>
      <c r="N674" s="20"/>
      <c r="O674" s="20"/>
      <c r="P674" s="20"/>
      <c r="Q674" s="23"/>
      <c r="R674" s="22" t="s">
        <v>16</v>
      </c>
      <c r="S674" s="22" t="s">
        <v>16</v>
      </c>
      <c r="T674" s="753">
        <f t="shared" si="65"/>
        <v>1924.171659167002</v>
      </c>
      <c r="U674" s="22">
        <v>1</v>
      </c>
      <c r="V674" s="3"/>
    </row>
    <row r="675" spans="1:22" s="290" customFormat="1">
      <c r="A675" s="430" t="s">
        <v>1927</v>
      </c>
      <c r="B675" s="445" t="s">
        <v>2147</v>
      </c>
      <c r="C675" s="521">
        <v>381</v>
      </c>
      <c r="D675" s="521">
        <v>76.2</v>
      </c>
      <c r="E675" s="521">
        <v>152.4</v>
      </c>
      <c r="F675" s="521">
        <v>121.4</v>
      </c>
      <c r="G675" s="341">
        <f t="shared" si="64"/>
        <v>3.9745081799999999</v>
      </c>
      <c r="H675" s="20"/>
      <c r="I675" s="20"/>
      <c r="J675" s="72"/>
      <c r="K675" s="831"/>
      <c r="L675" s="20"/>
      <c r="M675" s="20"/>
      <c r="N675" s="20"/>
      <c r="O675" s="20"/>
      <c r="P675" s="20"/>
      <c r="Q675" s="23"/>
      <c r="R675" s="22" t="s">
        <v>16</v>
      </c>
      <c r="S675" s="22" t="s">
        <v>16</v>
      </c>
      <c r="T675" s="753">
        <f t="shared" si="65"/>
        <v>1874.5945204851876</v>
      </c>
      <c r="U675" s="22">
        <v>1</v>
      </c>
      <c r="V675" s="3"/>
    </row>
    <row r="676" spans="1:22" s="290" customFormat="1">
      <c r="A676" s="430" t="s">
        <v>1928</v>
      </c>
      <c r="B676" s="445" t="s">
        <v>2147</v>
      </c>
      <c r="C676" s="521">
        <v>381</v>
      </c>
      <c r="D676" s="521">
        <v>76.2</v>
      </c>
      <c r="E676" s="521">
        <v>152.4</v>
      </c>
      <c r="F676" s="521">
        <v>114.3</v>
      </c>
      <c r="G676" s="341">
        <f t="shared" si="64"/>
        <v>3.8714438700000002</v>
      </c>
      <c r="H676" s="20"/>
      <c r="I676" s="20"/>
      <c r="J676" s="72"/>
      <c r="K676" s="831"/>
      <c r="L676" s="20"/>
      <c r="M676" s="20"/>
      <c r="N676" s="20"/>
      <c r="O676" s="20"/>
      <c r="P676" s="20"/>
      <c r="Q676" s="23"/>
      <c r="R676" s="22" t="s">
        <v>16</v>
      </c>
      <c r="S676" s="22" t="s">
        <v>16</v>
      </c>
      <c r="T676" s="753">
        <f t="shared" si="65"/>
        <v>1525.9038108609595</v>
      </c>
      <c r="U676" s="22">
        <v>1</v>
      </c>
      <c r="V676" s="3"/>
    </row>
    <row r="677" spans="1:22" s="290" customFormat="1">
      <c r="A677" s="430" t="s">
        <v>1929</v>
      </c>
      <c r="B677" s="445" t="s">
        <v>2147</v>
      </c>
      <c r="C677" s="521">
        <v>381</v>
      </c>
      <c r="D677" s="521">
        <v>76.2</v>
      </c>
      <c r="E677" s="521">
        <v>152.4</v>
      </c>
      <c r="F677" s="521">
        <v>111.1</v>
      </c>
      <c r="G677" s="341">
        <f t="shared" si="64"/>
        <v>3.82499235</v>
      </c>
      <c r="H677" s="20"/>
      <c r="I677" s="20"/>
      <c r="J677" s="72"/>
      <c r="K677" s="831"/>
      <c r="L677" s="20"/>
      <c r="M677" s="20"/>
      <c r="N677" s="20"/>
      <c r="O677" s="20"/>
      <c r="P677" s="20"/>
      <c r="Q677" s="23"/>
      <c r="R677" s="22" t="s">
        <v>16</v>
      </c>
      <c r="S677" s="22" t="s">
        <v>16</v>
      </c>
      <c r="T677" s="753">
        <f t="shared" si="65"/>
        <v>1407.981161240901</v>
      </c>
      <c r="U677" s="22">
        <v>1</v>
      </c>
      <c r="V677" s="3"/>
    </row>
    <row r="678" spans="1:22" s="290" customFormat="1">
      <c r="A678" s="430" t="s">
        <v>1930</v>
      </c>
      <c r="B678" s="445" t="s">
        <v>2147</v>
      </c>
      <c r="C678" s="521">
        <v>381</v>
      </c>
      <c r="D678" s="521">
        <v>76.2</v>
      </c>
      <c r="E678" s="521">
        <v>152.4</v>
      </c>
      <c r="F678" s="521">
        <v>101.6</v>
      </c>
      <c r="G678" s="341">
        <f t="shared" si="64"/>
        <v>3.6870894000000001</v>
      </c>
      <c r="H678" s="20"/>
      <c r="I678" s="20"/>
      <c r="J678" s="72"/>
      <c r="K678" s="831"/>
      <c r="L678" s="20"/>
      <c r="M678" s="20"/>
      <c r="N678" s="20"/>
      <c r="O678" s="20"/>
      <c r="P678" s="20"/>
      <c r="Q678" s="23"/>
      <c r="R678" s="22" t="s">
        <v>16</v>
      </c>
      <c r="S678" s="22" t="s">
        <v>16</v>
      </c>
      <c r="T678" s="753">
        <f t="shared" si="65"/>
        <v>1145.5371840320154</v>
      </c>
      <c r="U678" s="22">
        <v>1</v>
      </c>
      <c r="V678" s="3"/>
    </row>
    <row r="679" spans="1:22" s="290" customFormat="1">
      <c r="A679" s="430" t="s">
        <v>1931</v>
      </c>
      <c r="B679" s="445" t="s">
        <v>2147</v>
      </c>
      <c r="C679" s="521">
        <v>381</v>
      </c>
      <c r="D679" s="521">
        <v>76.2</v>
      </c>
      <c r="E679" s="521">
        <v>152.4</v>
      </c>
      <c r="F679" s="521">
        <v>88.9</v>
      </c>
      <c r="G679" s="341">
        <f t="shared" si="64"/>
        <v>3.5027349300000004</v>
      </c>
      <c r="H679" s="20"/>
      <c r="I679" s="20"/>
      <c r="J679" s="72"/>
      <c r="K679" s="831"/>
      <c r="L679" s="20"/>
      <c r="M679" s="20"/>
      <c r="N679" s="20"/>
      <c r="O679" s="20"/>
      <c r="P679" s="20"/>
      <c r="Q679" s="23"/>
      <c r="R679" s="22" t="s">
        <v>16</v>
      </c>
      <c r="S679" s="22" t="s">
        <v>16</v>
      </c>
      <c r="T679" s="753">
        <f t="shared" si="65"/>
        <v>917.56950690397298</v>
      </c>
      <c r="U679" s="22">
        <v>1</v>
      </c>
      <c r="V679" s="3"/>
    </row>
    <row r="680" spans="1:22" s="290" customFormat="1">
      <c r="A680" s="430" t="s">
        <v>1932</v>
      </c>
      <c r="B680" s="445" t="s">
        <v>2147</v>
      </c>
      <c r="C680" s="521">
        <v>381</v>
      </c>
      <c r="D680" s="521">
        <v>76.2</v>
      </c>
      <c r="E680" s="521">
        <v>152.4</v>
      </c>
      <c r="F680" s="521">
        <v>76.2</v>
      </c>
      <c r="G680" s="341">
        <f t="shared" si="64"/>
        <v>3.3183804600000006</v>
      </c>
      <c r="H680" s="20"/>
      <c r="I680" s="20"/>
      <c r="J680" s="72"/>
      <c r="K680" s="831"/>
      <c r="L680" s="20"/>
      <c r="M680" s="20"/>
      <c r="N680" s="20"/>
      <c r="O680" s="20"/>
      <c r="P680" s="20"/>
      <c r="Q680" s="23"/>
      <c r="R680" s="22" t="s">
        <v>16</v>
      </c>
      <c r="S680" s="22" t="s">
        <v>16</v>
      </c>
      <c r="T680" s="753">
        <f t="shared" si="65"/>
        <v>765.80052232941182</v>
      </c>
      <c r="U680" s="22">
        <v>1</v>
      </c>
      <c r="V680" s="3"/>
    </row>
    <row r="681" spans="1:22" s="290" customFormat="1">
      <c r="A681" s="432" t="s">
        <v>1933</v>
      </c>
      <c r="B681" s="446" t="s">
        <v>2147</v>
      </c>
      <c r="C681" s="522">
        <v>457.2</v>
      </c>
      <c r="D681" s="522">
        <v>76.2</v>
      </c>
      <c r="E681" s="522">
        <v>152.4</v>
      </c>
      <c r="F681" s="522">
        <v>146.1</v>
      </c>
      <c r="G681" s="341">
        <f t="shared" si="64"/>
        <v>5.1996670200000006</v>
      </c>
      <c r="H681" s="20"/>
      <c r="I681" s="20"/>
      <c r="J681" s="72"/>
      <c r="K681" s="831"/>
      <c r="L681" s="20"/>
      <c r="M681" s="20"/>
      <c r="N681" s="20"/>
      <c r="O681" s="20"/>
      <c r="P681" s="20"/>
      <c r="Q681" s="23"/>
      <c r="R681" s="22" t="s">
        <v>16</v>
      </c>
      <c r="S681" s="22" t="s">
        <v>16</v>
      </c>
      <c r="T681" s="753">
        <f t="shared" si="65"/>
        <v>11060.148211170626</v>
      </c>
      <c r="U681" s="22">
        <v>1</v>
      </c>
      <c r="V681" s="3"/>
    </row>
    <row r="682" spans="1:22" s="290" customFormat="1">
      <c r="A682" s="432" t="s">
        <v>1934</v>
      </c>
      <c r="B682" s="446" t="s">
        <v>2147</v>
      </c>
      <c r="C682" s="522">
        <v>457.2</v>
      </c>
      <c r="D682" s="522">
        <v>76.2</v>
      </c>
      <c r="E682" s="522">
        <v>152.4</v>
      </c>
      <c r="F682" s="522">
        <v>143</v>
      </c>
      <c r="G682" s="341">
        <f t="shared" si="64"/>
        <v>5.1456671279999995</v>
      </c>
      <c r="H682" s="20"/>
      <c r="I682" s="20"/>
      <c r="J682" s="72"/>
      <c r="K682" s="831"/>
      <c r="L682" s="20"/>
      <c r="M682" s="20"/>
      <c r="N682" s="20"/>
      <c r="O682" s="20"/>
      <c r="P682" s="20"/>
      <c r="Q682" s="23"/>
      <c r="R682" s="22" t="s">
        <v>16</v>
      </c>
      <c r="S682" s="22" t="s">
        <v>16</v>
      </c>
      <c r="T682" s="753">
        <f t="shared" si="65"/>
        <v>7412.8682520642833</v>
      </c>
      <c r="U682" s="22">
        <v>1</v>
      </c>
      <c r="V682" s="3"/>
    </row>
    <row r="683" spans="1:22" s="290" customFormat="1">
      <c r="A683" s="432" t="s">
        <v>1935</v>
      </c>
      <c r="B683" s="446" t="s">
        <v>2147</v>
      </c>
      <c r="C683" s="522">
        <v>457.2</v>
      </c>
      <c r="D683" s="522">
        <v>76.2</v>
      </c>
      <c r="E683" s="522">
        <v>152.4</v>
      </c>
      <c r="F683" s="522">
        <v>139.69999999999999</v>
      </c>
      <c r="G683" s="341">
        <f t="shared" ref="G683:G724" si="66">((E683+F683)/2)*D683*C683/10^6</f>
        <v>5.0881833720000005</v>
      </c>
      <c r="H683" s="20"/>
      <c r="I683" s="20"/>
      <c r="J683" s="72"/>
      <c r="K683" s="831"/>
      <c r="L683" s="20"/>
      <c r="M683" s="20"/>
      <c r="N683" s="20"/>
      <c r="O683" s="20"/>
      <c r="P683" s="20"/>
      <c r="Q683" s="23"/>
      <c r="R683" s="22" t="s">
        <v>16</v>
      </c>
      <c r="S683" s="22" t="s">
        <v>16</v>
      </c>
      <c r="T683" s="753">
        <f t="shared" si="65"/>
        <v>5486.9291411498943</v>
      </c>
      <c r="U683" s="22">
        <v>1</v>
      </c>
      <c r="V683" s="3"/>
    </row>
    <row r="684" spans="1:22" s="290" customFormat="1">
      <c r="A684" s="432" t="s">
        <v>1936</v>
      </c>
      <c r="B684" s="446" t="s">
        <v>2147</v>
      </c>
      <c r="C684" s="522">
        <v>457.2</v>
      </c>
      <c r="D684" s="522">
        <v>76.2</v>
      </c>
      <c r="E684" s="522">
        <v>152.4</v>
      </c>
      <c r="F684" s="522">
        <v>136.5</v>
      </c>
      <c r="G684" s="341">
        <f t="shared" si="66"/>
        <v>5.0324415479999995</v>
      </c>
      <c r="H684" s="20"/>
      <c r="I684" s="20"/>
      <c r="J684" s="72"/>
      <c r="K684" s="831"/>
      <c r="L684" s="20"/>
      <c r="M684" s="20"/>
      <c r="N684" s="20"/>
      <c r="O684" s="20"/>
      <c r="P684" s="20"/>
      <c r="Q684" s="23"/>
      <c r="R684" s="22" t="s">
        <v>16</v>
      </c>
      <c r="S684" s="22" t="s">
        <v>16</v>
      </c>
      <c r="T684" s="753">
        <f t="shared" si="65"/>
        <v>4382.8813178540122</v>
      </c>
      <c r="U684" s="22">
        <v>1</v>
      </c>
      <c r="V684" s="3"/>
    </row>
    <row r="685" spans="1:22" s="290" customFormat="1">
      <c r="A685" s="432" t="s">
        <v>1937</v>
      </c>
      <c r="B685" s="446" t="s">
        <v>2147</v>
      </c>
      <c r="C685" s="522">
        <v>457.2</v>
      </c>
      <c r="D685" s="522">
        <v>76.2</v>
      </c>
      <c r="E685" s="522">
        <v>152.4</v>
      </c>
      <c r="F685" s="522">
        <v>133.4</v>
      </c>
      <c r="G685" s="341">
        <f t="shared" si="66"/>
        <v>4.9784416560000002</v>
      </c>
      <c r="H685" s="20"/>
      <c r="I685" s="20"/>
      <c r="J685" s="72"/>
      <c r="K685" s="831"/>
      <c r="L685" s="20"/>
      <c r="M685" s="20"/>
      <c r="N685" s="20"/>
      <c r="O685" s="20"/>
      <c r="P685" s="20"/>
      <c r="Q685" s="23"/>
      <c r="R685" s="22" t="s">
        <v>16</v>
      </c>
      <c r="S685" s="22" t="s">
        <v>16</v>
      </c>
      <c r="T685" s="753">
        <f t="shared" si="65"/>
        <v>3668.0168443920065</v>
      </c>
      <c r="U685" s="22">
        <v>1</v>
      </c>
      <c r="V685" s="3"/>
    </row>
    <row r="686" spans="1:22" s="290" customFormat="1">
      <c r="A686" s="432" t="s">
        <v>1938</v>
      </c>
      <c r="B686" s="446" t="s">
        <v>2147</v>
      </c>
      <c r="C686" s="522">
        <v>457.2</v>
      </c>
      <c r="D686" s="522">
        <v>76.2</v>
      </c>
      <c r="E686" s="522">
        <v>152.4</v>
      </c>
      <c r="F686" s="522">
        <v>131.80000000000001</v>
      </c>
      <c r="G686" s="341">
        <f t="shared" si="66"/>
        <v>4.9505707440000011</v>
      </c>
      <c r="H686" s="20"/>
      <c r="I686" s="20"/>
      <c r="J686" s="72"/>
      <c r="K686" s="831"/>
      <c r="L686" s="20"/>
      <c r="M686" s="20"/>
      <c r="N686" s="20"/>
      <c r="O686" s="20"/>
      <c r="P686" s="20"/>
      <c r="Q686" s="23"/>
      <c r="R686" s="22" t="s">
        <v>16</v>
      </c>
      <c r="S686" s="22" t="s">
        <v>16</v>
      </c>
      <c r="T686" s="753">
        <f t="shared" si="65"/>
        <v>3383.2504574631198</v>
      </c>
      <c r="U686" s="22">
        <v>1</v>
      </c>
      <c r="V686" s="3"/>
    </row>
    <row r="687" spans="1:22" s="290" customFormat="1">
      <c r="A687" s="432" t="s">
        <v>1939</v>
      </c>
      <c r="B687" s="446" t="s">
        <v>2147</v>
      </c>
      <c r="C687" s="522">
        <v>457.2</v>
      </c>
      <c r="D687" s="522">
        <v>76.2</v>
      </c>
      <c r="E687" s="522">
        <v>152.4</v>
      </c>
      <c r="F687" s="522">
        <v>130.19999999999999</v>
      </c>
      <c r="G687" s="341">
        <f t="shared" si="66"/>
        <v>4.9226998320000002</v>
      </c>
      <c r="H687" s="20"/>
      <c r="I687" s="20"/>
      <c r="J687" s="72"/>
      <c r="K687" s="831"/>
      <c r="L687" s="20"/>
      <c r="M687" s="20"/>
      <c r="N687" s="20"/>
      <c r="O687" s="20"/>
      <c r="P687" s="20"/>
      <c r="Q687" s="23"/>
      <c r="R687" s="22" t="s">
        <v>16</v>
      </c>
      <c r="S687" s="22" t="s">
        <v>16</v>
      </c>
      <c r="T687" s="753">
        <f t="shared" si="65"/>
        <v>3139.5410799502815</v>
      </c>
      <c r="U687" s="22">
        <v>1</v>
      </c>
      <c r="V687" s="3"/>
    </row>
    <row r="688" spans="1:22" s="290" customFormat="1">
      <c r="A688" s="432" t="s">
        <v>1940</v>
      </c>
      <c r="B688" s="446" t="s">
        <v>2147</v>
      </c>
      <c r="C688" s="522">
        <v>457.2</v>
      </c>
      <c r="D688" s="522">
        <v>76.2</v>
      </c>
      <c r="E688" s="522">
        <v>152.4</v>
      </c>
      <c r="F688" s="522">
        <v>127</v>
      </c>
      <c r="G688" s="341">
        <f t="shared" si="66"/>
        <v>4.8669580079999992</v>
      </c>
      <c r="H688" s="20"/>
      <c r="I688" s="20"/>
      <c r="J688" s="72"/>
      <c r="K688" s="831"/>
      <c r="L688" s="20"/>
      <c r="M688" s="20"/>
      <c r="N688" s="20"/>
      <c r="O688" s="20"/>
      <c r="P688" s="20"/>
      <c r="Q688" s="23"/>
      <c r="R688" s="22" t="s">
        <v>16</v>
      </c>
      <c r="S688" s="22" t="s">
        <v>16</v>
      </c>
      <c r="T688" s="753">
        <f t="shared" si="65"/>
        <v>2744.2581292582518</v>
      </c>
      <c r="U688" s="22">
        <v>1</v>
      </c>
      <c r="V688" s="3"/>
    </row>
    <row r="689" spans="1:22" s="290" customFormat="1">
      <c r="A689" s="432" t="s">
        <v>1941</v>
      </c>
      <c r="B689" s="446" t="s">
        <v>2147</v>
      </c>
      <c r="C689" s="522">
        <v>457.2</v>
      </c>
      <c r="D689" s="522">
        <v>76.2</v>
      </c>
      <c r="E689" s="522">
        <v>152.4</v>
      </c>
      <c r="F689" s="522">
        <v>122.2</v>
      </c>
      <c r="G689" s="341">
        <f t="shared" si="66"/>
        <v>4.7833452720000009</v>
      </c>
      <c r="H689" s="20"/>
      <c r="I689" s="20"/>
      <c r="J689" s="72"/>
      <c r="K689" s="831"/>
      <c r="L689" s="20"/>
      <c r="M689" s="20"/>
      <c r="N689" s="20"/>
      <c r="O689" s="20"/>
      <c r="P689" s="20"/>
      <c r="Q689" s="23"/>
      <c r="R689" s="22" t="s">
        <v>16</v>
      </c>
      <c r="S689" s="22" t="s">
        <v>16</v>
      </c>
      <c r="T689" s="753">
        <f t="shared" si="65"/>
        <v>2308.4526923625162</v>
      </c>
      <c r="U689" s="22">
        <v>1</v>
      </c>
      <c r="V689" s="3"/>
    </row>
    <row r="690" spans="1:22" s="290" customFormat="1">
      <c r="A690" s="432" t="s">
        <v>1942</v>
      </c>
      <c r="B690" s="446" t="s">
        <v>2147</v>
      </c>
      <c r="C690" s="522">
        <v>457.2</v>
      </c>
      <c r="D690" s="522">
        <v>76.2</v>
      </c>
      <c r="E690" s="522">
        <v>152.4</v>
      </c>
      <c r="F690" s="522">
        <v>121.9</v>
      </c>
      <c r="G690" s="341">
        <f t="shared" si="66"/>
        <v>4.7781194759999996</v>
      </c>
      <c r="H690" s="20"/>
      <c r="I690" s="20"/>
      <c r="J690" s="72"/>
      <c r="K690" s="831"/>
      <c r="L690" s="20"/>
      <c r="M690" s="20"/>
      <c r="N690" s="20"/>
      <c r="O690" s="20"/>
      <c r="P690" s="20"/>
      <c r="Q690" s="23"/>
      <c r="R690" s="22" t="s">
        <v>16</v>
      </c>
      <c r="S690" s="22" t="s">
        <v>16</v>
      </c>
      <c r="T690" s="753">
        <f t="shared" si="65"/>
        <v>2285.7714636637074</v>
      </c>
      <c r="U690" s="22">
        <v>1</v>
      </c>
      <c r="V690" s="3"/>
    </row>
    <row r="691" spans="1:22" s="290" customFormat="1">
      <c r="A691" s="432" t="s">
        <v>1943</v>
      </c>
      <c r="B691" s="446" t="s">
        <v>2147</v>
      </c>
      <c r="C691" s="522">
        <v>457.2</v>
      </c>
      <c r="D691" s="522">
        <v>76.2</v>
      </c>
      <c r="E691" s="522">
        <v>152.4</v>
      </c>
      <c r="F691" s="522">
        <v>114.3</v>
      </c>
      <c r="G691" s="341">
        <f t="shared" si="66"/>
        <v>4.6457326440000006</v>
      </c>
      <c r="H691" s="20"/>
      <c r="I691" s="20"/>
      <c r="J691" s="72"/>
      <c r="K691" s="831"/>
      <c r="L691" s="20"/>
      <c r="M691" s="20"/>
      <c r="N691" s="20"/>
      <c r="O691" s="20"/>
      <c r="P691" s="20"/>
      <c r="Q691" s="23"/>
      <c r="R691" s="22" t="s">
        <v>16</v>
      </c>
      <c r="S691" s="22" t="s">
        <v>16</v>
      </c>
      <c r="T691" s="753">
        <f t="shared" si="65"/>
        <v>1830.3868115783609</v>
      </c>
      <c r="U691" s="22">
        <v>1</v>
      </c>
      <c r="V691" s="3"/>
    </row>
    <row r="692" spans="1:22" s="290" customFormat="1">
      <c r="A692" s="432" t="s">
        <v>1944</v>
      </c>
      <c r="B692" s="446" t="s">
        <v>2147</v>
      </c>
      <c r="C692" s="522">
        <v>457.2</v>
      </c>
      <c r="D692" s="522">
        <v>76.2</v>
      </c>
      <c r="E692" s="522">
        <v>152.4</v>
      </c>
      <c r="F692" s="522">
        <v>101.6</v>
      </c>
      <c r="G692" s="341">
        <f t="shared" si="66"/>
        <v>4.4245072799999994</v>
      </c>
      <c r="H692" s="20"/>
      <c r="I692" s="20"/>
      <c r="J692" s="72"/>
      <c r="K692" s="831"/>
      <c r="L692" s="20"/>
      <c r="M692" s="20"/>
      <c r="N692" s="20"/>
      <c r="O692" s="20"/>
      <c r="P692" s="20"/>
      <c r="Q692" s="23"/>
      <c r="R692" s="22" t="s">
        <v>16</v>
      </c>
      <c r="S692" s="22" t="s">
        <v>16</v>
      </c>
      <c r="T692" s="753">
        <f t="shared" si="65"/>
        <v>1373.7150359517796</v>
      </c>
      <c r="U692" s="22">
        <v>1</v>
      </c>
      <c r="V692" s="3"/>
    </row>
    <row r="693" spans="1:22" s="290" customFormat="1">
      <c r="A693" s="432" t="s">
        <v>1945</v>
      </c>
      <c r="B693" s="446" t="s">
        <v>2147</v>
      </c>
      <c r="C693" s="522">
        <v>457.2</v>
      </c>
      <c r="D693" s="522">
        <v>76.2</v>
      </c>
      <c r="E693" s="522">
        <v>152.4</v>
      </c>
      <c r="F693" s="522">
        <v>88.9</v>
      </c>
      <c r="G693" s="341">
        <f t="shared" si="66"/>
        <v>4.2032819159999999</v>
      </c>
      <c r="H693" s="20"/>
      <c r="I693" s="20"/>
      <c r="J693" s="72"/>
      <c r="K693" s="831"/>
      <c r="L693" s="20"/>
      <c r="M693" s="20"/>
      <c r="N693" s="20"/>
      <c r="O693" s="20"/>
      <c r="P693" s="20"/>
      <c r="Q693" s="23"/>
      <c r="R693" s="22" t="s">
        <v>16</v>
      </c>
      <c r="S693" s="22" t="s">
        <v>16</v>
      </c>
      <c r="T693" s="753">
        <f t="shared" si="65"/>
        <v>1099.9226510987035</v>
      </c>
      <c r="U693" s="22">
        <v>1</v>
      </c>
      <c r="V693" s="3"/>
    </row>
    <row r="694" spans="1:22" s="290" customFormat="1">
      <c r="A694" s="432" t="s">
        <v>1946</v>
      </c>
      <c r="B694" s="446" t="s">
        <v>2147</v>
      </c>
      <c r="C694" s="522">
        <v>457.2</v>
      </c>
      <c r="D694" s="522">
        <v>76.2</v>
      </c>
      <c r="E694" s="522">
        <v>152.4</v>
      </c>
      <c r="F694" s="522">
        <v>85.7</v>
      </c>
      <c r="G694" s="341">
        <f t="shared" si="66"/>
        <v>4.1475400919999998</v>
      </c>
      <c r="H694" s="20"/>
      <c r="I694" s="20"/>
      <c r="J694" s="72"/>
      <c r="K694" s="831"/>
      <c r="L694" s="20"/>
      <c r="M694" s="20"/>
      <c r="N694" s="20"/>
      <c r="O694" s="20"/>
      <c r="P694" s="20"/>
      <c r="Q694" s="23"/>
      <c r="R694" s="22" t="s">
        <v>16</v>
      </c>
      <c r="S694" s="22" t="s">
        <v>16</v>
      </c>
      <c r="T694" s="753">
        <f t="shared" si="65"/>
        <v>1047.4123611614352</v>
      </c>
      <c r="U694" s="22">
        <v>1</v>
      </c>
      <c r="V694" s="3"/>
    </row>
    <row r="695" spans="1:22" s="290" customFormat="1">
      <c r="A695" s="432" t="s">
        <v>1947</v>
      </c>
      <c r="B695" s="446" t="s">
        <v>2147</v>
      </c>
      <c r="C695" s="522">
        <v>457.2</v>
      </c>
      <c r="D695" s="522">
        <v>76.2</v>
      </c>
      <c r="E695" s="522">
        <v>152.4</v>
      </c>
      <c r="F695" s="522">
        <v>76.2</v>
      </c>
      <c r="G695" s="341">
        <f t="shared" si="66"/>
        <v>3.9820565520000004</v>
      </c>
      <c r="H695" s="20"/>
      <c r="I695" s="20"/>
      <c r="J695" s="72"/>
      <c r="K695" s="831"/>
      <c r="L695" s="20"/>
      <c r="M695" s="20"/>
      <c r="N695" s="20"/>
      <c r="O695" s="20"/>
      <c r="P695" s="20"/>
      <c r="Q695" s="23"/>
      <c r="R695" s="22" t="s">
        <v>16</v>
      </c>
      <c r="S695" s="22" t="s">
        <v>16</v>
      </c>
      <c r="T695" s="753">
        <f t="shared" si="65"/>
        <v>917.56950690397287</v>
      </c>
      <c r="U695" s="22">
        <v>1</v>
      </c>
      <c r="V695" s="3"/>
    </row>
    <row r="696" spans="1:22" s="290" customFormat="1">
      <c r="A696" s="523" t="s">
        <v>1948</v>
      </c>
      <c r="B696" s="524" t="s">
        <v>2147</v>
      </c>
      <c r="C696" s="525">
        <v>533.4</v>
      </c>
      <c r="D696" s="525">
        <v>76.2</v>
      </c>
      <c r="E696" s="525">
        <v>152.4</v>
      </c>
      <c r="F696" s="525">
        <v>139.69999999999999</v>
      </c>
      <c r="G696" s="341">
        <f t="shared" si="66"/>
        <v>5.9362139340000013</v>
      </c>
      <c r="H696" s="20"/>
      <c r="I696" s="20"/>
      <c r="J696" s="72"/>
      <c r="K696" s="831"/>
      <c r="L696" s="20"/>
      <c r="M696" s="20"/>
      <c r="N696" s="20"/>
      <c r="O696" s="20"/>
      <c r="P696" s="20"/>
      <c r="Q696" s="23"/>
      <c r="R696" s="22" t="s">
        <v>16</v>
      </c>
      <c r="S696" s="22" t="s">
        <v>16</v>
      </c>
      <c r="T696" s="753">
        <f t="shared" si="65"/>
        <v>6401.2535553592852</v>
      </c>
      <c r="U696" s="22">
        <v>1</v>
      </c>
      <c r="V696" s="3"/>
    </row>
    <row r="697" spans="1:22" s="290" customFormat="1">
      <c r="A697" s="523" t="s">
        <v>1949</v>
      </c>
      <c r="B697" s="524" t="s">
        <v>2147</v>
      </c>
      <c r="C697" s="525">
        <v>533.4</v>
      </c>
      <c r="D697" s="525">
        <v>76.2</v>
      </c>
      <c r="E697" s="525">
        <v>152.4</v>
      </c>
      <c r="F697" s="525">
        <v>128.6</v>
      </c>
      <c r="G697" s="341">
        <f t="shared" si="66"/>
        <v>5.7106337400000005</v>
      </c>
      <c r="H697" s="20"/>
      <c r="I697" s="20"/>
      <c r="J697" s="72"/>
      <c r="K697" s="831"/>
      <c r="L697" s="20"/>
      <c r="M697" s="20"/>
      <c r="N697" s="20"/>
      <c r="O697" s="20"/>
      <c r="P697" s="20"/>
      <c r="Q697" s="23"/>
      <c r="R697" s="22" t="s">
        <v>16</v>
      </c>
      <c r="S697" s="22" t="s">
        <v>16</v>
      </c>
      <c r="T697" s="753">
        <f t="shared" si="65"/>
        <v>3416.4028354365978</v>
      </c>
      <c r="U697" s="22">
        <v>1</v>
      </c>
      <c r="V697" s="3"/>
    </row>
    <row r="698" spans="1:22" s="290" customFormat="1">
      <c r="A698" s="523" t="s">
        <v>1950</v>
      </c>
      <c r="B698" s="524" t="s">
        <v>2147</v>
      </c>
      <c r="C698" s="525">
        <v>533.4</v>
      </c>
      <c r="D698" s="525">
        <v>76.2</v>
      </c>
      <c r="E698" s="525">
        <v>152.4</v>
      </c>
      <c r="F698" s="525">
        <v>127</v>
      </c>
      <c r="G698" s="341">
        <f t="shared" si="66"/>
        <v>5.6781176759999994</v>
      </c>
      <c r="H698" s="20"/>
      <c r="I698" s="20"/>
      <c r="J698" s="72"/>
      <c r="K698" s="831"/>
      <c r="L698" s="20"/>
      <c r="M698" s="20"/>
      <c r="N698" s="20"/>
      <c r="O698" s="20"/>
      <c r="P698" s="20"/>
      <c r="Q698" s="23"/>
      <c r="R698" s="22" t="s">
        <v>16</v>
      </c>
      <c r="S698" s="22" t="s">
        <v>16</v>
      </c>
      <c r="T698" s="753">
        <f t="shared" si="65"/>
        <v>3201.3070143302398</v>
      </c>
      <c r="U698" s="22">
        <v>1</v>
      </c>
      <c r="V698" s="3"/>
    </row>
    <row r="699" spans="1:22" s="290" customFormat="1">
      <c r="A699" s="523" t="s">
        <v>1951</v>
      </c>
      <c r="B699" s="524" t="s">
        <v>2147</v>
      </c>
      <c r="C699" s="525">
        <v>533.4</v>
      </c>
      <c r="D699" s="525">
        <v>76.2</v>
      </c>
      <c r="E699" s="525">
        <v>152.4</v>
      </c>
      <c r="F699" s="525">
        <v>122.2</v>
      </c>
      <c r="G699" s="341">
        <f t="shared" si="66"/>
        <v>5.5805694840000015</v>
      </c>
      <c r="H699" s="20"/>
      <c r="I699" s="20"/>
      <c r="J699" s="72"/>
      <c r="K699" s="831"/>
      <c r="L699" s="20"/>
      <c r="M699" s="20"/>
      <c r="N699" s="20"/>
      <c r="O699" s="20"/>
      <c r="P699" s="20"/>
      <c r="Q699" s="23"/>
      <c r="R699" s="22" t="s">
        <v>16</v>
      </c>
      <c r="S699" s="22" t="s">
        <v>16</v>
      </c>
      <c r="T699" s="753">
        <f t="shared" si="65"/>
        <v>2692.8055077419399</v>
      </c>
      <c r="U699" s="22">
        <v>1</v>
      </c>
      <c r="V699" s="3"/>
    </row>
    <row r="700" spans="1:22" s="290" customFormat="1">
      <c r="A700" s="523" t="s">
        <v>1952</v>
      </c>
      <c r="B700" s="524" t="s">
        <v>2147</v>
      </c>
      <c r="C700" s="525">
        <v>533.4</v>
      </c>
      <c r="D700" s="525">
        <v>76.2</v>
      </c>
      <c r="E700" s="525">
        <v>152.4</v>
      </c>
      <c r="F700" s="525">
        <v>114.3</v>
      </c>
      <c r="G700" s="341">
        <f t="shared" si="66"/>
        <v>5.4200214179999993</v>
      </c>
      <c r="H700" s="20"/>
      <c r="I700" s="20"/>
      <c r="J700" s="72"/>
      <c r="K700" s="831"/>
      <c r="L700" s="20"/>
      <c r="M700" s="20"/>
      <c r="N700" s="20"/>
      <c r="O700" s="20"/>
      <c r="P700" s="20"/>
      <c r="Q700" s="23"/>
      <c r="R700" s="22" t="s">
        <v>16</v>
      </c>
      <c r="S700" s="22" t="s">
        <v>16</v>
      </c>
      <c r="T700" s="753">
        <f t="shared" si="65"/>
        <v>2134.9602806609773</v>
      </c>
      <c r="U700" s="22">
        <v>1</v>
      </c>
      <c r="V700" s="3"/>
    </row>
    <row r="701" spans="1:22" s="290" customFormat="1">
      <c r="A701" s="523" t="s">
        <v>1953</v>
      </c>
      <c r="B701" s="524" t="s">
        <v>2147</v>
      </c>
      <c r="C701" s="525">
        <v>533.4</v>
      </c>
      <c r="D701" s="525">
        <v>76.2</v>
      </c>
      <c r="E701" s="525">
        <v>152.4</v>
      </c>
      <c r="F701" s="525">
        <v>101.6</v>
      </c>
      <c r="G701" s="341">
        <f t="shared" si="66"/>
        <v>5.1619251599999991</v>
      </c>
      <c r="H701" s="20"/>
      <c r="I701" s="20"/>
      <c r="J701" s="72"/>
      <c r="K701" s="831"/>
      <c r="L701" s="20"/>
      <c r="M701" s="20"/>
      <c r="N701" s="20"/>
      <c r="O701" s="20"/>
      <c r="P701" s="20"/>
      <c r="Q701" s="23"/>
      <c r="R701" s="22" t="s">
        <v>16</v>
      </c>
      <c r="S701" s="22" t="s">
        <v>16</v>
      </c>
      <c r="T701" s="753">
        <f t="shared" si="65"/>
        <v>1602.0132583721017</v>
      </c>
      <c r="U701" s="22">
        <v>1</v>
      </c>
      <c r="V701" s="3"/>
    </row>
    <row r="702" spans="1:22" s="290" customFormat="1">
      <c r="A702" s="523" t="s">
        <v>1954</v>
      </c>
      <c r="B702" s="524" t="s">
        <v>2147</v>
      </c>
      <c r="C702" s="525">
        <v>533.4</v>
      </c>
      <c r="D702" s="525">
        <v>76.2</v>
      </c>
      <c r="E702" s="525">
        <v>152.4</v>
      </c>
      <c r="F702" s="525">
        <v>88.9</v>
      </c>
      <c r="G702" s="341">
        <f t="shared" si="66"/>
        <v>4.9038289019999999</v>
      </c>
      <c r="H702" s="20"/>
      <c r="I702" s="20"/>
      <c r="J702" s="72"/>
      <c r="K702" s="831"/>
      <c r="L702" s="20"/>
      <c r="M702" s="20"/>
      <c r="N702" s="20"/>
      <c r="O702" s="20"/>
      <c r="P702" s="20"/>
      <c r="Q702" s="23"/>
      <c r="R702" s="22" t="s">
        <v>16</v>
      </c>
      <c r="S702" s="22" t="s">
        <v>16</v>
      </c>
      <c r="T702" s="753">
        <f t="shared" si="65"/>
        <v>1282.4258518916404</v>
      </c>
      <c r="U702" s="22">
        <v>1</v>
      </c>
      <c r="V702" s="3"/>
    </row>
    <row r="703" spans="1:22" s="290" customFormat="1">
      <c r="A703" s="523" t="s">
        <v>1955</v>
      </c>
      <c r="B703" s="524" t="s">
        <v>2147</v>
      </c>
      <c r="C703" s="525">
        <v>533.4</v>
      </c>
      <c r="D703" s="525">
        <v>76.2</v>
      </c>
      <c r="E703" s="525">
        <v>152.4</v>
      </c>
      <c r="F703" s="525">
        <v>76.2</v>
      </c>
      <c r="G703" s="341">
        <f t="shared" si="66"/>
        <v>4.6457326440000006</v>
      </c>
      <c r="H703" s="20"/>
      <c r="I703" s="20"/>
      <c r="J703" s="72"/>
      <c r="K703" s="831"/>
      <c r="L703" s="20"/>
      <c r="M703" s="20"/>
      <c r="N703" s="20"/>
      <c r="O703" s="20"/>
      <c r="P703" s="20"/>
      <c r="Q703" s="23"/>
      <c r="R703" s="22" t="s">
        <v>16</v>
      </c>
      <c r="S703" s="22" t="s">
        <v>16</v>
      </c>
      <c r="T703" s="753">
        <f t="shared" si="65"/>
        <v>1069.5179661885068</v>
      </c>
      <c r="U703" s="22">
        <v>1</v>
      </c>
      <c r="V703" s="3"/>
    </row>
    <row r="704" spans="1:22" s="290" customFormat="1">
      <c r="A704" s="523" t="s">
        <v>1956</v>
      </c>
      <c r="B704" s="524" t="s">
        <v>2147</v>
      </c>
      <c r="C704" s="525">
        <v>533.4</v>
      </c>
      <c r="D704" s="525">
        <v>76.2</v>
      </c>
      <c r="E704" s="525">
        <v>152.4</v>
      </c>
      <c r="F704" s="525">
        <v>50.8</v>
      </c>
      <c r="G704" s="341">
        <f t="shared" si="66"/>
        <v>4.1295401280000004</v>
      </c>
      <c r="H704" s="20"/>
      <c r="I704" s="20"/>
      <c r="J704" s="72"/>
      <c r="K704" s="831"/>
      <c r="L704" s="20"/>
      <c r="M704" s="20"/>
      <c r="N704" s="20"/>
      <c r="O704" s="20"/>
      <c r="P704" s="20"/>
      <c r="Q704" s="23"/>
      <c r="R704" s="22" t="s">
        <v>16</v>
      </c>
      <c r="S704" s="22" t="s">
        <v>16</v>
      </c>
      <c r="T704" s="753">
        <f t="shared" si="65"/>
        <v>803.72038048067452</v>
      </c>
      <c r="U704" s="22">
        <v>1</v>
      </c>
      <c r="V704" s="3"/>
    </row>
    <row r="705" spans="1:22" s="290" customFormat="1">
      <c r="A705" s="526" t="s">
        <v>1957</v>
      </c>
      <c r="B705" s="527" t="s">
        <v>2147</v>
      </c>
      <c r="C705" s="528">
        <v>609.79999999999995</v>
      </c>
      <c r="D705" s="528">
        <v>76.2</v>
      </c>
      <c r="E705" s="528">
        <v>152.4</v>
      </c>
      <c r="F705" s="528">
        <v>139.69999999999999</v>
      </c>
      <c r="G705" s="341">
        <f t="shared" si="66"/>
        <v>6.7864702980000002</v>
      </c>
      <c r="H705" s="20"/>
      <c r="I705" s="20"/>
      <c r="J705" s="72"/>
      <c r="K705" s="831"/>
      <c r="L705" s="20"/>
      <c r="M705" s="20"/>
      <c r="N705" s="20"/>
      <c r="O705" s="20"/>
      <c r="P705" s="20"/>
      <c r="Q705" s="23"/>
      <c r="R705" s="22" t="s">
        <v>16</v>
      </c>
      <c r="S705" s="22" t="s">
        <v>16</v>
      </c>
      <c r="T705" s="753">
        <f t="shared" si="65"/>
        <v>7317.9967340796102</v>
      </c>
      <c r="U705" s="22">
        <v>1</v>
      </c>
      <c r="V705" s="3"/>
    </row>
    <row r="706" spans="1:22" s="290" customFormat="1">
      <c r="A706" s="526" t="s">
        <v>1958</v>
      </c>
      <c r="B706" s="527" t="s">
        <v>2147</v>
      </c>
      <c r="C706" s="528">
        <v>609.6</v>
      </c>
      <c r="D706" s="528">
        <v>76.2</v>
      </c>
      <c r="E706" s="528">
        <v>152.4</v>
      </c>
      <c r="F706" s="528">
        <v>127</v>
      </c>
      <c r="G706" s="341">
        <f t="shared" si="66"/>
        <v>6.4892773439999996</v>
      </c>
      <c r="H706" s="20"/>
      <c r="I706" s="20"/>
      <c r="J706" s="72"/>
      <c r="K706" s="831"/>
      <c r="L706" s="20"/>
      <c r="M706" s="20"/>
      <c r="N706" s="20"/>
      <c r="O706" s="20"/>
      <c r="P706" s="20"/>
      <c r="Q706" s="23"/>
      <c r="R706" s="22" t="s">
        <v>16</v>
      </c>
      <c r="S706" s="22" t="s">
        <v>16</v>
      </c>
      <c r="T706" s="753">
        <f t="shared" si="65"/>
        <v>3658.3936638912983</v>
      </c>
      <c r="U706" s="22">
        <v>1</v>
      </c>
      <c r="V706" s="3"/>
    </row>
    <row r="707" spans="1:22" s="290" customFormat="1">
      <c r="A707" s="526" t="s">
        <v>1959</v>
      </c>
      <c r="B707" s="527" t="s">
        <v>2147</v>
      </c>
      <c r="C707" s="528">
        <v>609.79999999999995</v>
      </c>
      <c r="D707" s="528">
        <v>76.2</v>
      </c>
      <c r="E707" s="528">
        <v>152.4</v>
      </c>
      <c r="F707" s="528">
        <v>122.2</v>
      </c>
      <c r="G707" s="341">
        <f t="shared" si="66"/>
        <v>6.3798861480000006</v>
      </c>
      <c r="H707" s="20"/>
      <c r="I707" s="20"/>
      <c r="J707" s="72"/>
      <c r="K707" s="831"/>
      <c r="L707" s="20"/>
      <c r="M707" s="20"/>
      <c r="N707" s="20"/>
      <c r="O707" s="20"/>
      <c r="P707" s="20"/>
      <c r="Q707" s="23"/>
      <c r="R707" s="22" t="s">
        <v>16</v>
      </c>
      <c r="S707" s="22" t="s">
        <v>16</v>
      </c>
      <c r="T707" s="753">
        <f t="shared" si="65"/>
        <v>3078.2121700670582</v>
      </c>
      <c r="U707" s="22">
        <v>1</v>
      </c>
      <c r="V707" s="3"/>
    </row>
    <row r="708" spans="1:22" s="290" customFormat="1">
      <c r="A708" s="526" t="s">
        <v>1960</v>
      </c>
      <c r="B708" s="527" t="s">
        <v>2147</v>
      </c>
      <c r="C708" s="528">
        <v>609.79999999999995</v>
      </c>
      <c r="D708" s="528">
        <v>76.2</v>
      </c>
      <c r="E708" s="528">
        <v>152.4</v>
      </c>
      <c r="F708" s="528">
        <v>114.3</v>
      </c>
      <c r="G708" s="341">
        <f t="shared" si="66"/>
        <v>6.1963424459999992</v>
      </c>
      <c r="H708" s="20"/>
      <c r="I708" s="20"/>
      <c r="J708" s="72"/>
      <c r="K708" s="831"/>
      <c r="L708" s="20"/>
      <c r="M708" s="20"/>
      <c r="N708" s="20"/>
      <c r="O708" s="20"/>
      <c r="P708" s="20"/>
      <c r="Q708" s="23"/>
      <c r="R708" s="22" t="s">
        <v>16</v>
      </c>
      <c r="S708" s="22" t="s">
        <v>16</v>
      </c>
      <c r="T708" s="753">
        <f t="shared" si="65"/>
        <v>2440.3899442507127</v>
      </c>
      <c r="U708" s="22">
        <v>1</v>
      </c>
      <c r="V708" s="3"/>
    </row>
    <row r="709" spans="1:22" s="290" customFormat="1">
      <c r="A709" s="526" t="s">
        <v>1961</v>
      </c>
      <c r="B709" s="527" t="s">
        <v>2147</v>
      </c>
      <c r="C709" s="528">
        <v>609.6</v>
      </c>
      <c r="D709" s="528">
        <v>76.2</v>
      </c>
      <c r="E709" s="528">
        <v>152.4</v>
      </c>
      <c r="F709" s="528">
        <v>101.6</v>
      </c>
      <c r="G709" s="341">
        <f t="shared" si="66"/>
        <v>5.8993430399999998</v>
      </c>
      <c r="H709" s="20"/>
      <c r="I709" s="20"/>
      <c r="J709" s="72"/>
      <c r="K709" s="831"/>
      <c r="L709" s="20"/>
      <c r="M709" s="20"/>
      <c r="N709" s="20"/>
      <c r="O709" s="20"/>
      <c r="P709" s="20"/>
      <c r="Q709" s="23"/>
      <c r="R709" s="22" t="s">
        <v>16</v>
      </c>
      <c r="S709" s="22" t="s">
        <v>16</v>
      </c>
      <c r="T709" s="753">
        <f t="shared" si="65"/>
        <v>1830.3868115783612</v>
      </c>
      <c r="U709" s="22">
        <v>1</v>
      </c>
      <c r="V709" s="3"/>
    </row>
    <row r="710" spans="1:22" s="290" customFormat="1">
      <c r="A710" s="526" t="s">
        <v>1962</v>
      </c>
      <c r="B710" s="527" t="s">
        <v>2147</v>
      </c>
      <c r="C710" s="528">
        <v>609.79999999999995</v>
      </c>
      <c r="D710" s="528">
        <v>76.2</v>
      </c>
      <c r="E710" s="528">
        <v>152.4</v>
      </c>
      <c r="F710" s="528">
        <v>88.9</v>
      </c>
      <c r="G710" s="341">
        <f t="shared" si="66"/>
        <v>5.6062145939999999</v>
      </c>
      <c r="H710" s="20"/>
      <c r="I710" s="20"/>
      <c r="J710" s="72"/>
      <c r="K710" s="831"/>
      <c r="L710" s="20"/>
      <c r="M710" s="20"/>
      <c r="N710" s="20"/>
      <c r="O710" s="20"/>
      <c r="P710" s="20"/>
      <c r="Q710" s="23"/>
      <c r="R710" s="22" t="s">
        <v>16</v>
      </c>
      <c r="S710" s="22" t="s">
        <v>16</v>
      </c>
      <c r="T710" s="753">
        <f t="shared" si="65"/>
        <v>1465.5023815743186</v>
      </c>
      <c r="U710" s="22">
        <v>1</v>
      </c>
      <c r="V710" s="3"/>
    </row>
    <row r="711" spans="1:22" s="290" customFormat="1">
      <c r="A711" s="526" t="s">
        <v>1963</v>
      </c>
      <c r="B711" s="527" t="s">
        <v>2147</v>
      </c>
      <c r="C711" s="528">
        <v>609.79999999999995</v>
      </c>
      <c r="D711" s="528">
        <v>76.2</v>
      </c>
      <c r="E711" s="528">
        <v>152.4</v>
      </c>
      <c r="F711" s="528">
        <v>76.2</v>
      </c>
      <c r="G711" s="341">
        <f t="shared" si="66"/>
        <v>5.3111506680000007</v>
      </c>
      <c r="H711" s="20"/>
      <c r="I711" s="20"/>
      <c r="J711" s="72"/>
      <c r="K711" s="831"/>
      <c r="L711" s="20"/>
      <c r="M711" s="20"/>
      <c r="N711" s="20"/>
      <c r="O711" s="20"/>
      <c r="P711" s="20"/>
      <c r="Q711" s="23"/>
      <c r="R711" s="22" t="s">
        <v>16</v>
      </c>
      <c r="S711" s="22" t="s">
        <v>16</v>
      </c>
      <c r="T711" s="753">
        <f t="shared" si="65"/>
        <v>1221.9781503774932</v>
      </c>
      <c r="U711" s="22">
        <v>1</v>
      </c>
      <c r="V711" s="3"/>
    </row>
    <row r="712" spans="1:22" s="290" customFormat="1">
      <c r="A712" s="529" t="s">
        <v>1964</v>
      </c>
      <c r="B712" s="530" t="s">
        <v>2147</v>
      </c>
      <c r="C712" s="531">
        <v>685.8</v>
      </c>
      <c r="D712" s="531">
        <v>76.2</v>
      </c>
      <c r="E712" s="531">
        <v>152.4</v>
      </c>
      <c r="F712" s="531">
        <v>139.69999999999999</v>
      </c>
      <c r="G712" s="341">
        <f t="shared" si="66"/>
        <v>7.6322750580000012</v>
      </c>
      <c r="H712" s="20"/>
      <c r="I712" s="20"/>
      <c r="J712" s="72"/>
      <c r="K712" s="831"/>
      <c r="L712" s="20"/>
      <c r="M712" s="20"/>
      <c r="N712" s="20"/>
      <c r="O712" s="20"/>
      <c r="P712" s="20"/>
      <c r="Q712" s="23"/>
      <c r="R712" s="22" t="s">
        <v>16</v>
      </c>
      <c r="S712" s="22" t="s">
        <v>16</v>
      </c>
      <c r="T712" s="753">
        <f t="shared" si="65"/>
        <v>8229.952770216838</v>
      </c>
      <c r="U712" s="22">
        <v>1</v>
      </c>
      <c r="V712" s="3"/>
    </row>
    <row r="713" spans="1:22" s="290" customFormat="1">
      <c r="A713" s="529" t="s">
        <v>1965</v>
      </c>
      <c r="B713" s="530" t="s">
        <v>2147</v>
      </c>
      <c r="C713" s="531">
        <v>685.8</v>
      </c>
      <c r="D713" s="531">
        <v>76.2</v>
      </c>
      <c r="E713" s="531">
        <v>152.4</v>
      </c>
      <c r="F713" s="531">
        <v>127</v>
      </c>
      <c r="G713" s="341">
        <f t="shared" si="66"/>
        <v>7.3004370119999988</v>
      </c>
      <c r="H713" s="20"/>
      <c r="I713" s="20"/>
      <c r="J713" s="72"/>
      <c r="K713" s="831"/>
      <c r="L713" s="20"/>
      <c r="M713" s="20"/>
      <c r="N713" s="20"/>
      <c r="O713" s="20"/>
      <c r="P713" s="20"/>
      <c r="Q713" s="23"/>
      <c r="R713" s="22" t="s">
        <v>16</v>
      </c>
      <c r="S713" s="22" t="s">
        <v>16</v>
      </c>
      <c r="T713" s="753">
        <f t="shared" si="65"/>
        <v>4115.5054950759077</v>
      </c>
      <c r="U713" s="22">
        <v>1</v>
      </c>
      <c r="V713" s="3"/>
    </row>
    <row r="714" spans="1:22" s="290" customFormat="1">
      <c r="A714" s="529" t="s">
        <v>1966</v>
      </c>
      <c r="B714" s="530" t="s">
        <v>2147</v>
      </c>
      <c r="C714" s="531">
        <v>685.8</v>
      </c>
      <c r="D714" s="531">
        <v>76.2</v>
      </c>
      <c r="E714" s="531">
        <v>152.4</v>
      </c>
      <c r="F714" s="531">
        <v>123.8</v>
      </c>
      <c r="G714" s="341">
        <f t="shared" si="66"/>
        <v>7.2168242759999988</v>
      </c>
      <c r="H714" s="20"/>
      <c r="I714" s="20"/>
      <c r="J714" s="72"/>
      <c r="K714" s="831"/>
      <c r="L714" s="20"/>
      <c r="M714" s="20"/>
      <c r="N714" s="20"/>
      <c r="O714" s="20"/>
      <c r="P714" s="20"/>
      <c r="Q714" s="23"/>
      <c r="R714" s="22" t="s">
        <v>16</v>
      </c>
      <c r="S714" s="22" t="s">
        <v>16</v>
      </c>
      <c r="T714" s="753">
        <f t="shared" si="65"/>
        <v>3655.1971553123672</v>
      </c>
      <c r="U714" s="22">
        <v>1</v>
      </c>
      <c r="V714" s="3"/>
    </row>
    <row r="715" spans="1:22" s="290" customFormat="1">
      <c r="A715" s="529" t="s">
        <v>1967</v>
      </c>
      <c r="B715" s="530" t="s">
        <v>2147</v>
      </c>
      <c r="C715" s="531">
        <v>685.8</v>
      </c>
      <c r="D715" s="531">
        <v>76.2</v>
      </c>
      <c r="E715" s="531">
        <v>152.4</v>
      </c>
      <c r="F715" s="531">
        <v>122.2</v>
      </c>
      <c r="G715" s="341">
        <f t="shared" si="66"/>
        <v>7.1750179080000009</v>
      </c>
      <c r="H715" s="20"/>
      <c r="I715" s="20"/>
      <c r="J715" s="72"/>
      <c r="K715" s="831"/>
      <c r="L715" s="20"/>
      <c r="M715" s="20"/>
      <c r="N715" s="20"/>
      <c r="O715" s="20"/>
      <c r="P715" s="20"/>
      <c r="Q715" s="23"/>
      <c r="R715" s="22" t="s">
        <v>16</v>
      </c>
      <c r="S715" s="22" t="s">
        <v>16</v>
      </c>
      <c r="T715" s="753">
        <f t="shared" si="65"/>
        <v>3461.6308402211862</v>
      </c>
      <c r="U715" s="22">
        <v>1</v>
      </c>
      <c r="V715" s="3"/>
    </row>
    <row r="716" spans="1:22" s="290" customFormat="1">
      <c r="A716" s="529" t="s">
        <v>1968</v>
      </c>
      <c r="B716" s="530" t="s">
        <v>2147</v>
      </c>
      <c r="C716" s="531">
        <v>685.8</v>
      </c>
      <c r="D716" s="531">
        <v>76.2</v>
      </c>
      <c r="E716" s="531">
        <v>152.4</v>
      </c>
      <c r="F716" s="531">
        <v>114.3</v>
      </c>
      <c r="G716" s="341">
        <f t="shared" si="66"/>
        <v>6.9685989660000001</v>
      </c>
      <c r="H716" s="20"/>
      <c r="I716" s="20"/>
      <c r="J716" s="72"/>
      <c r="K716" s="831"/>
      <c r="L716" s="20"/>
      <c r="M716" s="20"/>
      <c r="N716" s="20"/>
      <c r="O716" s="20"/>
      <c r="P716" s="20"/>
      <c r="Q716" s="23"/>
      <c r="R716" s="22" t="s">
        <v>16</v>
      </c>
      <c r="S716" s="22" t="s">
        <v>16</v>
      </c>
      <c r="T716" s="753">
        <f t="shared" si="65"/>
        <v>2744.2581292582513</v>
      </c>
      <c r="U716" s="22">
        <v>1</v>
      </c>
      <c r="V716" s="3"/>
    </row>
    <row r="717" spans="1:22" s="290" customFormat="1">
      <c r="A717" s="529" t="s">
        <v>1969</v>
      </c>
      <c r="B717" s="530" t="s">
        <v>2147</v>
      </c>
      <c r="C717" s="531">
        <v>685.8</v>
      </c>
      <c r="D717" s="531">
        <v>76.2</v>
      </c>
      <c r="E717" s="531">
        <v>152.4</v>
      </c>
      <c r="F717" s="531">
        <v>101.6</v>
      </c>
      <c r="G717" s="341">
        <f t="shared" si="66"/>
        <v>6.6367609199999986</v>
      </c>
      <c r="H717" s="20"/>
      <c r="I717" s="20"/>
      <c r="J717" s="72"/>
      <c r="K717" s="831"/>
      <c r="L717" s="20"/>
      <c r="M717" s="20"/>
      <c r="N717" s="20"/>
      <c r="O717" s="20"/>
      <c r="P717" s="20"/>
      <c r="Q717" s="23"/>
      <c r="R717" s="22" t="s">
        <v>16</v>
      </c>
      <c r="S717" s="22" t="s">
        <v>16</v>
      </c>
      <c r="T717" s="753">
        <f t="shared" si="65"/>
        <v>2058.8106275225991</v>
      </c>
      <c r="U717" s="22">
        <v>1</v>
      </c>
      <c r="V717" s="3"/>
    </row>
    <row r="718" spans="1:22" s="290" customFormat="1">
      <c r="A718" s="529" t="s">
        <v>1970</v>
      </c>
      <c r="B718" s="530" t="s">
        <v>2147</v>
      </c>
      <c r="C718" s="531">
        <v>685.8</v>
      </c>
      <c r="D718" s="531">
        <v>76.2</v>
      </c>
      <c r="E718" s="531">
        <v>152.4</v>
      </c>
      <c r="F718" s="531">
        <v>88.9</v>
      </c>
      <c r="G718" s="341">
        <f t="shared" si="66"/>
        <v>6.3049228739999998</v>
      </c>
      <c r="H718" s="20"/>
      <c r="I718" s="20"/>
      <c r="J718" s="72"/>
      <c r="K718" s="831"/>
      <c r="L718" s="20"/>
      <c r="M718" s="20"/>
      <c r="N718" s="20"/>
      <c r="O718" s="20"/>
      <c r="P718" s="20"/>
      <c r="Q718" s="23"/>
      <c r="R718" s="22" t="s">
        <v>16</v>
      </c>
      <c r="S718" s="22" t="s">
        <v>16</v>
      </c>
      <c r="T718" s="753">
        <f t="shared" si="65"/>
        <v>1647.6829447439213</v>
      </c>
      <c r="U718" s="22">
        <v>1</v>
      </c>
      <c r="V718" s="3"/>
    </row>
    <row r="719" spans="1:22" s="290" customFormat="1">
      <c r="A719" s="532" t="s">
        <v>1971</v>
      </c>
      <c r="B719" s="533" t="s">
        <v>2147</v>
      </c>
      <c r="C719" s="534">
        <v>762</v>
      </c>
      <c r="D719" s="534">
        <v>76.2</v>
      </c>
      <c r="E719" s="534">
        <v>152.4</v>
      </c>
      <c r="F719" s="534">
        <v>139.69999999999999</v>
      </c>
      <c r="G719" s="341">
        <f t="shared" si="66"/>
        <v>8.4803056200000011</v>
      </c>
      <c r="H719" s="20"/>
      <c r="I719" s="20"/>
      <c r="J719" s="72"/>
      <c r="K719" s="831"/>
      <c r="L719" s="20"/>
      <c r="M719" s="20"/>
      <c r="N719" s="20"/>
      <c r="O719" s="20"/>
      <c r="P719" s="20"/>
      <c r="Q719" s="23"/>
      <c r="R719" s="22" t="s">
        <v>16</v>
      </c>
      <c r="S719" s="22" t="s">
        <v>16</v>
      </c>
      <c r="T719" s="753">
        <f t="shared" si="65"/>
        <v>9144.3174944880266</v>
      </c>
      <c r="U719" s="22">
        <v>1</v>
      </c>
      <c r="V719" s="3"/>
    </row>
    <row r="720" spans="1:22" s="290" customFormat="1">
      <c r="A720" s="532" t="s">
        <v>1972</v>
      </c>
      <c r="B720" s="533" t="s">
        <v>2147</v>
      </c>
      <c r="C720" s="534">
        <v>762</v>
      </c>
      <c r="D720" s="534">
        <v>76.2</v>
      </c>
      <c r="E720" s="534">
        <v>152.4</v>
      </c>
      <c r="F720" s="534">
        <v>127</v>
      </c>
      <c r="G720" s="341">
        <f t="shared" si="66"/>
        <v>8.1115966799999999</v>
      </c>
      <c r="H720" s="20"/>
      <c r="I720" s="20"/>
      <c r="J720" s="72"/>
      <c r="K720" s="831"/>
      <c r="L720" s="20"/>
      <c r="M720" s="20"/>
      <c r="N720" s="20"/>
      <c r="O720" s="20"/>
      <c r="P720" s="20"/>
      <c r="Q720" s="23"/>
      <c r="R720" s="22" t="s">
        <v>16</v>
      </c>
      <c r="S720" s="22" t="s">
        <v>16</v>
      </c>
      <c r="T720" s="753">
        <f t="shared" si="65"/>
        <v>4572.6349559089003</v>
      </c>
      <c r="U720" s="22">
        <v>1</v>
      </c>
      <c r="V720" s="3"/>
    </row>
    <row r="721" spans="1:22" s="290" customFormat="1">
      <c r="A721" s="532" t="s">
        <v>1973</v>
      </c>
      <c r="B721" s="533" t="s">
        <v>2147</v>
      </c>
      <c r="C721" s="534">
        <v>762</v>
      </c>
      <c r="D721" s="534">
        <v>76.2</v>
      </c>
      <c r="E721" s="534">
        <v>152.4</v>
      </c>
      <c r="F721" s="534">
        <v>122.2</v>
      </c>
      <c r="G721" s="341">
        <f t="shared" si="66"/>
        <v>7.9722421200000015</v>
      </c>
      <c r="H721" s="20"/>
      <c r="I721" s="20"/>
      <c r="J721" s="72"/>
      <c r="K721" s="831"/>
      <c r="L721" s="20"/>
      <c r="M721" s="20"/>
      <c r="N721" s="20"/>
      <c r="O721" s="20"/>
      <c r="P721" s="20"/>
      <c r="Q721" s="23"/>
      <c r="R721" s="22" t="s">
        <v>16</v>
      </c>
      <c r="S721" s="22" t="s">
        <v>16</v>
      </c>
      <c r="T721" s="753">
        <f t="shared" si="65"/>
        <v>3846.0794292065748</v>
      </c>
      <c r="U721" s="22">
        <v>1</v>
      </c>
      <c r="V721" s="3"/>
    </row>
    <row r="722" spans="1:22" s="290" customFormat="1">
      <c r="A722" s="532" t="s">
        <v>1974</v>
      </c>
      <c r="B722" s="533" t="s">
        <v>2147</v>
      </c>
      <c r="C722" s="534">
        <v>762</v>
      </c>
      <c r="D722" s="534">
        <v>76.2</v>
      </c>
      <c r="E722" s="534">
        <v>152.4</v>
      </c>
      <c r="F722" s="534">
        <v>120.7</v>
      </c>
      <c r="G722" s="341">
        <f t="shared" si="66"/>
        <v>7.9286938200000003</v>
      </c>
      <c r="H722" s="20"/>
      <c r="I722" s="20"/>
      <c r="J722" s="72"/>
      <c r="K722" s="831"/>
      <c r="L722" s="20"/>
      <c r="M722" s="20"/>
      <c r="N722" s="20"/>
      <c r="O722" s="20"/>
      <c r="P722" s="20"/>
      <c r="Q722" s="23"/>
      <c r="R722" s="22" t="s">
        <v>16</v>
      </c>
      <c r="S722" s="22" t="s">
        <v>16</v>
      </c>
      <c r="T722" s="753">
        <f t="shared" si="65"/>
        <v>3664.1614994709134</v>
      </c>
      <c r="U722" s="22">
        <v>1</v>
      </c>
      <c r="V722" s="3"/>
    </row>
    <row r="723" spans="1:22" s="290" customFormat="1">
      <c r="A723" s="532" t="s">
        <v>1975</v>
      </c>
      <c r="B723" s="533" t="s">
        <v>2147</v>
      </c>
      <c r="C723" s="534">
        <v>762</v>
      </c>
      <c r="D723" s="534">
        <v>76.2</v>
      </c>
      <c r="E723" s="534">
        <v>152.4</v>
      </c>
      <c r="F723" s="534">
        <v>114.3</v>
      </c>
      <c r="G723" s="341">
        <f t="shared" si="66"/>
        <v>7.7428877400000005</v>
      </c>
      <c r="I723" s="20"/>
      <c r="J723" s="72"/>
      <c r="K723" s="831"/>
      <c r="L723" s="20"/>
      <c r="M723" s="20"/>
      <c r="N723" s="20"/>
      <c r="O723" s="20"/>
      <c r="P723" s="20"/>
      <c r="Q723" s="23"/>
      <c r="R723" s="22" t="s">
        <v>16</v>
      </c>
      <c r="S723" s="22" t="s">
        <v>16</v>
      </c>
      <c r="T723" s="753">
        <f t="shared" si="65"/>
        <v>3048.952351218365</v>
      </c>
      <c r="U723" s="22">
        <v>1</v>
      </c>
      <c r="V723" s="3"/>
    </row>
    <row r="724" spans="1:22" s="290" customFormat="1" ht="13.8" thickBot="1">
      <c r="A724" s="532" t="s">
        <v>1976</v>
      </c>
      <c r="B724" s="533" t="s">
        <v>2147</v>
      </c>
      <c r="C724" s="534">
        <v>762</v>
      </c>
      <c r="D724" s="534">
        <v>76.2</v>
      </c>
      <c r="E724" s="534">
        <v>152.4</v>
      </c>
      <c r="F724" s="534">
        <v>101.6</v>
      </c>
      <c r="G724" s="341">
        <f t="shared" si="66"/>
        <v>7.3741788000000001</v>
      </c>
      <c r="H724" s="20"/>
      <c r="I724" s="79"/>
      <c r="J724" s="80"/>
      <c r="K724" s="831"/>
      <c r="L724" s="20"/>
      <c r="M724" s="20"/>
      <c r="N724" s="20"/>
      <c r="O724" s="20"/>
      <c r="P724" s="20"/>
      <c r="Q724" s="23"/>
      <c r="R724" s="22" t="s">
        <v>16</v>
      </c>
      <c r="S724" s="22" t="s">
        <v>16</v>
      </c>
      <c r="T724" s="753">
        <f t="shared" si="65"/>
        <v>2287.2696474180739</v>
      </c>
      <c r="U724" s="22">
        <v>1</v>
      </c>
      <c r="V724" s="3"/>
    </row>
    <row r="725" spans="1:22" ht="25.2" thickBot="1">
      <c r="A725" s="61" t="s">
        <v>1737</v>
      </c>
      <c r="B725" s="69"/>
      <c r="C725" s="69"/>
      <c r="D725" s="69"/>
      <c r="E725" s="69"/>
      <c r="F725" s="69"/>
      <c r="G725" s="99"/>
      <c r="H725" s="69"/>
      <c r="I725" s="69"/>
      <c r="J725" s="69"/>
      <c r="K725" s="71"/>
      <c r="L725" s="20"/>
      <c r="M725" s="20"/>
      <c r="N725" s="20"/>
      <c r="O725" s="20"/>
      <c r="P725" s="20"/>
      <c r="Q725" s="21"/>
      <c r="R725" s="22"/>
      <c r="S725" s="22"/>
      <c r="T725" s="20"/>
      <c r="U725" s="22"/>
      <c r="V725" s="20"/>
    </row>
    <row r="726" spans="1:22" s="290" customFormat="1">
      <c r="A726" s="539">
        <v>5120</v>
      </c>
      <c r="B726" s="74" t="s">
        <v>2147</v>
      </c>
      <c r="C726" s="74">
        <v>200</v>
      </c>
      <c r="D726" s="74">
        <v>100</v>
      </c>
      <c r="E726" s="74">
        <v>108</v>
      </c>
      <c r="F726" s="74">
        <v>100</v>
      </c>
      <c r="G726" s="21">
        <f t="shared" ref="G726:G758" si="67">IF(B726="","",AVERAGE(E726:F726)*D726*C726/10^6)</f>
        <v>2.08</v>
      </c>
      <c r="H726" s="75">
        <f t="shared" ref="H726:H758" si="68">ROUND(C726*E726*F726/10^6,3)</f>
        <v>2.16</v>
      </c>
      <c r="I726" s="75">
        <f t="shared" ref="I726:I758" si="69">IF(D726="","-",ROUND((F726+D726)*C726/2*E726/10^6,3))</f>
        <v>2.16</v>
      </c>
      <c r="J726" s="76">
        <f t="shared" ref="J726:J758" si="70">IF(D726="","-",ROUND((E726+F726)*C726/2*D726/10^6,3))</f>
        <v>2.08</v>
      </c>
      <c r="K726" s="826"/>
      <c r="L726" s="20"/>
      <c r="M726" s="20"/>
      <c r="N726" s="20"/>
      <c r="O726" s="20"/>
      <c r="P726" s="20"/>
      <c r="Q726" s="21"/>
      <c r="R726" s="22" t="s">
        <v>16</v>
      </c>
      <c r="S726" s="22">
        <v>2</v>
      </c>
      <c r="T726" s="753">
        <f t="shared" si="65"/>
        <v>2700.5399460107969</v>
      </c>
      <c r="U726" s="22">
        <v>0</v>
      </c>
      <c r="V726" s="20" t="str">
        <f t="shared" ref="V726:V758" si="71">B726&amp;"-"&amp;C726&amp;"x"&amp;E726&amp;"x"&amp;D726</f>
        <v>K-200x108x100</v>
      </c>
    </row>
    <row r="727" spans="1:22" s="290" customFormat="1">
      <c r="A727" s="289">
        <v>3120</v>
      </c>
      <c r="B727" s="2" t="s">
        <v>2147</v>
      </c>
      <c r="C727" s="2">
        <v>200</v>
      </c>
      <c r="D727" s="2">
        <v>100</v>
      </c>
      <c r="E727" s="2">
        <v>113</v>
      </c>
      <c r="F727" s="2">
        <v>100</v>
      </c>
      <c r="G727" s="21">
        <f t="shared" si="67"/>
        <v>2.13</v>
      </c>
      <c r="H727" s="20">
        <f t="shared" si="68"/>
        <v>2.2599999999999998</v>
      </c>
      <c r="I727" s="20">
        <f t="shared" si="69"/>
        <v>2.2599999999999998</v>
      </c>
      <c r="J727" s="72">
        <f t="shared" si="70"/>
        <v>2.13</v>
      </c>
      <c r="K727" s="826"/>
      <c r="L727" s="20"/>
      <c r="M727" s="20"/>
      <c r="N727" s="20"/>
      <c r="O727" s="20"/>
      <c r="P727" s="20"/>
      <c r="Q727" s="21"/>
      <c r="R727" s="22" t="s">
        <v>16</v>
      </c>
      <c r="S727" s="22">
        <v>2</v>
      </c>
      <c r="T727" s="753">
        <f t="shared" si="65"/>
        <v>1739.3794211471109</v>
      </c>
      <c r="U727" s="22">
        <v>0</v>
      </c>
      <c r="V727" s="20" t="str">
        <f t="shared" si="71"/>
        <v>K-200x113x100</v>
      </c>
    </row>
    <row r="728" spans="1:22" s="290" customFormat="1">
      <c r="A728" s="289" t="s">
        <v>2093</v>
      </c>
      <c r="B728" s="2" t="s">
        <v>2147</v>
      </c>
      <c r="C728" s="2">
        <v>230</v>
      </c>
      <c r="D728" s="2">
        <v>64</v>
      </c>
      <c r="E728" s="2">
        <v>119</v>
      </c>
      <c r="F728" s="2">
        <v>109</v>
      </c>
      <c r="G728" s="21">
        <f t="shared" si="67"/>
        <v>1.67808</v>
      </c>
      <c r="H728" s="20">
        <f t="shared" si="68"/>
        <v>2.9830000000000001</v>
      </c>
      <c r="I728" s="20">
        <f t="shared" si="69"/>
        <v>2.3679999999999999</v>
      </c>
      <c r="J728" s="72">
        <f t="shared" si="70"/>
        <v>1.6779999999999999</v>
      </c>
      <c r="K728" s="826"/>
      <c r="L728" s="20"/>
      <c r="M728" s="20"/>
      <c r="N728" s="20"/>
      <c r="O728" s="20"/>
      <c r="P728" s="20"/>
      <c r="Q728" s="21"/>
      <c r="R728" s="22" t="s">
        <v>16</v>
      </c>
      <c r="S728" s="22">
        <v>2</v>
      </c>
      <c r="T728" s="753">
        <f t="shared" si="65"/>
        <v>2737.6466627379073</v>
      </c>
      <c r="U728" s="22">
        <v>0</v>
      </c>
      <c r="V728" s="20" t="str">
        <f t="shared" si="71"/>
        <v>K-230x119x64</v>
      </c>
    </row>
    <row r="729" spans="1:22" s="290" customFormat="1">
      <c r="A729" s="289" t="s">
        <v>425</v>
      </c>
      <c r="B729" s="2" t="s">
        <v>2147</v>
      </c>
      <c r="C729" s="2">
        <v>230</v>
      </c>
      <c r="D729" s="2">
        <v>76</v>
      </c>
      <c r="E729" s="2">
        <v>119</v>
      </c>
      <c r="F729" s="2">
        <v>109</v>
      </c>
      <c r="G729" s="21">
        <f t="shared" si="67"/>
        <v>1.99272</v>
      </c>
      <c r="H729" s="20">
        <f t="shared" si="68"/>
        <v>2.9830000000000001</v>
      </c>
      <c r="I729" s="20">
        <f t="shared" si="69"/>
        <v>2.532</v>
      </c>
      <c r="J729" s="72">
        <f t="shared" si="70"/>
        <v>1.9930000000000001</v>
      </c>
      <c r="K729" s="826"/>
      <c r="L729" s="20"/>
      <c r="M729" s="20"/>
      <c r="N729" s="20"/>
      <c r="O729" s="20"/>
      <c r="P729" s="20"/>
      <c r="Q729" s="21"/>
      <c r="R729" s="22" t="s">
        <v>16</v>
      </c>
      <c r="S729" s="22">
        <v>2</v>
      </c>
      <c r="T729" s="753">
        <f t="shared" si="65"/>
        <v>2737.6466627379073</v>
      </c>
      <c r="U729" s="22">
        <v>0</v>
      </c>
      <c r="V729" s="20" t="str">
        <f t="shared" si="71"/>
        <v>K-230x119x76</v>
      </c>
    </row>
    <row r="730" spans="1:22" s="290" customFormat="1">
      <c r="A730" s="289" t="s">
        <v>2094</v>
      </c>
      <c r="B730" s="2" t="s">
        <v>2147</v>
      </c>
      <c r="C730" s="2">
        <v>230</v>
      </c>
      <c r="D730" s="2">
        <v>64</v>
      </c>
      <c r="E730" s="2">
        <v>121</v>
      </c>
      <c r="F730" s="2">
        <v>107</v>
      </c>
      <c r="G730" s="21">
        <f t="shared" si="67"/>
        <v>1.67808</v>
      </c>
      <c r="H730" s="20">
        <f t="shared" si="68"/>
        <v>2.9780000000000002</v>
      </c>
      <c r="I730" s="20">
        <f t="shared" si="69"/>
        <v>2.379</v>
      </c>
      <c r="J730" s="72">
        <f t="shared" si="70"/>
        <v>1.6779999999999999</v>
      </c>
      <c r="K730" s="826"/>
      <c r="L730" s="20"/>
      <c r="M730" s="20"/>
      <c r="N730" s="20"/>
      <c r="O730" s="20"/>
      <c r="P730" s="20"/>
      <c r="Q730" s="21"/>
      <c r="R730" s="22" t="s">
        <v>16</v>
      </c>
      <c r="S730" s="22">
        <v>2</v>
      </c>
      <c r="T730" s="753">
        <f t="shared" si="65"/>
        <v>1988.7775819352357</v>
      </c>
      <c r="U730" s="22">
        <v>0</v>
      </c>
      <c r="V730" s="20" t="str">
        <f t="shared" si="71"/>
        <v>K-230x121x64</v>
      </c>
    </row>
    <row r="731" spans="1:22" s="290" customFormat="1">
      <c r="A731" s="289" t="s">
        <v>426</v>
      </c>
      <c r="B731" s="2" t="s">
        <v>2147</v>
      </c>
      <c r="C731" s="2">
        <v>230</v>
      </c>
      <c r="D731" s="2">
        <v>76</v>
      </c>
      <c r="E731" s="2">
        <v>121</v>
      </c>
      <c r="F731" s="2">
        <v>107</v>
      </c>
      <c r="G731" s="21">
        <f t="shared" si="67"/>
        <v>1.99272</v>
      </c>
      <c r="H731" s="20">
        <f t="shared" si="68"/>
        <v>2.9780000000000002</v>
      </c>
      <c r="I731" s="20">
        <f t="shared" si="69"/>
        <v>2.5459999999999998</v>
      </c>
      <c r="J731" s="72">
        <f t="shared" si="70"/>
        <v>1.9930000000000001</v>
      </c>
      <c r="K731" s="826"/>
      <c r="L731" s="20"/>
      <c r="M731" s="20"/>
      <c r="N731" s="20"/>
      <c r="O731" s="20"/>
      <c r="P731" s="20"/>
      <c r="Q731" s="21"/>
      <c r="R731" s="22" t="s">
        <v>16</v>
      </c>
      <c r="S731" s="22">
        <v>2</v>
      </c>
      <c r="T731" s="753">
        <f t="shared" si="65"/>
        <v>1988.7775819352357</v>
      </c>
      <c r="U731" s="22">
        <v>0</v>
      </c>
      <c r="V731" s="20" t="str">
        <f t="shared" si="71"/>
        <v>K-230x121x76</v>
      </c>
    </row>
    <row r="732" spans="1:22" s="290" customFormat="1">
      <c r="A732" s="289" t="s">
        <v>2095</v>
      </c>
      <c r="B732" s="2" t="s">
        <v>2147</v>
      </c>
      <c r="C732" s="2">
        <v>230</v>
      </c>
      <c r="D732" s="2">
        <v>64</v>
      </c>
      <c r="E732" s="2">
        <v>128</v>
      </c>
      <c r="F732" s="2">
        <v>100</v>
      </c>
      <c r="G732" s="21">
        <f t="shared" si="67"/>
        <v>1.67808</v>
      </c>
      <c r="H732" s="20">
        <f t="shared" si="68"/>
        <v>2.944</v>
      </c>
      <c r="I732" s="20">
        <f t="shared" si="69"/>
        <v>2.4140000000000001</v>
      </c>
      <c r="J732" s="72">
        <f t="shared" si="70"/>
        <v>1.6779999999999999</v>
      </c>
      <c r="K732" s="826"/>
      <c r="L732" s="20"/>
      <c r="M732" s="20"/>
      <c r="N732" s="20"/>
      <c r="O732" s="20"/>
      <c r="P732" s="20"/>
      <c r="Q732" s="21"/>
      <c r="R732" s="22" t="s">
        <v>16</v>
      </c>
      <c r="S732" s="22">
        <v>2</v>
      </c>
      <c r="T732" s="753">
        <f t="shared" si="65"/>
        <v>1053.3745966256859</v>
      </c>
      <c r="U732" s="22">
        <v>0</v>
      </c>
      <c r="V732" s="20" t="str">
        <f t="shared" si="71"/>
        <v>K-230x128x64</v>
      </c>
    </row>
    <row r="733" spans="1:22" s="290" customFormat="1">
      <c r="A733" s="289" t="s">
        <v>427</v>
      </c>
      <c r="B733" s="2" t="s">
        <v>2147</v>
      </c>
      <c r="C733" s="2">
        <v>230</v>
      </c>
      <c r="D733" s="2">
        <v>76</v>
      </c>
      <c r="E733" s="2">
        <v>128</v>
      </c>
      <c r="F733" s="2">
        <v>100</v>
      </c>
      <c r="G733" s="21">
        <f t="shared" si="67"/>
        <v>1.99272</v>
      </c>
      <c r="H733" s="20">
        <f t="shared" si="68"/>
        <v>2.944</v>
      </c>
      <c r="I733" s="20">
        <f t="shared" si="69"/>
        <v>2.5910000000000002</v>
      </c>
      <c r="J733" s="72">
        <f t="shared" si="70"/>
        <v>1.9930000000000001</v>
      </c>
      <c r="K733" s="826"/>
      <c r="L733" s="20"/>
      <c r="M733" s="20"/>
      <c r="N733" s="20"/>
      <c r="O733" s="20"/>
      <c r="P733" s="20"/>
      <c r="Q733" s="21"/>
      <c r="R733" s="22" t="s">
        <v>16</v>
      </c>
      <c r="S733" s="22">
        <v>2</v>
      </c>
      <c r="T733" s="753">
        <f t="shared" ref="T733:T758" si="72">IF(E733=F733,"-",(E733/(E733-F733))*SQRT((C733^2)+((E733-F733)/2)^2))</f>
        <v>1053.3745966256859</v>
      </c>
      <c r="U733" s="22">
        <v>0</v>
      </c>
      <c r="V733" s="20" t="str">
        <f t="shared" si="71"/>
        <v>K-230x128x76</v>
      </c>
    </row>
    <row r="734" spans="1:22" s="290" customFormat="1">
      <c r="A734" s="289" t="s">
        <v>2096</v>
      </c>
      <c r="B734" s="2" t="s">
        <v>2147</v>
      </c>
      <c r="C734" s="2">
        <v>230</v>
      </c>
      <c r="D734" s="2">
        <v>64</v>
      </c>
      <c r="E734" s="2">
        <v>139</v>
      </c>
      <c r="F734" s="2">
        <v>89</v>
      </c>
      <c r="G734" s="21">
        <f t="shared" si="67"/>
        <v>1.67808</v>
      </c>
      <c r="H734" s="20">
        <f t="shared" si="68"/>
        <v>2.8450000000000002</v>
      </c>
      <c r="I734" s="20">
        <f t="shared" si="69"/>
        <v>2.4460000000000002</v>
      </c>
      <c r="J734" s="72">
        <f t="shared" si="70"/>
        <v>1.6779999999999999</v>
      </c>
      <c r="K734" s="826"/>
      <c r="L734" s="20"/>
      <c r="M734" s="20"/>
      <c r="N734" s="20"/>
      <c r="O734" s="20"/>
      <c r="P734" s="20"/>
      <c r="Q734" s="21"/>
      <c r="R734" s="22" t="s">
        <v>16</v>
      </c>
      <c r="S734" s="22">
        <v>2</v>
      </c>
      <c r="T734" s="753">
        <f t="shared" si="72"/>
        <v>643.16608275001568</v>
      </c>
      <c r="U734" s="22">
        <v>0</v>
      </c>
      <c r="V734" s="20" t="str">
        <f t="shared" si="71"/>
        <v>K-230x139x64</v>
      </c>
    </row>
    <row r="735" spans="1:22" s="290" customFormat="1">
      <c r="A735" s="289" t="s">
        <v>2097</v>
      </c>
      <c r="B735" s="2" t="s">
        <v>2147</v>
      </c>
      <c r="C735" s="2">
        <v>230</v>
      </c>
      <c r="D735" s="2">
        <v>76</v>
      </c>
      <c r="E735" s="2">
        <v>139</v>
      </c>
      <c r="F735" s="2">
        <v>89</v>
      </c>
      <c r="G735" s="21">
        <f t="shared" si="67"/>
        <v>1.99272</v>
      </c>
      <c r="H735" s="20">
        <f t="shared" si="68"/>
        <v>2.8450000000000002</v>
      </c>
      <c r="I735" s="20">
        <f t="shared" si="69"/>
        <v>2.6379999999999999</v>
      </c>
      <c r="J735" s="72">
        <f t="shared" si="70"/>
        <v>1.9930000000000001</v>
      </c>
      <c r="K735" s="826"/>
      <c r="L735" s="20"/>
      <c r="M735" s="20"/>
      <c r="N735" s="20"/>
      <c r="O735" s="20"/>
      <c r="P735" s="20"/>
      <c r="Q735" s="21"/>
      <c r="R735" s="22" t="s">
        <v>16</v>
      </c>
      <c r="S735" s="22">
        <v>2</v>
      </c>
      <c r="T735" s="753">
        <f t="shared" si="72"/>
        <v>643.16608275001568</v>
      </c>
      <c r="U735" s="22">
        <v>0</v>
      </c>
      <c r="V735" s="20" t="str">
        <f t="shared" si="71"/>
        <v>K-230x139x76</v>
      </c>
    </row>
    <row r="736" spans="1:22" s="290" customFormat="1">
      <c r="A736" s="289" t="s">
        <v>2098</v>
      </c>
      <c r="B736" s="2" t="s">
        <v>2147</v>
      </c>
      <c r="C736" s="2">
        <v>230</v>
      </c>
      <c r="D736" s="2">
        <v>64</v>
      </c>
      <c r="E736" s="2">
        <v>179</v>
      </c>
      <c r="F736" s="2">
        <v>165</v>
      </c>
      <c r="G736" s="21">
        <f t="shared" si="67"/>
        <v>2.5318399999999999</v>
      </c>
      <c r="H736" s="20">
        <f t="shared" si="68"/>
        <v>6.7930000000000001</v>
      </c>
      <c r="I736" s="20">
        <f t="shared" si="69"/>
        <v>4.7140000000000004</v>
      </c>
      <c r="J736" s="72">
        <f t="shared" si="70"/>
        <v>2.532</v>
      </c>
      <c r="K736" s="826"/>
      <c r="L736" s="20"/>
      <c r="M736" s="20"/>
      <c r="N736" s="20"/>
      <c r="O736" s="20"/>
      <c r="P736" s="20"/>
      <c r="Q736" s="21"/>
      <c r="R736" s="22" t="s">
        <v>16</v>
      </c>
      <c r="S736" s="22">
        <v>2</v>
      </c>
      <c r="T736" s="753">
        <f t="shared" si="72"/>
        <v>2942.0759269951013</v>
      </c>
      <c r="U736" s="22">
        <v>0</v>
      </c>
      <c r="V736" s="20" t="str">
        <f t="shared" si="71"/>
        <v>K-230x179x64</v>
      </c>
    </row>
    <row r="737" spans="1:22" s="290" customFormat="1">
      <c r="A737" s="289" t="s">
        <v>2099</v>
      </c>
      <c r="B737" s="2" t="s">
        <v>2147</v>
      </c>
      <c r="C737" s="2">
        <v>230</v>
      </c>
      <c r="D737" s="2">
        <v>76</v>
      </c>
      <c r="E737" s="2">
        <v>179</v>
      </c>
      <c r="F737" s="2">
        <v>165</v>
      </c>
      <c r="G737" s="21">
        <f t="shared" si="67"/>
        <v>3.0065599999999999</v>
      </c>
      <c r="H737" s="20">
        <f t="shared" si="68"/>
        <v>6.7930000000000001</v>
      </c>
      <c r="I737" s="20">
        <f t="shared" si="69"/>
        <v>4.9610000000000003</v>
      </c>
      <c r="J737" s="72">
        <f t="shared" si="70"/>
        <v>3.0070000000000001</v>
      </c>
      <c r="K737" s="826"/>
      <c r="L737" s="20"/>
      <c r="M737" s="20"/>
      <c r="N737" s="20"/>
      <c r="O737" s="20"/>
      <c r="P737" s="20"/>
      <c r="Q737" s="21"/>
      <c r="R737" s="22" t="s">
        <v>16</v>
      </c>
      <c r="S737" s="22">
        <v>2</v>
      </c>
      <c r="T737" s="753">
        <f t="shared" si="72"/>
        <v>2942.0759269951013</v>
      </c>
      <c r="U737" s="22">
        <v>0</v>
      </c>
      <c r="V737" s="20" t="str">
        <f t="shared" si="71"/>
        <v>K-230x179x76</v>
      </c>
    </row>
    <row r="738" spans="1:22" s="290" customFormat="1">
      <c r="A738" s="289" t="s">
        <v>2100</v>
      </c>
      <c r="B738" s="2" t="s">
        <v>2147</v>
      </c>
      <c r="C738" s="2">
        <v>250</v>
      </c>
      <c r="D738" s="2">
        <v>64</v>
      </c>
      <c r="E738" s="2">
        <v>129</v>
      </c>
      <c r="F738" s="2">
        <v>119</v>
      </c>
      <c r="G738" s="21">
        <f t="shared" si="67"/>
        <v>1.984</v>
      </c>
      <c r="H738" s="20">
        <f t="shared" si="68"/>
        <v>3.8380000000000001</v>
      </c>
      <c r="I738" s="20">
        <f t="shared" si="69"/>
        <v>2.9510000000000001</v>
      </c>
      <c r="J738" s="72">
        <f t="shared" si="70"/>
        <v>1.984</v>
      </c>
      <c r="K738" s="826"/>
      <c r="L738" s="20"/>
      <c r="M738" s="20"/>
      <c r="N738" s="20"/>
      <c r="O738" s="20"/>
      <c r="P738" s="20"/>
      <c r="Q738" s="21"/>
      <c r="R738" s="22" t="s">
        <v>16</v>
      </c>
      <c r="S738" s="22">
        <v>2</v>
      </c>
      <c r="T738" s="753">
        <f t="shared" si="72"/>
        <v>3225.6449355128971</v>
      </c>
      <c r="U738" s="22">
        <v>0</v>
      </c>
      <c r="V738" s="20" t="str">
        <f t="shared" si="71"/>
        <v>K-250x129x64</v>
      </c>
    </row>
    <row r="739" spans="1:22" s="290" customFormat="1">
      <c r="A739" s="289" t="s">
        <v>428</v>
      </c>
      <c r="B739" s="2" t="s">
        <v>2147</v>
      </c>
      <c r="C739" s="2">
        <v>250</v>
      </c>
      <c r="D739" s="2">
        <v>76</v>
      </c>
      <c r="E739" s="2">
        <v>129</v>
      </c>
      <c r="F739" s="2">
        <v>119</v>
      </c>
      <c r="G739" s="21">
        <f t="shared" si="67"/>
        <v>2.3559999999999999</v>
      </c>
      <c r="H739" s="20">
        <f t="shared" si="68"/>
        <v>3.8380000000000001</v>
      </c>
      <c r="I739" s="20">
        <f t="shared" si="69"/>
        <v>3.1440000000000001</v>
      </c>
      <c r="J739" s="72">
        <f t="shared" si="70"/>
        <v>2.3559999999999999</v>
      </c>
      <c r="K739" s="826"/>
      <c r="L739" s="20"/>
      <c r="M739" s="20"/>
      <c r="N739" s="20"/>
      <c r="O739" s="20"/>
      <c r="P739" s="20"/>
      <c r="Q739" s="21"/>
      <c r="R739" s="22" t="s">
        <v>16</v>
      </c>
      <c r="S739" s="22">
        <v>2</v>
      </c>
      <c r="T739" s="753">
        <f t="shared" si="72"/>
        <v>3225.6449355128971</v>
      </c>
      <c r="U739" s="22">
        <v>0</v>
      </c>
      <c r="V739" s="20" t="str">
        <f t="shared" si="71"/>
        <v>K-250x129x76</v>
      </c>
    </row>
    <row r="740" spans="1:22" s="290" customFormat="1">
      <c r="A740" s="289" t="s">
        <v>597</v>
      </c>
      <c r="B740" s="2" t="s">
        <v>2147</v>
      </c>
      <c r="C740" s="2">
        <v>250</v>
      </c>
      <c r="D740" s="2">
        <v>64</v>
      </c>
      <c r="E740" s="2">
        <v>131</v>
      </c>
      <c r="F740" s="2">
        <v>117</v>
      </c>
      <c r="G740" s="21">
        <f t="shared" si="67"/>
        <v>1.984</v>
      </c>
      <c r="H740" s="20">
        <f t="shared" si="68"/>
        <v>3.8319999999999999</v>
      </c>
      <c r="I740" s="20">
        <f t="shared" si="69"/>
        <v>2.964</v>
      </c>
      <c r="J740" s="72">
        <f t="shared" si="70"/>
        <v>1.984</v>
      </c>
      <c r="K740" s="826"/>
      <c r="L740" s="20"/>
      <c r="M740" s="20"/>
      <c r="N740" s="20"/>
      <c r="O740" s="20"/>
      <c r="P740" s="20"/>
      <c r="Q740" s="21"/>
      <c r="R740" s="22" t="s">
        <v>16</v>
      </c>
      <c r="S740" s="22">
        <v>2</v>
      </c>
      <c r="T740" s="753">
        <f t="shared" si="72"/>
        <v>2340.2025346241348</v>
      </c>
      <c r="U740" s="22">
        <v>0</v>
      </c>
      <c r="V740" s="20" t="str">
        <f t="shared" si="71"/>
        <v>K-250x131x64</v>
      </c>
    </row>
    <row r="741" spans="1:22" s="290" customFormat="1">
      <c r="A741" s="289" t="s">
        <v>440</v>
      </c>
      <c r="B741" s="2" t="s">
        <v>2147</v>
      </c>
      <c r="C741" s="2">
        <v>250</v>
      </c>
      <c r="D741" s="2">
        <v>76</v>
      </c>
      <c r="E741" s="2">
        <v>131</v>
      </c>
      <c r="F741" s="2">
        <v>117</v>
      </c>
      <c r="G741" s="21">
        <f t="shared" si="67"/>
        <v>2.3559999999999999</v>
      </c>
      <c r="H741" s="20">
        <f t="shared" si="68"/>
        <v>3.8319999999999999</v>
      </c>
      <c r="I741" s="20">
        <f t="shared" si="69"/>
        <v>3.16</v>
      </c>
      <c r="J741" s="72">
        <f t="shared" si="70"/>
        <v>2.3559999999999999</v>
      </c>
      <c r="K741" s="826"/>
      <c r="L741" s="20"/>
      <c r="M741" s="20"/>
      <c r="N741" s="20"/>
      <c r="O741" s="20"/>
      <c r="P741" s="20"/>
      <c r="Q741" s="21"/>
      <c r="R741" s="22" t="s">
        <v>16</v>
      </c>
      <c r="S741" s="22">
        <v>2</v>
      </c>
      <c r="T741" s="753">
        <f t="shared" si="72"/>
        <v>2340.2025346241348</v>
      </c>
      <c r="U741" s="22">
        <v>0</v>
      </c>
      <c r="V741" s="20" t="str">
        <f t="shared" si="71"/>
        <v>K-250x131x76</v>
      </c>
    </row>
    <row r="742" spans="1:22" s="290" customFormat="1">
      <c r="A742" s="289" t="s">
        <v>429</v>
      </c>
      <c r="B742" s="2" t="s">
        <v>2147</v>
      </c>
      <c r="C742" s="2">
        <v>250</v>
      </c>
      <c r="D742" s="2">
        <v>76</v>
      </c>
      <c r="E742" s="2">
        <v>134</v>
      </c>
      <c r="F742" s="2">
        <v>114</v>
      </c>
      <c r="G742" s="21">
        <f t="shared" si="67"/>
        <v>2.3559999999999999</v>
      </c>
      <c r="H742" s="20">
        <f t="shared" si="68"/>
        <v>3.819</v>
      </c>
      <c r="I742" s="20">
        <f t="shared" si="69"/>
        <v>3.1829999999999998</v>
      </c>
      <c r="J742" s="72">
        <f t="shared" si="70"/>
        <v>2.3559999999999999</v>
      </c>
      <c r="K742" s="826"/>
      <c r="L742" s="20"/>
      <c r="M742" s="20"/>
      <c r="N742" s="20"/>
      <c r="O742" s="20"/>
      <c r="P742" s="20"/>
      <c r="Q742" s="21"/>
      <c r="R742" s="22" t="s">
        <v>16</v>
      </c>
      <c r="S742" s="22">
        <v>2</v>
      </c>
      <c r="T742" s="753">
        <f t="shared" si="72"/>
        <v>1676.3394644283717</v>
      </c>
      <c r="U742" s="22">
        <v>0</v>
      </c>
      <c r="V742" s="20" t="str">
        <f t="shared" si="71"/>
        <v>K-250x134x76</v>
      </c>
    </row>
    <row r="743" spans="1:22" s="290" customFormat="1">
      <c r="A743" s="289" t="s">
        <v>598</v>
      </c>
      <c r="B743" s="2" t="s">
        <v>2147</v>
      </c>
      <c r="C743" s="2">
        <v>250</v>
      </c>
      <c r="D743" s="2">
        <v>64</v>
      </c>
      <c r="E743" s="2">
        <v>138</v>
      </c>
      <c r="F743" s="2">
        <v>110</v>
      </c>
      <c r="G743" s="21">
        <f t="shared" si="67"/>
        <v>1.984</v>
      </c>
      <c r="H743" s="20">
        <f t="shared" si="68"/>
        <v>3.7949999999999999</v>
      </c>
      <c r="I743" s="20">
        <f t="shared" si="69"/>
        <v>3.0019999999999998</v>
      </c>
      <c r="J743" s="72">
        <f t="shared" si="70"/>
        <v>1.984</v>
      </c>
      <c r="K743" s="826"/>
      <c r="L743" s="20"/>
      <c r="M743" s="20"/>
      <c r="N743" s="20"/>
      <c r="O743" s="20"/>
      <c r="P743" s="20"/>
      <c r="Q743" s="21"/>
      <c r="R743" s="22" t="s">
        <v>16</v>
      </c>
      <c r="S743" s="22">
        <v>2</v>
      </c>
      <c r="T743" s="753">
        <f t="shared" si="72"/>
        <v>1234.0733448252431</v>
      </c>
      <c r="U743" s="22">
        <v>0</v>
      </c>
      <c r="V743" s="20" t="str">
        <f t="shared" si="71"/>
        <v>K-250x138x64</v>
      </c>
    </row>
    <row r="744" spans="1:22" s="290" customFormat="1">
      <c r="A744" s="289" t="s">
        <v>430</v>
      </c>
      <c r="B744" s="2" t="s">
        <v>2147</v>
      </c>
      <c r="C744" s="2">
        <v>250</v>
      </c>
      <c r="D744" s="2">
        <v>76</v>
      </c>
      <c r="E744" s="2">
        <v>138</v>
      </c>
      <c r="F744" s="2">
        <v>110</v>
      </c>
      <c r="G744" s="21">
        <f t="shared" si="67"/>
        <v>2.3559999999999999</v>
      </c>
      <c r="H744" s="20">
        <f t="shared" si="68"/>
        <v>3.7949999999999999</v>
      </c>
      <c r="I744" s="20">
        <f t="shared" si="69"/>
        <v>3.2090000000000001</v>
      </c>
      <c r="J744" s="72">
        <f t="shared" si="70"/>
        <v>2.3559999999999999</v>
      </c>
      <c r="K744" s="826"/>
      <c r="L744" s="20"/>
      <c r="M744" s="20"/>
      <c r="N744" s="20"/>
      <c r="O744" s="20"/>
      <c r="P744" s="20"/>
      <c r="Q744" s="21"/>
      <c r="R744" s="22" t="s">
        <v>16</v>
      </c>
      <c r="S744" s="22">
        <v>2</v>
      </c>
      <c r="T744" s="753">
        <f t="shared" si="72"/>
        <v>1234.0733448252431</v>
      </c>
      <c r="U744" s="22">
        <v>0</v>
      </c>
      <c r="V744" s="20" t="str">
        <f t="shared" si="71"/>
        <v>K-250x138x76</v>
      </c>
    </row>
    <row r="745" spans="1:22" s="290" customFormat="1">
      <c r="A745" s="289" t="s">
        <v>599</v>
      </c>
      <c r="B745" s="2" t="s">
        <v>2147</v>
      </c>
      <c r="C745" s="2">
        <v>250</v>
      </c>
      <c r="D745" s="2">
        <v>64</v>
      </c>
      <c r="E745" s="2">
        <v>149</v>
      </c>
      <c r="F745" s="2">
        <v>99</v>
      </c>
      <c r="G745" s="21">
        <f t="shared" si="67"/>
        <v>1.984</v>
      </c>
      <c r="H745" s="20">
        <f t="shared" si="68"/>
        <v>3.6880000000000002</v>
      </c>
      <c r="I745" s="20">
        <f t="shared" si="69"/>
        <v>3.036</v>
      </c>
      <c r="J745" s="72">
        <f t="shared" si="70"/>
        <v>1.984</v>
      </c>
      <c r="K745" s="826"/>
      <c r="L745" s="20"/>
      <c r="M745" s="20"/>
      <c r="N745" s="20"/>
      <c r="O745" s="20"/>
      <c r="P745" s="20"/>
      <c r="Q745" s="21"/>
      <c r="R745" s="22" t="s">
        <v>16</v>
      </c>
      <c r="S745" s="22">
        <v>2</v>
      </c>
      <c r="T745" s="753">
        <f t="shared" si="72"/>
        <v>748.71573377350626</v>
      </c>
      <c r="U745" s="22">
        <v>0</v>
      </c>
      <c r="V745" s="20" t="str">
        <f t="shared" si="71"/>
        <v>K-250x149x64</v>
      </c>
    </row>
    <row r="746" spans="1:22" s="290" customFormat="1">
      <c r="A746" s="289" t="s">
        <v>431</v>
      </c>
      <c r="B746" s="2" t="s">
        <v>2147</v>
      </c>
      <c r="C746" s="2">
        <v>250</v>
      </c>
      <c r="D746" s="2">
        <v>76</v>
      </c>
      <c r="E746" s="2">
        <v>149</v>
      </c>
      <c r="F746" s="2">
        <v>99</v>
      </c>
      <c r="G746" s="21">
        <f t="shared" si="67"/>
        <v>2.3559999999999999</v>
      </c>
      <c r="H746" s="20">
        <f t="shared" si="68"/>
        <v>3.6880000000000002</v>
      </c>
      <c r="I746" s="20">
        <f t="shared" si="69"/>
        <v>3.2589999999999999</v>
      </c>
      <c r="J746" s="72">
        <f t="shared" si="70"/>
        <v>2.3559999999999999</v>
      </c>
      <c r="K746" s="826"/>
      <c r="L746" s="20"/>
      <c r="M746" s="20"/>
      <c r="N746" s="20"/>
      <c r="O746" s="20"/>
      <c r="P746" s="20"/>
      <c r="Q746" s="21"/>
      <c r="R746" s="22" t="s">
        <v>16</v>
      </c>
      <c r="S746" s="22">
        <v>2</v>
      </c>
      <c r="T746" s="753">
        <f t="shared" si="72"/>
        <v>748.71573377350626</v>
      </c>
      <c r="U746" s="22">
        <v>0</v>
      </c>
      <c r="V746" s="20" t="str">
        <f t="shared" si="71"/>
        <v>K-250x149x76</v>
      </c>
    </row>
    <row r="747" spans="1:22" s="290" customFormat="1">
      <c r="A747" s="289" t="s">
        <v>432</v>
      </c>
      <c r="B747" s="2" t="s">
        <v>2147</v>
      </c>
      <c r="C747" s="2">
        <v>250</v>
      </c>
      <c r="D747" s="2">
        <v>76</v>
      </c>
      <c r="E747" s="2">
        <v>154</v>
      </c>
      <c r="F747" s="2">
        <v>132</v>
      </c>
      <c r="G747" s="21">
        <f t="shared" si="67"/>
        <v>2.7170000000000001</v>
      </c>
      <c r="H747" s="20">
        <f t="shared" si="68"/>
        <v>5.0819999999999999</v>
      </c>
      <c r="I747" s="20">
        <f t="shared" si="69"/>
        <v>4.0039999999999996</v>
      </c>
      <c r="J747" s="72">
        <f t="shared" si="70"/>
        <v>2.7170000000000001</v>
      </c>
      <c r="K747" s="826"/>
      <c r="L747" s="20"/>
      <c r="M747" s="20"/>
      <c r="N747" s="20"/>
      <c r="O747" s="20"/>
      <c r="P747" s="20"/>
      <c r="Q747" s="21"/>
      <c r="R747" s="22" t="s">
        <v>16</v>
      </c>
      <c r="S747" s="22">
        <v>2</v>
      </c>
      <c r="T747" s="753">
        <f t="shared" si="72"/>
        <v>1751.6931808967004</v>
      </c>
      <c r="U747" s="22">
        <v>0</v>
      </c>
      <c r="V747" s="20" t="str">
        <f t="shared" si="71"/>
        <v>K-250x154x76</v>
      </c>
    </row>
    <row r="748" spans="1:22" s="290" customFormat="1">
      <c r="A748" s="289" t="s">
        <v>2101</v>
      </c>
      <c r="B748" s="2" t="s">
        <v>2147</v>
      </c>
      <c r="C748" s="2">
        <v>250</v>
      </c>
      <c r="D748" s="2">
        <v>64</v>
      </c>
      <c r="E748" s="2">
        <v>192</v>
      </c>
      <c r="F748" s="2">
        <v>182</v>
      </c>
      <c r="G748" s="21">
        <f t="shared" si="67"/>
        <v>2.992</v>
      </c>
      <c r="H748" s="20">
        <f t="shared" si="68"/>
        <v>8.7360000000000007</v>
      </c>
      <c r="I748" s="20">
        <f t="shared" si="69"/>
        <v>5.9039999999999999</v>
      </c>
      <c r="J748" s="72">
        <f t="shared" si="70"/>
        <v>2.992</v>
      </c>
      <c r="K748" s="826"/>
      <c r="L748" s="20"/>
      <c r="M748" s="20"/>
      <c r="N748" s="20"/>
      <c r="O748" s="20"/>
      <c r="P748" s="20"/>
      <c r="Q748" s="21"/>
      <c r="R748" s="22" t="s">
        <v>16</v>
      </c>
      <c r="S748" s="22">
        <v>2</v>
      </c>
      <c r="T748" s="753">
        <f t="shared" si="72"/>
        <v>4800.9599040191952</v>
      </c>
      <c r="U748" s="22">
        <v>0</v>
      </c>
      <c r="V748" s="20" t="str">
        <f t="shared" si="71"/>
        <v>K-250x192x64</v>
      </c>
    </row>
    <row r="749" spans="1:22" s="290" customFormat="1">
      <c r="A749" s="289" t="s">
        <v>433</v>
      </c>
      <c r="B749" s="2" t="s">
        <v>2147</v>
      </c>
      <c r="C749" s="2">
        <v>250</v>
      </c>
      <c r="D749" s="2">
        <v>76</v>
      </c>
      <c r="E749" s="2">
        <v>192</v>
      </c>
      <c r="F749" s="2">
        <v>182</v>
      </c>
      <c r="G749" s="21">
        <f t="shared" si="67"/>
        <v>3.5529999999999999</v>
      </c>
      <c r="H749" s="20">
        <f t="shared" si="68"/>
        <v>8.7360000000000007</v>
      </c>
      <c r="I749" s="20">
        <f t="shared" si="69"/>
        <v>6.1920000000000002</v>
      </c>
      <c r="J749" s="72">
        <f t="shared" si="70"/>
        <v>3.5529999999999999</v>
      </c>
      <c r="K749" s="826"/>
      <c r="L749" s="20"/>
      <c r="M749" s="20"/>
      <c r="N749" s="20"/>
      <c r="O749" s="20"/>
      <c r="P749" s="20"/>
      <c r="Q749" s="21"/>
      <c r="R749" s="22" t="s">
        <v>16</v>
      </c>
      <c r="S749" s="22">
        <v>2</v>
      </c>
      <c r="T749" s="753">
        <f t="shared" si="72"/>
        <v>4800.9599040191952</v>
      </c>
      <c r="U749" s="22">
        <v>0</v>
      </c>
      <c r="V749" s="20" t="str">
        <f t="shared" si="71"/>
        <v>K-250x192x76</v>
      </c>
    </row>
    <row r="750" spans="1:22" s="290" customFormat="1">
      <c r="A750" s="289" t="s">
        <v>434</v>
      </c>
      <c r="B750" s="2" t="s">
        <v>2147</v>
      </c>
      <c r="C750" s="2">
        <v>250</v>
      </c>
      <c r="D750" s="2">
        <v>76</v>
      </c>
      <c r="E750" s="2">
        <v>194</v>
      </c>
      <c r="F750" s="2">
        <v>180</v>
      </c>
      <c r="G750" s="21">
        <f t="shared" si="67"/>
        <v>3.5529999999999999</v>
      </c>
      <c r="H750" s="20">
        <f t="shared" si="68"/>
        <v>8.73</v>
      </c>
      <c r="I750" s="20">
        <f t="shared" si="69"/>
        <v>6.2080000000000002</v>
      </c>
      <c r="J750" s="72">
        <f t="shared" si="70"/>
        <v>3.5529999999999999</v>
      </c>
      <c r="K750" s="826"/>
      <c r="L750" s="20"/>
      <c r="M750" s="20"/>
      <c r="N750" s="20"/>
      <c r="O750" s="20"/>
      <c r="P750" s="20"/>
      <c r="Q750" s="21"/>
      <c r="R750" s="22" t="s">
        <v>16</v>
      </c>
      <c r="S750" s="22">
        <v>2</v>
      </c>
      <c r="T750" s="753">
        <f t="shared" si="72"/>
        <v>3465.6434482220011</v>
      </c>
      <c r="U750" s="22">
        <v>0</v>
      </c>
      <c r="V750" s="20" t="str">
        <f t="shared" si="71"/>
        <v>K-250x194x76</v>
      </c>
    </row>
    <row r="751" spans="1:22" s="290" customFormat="1">
      <c r="A751" s="289" t="s">
        <v>435</v>
      </c>
      <c r="B751" s="2" t="s">
        <v>2147</v>
      </c>
      <c r="C751" s="2">
        <v>250</v>
      </c>
      <c r="D751" s="2">
        <v>76</v>
      </c>
      <c r="E751" s="2">
        <v>197</v>
      </c>
      <c r="F751" s="2">
        <v>177</v>
      </c>
      <c r="G751" s="21">
        <f t="shared" si="67"/>
        <v>3.5529999999999999</v>
      </c>
      <c r="H751" s="20">
        <f t="shared" si="68"/>
        <v>8.7170000000000005</v>
      </c>
      <c r="I751" s="20">
        <f t="shared" si="69"/>
        <v>6.23</v>
      </c>
      <c r="J751" s="72">
        <f t="shared" si="70"/>
        <v>3.5529999999999999</v>
      </c>
      <c r="K751" s="826"/>
      <c r="L751" s="20"/>
      <c r="M751" s="20"/>
      <c r="N751" s="20"/>
      <c r="O751" s="20"/>
      <c r="P751" s="20"/>
      <c r="Q751" s="21"/>
      <c r="R751" s="22" t="s">
        <v>16</v>
      </c>
      <c r="S751" s="22">
        <v>2</v>
      </c>
      <c r="T751" s="753">
        <f t="shared" si="72"/>
        <v>2464.4692126297705</v>
      </c>
      <c r="U751" s="22">
        <v>0</v>
      </c>
      <c r="V751" s="20" t="str">
        <f t="shared" si="71"/>
        <v>K-250x197x76</v>
      </c>
    </row>
    <row r="752" spans="1:22" s="290" customFormat="1">
      <c r="A752" s="289" t="s">
        <v>436</v>
      </c>
      <c r="B752" s="2" t="s">
        <v>2147</v>
      </c>
      <c r="C752" s="2">
        <v>300</v>
      </c>
      <c r="D752" s="2">
        <v>76</v>
      </c>
      <c r="E752" s="2">
        <v>121</v>
      </c>
      <c r="F752" s="2">
        <v>110</v>
      </c>
      <c r="G752" s="21">
        <f t="shared" si="67"/>
        <v>2.6334</v>
      </c>
      <c r="H752" s="20">
        <f t="shared" si="68"/>
        <v>3.9929999999999999</v>
      </c>
      <c r="I752" s="20">
        <f t="shared" si="69"/>
        <v>3.3759999999999999</v>
      </c>
      <c r="J752" s="72">
        <f t="shared" si="70"/>
        <v>2.633</v>
      </c>
      <c r="K752" s="826"/>
      <c r="L752" s="20"/>
      <c r="M752" s="20"/>
      <c r="N752" s="20"/>
      <c r="O752" s="20"/>
      <c r="P752" s="20"/>
      <c r="Q752" s="21"/>
      <c r="R752" s="22" t="s">
        <v>16</v>
      </c>
      <c r="S752" s="22">
        <v>2</v>
      </c>
      <c r="T752" s="753">
        <f t="shared" si="72"/>
        <v>3300.5545367407576</v>
      </c>
      <c r="U752" s="22">
        <v>0</v>
      </c>
      <c r="V752" s="20" t="str">
        <f t="shared" si="71"/>
        <v>K-300x121x76</v>
      </c>
    </row>
    <row r="753" spans="1:22" s="290" customFormat="1">
      <c r="A753" s="289" t="s">
        <v>437</v>
      </c>
      <c r="B753" s="2" t="s">
        <v>2147</v>
      </c>
      <c r="C753" s="2">
        <v>300</v>
      </c>
      <c r="D753" s="2">
        <v>76</v>
      </c>
      <c r="E753" s="2">
        <v>132</v>
      </c>
      <c r="F753" s="2">
        <v>110</v>
      </c>
      <c r="G753" s="21">
        <f t="shared" si="67"/>
        <v>2.7587999999999999</v>
      </c>
      <c r="H753" s="20">
        <f t="shared" si="68"/>
        <v>4.3559999999999999</v>
      </c>
      <c r="I753" s="20">
        <f t="shared" si="69"/>
        <v>3.6829999999999998</v>
      </c>
      <c r="J753" s="72">
        <f t="shared" si="70"/>
        <v>2.7589999999999999</v>
      </c>
      <c r="K753" s="826"/>
      <c r="L753" s="20"/>
      <c r="M753" s="20"/>
      <c r="N753" s="20"/>
      <c r="O753" s="20"/>
      <c r="P753" s="20"/>
      <c r="Q753" s="21"/>
      <c r="R753" s="22" t="s">
        <v>16</v>
      </c>
      <c r="S753" s="22">
        <v>2</v>
      </c>
      <c r="T753" s="753">
        <f t="shared" si="72"/>
        <v>1801.2095935787152</v>
      </c>
      <c r="U753" s="22">
        <v>0</v>
      </c>
      <c r="V753" s="20" t="str">
        <f t="shared" si="71"/>
        <v>K-300x132x76</v>
      </c>
    </row>
    <row r="754" spans="1:22" s="290" customFormat="1">
      <c r="A754" s="289" t="s">
        <v>438</v>
      </c>
      <c r="B754" s="2" t="s">
        <v>2147</v>
      </c>
      <c r="C754" s="2">
        <v>300</v>
      </c>
      <c r="D754" s="2">
        <v>76</v>
      </c>
      <c r="E754" s="2">
        <v>152</v>
      </c>
      <c r="F754" s="2">
        <v>110</v>
      </c>
      <c r="G754" s="21">
        <f t="shared" si="67"/>
        <v>2.9868000000000001</v>
      </c>
      <c r="H754" s="20">
        <f t="shared" si="68"/>
        <v>5.016</v>
      </c>
      <c r="I754" s="20">
        <f t="shared" si="69"/>
        <v>4.2409999999999997</v>
      </c>
      <c r="J754" s="72">
        <f t="shared" si="70"/>
        <v>2.9870000000000001</v>
      </c>
      <c r="K754" s="826"/>
      <c r="L754" s="20"/>
      <c r="M754" s="20"/>
      <c r="N754" s="20"/>
      <c r="O754" s="20"/>
      <c r="P754" s="20"/>
      <c r="Q754" s="21"/>
      <c r="R754" s="22" t="s">
        <v>16</v>
      </c>
      <c r="S754" s="22">
        <v>2</v>
      </c>
      <c r="T754" s="753">
        <f t="shared" si="72"/>
        <v>1088.3710351732454</v>
      </c>
      <c r="U754" s="22">
        <v>0</v>
      </c>
      <c r="V754" s="20" t="str">
        <f t="shared" si="71"/>
        <v>K-300x152x76</v>
      </c>
    </row>
    <row r="755" spans="1:22" s="290" customFormat="1">
      <c r="A755" s="289" t="s">
        <v>439</v>
      </c>
      <c r="B755" s="2" t="s">
        <v>2147</v>
      </c>
      <c r="C755" s="2">
        <v>300</v>
      </c>
      <c r="D755" s="2">
        <v>76</v>
      </c>
      <c r="E755" s="2">
        <v>190</v>
      </c>
      <c r="F755" s="2">
        <v>110</v>
      </c>
      <c r="G755" s="21">
        <f t="shared" si="67"/>
        <v>3.42</v>
      </c>
      <c r="H755" s="20">
        <f t="shared" si="68"/>
        <v>6.27</v>
      </c>
      <c r="I755" s="20">
        <f t="shared" si="69"/>
        <v>5.3010000000000002</v>
      </c>
      <c r="J755" s="72">
        <f t="shared" si="70"/>
        <v>3.42</v>
      </c>
      <c r="K755" s="826"/>
      <c r="L755" s="20"/>
      <c r="M755" s="20"/>
      <c r="N755" s="20"/>
      <c r="O755" s="20"/>
      <c r="P755" s="20"/>
      <c r="Q755" s="21"/>
      <c r="R755" s="22" t="s">
        <v>16</v>
      </c>
      <c r="S755" s="22">
        <v>2</v>
      </c>
      <c r="T755" s="753">
        <f t="shared" si="72"/>
        <v>718.80543264502398</v>
      </c>
      <c r="U755" s="22">
        <v>0</v>
      </c>
      <c r="V755" s="20" t="str">
        <f t="shared" si="71"/>
        <v>K-300x190x76</v>
      </c>
    </row>
    <row r="756" spans="1:22" s="290" customFormat="1">
      <c r="A756" s="289" t="s">
        <v>2102</v>
      </c>
      <c r="B756" s="2" t="s">
        <v>2147</v>
      </c>
      <c r="C756" s="2">
        <v>350</v>
      </c>
      <c r="D756" s="2">
        <v>76</v>
      </c>
      <c r="E756" s="2">
        <v>158</v>
      </c>
      <c r="F756" s="2">
        <v>110</v>
      </c>
      <c r="G756" s="21">
        <f t="shared" si="67"/>
        <v>3.5644</v>
      </c>
      <c r="H756" s="20">
        <f t="shared" si="68"/>
        <v>6.0830000000000002</v>
      </c>
      <c r="I756" s="20">
        <f t="shared" si="69"/>
        <v>5.1429999999999998</v>
      </c>
      <c r="J756" s="72">
        <f t="shared" si="70"/>
        <v>3.5640000000000001</v>
      </c>
      <c r="K756" s="826"/>
      <c r="L756" s="20"/>
      <c r="M756" s="20"/>
      <c r="N756" s="20"/>
      <c r="O756" s="20"/>
      <c r="P756" s="20"/>
      <c r="Q756" s="21"/>
      <c r="R756" s="22" t="s">
        <v>16</v>
      </c>
      <c r="S756" s="22">
        <v>2</v>
      </c>
      <c r="T756" s="753">
        <f t="shared" si="72"/>
        <v>1154.7887282721651</v>
      </c>
      <c r="U756" s="22">
        <v>0</v>
      </c>
      <c r="V756" s="20" t="str">
        <f t="shared" si="71"/>
        <v>K-350x158x76</v>
      </c>
    </row>
    <row r="757" spans="1:22" s="290" customFormat="1">
      <c r="A757" s="289" t="s">
        <v>2103</v>
      </c>
      <c r="B757" s="2" t="s">
        <v>2147</v>
      </c>
      <c r="C757" s="2">
        <v>350</v>
      </c>
      <c r="D757" s="2">
        <v>76</v>
      </c>
      <c r="E757" s="2">
        <v>136</v>
      </c>
      <c r="F757" s="2">
        <v>110</v>
      </c>
      <c r="G757" s="21">
        <f t="shared" si="67"/>
        <v>3.2717999999999998</v>
      </c>
      <c r="H757" s="20">
        <f t="shared" si="68"/>
        <v>5.2359999999999998</v>
      </c>
      <c r="I757" s="20">
        <f t="shared" si="69"/>
        <v>4.4269999999999996</v>
      </c>
      <c r="J757" s="72">
        <f t="shared" si="70"/>
        <v>3.2719999999999998</v>
      </c>
      <c r="K757" s="826"/>
      <c r="L757" s="20"/>
      <c r="M757" s="20"/>
      <c r="N757" s="20"/>
      <c r="O757" s="20"/>
      <c r="P757" s="20"/>
      <c r="Q757" s="21"/>
      <c r="R757" s="22" t="s">
        <v>16</v>
      </c>
      <c r="S757" s="22">
        <v>2</v>
      </c>
      <c r="T757" s="753">
        <f t="shared" si="72"/>
        <v>1832.0316526554229</v>
      </c>
      <c r="U757" s="22">
        <v>0</v>
      </c>
      <c r="V757" s="20" t="str">
        <f t="shared" si="71"/>
        <v>K-350x136x76</v>
      </c>
    </row>
    <row r="758" spans="1:22" s="290" customFormat="1" ht="13.8" thickBot="1">
      <c r="A758" s="540" t="s">
        <v>2104</v>
      </c>
      <c r="B758" s="78" t="s">
        <v>2147</v>
      </c>
      <c r="C758" s="78">
        <v>350</v>
      </c>
      <c r="D758" s="78">
        <v>76</v>
      </c>
      <c r="E758" s="78">
        <v>123</v>
      </c>
      <c r="F758" s="78">
        <v>110</v>
      </c>
      <c r="G758" s="21">
        <f t="shared" si="67"/>
        <v>3.0989</v>
      </c>
      <c r="H758" s="79">
        <f t="shared" si="68"/>
        <v>4.7359999999999998</v>
      </c>
      <c r="I758" s="79">
        <f t="shared" si="69"/>
        <v>4.0039999999999996</v>
      </c>
      <c r="J758" s="80">
        <f t="shared" si="70"/>
        <v>3.0990000000000002</v>
      </c>
      <c r="K758" s="826"/>
      <c r="L758" s="20"/>
      <c r="M758" s="20"/>
      <c r="N758" s="20"/>
      <c r="O758" s="20"/>
      <c r="P758" s="20"/>
      <c r="Q758" s="21"/>
      <c r="R758" s="22" t="s">
        <v>16</v>
      </c>
      <c r="S758" s="22">
        <v>2</v>
      </c>
      <c r="T758" s="753">
        <f t="shared" si="72"/>
        <v>3312.1094837351798</v>
      </c>
      <c r="U758" s="22">
        <v>0</v>
      </c>
      <c r="V758" s="20" t="str">
        <f t="shared" si="71"/>
        <v>K-350x123x76</v>
      </c>
    </row>
    <row r="759" spans="1:22" s="26" customFormat="1" ht="25.2" thickBot="1">
      <c r="A759" s="61" t="s">
        <v>293</v>
      </c>
      <c r="B759" s="67"/>
      <c r="C759" s="67"/>
      <c r="D759" s="67"/>
      <c r="E759" s="67"/>
      <c r="F759" s="67"/>
      <c r="G759" s="102"/>
      <c r="H759" s="68"/>
      <c r="I759" s="68"/>
      <c r="J759" s="68"/>
      <c r="K759" s="81"/>
      <c r="L759" s="25"/>
      <c r="M759" s="25"/>
      <c r="N759" s="25"/>
      <c r="O759" s="25"/>
      <c r="P759" s="25"/>
      <c r="Q759" s="27"/>
      <c r="R759" s="28"/>
      <c r="S759" s="28"/>
      <c r="T759" s="25"/>
      <c r="U759" s="28"/>
      <c r="V759" s="25"/>
    </row>
    <row r="760" spans="1:22" ht="15" customHeight="1">
      <c r="A760" s="82" t="s">
        <v>120</v>
      </c>
      <c r="B760" s="539" t="s">
        <v>2147</v>
      </c>
      <c r="C760" s="74">
        <v>200</v>
      </c>
      <c r="D760" s="74">
        <v>100</v>
      </c>
      <c r="E760" s="74">
        <v>160</v>
      </c>
      <c r="F760" s="74">
        <v>140</v>
      </c>
      <c r="G760" s="83">
        <v>3</v>
      </c>
      <c r="H760" s="75"/>
      <c r="I760" s="75"/>
      <c r="J760" s="75"/>
      <c r="K760" s="84"/>
      <c r="L760" s="825" t="s">
        <v>648</v>
      </c>
      <c r="M760" s="20"/>
      <c r="N760" s="20"/>
      <c r="O760" s="20"/>
      <c r="P760" s="20"/>
      <c r="Q760" s="21"/>
      <c r="R760" s="22" t="s">
        <v>16</v>
      </c>
      <c r="S760" s="22">
        <v>2</v>
      </c>
      <c r="T760" s="753">
        <f t="shared" ref="T760:T823" si="73">IF(E760=F760,"-",(E760/(E760-F760))*SQRT((C760^2)+((E760-F760)/2)^2))</f>
        <v>1601.9987515600628</v>
      </c>
      <c r="U760" s="22">
        <v>0</v>
      </c>
      <c r="V760" s="20" t="str">
        <f t="shared" ref="V760:V772" si="74">B760&amp;"-"&amp;C760&amp;"x"&amp;E760&amp;"x"&amp;D760</f>
        <v>K-200x160x100</v>
      </c>
    </row>
    <row r="761" spans="1:22">
      <c r="A761" s="85" t="s">
        <v>121</v>
      </c>
      <c r="B761" s="73" t="s">
        <v>2147</v>
      </c>
      <c r="C761" s="2">
        <v>200</v>
      </c>
      <c r="D761" s="2">
        <v>100</v>
      </c>
      <c r="E761" s="2">
        <v>170</v>
      </c>
      <c r="F761" s="2">
        <v>130</v>
      </c>
      <c r="G761" s="21">
        <v>3</v>
      </c>
      <c r="H761" s="20"/>
      <c r="I761" s="20"/>
      <c r="J761" s="20"/>
      <c r="K761" s="86"/>
      <c r="L761" s="826"/>
      <c r="M761" s="20"/>
      <c r="N761" s="20"/>
      <c r="O761" s="20"/>
      <c r="P761" s="20"/>
      <c r="Q761" s="21"/>
      <c r="R761" s="22" t="s">
        <v>16</v>
      </c>
      <c r="S761" s="22">
        <v>2</v>
      </c>
      <c r="T761" s="753">
        <f t="shared" si="73"/>
        <v>854.23942779527567</v>
      </c>
      <c r="U761" s="22">
        <v>0</v>
      </c>
      <c r="V761" s="20" t="str">
        <f t="shared" si="74"/>
        <v>K-200x170x100</v>
      </c>
    </row>
    <row r="762" spans="1:22">
      <c r="A762" s="85" t="s">
        <v>123</v>
      </c>
      <c r="B762" s="289" t="s">
        <v>2145</v>
      </c>
      <c r="C762" s="2">
        <v>250</v>
      </c>
      <c r="D762" s="2">
        <v>100</v>
      </c>
      <c r="E762" s="2">
        <v>150</v>
      </c>
      <c r="F762" s="2">
        <v>150</v>
      </c>
      <c r="G762" s="21">
        <v>3.75</v>
      </c>
      <c r="H762" s="20"/>
      <c r="I762" s="20"/>
      <c r="J762" s="20"/>
      <c r="K762" s="86"/>
      <c r="L762" s="826"/>
      <c r="M762" s="20"/>
      <c r="N762" s="20"/>
      <c r="O762" s="20"/>
      <c r="P762" s="20"/>
      <c r="Q762" s="21"/>
      <c r="R762" s="22" t="s">
        <v>16</v>
      </c>
      <c r="S762" s="22">
        <v>2</v>
      </c>
      <c r="T762" s="753" t="str">
        <f t="shared" si="73"/>
        <v>-</v>
      </c>
      <c r="U762" s="22">
        <v>0</v>
      </c>
      <c r="V762" s="20" t="str">
        <f t="shared" si="74"/>
        <v>S-250x150x100</v>
      </c>
    </row>
    <row r="763" spans="1:22">
      <c r="A763" s="85" t="s">
        <v>124</v>
      </c>
      <c r="B763" s="73" t="s">
        <v>2147</v>
      </c>
      <c r="C763" s="2">
        <v>250</v>
      </c>
      <c r="D763" s="2">
        <v>100</v>
      </c>
      <c r="E763" s="2">
        <v>154</v>
      </c>
      <c r="F763" s="2">
        <v>146</v>
      </c>
      <c r="G763" s="21">
        <v>3.75</v>
      </c>
      <c r="H763" s="20"/>
      <c r="I763" s="20"/>
      <c r="J763" s="20"/>
      <c r="K763" s="86"/>
      <c r="L763" s="826"/>
      <c r="M763" s="20"/>
      <c r="N763" s="20"/>
      <c r="O763" s="20"/>
      <c r="P763" s="20"/>
      <c r="Q763" s="21"/>
      <c r="R763" s="22" t="s">
        <v>16</v>
      </c>
      <c r="S763" s="22">
        <v>2</v>
      </c>
      <c r="T763" s="753">
        <f t="shared" si="73"/>
        <v>4813.1159605810453</v>
      </c>
      <c r="U763" s="22">
        <v>0</v>
      </c>
      <c r="V763" s="20" t="str">
        <f t="shared" si="74"/>
        <v>K-250x154x100</v>
      </c>
    </row>
    <row r="764" spans="1:22">
      <c r="A764" s="85" t="s">
        <v>125</v>
      </c>
      <c r="B764" s="73" t="s">
        <v>2147</v>
      </c>
      <c r="C764" s="2">
        <v>250</v>
      </c>
      <c r="D764" s="2">
        <v>100</v>
      </c>
      <c r="E764" s="2">
        <v>158</v>
      </c>
      <c r="F764" s="2">
        <v>142</v>
      </c>
      <c r="G764" s="21">
        <v>3.75</v>
      </c>
      <c r="H764" s="20"/>
      <c r="I764" s="20"/>
      <c r="J764" s="20"/>
      <c r="K764" s="86"/>
      <c r="L764" s="826"/>
      <c r="M764" s="20"/>
      <c r="N764" s="20"/>
      <c r="O764" s="20"/>
      <c r="P764" s="20"/>
      <c r="Q764" s="21"/>
      <c r="R764" s="22" t="s">
        <v>16</v>
      </c>
      <c r="S764" s="22">
        <v>2</v>
      </c>
      <c r="T764" s="753">
        <f t="shared" si="73"/>
        <v>2470.0136765815691</v>
      </c>
      <c r="U764" s="22">
        <v>0</v>
      </c>
      <c r="V764" s="20" t="str">
        <f t="shared" si="74"/>
        <v>K-250x158x100</v>
      </c>
    </row>
    <row r="765" spans="1:22">
      <c r="A765" s="85" t="s">
        <v>126</v>
      </c>
      <c r="B765" s="73" t="s">
        <v>2147</v>
      </c>
      <c r="C765" s="2">
        <v>250</v>
      </c>
      <c r="D765" s="2">
        <v>100</v>
      </c>
      <c r="E765" s="2">
        <v>160</v>
      </c>
      <c r="F765" s="2">
        <v>140</v>
      </c>
      <c r="G765" s="21">
        <v>3.75</v>
      </c>
      <c r="H765" s="20"/>
      <c r="I765" s="20"/>
      <c r="J765" s="20"/>
      <c r="K765" s="86"/>
      <c r="L765" s="826"/>
      <c r="M765" s="20"/>
      <c r="N765" s="20"/>
      <c r="O765" s="20"/>
      <c r="P765" s="20"/>
      <c r="Q765" s="21"/>
      <c r="R765" s="22" t="s">
        <v>16</v>
      </c>
      <c r="S765" s="22">
        <v>2</v>
      </c>
      <c r="T765" s="753">
        <f t="shared" si="73"/>
        <v>2001.5993605114886</v>
      </c>
      <c r="U765" s="22">
        <v>0</v>
      </c>
      <c r="V765" s="20" t="str">
        <f t="shared" si="74"/>
        <v>K-250x160x100</v>
      </c>
    </row>
    <row r="766" spans="1:22">
      <c r="A766" s="85" t="s">
        <v>127</v>
      </c>
      <c r="B766" s="73" t="s">
        <v>2147</v>
      </c>
      <c r="C766" s="2">
        <v>250</v>
      </c>
      <c r="D766" s="2">
        <v>100</v>
      </c>
      <c r="E766" s="2">
        <v>165</v>
      </c>
      <c r="F766" s="2">
        <v>135</v>
      </c>
      <c r="G766" s="21">
        <v>3.75</v>
      </c>
      <c r="H766" s="20"/>
      <c r="I766" s="20"/>
      <c r="J766" s="20"/>
      <c r="K766" s="86"/>
      <c r="L766" s="826"/>
      <c r="M766" s="20"/>
      <c r="N766" s="20"/>
      <c r="O766" s="20"/>
      <c r="P766" s="20"/>
      <c r="Q766" s="21"/>
      <c r="R766" s="22" t="s">
        <v>16</v>
      </c>
      <c r="S766" s="22">
        <v>2</v>
      </c>
      <c r="T766" s="753">
        <f t="shared" si="73"/>
        <v>1377.4727765005014</v>
      </c>
      <c r="U766" s="22">
        <v>0</v>
      </c>
      <c r="V766" s="20" t="str">
        <f t="shared" si="74"/>
        <v>K-250x165x100</v>
      </c>
    </row>
    <row r="767" spans="1:22">
      <c r="A767" s="85" t="s">
        <v>128</v>
      </c>
      <c r="B767" s="73" t="s">
        <v>2147</v>
      </c>
      <c r="C767" s="2">
        <v>250</v>
      </c>
      <c r="D767" s="2">
        <v>100</v>
      </c>
      <c r="E767" s="2">
        <v>170</v>
      </c>
      <c r="F767" s="2">
        <v>130</v>
      </c>
      <c r="G767" s="21">
        <v>3.75</v>
      </c>
      <c r="H767" s="20"/>
      <c r="I767" s="20"/>
      <c r="J767" s="20"/>
      <c r="K767" s="86"/>
      <c r="L767" s="826"/>
      <c r="M767" s="20"/>
      <c r="N767" s="20"/>
      <c r="O767" s="20"/>
      <c r="P767" s="20"/>
      <c r="Q767" s="21"/>
      <c r="R767" s="22" t="s">
        <v>16</v>
      </c>
      <c r="S767" s="22">
        <v>2</v>
      </c>
      <c r="T767" s="753">
        <f t="shared" si="73"/>
        <v>1065.8945773386783</v>
      </c>
      <c r="U767" s="22">
        <v>0</v>
      </c>
      <c r="V767" s="20" t="str">
        <f t="shared" si="74"/>
        <v>K-250x170x100</v>
      </c>
    </row>
    <row r="768" spans="1:22">
      <c r="A768" s="85" t="s">
        <v>129</v>
      </c>
      <c r="B768" s="73" t="s">
        <v>2147</v>
      </c>
      <c r="C768" s="2">
        <v>250</v>
      </c>
      <c r="D768" s="2">
        <v>100</v>
      </c>
      <c r="E768" s="2">
        <v>180</v>
      </c>
      <c r="F768" s="2">
        <v>120</v>
      </c>
      <c r="G768" s="21">
        <v>3.75</v>
      </c>
      <c r="H768" s="20"/>
      <c r="I768" s="20"/>
      <c r="J768" s="20"/>
      <c r="K768" s="86"/>
      <c r="L768" s="826"/>
      <c r="M768" s="20"/>
      <c r="N768" s="20"/>
      <c r="O768" s="20"/>
      <c r="P768" s="20"/>
      <c r="Q768" s="21"/>
      <c r="R768" s="22" t="s">
        <v>16</v>
      </c>
      <c r="S768" s="22">
        <v>2</v>
      </c>
      <c r="T768" s="753">
        <f t="shared" si="73"/>
        <v>755.38069872085032</v>
      </c>
      <c r="U768" s="22">
        <v>0</v>
      </c>
      <c r="V768" s="20" t="str">
        <f t="shared" si="74"/>
        <v>K-250x180x100</v>
      </c>
    </row>
    <row r="769" spans="1:22">
      <c r="A769" s="85" t="s">
        <v>130</v>
      </c>
      <c r="B769" s="73" t="s">
        <v>2147</v>
      </c>
      <c r="C769" s="2">
        <v>250</v>
      </c>
      <c r="D769" s="2">
        <v>100</v>
      </c>
      <c r="E769" s="2">
        <v>190</v>
      </c>
      <c r="F769" s="2">
        <v>110</v>
      </c>
      <c r="G769" s="21">
        <v>3.75</v>
      </c>
      <c r="H769" s="20"/>
      <c r="I769" s="20"/>
      <c r="J769" s="20"/>
      <c r="K769" s="86"/>
      <c r="L769" s="826"/>
      <c r="M769" s="20"/>
      <c r="N769" s="20"/>
      <c r="O769" s="20"/>
      <c r="P769" s="20"/>
      <c r="Q769" s="21"/>
      <c r="R769" s="22" t="s">
        <v>16</v>
      </c>
      <c r="S769" s="22">
        <v>2</v>
      </c>
      <c r="T769" s="753">
        <f t="shared" si="73"/>
        <v>601.30197280567768</v>
      </c>
      <c r="U769" s="22">
        <v>0</v>
      </c>
      <c r="V769" s="20" t="str">
        <f t="shared" si="74"/>
        <v>K-250x190x100</v>
      </c>
    </row>
    <row r="770" spans="1:22">
      <c r="A770" s="85" t="s">
        <v>131</v>
      </c>
      <c r="B770" s="73" t="s">
        <v>2147</v>
      </c>
      <c r="C770" s="2">
        <v>250</v>
      </c>
      <c r="D770" s="2">
        <v>100</v>
      </c>
      <c r="E770" s="2">
        <v>210</v>
      </c>
      <c r="F770" s="2">
        <v>90</v>
      </c>
      <c r="G770" s="21">
        <v>3.75</v>
      </c>
      <c r="H770" s="20"/>
      <c r="I770" s="20"/>
      <c r="J770" s="20"/>
      <c r="K770" s="86"/>
      <c r="L770" s="826"/>
      <c r="M770" s="20"/>
      <c r="N770" s="20"/>
      <c r="O770" s="20"/>
      <c r="P770" s="20"/>
      <c r="Q770" s="21"/>
      <c r="R770" s="22" t="s">
        <v>16</v>
      </c>
      <c r="S770" s="22">
        <v>2</v>
      </c>
      <c r="T770" s="753">
        <f t="shared" si="73"/>
        <v>449.92360462638544</v>
      </c>
      <c r="U770" s="22">
        <v>0</v>
      </c>
      <c r="V770" s="20" t="str">
        <f t="shared" si="74"/>
        <v>K-250x210x100</v>
      </c>
    </row>
    <row r="771" spans="1:22">
      <c r="A771" s="85" t="s">
        <v>132</v>
      </c>
      <c r="B771" s="289" t="s">
        <v>2145</v>
      </c>
      <c r="C771" s="2">
        <v>300</v>
      </c>
      <c r="D771" s="2">
        <v>100</v>
      </c>
      <c r="E771" s="2">
        <v>150</v>
      </c>
      <c r="F771" s="2">
        <v>150</v>
      </c>
      <c r="G771" s="21">
        <v>4.5</v>
      </c>
      <c r="H771" s="20"/>
      <c r="I771" s="20"/>
      <c r="J771" s="20"/>
      <c r="K771" s="86"/>
      <c r="L771" s="826"/>
      <c r="M771" s="20"/>
      <c r="N771" s="20"/>
      <c r="O771" s="20"/>
      <c r="P771" s="20"/>
      <c r="Q771" s="21"/>
      <c r="R771" s="22" t="s">
        <v>16</v>
      </c>
      <c r="S771" s="22">
        <v>2</v>
      </c>
      <c r="T771" s="753" t="str">
        <f t="shared" si="73"/>
        <v>-</v>
      </c>
      <c r="U771" s="22">
        <v>0</v>
      </c>
      <c r="V771" s="20" t="str">
        <f t="shared" si="74"/>
        <v>S-300x150x100</v>
      </c>
    </row>
    <row r="772" spans="1:22">
      <c r="A772" s="85" t="s">
        <v>133</v>
      </c>
      <c r="B772" s="73" t="s">
        <v>2147</v>
      </c>
      <c r="C772" s="2">
        <v>300</v>
      </c>
      <c r="D772" s="2">
        <v>100</v>
      </c>
      <c r="E772" s="2">
        <v>154</v>
      </c>
      <c r="F772" s="2">
        <v>146</v>
      </c>
      <c r="G772" s="21">
        <v>4.5</v>
      </c>
      <c r="H772" s="20"/>
      <c r="I772" s="20"/>
      <c r="J772" s="20"/>
      <c r="K772" s="86"/>
      <c r="L772" s="826"/>
      <c r="M772" s="20"/>
      <c r="N772" s="20"/>
      <c r="O772" s="20"/>
      <c r="P772" s="20"/>
      <c r="Q772" s="21"/>
      <c r="R772" s="22" t="s">
        <v>16</v>
      </c>
      <c r="S772" s="22">
        <v>2</v>
      </c>
      <c r="T772" s="753">
        <f t="shared" si="73"/>
        <v>5775.5133105205459</v>
      </c>
      <c r="U772" s="22">
        <v>0</v>
      </c>
      <c r="V772" s="20" t="str">
        <f t="shared" si="74"/>
        <v>K-300x154x100</v>
      </c>
    </row>
    <row r="773" spans="1:22">
      <c r="A773" s="85" t="s">
        <v>134</v>
      </c>
      <c r="B773" s="73" t="s">
        <v>2147</v>
      </c>
      <c r="C773" s="2">
        <v>300</v>
      </c>
      <c r="D773" s="2">
        <v>100</v>
      </c>
      <c r="E773" s="2">
        <v>160</v>
      </c>
      <c r="F773" s="2">
        <v>140</v>
      </c>
      <c r="G773" s="21">
        <v>4.5</v>
      </c>
      <c r="H773" s="20"/>
      <c r="I773" s="20"/>
      <c r="J773" s="20"/>
      <c r="K773" s="86"/>
      <c r="L773" s="826"/>
      <c r="M773" s="20"/>
      <c r="N773" s="20"/>
      <c r="O773" s="20"/>
      <c r="P773" s="20"/>
      <c r="Q773" s="21"/>
      <c r="R773" s="22" t="s">
        <v>16</v>
      </c>
      <c r="S773" s="22">
        <v>2</v>
      </c>
      <c r="T773" s="753">
        <f t="shared" si="73"/>
        <v>2401.3329631685815</v>
      </c>
      <c r="U773" s="22"/>
      <c r="V773" s="20"/>
    </row>
    <row r="774" spans="1:22">
      <c r="A774" s="85" t="s">
        <v>135</v>
      </c>
      <c r="B774" s="73" t="s">
        <v>2147</v>
      </c>
      <c r="C774" s="2">
        <v>300</v>
      </c>
      <c r="D774" s="2">
        <v>100</v>
      </c>
      <c r="E774" s="2">
        <v>170</v>
      </c>
      <c r="F774" s="2">
        <v>130</v>
      </c>
      <c r="G774" s="21">
        <v>4.5</v>
      </c>
      <c r="H774" s="20"/>
      <c r="I774" s="20"/>
      <c r="J774" s="20"/>
      <c r="K774" s="86"/>
      <c r="L774" s="826"/>
      <c r="M774" s="20"/>
      <c r="N774" s="20"/>
      <c r="O774" s="20"/>
      <c r="P774" s="20"/>
      <c r="Q774" s="21"/>
      <c r="R774" s="22" t="s">
        <v>16</v>
      </c>
      <c r="S774" s="22">
        <v>2</v>
      </c>
      <c r="T774" s="753">
        <f t="shared" si="73"/>
        <v>1277.8301921616971</v>
      </c>
      <c r="U774" s="22">
        <v>0</v>
      </c>
      <c r="V774" s="20" t="str">
        <f t="shared" ref="V774:V805" si="75">B774&amp;"-"&amp;C774&amp;"x"&amp;E774&amp;"x"&amp;D774</f>
        <v>K-300x170x100</v>
      </c>
    </row>
    <row r="775" spans="1:22">
      <c r="A775" s="85" t="s">
        <v>136</v>
      </c>
      <c r="B775" s="73" t="s">
        <v>2147</v>
      </c>
      <c r="C775" s="2">
        <v>300</v>
      </c>
      <c r="D775" s="2">
        <v>100</v>
      </c>
      <c r="E775" s="2">
        <v>175</v>
      </c>
      <c r="F775" s="2">
        <v>125</v>
      </c>
      <c r="G775" s="21">
        <v>4.5</v>
      </c>
      <c r="H775" s="20"/>
      <c r="I775" s="20"/>
      <c r="J775" s="20"/>
      <c r="K775" s="86"/>
      <c r="L775" s="826"/>
      <c r="M775" s="20"/>
      <c r="N775" s="20"/>
      <c r="O775" s="20"/>
      <c r="P775" s="20"/>
      <c r="Q775" s="21"/>
      <c r="R775" s="22" t="s">
        <v>16</v>
      </c>
      <c r="S775" s="22">
        <v>2</v>
      </c>
      <c r="T775" s="753">
        <f t="shared" si="73"/>
        <v>1053.6395256443259</v>
      </c>
      <c r="U775" s="22">
        <v>0</v>
      </c>
      <c r="V775" s="20" t="str">
        <f t="shared" si="75"/>
        <v>K-300x175x100</v>
      </c>
    </row>
    <row r="776" spans="1:22">
      <c r="A776" s="85" t="s">
        <v>137</v>
      </c>
      <c r="B776" s="73" t="s">
        <v>2147</v>
      </c>
      <c r="C776" s="2">
        <v>300</v>
      </c>
      <c r="D776" s="2">
        <v>100</v>
      </c>
      <c r="E776" s="2">
        <v>185</v>
      </c>
      <c r="F776" s="2">
        <v>115</v>
      </c>
      <c r="G776" s="21">
        <v>4.5</v>
      </c>
      <c r="H776" s="20"/>
      <c r="I776" s="20"/>
      <c r="J776" s="20"/>
      <c r="K776" s="86"/>
      <c r="L776" s="826"/>
      <c r="M776" s="20"/>
      <c r="N776" s="20"/>
      <c r="O776" s="20"/>
      <c r="P776" s="20"/>
      <c r="Q776" s="21"/>
      <c r="R776" s="22" t="s">
        <v>16</v>
      </c>
      <c r="S776" s="22">
        <v>2</v>
      </c>
      <c r="T776" s="753">
        <f t="shared" si="73"/>
        <v>798.23473927134489</v>
      </c>
      <c r="U776" s="22">
        <v>0</v>
      </c>
      <c r="V776" s="20" t="str">
        <f t="shared" si="75"/>
        <v>K-300x185x100</v>
      </c>
    </row>
    <row r="777" spans="1:22">
      <c r="A777" s="85" t="s">
        <v>138</v>
      </c>
      <c r="B777" s="73" t="s">
        <v>2147</v>
      </c>
      <c r="C777" s="2">
        <v>300</v>
      </c>
      <c r="D777" s="2">
        <v>100</v>
      </c>
      <c r="E777" s="2">
        <v>190</v>
      </c>
      <c r="F777" s="2">
        <v>110</v>
      </c>
      <c r="G777" s="21">
        <v>4.5</v>
      </c>
      <c r="H777" s="20"/>
      <c r="I777" s="20"/>
      <c r="J777" s="20"/>
      <c r="K777" s="86"/>
      <c r="L777" s="826"/>
      <c r="M777" s="20"/>
      <c r="N777" s="20"/>
      <c r="O777" s="20"/>
      <c r="P777" s="20"/>
      <c r="Q777" s="21"/>
      <c r="R777" s="22" t="s">
        <v>16</v>
      </c>
      <c r="S777" s="22">
        <v>2</v>
      </c>
      <c r="T777" s="753">
        <f t="shared" si="73"/>
        <v>718.80543264502398</v>
      </c>
      <c r="U777" s="22">
        <v>0</v>
      </c>
      <c r="V777" s="20" t="str">
        <f t="shared" si="75"/>
        <v>K-300x190x100</v>
      </c>
    </row>
    <row r="778" spans="1:22">
      <c r="A778" s="85" t="s">
        <v>139</v>
      </c>
      <c r="B778" s="289" t="s">
        <v>2145</v>
      </c>
      <c r="C778" s="2">
        <v>350</v>
      </c>
      <c r="D778" s="2">
        <v>100</v>
      </c>
      <c r="E778" s="2">
        <v>150</v>
      </c>
      <c r="F778" s="2">
        <v>150</v>
      </c>
      <c r="G778" s="21">
        <v>5.25</v>
      </c>
      <c r="H778" s="20"/>
      <c r="I778" s="20"/>
      <c r="J778" s="20"/>
      <c r="K778" s="86"/>
      <c r="L778" s="826"/>
      <c r="M778" s="20"/>
      <c r="N778" s="20"/>
      <c r="O778" s="20"/>
      <c r="P778" s="20"/>
      <c r="Q778" s="21"/>
      <c r="R778" s="22" t="s">
        <v>16</v>
      </c>
      <c r="S778" s="22">
        <v>2</v>
      </c>
      <c r="T778" s="753" t="str">
        <f t="shared" si="73"/>
        <v>-</v>
      </c>
      <c r="U778" s="22">
        <v>0</v>
      </c>
      <c r="V778" s="20" t="str">
        <f t="shared" si="75"/>
        <v>S-350x150x100</v>
      </c>
    </row>
    <row r="779" spans="1:22">
      <c r="A779" s="85" t="s">
        <v>140</v>
      </c>
      <c r="B779" s="73" t="s">
        <v>2147</v>
      </c>
      <c r="C779" s="2">
        <v>350</v>
      </c>
      <c r="D779" s="2">
        <v>100</v>
      </c>
      <c r="E779" s="2">
        <v>154</v>
      </c>
      <c r="F779" s="2">
        <v>146</v>
      </c>
      <c r="G779" s="21">
        <v>5.25</v>
      </c>
      <c r="H779" s="20"/>
      <c r="I779" s="20"/>
      <c r="J779" s="20"/>
      <c r="K779" s="86"/>
      <c r="L779" s="826"/>
      <c r="M779" s="20"/>
      <c r="N779" s="20"/>
      <c r="O779" s="20"/>
      <c r="P779" s="20"/>
      <c r="Q779" s="21"/>
      <c r="R779" s="22" t="s">
        <v>16</v>
      </c>
      <c r="S779" s="22">
        <v>2</v>
      </c>
      <c r="T779" s="753">
        <f t="shared" si="73"/>
        <v>6737.9399856335913</v>
      </c>
      <c r="U779" s="22">
        <v>0</v>
      </c>
      <c r="V779" s="20" t="str">
        <f t="shared" si="75"/>
        <v>K-350x154x100</v>
      </c>
    </row>
    <row r="780" spans="1:22">
      <c r="A780" s="85" t="s">
        <v>141</v>
      </c>
      <c r="B780" s="73" t="s">
        <v>2147</v>
      </c>
      <c r="C780" s="2">
        <v>350</v>
      </c>
      <c r="D780" s="2">
        <v>100</v>
      </c>
      <c r="E780" s="2">
        <v>155</v>
      </c>
      <c r="F780" s="2">
        <v>145</v>
      </c>
      <c r="G780" s="21">
        <v>5.25</v>
      </c>
      <c r="H780" s="20"/>
      <c r="I780" s="20"/>
      <c r="J780" s="20"/>
      <c r="K780" s="86"/>
      <c r="L780" s="826"/>
      <c r="M780" s="20"/>
      <c r="N780" s="20"/>
      <c r="O780" s="20"/>
      <c r="P780" s="20"/>
      <c r="Q780" s="21"/>
      <c r="R780" s="22" t="s">
        <v>16</v>
      </c>
      <c r="S780" s="22">
        <v>2</v>
      </c>
      <c r="T780" s="753">
        <f t="shared" si="73"/>
        <v>5425.5535431880126</v>
      </c>
      <c r="U780" s="22">
        <v>0</v>
      </c>
      <c r="V780" s="20" t="str">
        <f t="shared" si="75"/>
        <v>K-350x155x100</v>
      </c>
    </row>
    <row r="781" spans="1:22">
      <c r="A781" s="85" t="s">
        <v>142</v>
      </c>
      <c r="B781" s="73" t="s">
        <v>2147</v>
      </c>
      <c r="C781" s="2">
        <v>350</v>
      </c>
      <c r="D781" s="2">
        <v>100</v>
      </c>
      <c r="E781" s="2">
        <v>158</v>
      </c>
      <c r="F781" s="2">
        <v>142</v>
      </c>
      <c r="G781" s="21">
        <v>5.25</v>
      </c>
      <c r="H781" s="20"/>
      <c r="I781" s="20"/>
      <c r="J781" s="20"/>
      <c r="K781" s="86"/>
      <c r="L781" s="826"/>
      <c r="M781" s="20"/>
      <c r="N781" s="20"/>
      <c r="O781" s="20"/>
      <c r="P781" s="20"/>
      <c r="Q781" s="21"/>
      <c r="R781" s="22" t="s">
        <v>16</v>
      </c>
      <c r="S781" s="22">
        <v>2</v>
      </c>
      <c r="T781" s="753">
        <f t="shared" si="73"/>
        <v>3457.1527392494536</v>
      </c>
      <c r="U781" s="22">
        <v>0</v>
      </c>
      <c r="V781" s="20" t="str">
        <f t="shared" si="75"/>
        <v>K-350x158x100</v>
      </c>
    </row>
    <row r="782" spans="1:22">
      <c r="A782" s="85" t="s">
        <v>143</v>
      </c>
      <c r="B782" s="73" t="s">
        <v>2147</v>
      </c>
      <c r="C782" s="2">
        <v>350</v>
      </c>
      <c r="D782" s="2">
        <v>100</v>
      </c>
      <c r="E782" s="2">
        <v>160</v>
      </c>
      <c r="F782" s="2">
        <v>140</v>
      </c>
      <c r="G782" s="21">
        <v>5.25</v>
      </c>
      <c r="H782" s="20"/>
      <c r="I782" s="20"/>
      <c r="J782" s="20"/>
      <c r="K782" s="86"/>
      <c r="L782" s="826"/>
      <c r="M782" s="20"/>
      <c r="N782" s="20"/>
      <c r="O782" s="20"/>
      <c r="P782" s="20"/>
      <c r="Q782" s="21"/>
      <c r="R782" s="22" t="s">
        <v>16</v>
      </c>
      <c r="S782" s="22">
        <v>2</v>
      </c>
      <c r="T782" s="753">
        <f t="shared" si="73"/>
        <v>2801.1426240018554</v>
      </c>
      <c r="U782" s="22">
        <v>0</v>
      </c>
      <c r="V782" s="20" t="str">
        <f t="shared" si="75"/>
        <v>K-350x160x100</v>
      </c>
    </row>
    <row r="783" spans="1:22">
      <c r="A783" s="85" t="s">
        <v>144</v>
      </c>
      <c r="B783" s="73" t="s">
        <v>2147</v>
      </c>
      <c r="C783" s="2">
        <v>350</v>
      </c>
      <c r="D783" s="2">
        <v>100</v>
      </c>
      <c r="E783" s="2">
        <v>170</v>
      </c>
      <c r="F783" s="2">
        <v>130</v>
      </c>
      <c r="G783" s="21">
        <v>5.25</v>
      </c>
      <c r="H783" s="20"/>
      <c r="I783" s="20"/>
      <c r="J783" s="20"/>
      <c r="K783" s="86"/>
      <c r="L783" s="826"/>
      <c r="M783" s="20"/>
      <c r="N783" s="20"/>
      <c r="O783" s="20"/>
      <c r="P783" s="20"/>
      <c r="Q783" s="21"/>
      <c r="R783" s="22" t="s">
        <v>16</v>
      </c>
      <c r="S783" s="22">
        <v>2</v>
      </c>
      <c r="T783" s="753">
        <f t="shared" si="73"/>
        <v>1489.9265921514389</v>
      </c>
      <c r="U783" s="22">
        <v>0</v>
      </c>
      <c r="V783" s="20" t="str">
        <f t="shared" si="75"/>
        <v>K-350x170x100</v>
      </c>
    </row>
    <row r="784" spans="1:22">
      <c r="A784" s="85" t="s">
        <v>145</v>
      </c>
      <c r="B784" s="73" t="s">
        <v>2147</v>
      </c>
      <c r="C784" s="2">
        <v>350</v>
      </c>
      <c r="D784" s="2">
        <v>100</v>
      </c>
      <c r="E784" s="2">
        <v>180</v>
      </c>
      <c r="F784" s="2">
        <v>120</v>
      </c>
      <c r="G784" s="21">
        <v>5.25</v>
      </c>
      <c r="H784" s="20"/>
      <c r="I784" s="20"/>
      <c r="J784" s="20"/>
      <c r="K784" s="86"/>
      <c r="L784" s="826"/>
      <c r="M784" s="20"/>
      <c r="N784" s="20"/>
      <c r="O784" s="20"/>
      <c r="P784" s="20"/>
      <c r="Q784" s="21"/>
      <c r="R784" s="22" t="s">
        <v>16</v>
      </c>
      <c r="S784" s="22">
        <v>2</v>
      </c>
      <c r="T784" s="753">
        <f t="shared" si="73"/>
        <v>1053.8500842150177</v>
      </c>
      <c r="U784" s="22">
        <v>0</v>
      </c>
      <c r="V784" s="20" t="str">
        <f t="shared" si="75"/>
        <v>K-350x180x100</v>
      </c>
    </row>
    <row r="785" spans="1:22">
      <c r="A785" s="85" t="s">
        <v>146</v>
      </c>
      <c r="B785" s="73" t="s">
        <v>2147</v>
      </c>
      <c r="C785" s="2">
        <v>350</v>
      </c>
      <c r="D785" s="2">
        <v>100</v>
      </c>
      <c r="E785" s="2">
        <v>190</v>
      </c>
      <c r="F785" s="2">
        <v>110</v>
      </c>
      <c r="G785" s="21">
        <v>5.25</v>
      </c>
      <c r="H785" s="20"/>
      <c r="I785" s="20"/>
      <c r="J785" s="20"/>
      <c r="K785" s="86"/>
      <c r="L785" s="826"/>
      <c r="M785" s="20"/>
      <c r="N785" s="20"/>
      <c r="O785" s="20"/>
      <c r="P785" s="20"/>
      <c r="Q785" s="21"/>
      <c r="R785" s="22" t="s">
        <v>16</v>
      </c>
      <c r="S785" s="22">
        <v>2</v>
      </c>
      <c r="T785" s="753">
        <f t="shared" si="73"/>
        <v>836.66096030590552</v>
      </c>
      <c r="U785" s="22">
        <v>0</v>
      </c>
      <c r="V785" s="20" t="str">
        <f t="shared" si="75"/>
        <v>K-350x190x100</v>
      </c>
    </row>
    <row r="786" spans="1:22">
      <c r="A786" s="85" t="s">
        <v>147</v>
      </c>
      <c r="B786" s="289" t="s">
        <v>2145</v>
      </c>
      <c r="C786" s="2">
        <v>400</v>
      </c>
      <c r="D786" s="2">
        <v>100</v>
      </c>
      <c r="E786" s="2">
        <v>150</v>
      </c>
      <c r="F786" s="2">
        <v>150</v>
      </c>
      <c r="G786" s="21">
        <v>6</v>
      </c>
      <c r="H786" s="20"/>
      <c r="I786" s="20"/>
      <c r="J786" s="20"/>
      <c r="K786" s="86"/>
      <c r="L786" s="826"/>
      <c r="M786" s="20"/>
      <c r="N786" s="20"/>
      <c r="O786" s="20"/>
      <c r="P786" s="20"/>
      <c r="Q786" s="21"/>
      <c r="R786" s="22" t="s">
        <v>16</v>
      </c>
      <c r="S786" s="22">
        <v>2</v>
      </c>
      <c r="T786" s="753" t="str">
        <f t="shared" si="73"/>
        <v>-</v>
      </c>
      <c r="U786" s="22">
        <v>0</v>
      </c>
      <c r="V786" s="20" t="str">
        <f t="shared" si="75"/>
        <v>S-400x150x100</v>
      </c>
    </row>
    <row r="787" spans="1:22">
      <c r="A787" s="85" t="s">
        <v>148</v>
      </c>
      <c r="B787" s="73" t="s">
        <v>2147</v>
      </c>
      <c r="C787" s="2">
        <v>400</v>
      </c>
      <c r="D787" s="2">
        <v>100</v>
      </c>
      <c r="E787" s="2">
        <v>154</v>
      </c>
      <c r="F787" s="2">
        <v>146</v>
      </c>
      <c r="G787" s="21">
        <v>6</v>
      </c>
      <c r="H787" s="20"/>
      <c r="I787" s="20"/>
      <c r="J787" s="20"/>
      <c r="K787" s="86"/>
      <c r="L787" s="826"/>
      <c r="M787" s="20"/>
      <c r="N787" s="20"/>
      <c r="O787" s="20"/>
      <c r="P787" s="20"/>
      <c r="Q787" s="21"/>
      <c r="R787" s="22" t="s">
        <v>16</v>
      </c>
      <c r="S787" s="22">
        <v>2</v>
      </c>
      <c r="T787" s="753">
        <f t="shared" si="73"/>
        <v>7700.3849903754808</v>
      </c>
      <c r="U787" s="22">
        <v>0</v>
      </c>
      <c r="V787" s="20" t="str">
        <f t="shared" si="75"/>
        <v>K-400x154x100</v>
      </c>
    </row>
    <row r="788" spans="1:22">
      <c r="A788" s="85" t="s">
        <v>149</v>
      </c>
      <c r="B788" s="73" t="s">
        <v>2147</v>
      </c>
      <c r="C788" s="2">
        <v>400</v>
      </c>
      <c r="D788" s="2">
        <v>100</v>
      </c>
      <c r="E788" s="2">
        <v>160</v>
      </c>
      <c r="F788" s="2">
        <v>140</v>
      </c>
      <c r="G788" s="21">
        <v>6</v>
      </c>
      <c r="H788" s="20"/>
      <c r="I788" s="20"/>
      <c r="J788" s="20"/>
      <c r="K788" s="86"/>
      <c r="L788" s="826"/>
      <c r="M788" s="20"/>
      <c r="N788" s="20"/>
      <c r="O788" s="20"/>
      <c r="P788" s="20"/>
      <c r="Q788" s="21"/>
      <c r="R788" s="22" t="s">
        <v>16</v>
      </c>
      <c r="S788" s="22">
        <v>2</v>
      </c>
      <c r="T788" s="753">
        <f t="shared" si="73"/>
        <v>3200.9998437988093</v>
      </c>
      <c r="U788" s="22">
        <v>0</v>
      </c>
      <c r="V788" s="20" t="str">
        <f t="shared" si="75"/>
        <v>K-400x160x100</v>
      </c>
    </row>
    <row r="789" spans="1:22">
      <c r="A789" s="85" t="s">
        <v>150</v>
      </c>
      <c r="B789" s="73" t="s">
        <v>2147</v>
      </c>
      <c r="C789" s="2">
        <v>400</v>
      </c>
      <c r="D789" s="2">
        <v>100</v>
      </c>
      <c r="E789" s="2">
        <v>168</v>
      </c>
      <c r="F789" s="2">
        <v>132</v>
      </c>
      <c r="G789" s="21">
        <v>6</v>
      </c>
      <c r="H789" s="20"/>
      <c r="I789" s="20"/>
      <c r="J789" s="20"/>
      <c r="K789" s="86"/>
      <c r="L789" s="826"/>
      <c r="M789" s="20"/>
      <c r="N789" s="20"/>
      <c r="O789" s="20"/>
      <c r="P789" s="20"/>
      <c r="Q789" s="21"/>
      <c r="R789" s="22" t="s">
        <v>16</v>
      </c>
      <c r="S789" s="22">
        <v>2</v>
      </c>
      <c r="T789" s="753">
        <f t="shared" si="73"/>
        <v>1868.5557108217151</v>
      </c>
      <c r="U789" s="22">
        <v>0</v>
      </c>
      <c r="V789" s="20" t="str">
        <f t="shared" si="75"/>
        <v>K-400x168x100</v>
      </c>
    </row>
    <row r="790" spans="1:22">
      <c r="A790" s="85" t="s">
        <v>151</v>
      </c>
      <c r="B790" s="73" t="s">
        <v>2147</v>
      </c>
      <c r="C790" s="2">
        <v>400</v>
      </c>
      <c r="D790" s="2">
        <v>100</v>
      </c>
      <c r="E790" s="2">
        <v>170</v>
      </c>
      <c r="F790" s="2">
        <v>130</v>
      </c>
      <c r="G790" s="21">
        <v>6</v>
      </c>
      <c r="H790" s="20"/>
      <c r="I790" s="20"/>
      <c r="J790" s="20"/>
      <c r="K790" s="86"/>
      <c r="L790" s="826"/>
      <c r="M790" s="20"/>
      <c r="N790" s="20"/>
      <c r="O790" s="20"/>
      <c r="P790" s="20"/>
      <c r="Q790" s="21"/>
      <c r="R790" s="22" t="s">
        <v>16</v>
      </c>
      <c r="S790" s="22">
        <v>2</v>
      </c>
      <c r="T790" s="753">
        <f t="shared" si="73"/>
        <v>1702.1236735325667</v>
      </c>
      <c r="U790" s="22">
        <v>0</v>
      </c>
      <c r="V790" s="20" t="str">
        <f t="shared" si="75"/>
        <v>K-400x170x100</v>
      </c>
    </row>
    <row r="791" spans="1:22">
      <c r="A791" s="85" t="s">
        <v>152</v>
      </c>
      <c r="B791" s="73" t="s">
        <v>2147</v>
      </c>
      <c r="C791" s="2">
        <v>400</v>
      </c>
      <c r="D791" s="2">
        <v>100</v>
      </c>
      <c r="E791" s="2">
        <v>180</v>
      </c>
      <c r="F791" s="2">
        <v>120</v>
      </c>
      <c r="G791" s="21">
        <v>6</v>
      </c>
      <c r="H791" s="20"/>
      <c r="I791" s="20"/>
      <c r="J791" s="20"/>
      <c r="K791" s="86"/>
      <c r="L791" s="826"/>
      <c r="M791" s="20"/>
      <c r="N791" s="20"/>
      <c r="O791" s="20"/>
      <c r="P791" s="20"/>
      <c r="Q791" s="21"/>
      <c r="R791" s="22" t="s">
        <v>16</v>
      </c>
      <c r="S791" s="22">
        <v>2</v>
      </c>
      <c r="T791" s="753">
        <f t="shared" si="73"/>
        <v>1203.3702672078948</v>
      </c>
      <c r="U791" s="22">
        <v>0</v>
      </c>
      <c r="V791" s="20" t="str">
        <f t="shared" si="75"/>
        <v>K-400x180x100</v>
      </c>
    </row>
    <row r="792" spans="1:22">
      <c r="A792" s="85" t="s">
        <v>153</v>
      </c>
      <c r="B792" s="73" t="s">
        <v>2147</v>
      </c>
      <c r="C792" s="2">
        <v>400</v>
      </c>
      <c r="D792" s="2">
        <v>100</v>
      </c>
      <c r="E792" s="2">
        <v>190</v>
      </c>
      <c r="F792" s="2">
        <v>110</v>
      </c>
      <c r="G792" s="21">
        <v>6</v>
      </c>
      <c r="H792" s="20"/>
      <c r="I792" s="20"/>
      <c r="J792" s="20"/>
      <c r="K792" s="86"/>
      <c r="L792" s="826"/>
      <c r="M792" s="20"/>
      <c r="N792" s="20"/>
      <c r="O792" s="20"/>
      <c r="P792" s="20"/>
      <c r="Q792" s="21"/>
      <c r="R792" s="22" t="s">
        <v>16</v>
      </c>
      <c r="S792" s="22">
        <v>2</v>
      </c>
      <c r="T792" s="753">
        <f t="shared" si="73"/>
        <v>954.73818400648452</v>
      </c>
      <c r="U792" s="22">
        <v>0</v>
      </c>
      <c r="V792" s="20" t="str">
        <f t="shared" si="75"/>
        <v>K-400x190x100</v>
      </c>
    </row>
    <row r="793" spans="1:22">
      <c r="A793" s="85" t="s">
        <v>154</v>
      </c>
      <c r="B793" s="73" t="s">
        <v>2147</v>
      </c>
      <c r="C793" s="2">
        <v>400</v>
      </c>
      <c r="D793" s="2">
        <v>100</v>
      </c>
      <c r="E793" s="2">
        <v>195</v>
      </c>
      <c r="F793" s="2">
        <v>105</v>
      </c>
      <c r="G793" s="21">
        <v>6</v>
      </c>
      <c r="H793" s="20"/>
      <c r="I793" s="20"/>
      <c r="J793" s="20"/>
      <c r="K793" s="86"/>
      <c r="L793" s="826"/>
      <c r="M793" s="20"/>
      <c r="N793" s="20"/>
      <c r="O793" s="20"/>
      <c r="P793" s="20"/>
      <c r="Q793" s="21"/>
      <c r="R793" s="22" t="s">
        <v>16</v>
      </c>
      <c r="S793" s="22">
        <v>2</v>
      </c>
      <c r="T793" s="753">
        <f t="shared" si="73"/>
        <v>872.13379771174505</v>
      </c>
      <c r="U793" s="22">
        <v>0</v>
      </c>
      <c r="V793" s="20" t="str">
        <f t="shared" si="75"/>
        <v>K-400x195x100</v>
      </c>
    </row>
    <row r="794" spans="1:22">
      <c r="A794" s="85" t="s">
        <v>155</v>
      </c>
      <c r="B794" s="73" t="s">
        <v>2147</v>
      </c>
      <c r="C794" s="2">
        <v>400</v>
      </c>
      <c r="D794" s="2">
        <v>100</v>
      </c>
      <c r="E794" s="2">
        <v>200</v>
      </c>
      <c r="F794" s="2">
        <v>100</v>
      </c>
      <c r="G794" s="21">
        <v>6</v>
      </c>
      <c r="H794" s="20"/>
      <c r="I794" s="20"/>
      <c r="J794" s="20"/>
      <c r="K794" s="86"/>
      <c r="L794" s="826"/>
      <c r="M794" s="20"/>
      <c r="N794" s="20"/>
      <c r="O794" s="20"/>
      <c r="P794" s="20"/>
      <c r="Q794" s="21"/>
      <c r="R794" s="22" t="s">
        <v>16</v>
      </c>
      <c r="S794" s="22">
        <v>2</v>
      </c>
      <c r="T794" s="753">
        <f t="shared" si="73"/>
        <v>806.22577482985491</v>
      </c>
      <c r="U794" s="22">
        <v>0</v>
      </c>
      <c r="V794" s="20" t="str">
        <f t="shared" si="75"/>
        <v>K-400x200x100</v>
      </c>
    </row>
    <row r="795" spans="1:22">
      <c r="A795" s="85" t="s">
        <v>156</v>
      </c>
      <c r="B795" s="289" t="s">
        <v>2145</v>
      </c>
      <c r="C795" s="2">
        <v>450</v>
      </c>
      <c r="D795" s="2">
        <v>100</v>
      </c>
      <c r="E795" s="2">
        <v>150</v>
      </c>
      <c r="F795" s="2">
        <v>150</v>
      </c>
      <c r="G795" s="21">
        <v>6.75</v>
      </c>
      <c r="H795" s="20"/>
      <c r="I795" s="20"/>
      <c r="J795" s="20"/>
      <c r="K795" s="86"/>
      <c r="L795" s="826"/>
      <c r="M795" s="20"/>
      <c r="N795" s="20"/>
      <c r="O795" s="20"/>
      <c r="P795" s="20"/>
      <c r="Q795" s="21"/>
      <c r="R795" s="22" t="s">
        <v>16</v>
      </c>
      <c r="S795" s="22">
        <v>2</v>
      </c>
      <c r="T795" s="753" t="str">
        <f t="shared" si="73"/>
        <v>-</v>
      </c>
      <c r="U795" s="22">
        <v>0</v>
      </c>
      <c r="V795" s="20" t="str">
        <f t="shared" si="75"/>
        <v>S-450x150x100</v>
      </c>
    </row>
    <row r="796" spans="1:22">
      <c r="A796" s="85" t="s">
        <v>157</v>
      </c>
      <c r="B796" s="73" t="s">
        <v>2147</v>
      </c>
      <c r="C796" s="2">
        <v>450</v>
      </c>
      <c r="D796" s="2">
        <v>100</v>
      </c>
      <c r="E796" s="2">
        <v>154</v>
      </c>
      <c r="F796" s="2">
        <v>146</v>
      </c>
      <c r="G796" s="21">
        <v>6.75</v>
      </c>
      <c r="H796" s="20"/>
      <c r="I796" s="20"/>
      <c r="J796" s="20"/>
      <c r="K796" s="86"/>
      <c r="L796" s="826"/>
      <c r="M796" s="20"/>
      <c r="N796" s="20"/>
      <c r="O796" s="20"/>
      <c r="P796" s="20"/>
      <c r="Q796" s="21"/>
      <c r="R796" s="22" t="s">
        <v>16</v>
      </c>
      <c r="S796" s="22">
        <v>2</v>
      </c>
      <c r="T796" s="753">
        <f t="shared" si="73"/>
        <v>8662.8422154625441</v>
      </c>
      <c r="U796" s="22">
        <v>0</v>
      </c>
      <c r="V796" s="20" t="str">
        <f t="shared" si="75"/>
        <v>K-450x154x100</v>
      </c>
    </row>
    <row r="797" spans="1:22">
      <c r="A797" s="85" t="s">
        <v>158</v>
      </c>
      <c r="B797" s="73" t="s">
        <v>2147</v>
      </c>
      <c r="C797" s="2">
        <v>450</v>
      </c>
      <c r="D797" s="2">
        <v>100</v>
      </c>
      <c r="E797" s="2">
        <v>155</v>
      </c>
      <c r="F797" s="2">
        <v>145</v>
      </c>
      <c r="G797" s="21">
        <v>6.75</v>
      </c>
      <c r="H797" s="20"/>
      <c r="I797" s="20"/>
      <c r="J797" s="20"/>
      <c r="K797" s="86"/>
      <c r="L797" s="826"/>
      <c r="M797" s="20"/>
      <c r="N797" s="20"/>
      <c r="O797" s="20"/>
      <c r="P797" s="20"/>
      <c r="Q797" s="21"/>
      <c r="R797" s="22" t="s">
        <v>16</v>
      </c>
      <c r="S797" s="22">
        <v>2</v>
      </c>
      <c r="T797" s="753">
        <f t="shared" si="73"/>
        <v>6975.4305422676243</v>
      </c>
      <c r="U797" s="22">
        <v>0</v>
      </c>
      <c r="V797" s="20" t="str">
        <f t="shared" si="75"/>
        <v>K-450x155x100</v>
      </c>
    </row>
    <row r="798" spans="1:22">
      <c r="A798" s="85" t="s">
        <v>159</v>
      </c>
      <c r="B798" s="73" t="s">
        <v>2147</v>
      </c>
      <c r="C798" s="2">
        <v>450</v>
      </c>
      <c r="D798" s="2">
        <v>100</v>
      </c>
      <c r="E798" s="2">
        <v>160</v>
      </c>
      <c r="F798" s="2">
        <v>140</v>
      </c>
      <c r="G798" s="21">
        <v>6.75</v>
      </c>
      <c r="H798" s="20"/>
      <c r="I798" s="20"/>
      <c r="J798" s="20"/>
      <c r="K798" s="86"/>
      <c r="L798" s="826"/>
      <c r="M798" s="20"/>
      <c r="N798" s="20"/>
      <c r="O798" s="20"/>
      <c r="P798" s="20"/>
      <c r="Q798" s="21"/>
      <c r="R798" s="22" t="s">
        <v>16</v>
      </c>
      <c r="S798" s="22">
        <v>2</v>
      </c>
      <c r="T798" s="753">
        <f t="shared" si="73"/>
        <v>3600.8887791766078</v>
      </c>
      <c r="U798" s="22">
        <v>0</v>
      </c>
      <c r="V798" s="20" t="str">
        <f t="shared" si="75"/>
        <v>K-450x160x100</v>
      </c>
    </row>
    <row r="799" spans="1:22">
      <c r="A799" s="85" t="s">
        <v>160</v>
      </c>
      <c r="B799" s="73" t="s">
        <v>2147</v>
      </c>
      <c r="C799" s="2">
        <v>450</v>
      </c>
      <c r="D799" s="2">
        <v>100</v>
      </c>
      <c r="E799" s="2">
        <v>165</v>
      </c>
      <c r="F799" s="2">
        <v>135</v>
      </c>
      <c r="G799" s="21">
        <v>6.75</v>
      </c>
      <c r="H799" s="20"/>
      <c r="I799" s="20"/>
      <c r="J799" s="20"/>
      <c r="K799" s="86"/>
      <c r="L799" s="826"/>
      <c r="M799" s="20"/>
      <c r="N799" s="20"/>
      <c r="O799" s="20"/>
      <c r="P799" s="20"/>
      <c r="Q799" s="21"/>
      <c r="R799" s="22" t="s">
        <v>16</v>
      </c>
      <c r="S799" s="22">
        <v>2</v>
      </c>
      <c r="T799" s="753">
        <f t="shared" si="73"/>
        <v>2476.3746182676</v>
      </c>
      <c r="U799" s="22">
        <v>0</v>
      </c>
      <c r="V799" s="20" t="str">
        <f t="shared" si="75"/>
        <v>K-450x165x100</v>
      </c>
    </row>
    <row r="800" spans="1:22">
      <c r="A800" s="85" t="s">
        <v>161</v>
      </c>
      <c r="B800" s="73" t="s">
        <v>2147</v>
      </c>
      <c r="C800" s="2">
        <v>450</v>
      </c>
      <c r="D800" s="2">
        <v>100</v>
      </c>
      <c r="E800" s="2">
        <v>170</v>
      </c>
      <c r="F800" s="2">
        <v>130</v>
      </c>
      <c r="G800" s="21">
        <v>6.75</v>
      </c>
      <c r="H800" s="20"/>
      <c r="I800" s="20"/>
      <c r="J800" s="20"/>
      <c r="K800" s="86"/>
      <c r="L800" s="826"/>
      <c r="M800" s="20"/>
      <c r="N800" s="20"/>
      <c r="O800" s="20"/>
      <c r="P800" s="20"/>
      <c r="Q800" s="21"/>
      <c r="R800" s="22" t="s">
        <v>16</v>
      </c>
      <c r="S800" s="22">
        <v>2</v>
      </c>
      <c r="T800" s="753">
        <f t="shared" si="73"/>
        <v>1914.3879570243853</v>
      </c>
      <c r="U800" s="22">
        <v>0</v>
      </c>
      <c r="V800" s="20" t="str">
        <f t="shared" si="75"/>
        <v>K-450x170x100</v>
      </c>
    </row>
    <row r="801" spans="1:22" ht="14.25" customHeight="1">
      <c r="A801" s="85" t="s">
        <v>162</v>
      </c>
      <c r="B801" s="73" t="s">
        <v>2147</v>
      </c>
      <c r="C801" s="2">
        <v>450</v>
      </c>
      <c r="D801" s="2">
        <v>100</v>
      </c>
      <c r="E801" s="2">
        <v>175</v>
      </c>
      <c r="F801" s="2">
        <v>125</v>
      </c>
      <c r="G801" s="21">
        <v>6.75</v>
      </c>
      <c r="H801" s="20"/>
      <c r="I801" s="20"/>
      <c r="J801" s="20"/>
      <c r="K801" s="86"/>
      <c r="L801" s="826"/>
      <c r="M801" s="20"/>
      <c r="N801" s="20"/>
      <c r="O801" s="20"/>
      <c r="P801" s="20"/>
      <c r="Q801" s="21"/>
      <c r="R801" s="22" t="s">
        <v>16</v>
      </c>
      <c r="S801" s="22">
        <v>2</v>
      </c>
      <c r="T801" s="753">
        <f t="shared" si="73"/>
        <v>1577.4286830154954</v>
      </c>
      <c r="U801" s="22">
        <v>0</v>
      </c>
      <c r="V801" s="20" t="str">
        <f t="shared" si="75"/>
        <v>K-450x175x100</v>
      </c>
    </row>
    <row r="802" spans="1:22">
      <c r="A802" s="85" t="s">
        <v>163</v>
      </c>
      <c r="B802" s="73" t="s">
        <v>2147</v>
      </c>
      <c r="C802" s="2">
        <v>450</v>
      </c>
      <c r="D802" s="2">
        <v>100</v>
      </c>
      <c r="E802" s="2">
        <v>180</v>
      </c>
      <c r="F802" s="2">
        <v>120</v>
      </c>
      <c r="G802" s="21">
        <v>6.75</v>
      </c>
      <c r="H802" s="20"/>
      <c r="I802" s="20"/>
      <c r="J802" s="20"/>
      <c r="K802" s="86"/>
      <c r="L802" s="826"/>
      <c r="M802" s="20"/>
      <c r="N802" s="20"/>
      <c r="O802" s="20"/>
      <c r="P802" s="20"/>
      <c r="Q802" s="21"/>
      <c r="R802" s="22" t="s">
        <v>16</v>
      </c>
      <c r="S802" s="22">
        <v>2</v>
      </c>
      <c r="T802" s="753">
        <f t="shared" si="73"/>
        <v>1352.9966740535617</v>
      </c>
      <c r="U802" s="22">
        <v>0</v>
      </c>
      <c r="V802" s="20" t="str">
        <f t="shared" si="75"/>
        <v>K-450x180x100</v>
      </c>
    </row>
    <row r="803" spans="1:22">
      <c r="A803" s="85" t="s">
        <v>164</v>
      </c>
      <c r="B803" s="73" t="s">
        <v>2147</v>
      </c>
      <c r="C803" s="2">
        <v>450</v>
      </c>
      <c r="D803" s="2">
        <v>100</v>
      </c>
      <c r="E803" s="2">
        <v>185</v>
      </c>
      <c r="F803" s="2">
        <v>115</v>
      </c>
      <c r="G803" s="21">
        <v>6.75</v>
      </c>
      <c r="H803" s="20"/>
      <c r="I803" s="20"/>
      <c r="J803" s="20"/>
      <c r="K803" s="86"/>
      <c r="L803" s="826"/>
      <c r="M803" s="20"/>
      <c r="N803" s="20"/>
      <c r="O803" s="20"/>
      <c r="P803" s="20"/>
      <c r="Q803" s="21"/>
      <c r="R803" s="22" t="s">
        <v>16</v>
      </c>
      <c r="S803" s="22">
        <v>2</v>
      </c>
      <c r="T803" s="753">
        <f t="shared" si="73"/>
        <v>1192.8775126575576</v>
      </c>
      <c r="U803" s="22">
        <v>0</v>
      </c>
      <c r="V803" s="20" t="str">
        <f t="shared" si="75"/>
        <v>K-450x185x100</v>
      </c>
    </row>
    <row r="804" spans="1:22" ht="14.25" customHeight="1">
      <c r="A804" s="85" t="s">
        <v>165</v>
      </c>
      <c r="B804" s="73" t="s">
        <v>2147</v>
      </c>
      <c r="C804" s="2">
        <v>450</v>
      </c>
      <c r="D804" s="2">
        <v>100</v>
      </c>
      <c r="E804" s="2">
        <v>190</v>
      </c>
      <c r="F804" s="2">
        <v>110</v>
      </c>
      <c r="G804" s="21">
        <v>6.75</v>
      </c>
      <c r="H804" s="20"/>
      <c r="I804" s="20"/>
      <c r="J804" s="20"/>
      <c r="K804" s="86"/>
      <c r="L804" s="826"/>
      <c r="M804" s="20"/>
      <c r="N804" s="20"/>
      <c r="O804" s="20"/>
      <c r="P804" s="20"/>
      <c r="Q804" s="21"/>
      <c r="R804" s="22" t="s">
        <v>16</v>
      </c>
      <c r="S804" s="22">
        <v>2</v>
      </c>
      <c r="T804" s="753">
        <f t="shared" si="73"/>
        <v>1072.9639148172691</v>
      </c>
      <c r="U804" s="22">
        <v>0</v>
      </c>
      <c r="V804" s="20" t="str">
        <f t="shared" si="75"/>
        <v>K-450x190x100</v>
      </c>
    </row>
    <row r="805" spans="1:22">
      <c r="A805" s="85" t="s">
        <v>166</v>
      </c>
      <c r="B805" s="73" t="s">
        <v>2147</v>
      </c>
      <c r="C805" s="2">
        <v>450</v>
      </c>
      <c r="D805" s="2">
        <v>100</v>
      </c>
      <c r="E805" s="2">
        <v>195</v>
      </c>
      <c r="F805" s="2">
        <v>105</v>
      </c>
      <c r="G805" s="21">
        <v>6.75</v>
      </c>
      <c r="H805" s="20"/>
      <c r="I805" s="20"/>
      <c r="J805" s="20"/>
      <c r="K805" s="86"/>
      <c r="L805" s="826"/>
      <c r="M805" s="20"/>
      <c r="N805" s="20"/>
      <c r="O805" s="20"/>
      <c r="P805" s="20"/>
      <c r="Q805" s="21"/>
      <c r="R805" s="22" t="s">
        <v>16</v>
      </c>
      <c r="S805" s="22">
        <v>2</v>
      </c>
      <c r="T805" s="753">
        <f t="shared" si="73"/>
        <v>979.86287305928681</v>
      </c>
      <c r="U805" s="22">
        <v>0</v>
      </c>
      <c r="V805" s="20" t="str">
        <f t="shared" si="75"/>
        <v>K-450x195x100</v>
      </c>
    </row>
    <row r="806" spans="1:22">
      <c r="A806" s="85" t="s">
        <v>167</v>
      </c>
      <c r="B806" s="289" t="s">
        <v>2145</v>
      </c>
      <c r="C806" s="2">
        <v>500</v>
      </c>
      <c r="D806" s="2">
        <v>100</v>
      </c>
      <c r="E806" s="2">
        <v>150</v>
      </c>
      <c r="F806" s="2">
        <v>150</v>
      </c>
      <c r="G806" s="21">
        <v>7.5</v>
      </c>
      <c r="H806" s="20"/>
      <c r="I806" s="20"/>
      <c r="J806" s="20"/>
      <c r="K806" s="86"/>
      <c r="L806" s="826"/>
      <c r="M806" s="20"/>
      <c r="N806" s="20"/>
      <c r="O806" s="20"/>
      <c r="P806" s="20"/>
      <c r="Q806" s="21"/>
      <c r="R806" s="22" t="s">
        <v>16</v>
      </c>
      <c r="S806" s="22">
        <v>2</v>
      </c>
      <c r="T806" s="753" t="str">
        <f t="shared" si="73"/>
        <v>-</v>
      </c>
      <c r="U806" s="22">
        <v>0</v>
      </c>
      <c r="V806" s="20" t="str">
        <f t="shared" ref="V806:V837" si="76">B806&amp;"-"&amp;C806&amp;"x"&amp;E806&amp;"x"&amp;D806</f>
        <v>S-500x150x100</v>
      </c>
    </row>
    <row r="807" spans="1:22" ht="14.25" customHeight="1">
      <c r="A807" s="85" t="s">
        <v>168</v>
      </c>
      <c r="B807" s="73" t="s">
        <v>2147</v>
      </c>
      <c r="C807" s="2">
        <v>500</v>
      </c>
      <c r="D807" s="2">
        <v>100</v>
      </c>
      <c r="E807" s="2">
        <v>154</v>
      </c>
      <c r="F807" s="2">
        <v>146</v>
      </c>
      <c r="G807" s="21">
        <v>7.5</v>
      </c>
      <c r="H807" s="20"/>
      <c r="I807" s="20"/>
      <c r="J807" s="20"/>
      <c r="K807" s="86"/>
      <c r="L807" s="826"/>
      <c r="M807" s="20"/>
      <c r="N807" s="20"/>
      <c r="O807" s="20"/>
      <c r="P807" s="20"/>
      <c r="Q807" s="21"/>
      <c r="R807" s="22" t="s">
        <v>16</v>
      </c>
      <c r="S807" s="22">
        <v>2</v>
      </c>
      <c r="T807" s="753">
        <f t="shared" si="73"/>
        <v>9625.3079950721567</v>
      </c>
      <c r="U807" s="22">
        <v>0</v>
      </c>
      <c r="V807" s="20" t="str">
        <f t="shared" si="76"/>
        <v>K-500x154x100</v>
      </c>
    </row>
    <row r="808" spans="1:22">
      <c r="A808" s="85" t="s">
        <v>169</v>
      </c>
      <c r="B808" s="73" t="s">
        <v>2147</v>
      </c>
      <c r="C808" s="2">
        <v>500</v>
      </c>
      <c r="D808" s="2">
        <v>100</v>
      </c>
      <c r="E808" s="2">
        <v>160</v>
      </c>
      <c r="F808" s="2">
        <v>140</v>
      </c>
      <c r="G808" s="21">
        <v>7.5</v>
      </c>
      <c r="H808" s="20"/>
      <c r="I808" s="20"/>
      <c r="J808" s="20"/>
      <c r="K808" s="86"/>
      <c r="L808" s="826"/>
      <c r="M808" s="20"/>
      <c r="N808" s="20"/>
      <c r="O808" s="20"/>
      <c r="P808" s="20"/>
      <c r="Q808" s="21"/>
      <c r="R808" s="22" t="s">
        <v>16</v>
      </c>
      <c r="S808" s="22">
        <v>2</v>
      </c>
      <c r="T808" s="753">
        <f t="shared" si="73"/>
        <v>4000.7999200159961</v>
      </c>
      <c r="U808" s="22">
        <v>0</v>
      </c>
      <c r="V808" s="20" t="str">
        <f t="shared" si="76"/>
        <v>K-500x160x100</v>
      </c>
    </row>
    <row r="809" spans="1:22">
      <c r="A809" s="85" t="s">
        <v>170</v>
      </c>
      <c r="B809" s="73" t="s">
        <v>2147</v>
      </c>
      <c r="C809" s="2">
        <v>500</v>
      </c>
      <c r="D809" s="2">
        <v>100</v>
      </c>
      <c r="E809" s="2">
        <v>168</v>
      </c>
      <c r="F809" s="2">
        <v>132</v>
      </c>
      <c r="G809" s="21">
        <v>7.5</v>
      </c>
      <c r="H809" s="20"/>
      <c r="I809" s="20"/>
      <c r="J809" s="20"/>
      <c r="K809" s="86"/>
      <c r="L809" s="826"/>
      <c r="M809" s="20"/>
      <c r="N809" s="20"/>
      <c r="O809" s="20"/>
      <c r="P809" s="20"/>
      <c r="Q809" s="21"/>
      <c r="R809" s="22" t="s">
        <v>16</v>
      </c>
      <c r="S809" s="22">
        <v>2</v>
      </c>
      <c r="T809" s="753">
        <f t="shared" si="73"/>
        <v>2334.8448437625239</v>
      </c>
      <c r="U809" s="22">
        <v>0</v>
      </c>
      <c r="V809" s="20" t="str">
        <f t="shared" si="76"/>
        <v>K-500x168x100</v>
      </c>
    </row>
    <row r="810" spans="1:22" ht="14.25" customHeight="1">
      <c r="A810" s="85" t="s">
        <v>171</v>
      </c>
      <c r="B810" s="73" t="s">
        <v>2147</v>
      </c>
      <c r="C810" s="2">
        <v>500</v>
      </c>
      <c r="D810" s="2">
        <v>100</v>
      </c>
      <c r="E810" s="2">
        <v>170</v>
      </c>
      <c r="F810" s="2">
        <v>130</v>
      </c>
      <c r="G810" s="21">
        <v>7.5</v>
      </c>
      <c r="H810" s="20"/>
      <c r="I810" s="20"/>
      <c r="J810" s="20"/>
      <c r="K810" s="86"/>
      <c r="L810" s="826"/>
      <c r="M810" s="20"/>
      <c r="N810" s="20"/>
      <c r="O810" s="20"/>
      <c r="P810" s="20"/>
      <c r="Q810" s="21"/>
      <c r="R810" s="22" t="s">
        <v>16</v>
      </c>
      <c r="S810" s="22">
        <v>2</v>
      </c>
      <c r="T810" s="753">
        <f t="shared" si="73"/>
        <v>2126.6993205434565</v>
      </c>
      <c r="U810" s="22">
        <v>0</v>
      </c>
      <c r="V810" s="20" t="str">
        <f t="shared" si="76"/>
        <v>K-500x170x100</v>
      </c>
    </row>
    <row r="811" spans="1:22">
      <c r="A811" s="85" t="s">
        <v>172</v>
      </c>
      <c r="B811" s="73" t="s">
        <v>2147</v>
      </c>
      <c r="C811" s="2">
        <v>500</v>
      </c>
      <c r="D811" s="2">
        <v>100</v>
      </c>
      <c r="E811" s="2">
        <v>175</v>
      </c>
      <c r="F811" s="2">
        <v>125</v>
      </c>
      <c r="G811" s="21">
        <v>7.5</v>
      </c>
      <c r="H811" s="20"/>
      <c r="I811" s="20"/>
      <c r="J811" s="20"/>
      <c r="K811" s="86"/>
      <c r="L811" s="826"/>
      <c r="M811" s="20"/>
      <c r="N811" s="20"/>
      <c r="O811" s="20"/>
      <c r="P811" s="20"/>
      <c r="Q811" s="21"/>
      <c r="R811" s="22" t="s">
        <v>16</v>
      </c>
      <c r="S811" s="22">
        <v>2</v>
      </c>
      <c r="T811" s="753">
        <f t="shared" si="73"/>
        <v>1752.1861345188188</v>
      </c>
      <c r="U811" s="22">
        <v>0</v>
      </c>
      <c r="V811" s="20" t="str">
        <f t="shared" si="76"/>
        <v>K-500x175x100</v>
      </c>
    </row>
    <row r="812" spans="1:22">
      <c r="A812" s="85" t="s">
        <v>173</v>
      </c>
      <c r="B812" s="73" t="s">
        <v>2147</v>
      </c>
      <c r="C812" s="2">
        <v>500</v>
      </c>
      <c r="D812" s="2">
        <v>100</v>
      </c>
      <c r="E812" s="2">
        <v>180</v>
      </c>
      <c r="F812" s="2">
        <v>120</v>
      </c>
      <c r="G812" s="21">
        <v>7.5</v>
      </c>
      <c r="H812" s="20"/>
      <c r="I812" s="20"/>
      <c r="J812" s="20"/>
      <c r="K812" s="86"/>
      <c r="L812" s="826"/>
      <c r="M812" s="20"/>
      <c r="N812" s="20"/>
      <c r="O812" s="20"/>
      <c r="P812" s="20"/>
      <c r="Q812" s="21"/>
      <c r="R812" s="22" t="s">
        <v>16</v>
      </c>
      <c r="S812" s="22">
        <v>2</v>
      </c>
      <c r="T812" s="753">
        <f t="shared" si="73"/>
        <v>1502.6975743641833</v>
      </c>
      <c r="U812" s="22">
        <v>0</v>
      </c>
      <c r="V812" s="20" t="str">
        <f t="shared" si="76"/>
        <v>K-500x180x100</v>
      </c>
    </row>
    <row r="813" spans="1:22" ht="14.25" customHeight="1">
      <c r="A813" s="85" t="s">
        <v>174</v>
      </c>
      <c r="B813" s="73" t="s">
        <v>2147</v>
      </c>
      <c r="C813" s="2">
        <v>500</v>
      </c>
      <c r="D813" s="2">
        <v>100</v>
      </c>
      <c r="E813" s="2">
        <v>190</v>
      </c>
      <c r="F813" s="2">
        <v>110</v>
      </c>
      <c r="G813" s="21">
        <v>7.5</v>
      </c>
      <c r="H813" s="20"/>
      <c r="I813" s="20"/>
      <c r="J813" s="20"/>
      <c r="K813" s="86"/>
      <c r="L813" s="826"/>
      <c r="M813" s="20"/>
      <c r="N813" s="20"/>
      <c r="O813" s="20"/>
      <c r="P813" s="20"/>
      <c r="Q813" s="21"/>
      <c r="R813" s="22" t="s">
        <v>16</v>
      </c>
      <c r="S813" s="22">
        <v>2</v>
      </c>
      <c r="T813" s="753">
        <f t="shared" si="73"/>
        <v>1191.293939378523</v>
      </c>
      <c r="U813" s="22">
        <v>0</v>
      </c>
      <c r="V813" s="20" t="str">
        <f t="shared" si="76"/>
        <v>K-500x190x100</v>
      </c>
    </row>
    <row r="814" spans="1:22" ht="14.25" customHeight="1">
      <c r="A814" s="85" t="s">
        <v>175</v>
      </c>
      <c r="B814" s="73" t="s">
        <v>2147</v>
      </c>
      <c r="C814" s="2">
        <v>500</v>
      </c>
      <c r="D814" s="2">
        <v>100</v>
      </c>
      <c r="E814" s="2">
        <v>195</v>
      </c>
      <c r="F814" s="2">
        <v>105</v>
      </c>
      <c r="G814" s="21">
        <v>7.5</v>
      </c>
      <c r="H814" s="20"/>
      <c r="I814" s="20"/>
      <c r="J814" s="20"/>
      <c r="K814" s="86"/>
      <c r="L814" s="826"/>
      <c r="M814" s="20"/>
      <c r="N814" s="20"/>
      <c r="O814" s="20"/>
      <c r="P814" s="20"/>
      <c r="Q814" s="21"/>
      <c r="R814" s="22" t="s">
        <v>16</v>
      </c>
      <c r="S814" s="22">
        <v>2</v>
      </c>
      <c r="T814" s="753">
        <f t="shared" si="73"/>
        <v>1087.7119844476804</v>
      </c>
      <c r="U814" s="22">
        <v>0</v>
      </c>
      <c r="V814" s="20" t="str">
        <f t="shared" si="76"/>
        <v>K-500x195x100</v>
      </c>
    </row>
    <row r="815" spans="1:22">
      <c r="A815" s="85" t="s">
        <v>176</v>
      </c>
      <c r="B815" s="73" t="s">
        <v>2147</v>
      </c>
      <c r="C815" s="2">
        <v>500</v>
      </c>
      <c r="D815" s="2">
        <v>100</v>
      </c>
      <c r="E815" s="2">
        <v>200</v>
      </c>
      <c r="F815" s="2">
        <v>100</v>
      </c>
      <c r="G815" s="21">
        <v>7.5</v>
      </c>
      <c r="H815" s="20"/>
      <c r="I815" s="20"/>
      <c r="J815" s="20"/>
      <c r="K815" s="86"/>
      <c r="L815" s="826"/>
      <c r="M815" s="20"/>
      <c r="N815" s="20"/>
      <c r="O815" s="20"/>
      <c r="P815" s="20"/>
      <c r="Q815" s="21"/>
      <c r="R815" s="22" t="s">
        <v>16</v>
      </c>
      <c r="S815" s="22">
        <v>2</v>
      </c>
      <c r="T815" s="753">
        <f t="shared" si="73"/>
        <v>1004.987562112089</v>
      </c>
      <c r="U815" s="22">
        <v>0</v>
      </c>
      <c r="V815" s="20" t="str">
        <f t="shared" si="76"/>
        <v>K-500x200x100</v>
      </c>
    </row>
    <row r="816" spans="1:22">
      <c r="A816" s="85" t="s">
        <v>177</v>
      </c>
      <c r="B816" s="289" t="s">
        <v>2145</v>
      </c>
      <c r="C816" s="2">
        <v>550</v>
      </c>
      <c r="D816" s="2">
        <v>100</v>
      </c>
      <c r="E816" s="2">
        <v>150</v>
      </c>
      <c r="F816" s="2">
        <v>150</v>
      </c>
      <c r="G816" s="21">
        <v>8.25</v>
      </c>
      <c r="H816" s="20"/>
      <c r="I816" s="20"/>
      <c r="J816" s="20"/>
      <c r="K816" s="86"/>
      <c r="L816" s="826"/>
      <c r="M816" s="20"/>
      <c r="N816" s="20"/>
      <c r="O816" s="20"/>
      <c r="P816" s="20"/>
      <c r="Q816" s="21"/>
      <c r="R816" s="22" t="s">
        <v>16</v>
      </c>
      <c r="S816" s="22">
        <v>2</v>
      </c>
      <c r="T816" s="753" t="str">
        <f t="shared" si="73"/>
        <v>-</v>
      </c>
      <c r="U816" s="22">
        <v>0</v>
      </c>
      <c r="V816" s="20" t="str">
        <f t="shared" si="76"/>
        <v>S-550x150x100</v>
      </c>
    </row>
    <row r="817" spans="1:22" ht="14.25" customHeight="1">
      <c r="A817" s="85" t="s">
        <v>178</v>
      </c>
      <c r="B817" s="73" t="s">
        <v>2147</v>
      </c>
      <c r="C817" s="2">
        <v>550</v>
      </c>
      <c r="D817" s="2">
        <v>100</v>
      </c>
      <c r="E817" s="2">
        <v>154</v>
      </c>
      <c r="F817" s="2">
        <v>146</v>
      </c>
      <c r="G817" s="21">
        <v>8.25</v>
      </c>
      <c r="H817" s="20"/>
      <c r="I817" s="20"/>
      <c r="J817" s="20"/>
      <c r="K817" s="86"/>
      <c r="L817" s="826"/>
      <c r="M817" s="20"/>
      <c r="N817" s="20"/>
      <c r="O817" s="20"/>
      <c r="P817" s="20"/>
      <c r="Q817" s="21"/>
      <c r="R817" s="22" t="s">
        <v>16</v>
      </c>
      <c r="S817" s="22">
        <v>2</v>
      </c>
      <c r="T817" s="753">
        <f t="shared" si="73"/>
        <v>10587.779996297619</v>
      </c>
      <c r="U817" s="22">
        <v>0</v>
      </c>
      <c r="V817" s="20" t="str">
        <f t="shared" si="76"/>
        <v>K-550x154x100</v>
      </c>
    </row>
    <row r="818" spans="1:22">
      <c r="A818" s="85" t="s">
        <v>179</v>
      </c>
      <c r="B818" s="73" t="s">
        <v>2147</v>
      </c>
      <c r="C818" s="2">
        <v>550</v>
      </c>
      <c r="D818" s="2">
        <v>100</v>
      </c>
      <c r="E818" s="2">
        <v>160</v>
      </c>
      <c r="F818" s="2">
        <v>140</v>
      </c>
      <c r="G818" s="21">
        <v>8.25</v>
      </c>
      <c r="H818" s="20"/>
      <c r="I818" s="20"/>
      <c r="J818" s="20"/>
      <c r="K818" s="86"/>
      <c r="L818" s="826"/>
      <c r="M818" s="20"/>
      <c r="N818" s="20"/>
      <c r="O818" s="20"/>
      <c r="P818" s="20"/>
      <c r="Q818" s="21"/>
      <c r="R818" s="22" t="s">
        <v>16</v>
      </c>
      <c r="S818" s="22">
        <v>2</v>
      </c>
      <c r="T818" s="753">
        <f t="shared" si="73"/>
        <v>4400.7272126320213</v>
      </c>
      <c r="U818" s="22">
        <v>0</v>
      </c>
      <c r="V818" s="20" t="str">
        <f t="shared" si="76"/>
        <v>K-550x160x100</v>
      </c>
    </row>
    <row r="819" spans="1:22">
      <c r="A819" s="85" t="s">
        <v>180</v>
      </c>
      <c r="B819" s="73" t="s">
        <v>2147</v>
      </c>
      <c r="C819" s="2">
        <v>550</v>
      </c>
      <c r="D819" s="2">
        <v>100</v>
      </c>
      <c r="E819" s="2">
        <v>168</v>
      </c>
      <c r="F819" s="2">
        <v>132</v>
      </c>
      <c r="G819" s="21">
        <v>8.25</v>
      </c>
      <c r="H819" s="20"/>
      <c r="I819" s="20"/>
      <c r="J819" s="20"/>
      <c r="K819" s="86"/>
      <c r="L819" s="826"/>
      <c r="M819" s="20"/>
      <c r="N819" s="20"/>
      <c r="O819" s="20"/>
      <c r="P819" s="20"/>
      <c r="Q819" s="21"/>
      <c r="R819" s="22" t="s">
        <v>16</v>
      </c>
      <c r="S819" s="22">
        <v>2</v>
      </c>
      <c r="T819" s="753">
        <f t="shared" si="73"/>
        <v>2568.0408442580851</v>
      </c>
      <c r="U819" s="22">
        <v>0</v>
      </c>
      <c r="V819" s="20" t="str">
        <f t="shared" si="76"/>
        <v>K-550x168x100</v>
      </c>
    </row>
    <row r="820" spans="1:22" ht="14.25" customHeight="1">
      <c r="A820" s="85" t="s">
        <v>181</v>
      </c>
      <c r="B820" s="73" t="s">
        <v>2147</v>
      </c>
      <c r="C820" s="2">
        <v>550</v>
      </c>
      <c r="D820" s="2">
        <v>100</v>
      </c>
      <c r="E820" s="2">
        <v>175</v>
      </c>
      <c r="F820" s="2">
        <v>125</v>
      </c>
      <c r="G820" s="21">
        <v>8.25</v>
      </c>
      <c r="H820" s="20"/>
      <c r="I820" s="20"/>
      <c r="J820" s="20"/>
      <c r="K820" s="86"/>
      <c r="L820" s="826"/>
      <c r="M820" s="20"/>
      <c r="N820" s="20"/>
      <c r="O820" s="20"/>
      <c r="P820" s="20"/>
      <c r="Q820" s="21"/>
      <c r="R820" s="22" t="s">
        <v>16</v>
      </c>
      <c r="S820" s="22">
        <v>2</v>
      </c>
      <c r="T820" s="753">
        <f t="shared" si="73"/>
        <v>1926.9876102352084</v>
      </c>
      <c r="U820" s="22">
        <v>0</v>
      </c>
      <c r="V820" s="20" t="str">
        <f t="shared" si="76"/>
        <v>K-550x175x100</v>
      </c>
    </row>
    <row r="821" spans="1:22">
      <c r="A821" s="85" t="s">
        <v>182</v>
      </c>
      <c r="B821" s="73" t="s">
        <v>2147</v>
      </c>
      <c r="C821" s="2">
        <v>550</v>
      </c>
      <c r="D821" s="2">
        <v>100</v>
      </c>
      <c r="E821" s="2">
        <v>180</v>
      </c>
      <c r="F821" s="2">
        <v>120</v>
      </c>
      <c r="G821" s="21">
        <v>8.25</v>
      </c>
      <c r="H821" s="20"/>
      <c r="I821" s="20"/>
      <c r="J821" s="20"/>
      <c r="K821" s="86"/>
      <c r="L821" s="826"/>
      <c r="M821" s="20"/>
      <c r="N821" s="20"/>
      <c r="O821" s="20"/>
      <c r="P821" s="20"/>
      <c r="Q821" s="21"/>
      <c r="R821" s="22" t="s">
        <v>16</v>
      </c>
      <c r="S821" s="22">
        <v>2</v>
      </c>
      <c r="T821" s="753">
        <f t="shared" si="73"/>
        <v>1652.4527224704493</v>
      </c>
      <c r="U821" s="22">
        <v>0</v>
      </c>
      <c r="V821" s="20" t="str">
        <f t="shared" si="76"/>
        <v>K-550x180x100</v>
      </c>
    </row>
    <row r="822" spans="1:22">
      <c r="A822" s="85" t="s">
        <v>183</v>
      </c>
      <c r="B822" s="73" t="s">
        <v>2147</v>
      </c>
      <c r="C822" s="2">
        <v>550</v>
      </c>
      <c r="D822" s="2">
        <v>100</v>
      </c>
      <c r="E822" s="2">
        <v>185</v>
      </c>
      <c r="F822" s="2">
        <v>115</v>
      </c>
      <c r="G822" s="21">
        <v>8.25</v>
      </c>
      <c r="H822" s="20"/>
      <c r="I822" s="20"/>
      <c r="J822" s="20"/>
      <c r="K822" s="86"/>
      <c r="L822" s="826"/>
      <c r="M822" s="20"/>
      <c r="N822" s="20"/>
      <c r="O822" s="20"/>
      <c r="P822" s="20"/>
      <c r="Q822" s="21"/>
      <c r="R822" s="22" t="s">
        <v>16</v>
      </c>
      <c r="S822" s="22">
        <v>2</v>
      </c>
      <c r="T822" s="753">
        <f t="shared" si="73"/>
        <v>1456.5116367400512</v>
      </c>
      <c r="U822" s="22">
        <v>0</v>
      </c>
      <c r="V822" s="20" t="str">
        <f t="shared" si="76"/>
        <v>K-550x185x100</v>
      </c>
    </row>
    <row r="823" spans="1:22" ht="14.25" customHeight="1">
      <c r="A823" s="85" t="s">
        <v>184</v>
      </c>
      <c r="B823" s="73" t="s">
        <v>2147</v>
      </c>
      <c r="C823" s="2">
        <v>550</v>
      </c>
      <c r="D823" s="2">
        <v>100</v>
      </c>
      <c r="E823" s="2">
        <v>190</v>
      </c>
      <c r="F823" s="2">
        <v>110</v>
      </c>
      <c r="G823" s="21">
        <v>8.25</v>
      </c>
      <c r="H823" s="20"/>
      <c r="I823" s="20"/>
      <c r="J823" s="20"/>
      <c r="K823" s="86"/>
      <c r="L823" s="826"/>
      <c r="M823" s="20"/>
      <c r="N823" s="20"/>
      <c r="O823" s="20"/>
      <c r="P823" s="20"/>
      <c r="Q823" s="21"/>
      <c r="R823" s="22" t="s">
        <v>16</v>
      </c>
      <c r="S823" s="22">
        <v>2</v>
      </c>
      <c r="T823" s="753">
        <f t="shared" si="73"/>
        <v>1309.6999895014126</v>
      </c>
      <c r="U823" s="22">
        <v>0</v>
      </c>
      <c r="V823" s="20" t="str">
        <f t="shared" si="76"/>
        <v>K-550x190x100</v>
      </c>
    </row>
    <row r="824" spans="1:22">
      <c r="A824" s="85" t="s">
        <v>185</v>
      </c>
      <c r="B824" s="73" t="s">
        <v>2147</v>
      </c>
      <c r="C824" s="2">
        <v>550</v>
      </c>
      <c r="D824" s="2">
        <v>100</v>
      </c>
      <c r="E824" s="2">
        <v>195</v>
      </c>
      <c r="F824" s="2">
        <v>105</v>
      </c>
      <c r="G824" s="21">
        <v>8.25</v>
      </c>
      <c r="H824" s="20"/>
      <c r="I824" s="20"/>
      <c r="J824" s="20"/>
      <c r="K824" s="86"/>
      <c r="L824" s="826"/>
      <c r="M824" s="20"/>
      <c r="N824" s="20"/>
      <c r="O824" s="20"/>
      <c r="P824" s="20"/>
      <c r="Q824" s="21"/>
      <c r="R824" s="22" t="s">
        <v>16</v>
      </c>
      <c r="S824" s="22">
        <v>2</v>
      </c>
      <c r="T824" s="753">
        <f t="shared" ref="T824:T887" si="77">IF(E824=F824,"-",(E824/(E824-F824))*SQRT((C824^2)+((E824-F824)/2)^2))</f>
        <v>1195.648650082642</v>
      </c>
      <c r="U824" s="22">
        <v>0</v>
      </c>
      <c r="V824" s="20" t="str">
        <f t="shared" si="76"/>
        <v>K-550x195x100</v>
      </c>
    </row>
    <row r="825" spans="1:22">
      <c r="A825" s="85" t="s">
        <v>186</v>
      </c>
      <c r="B825" s="73" t="s">
        <v>2147</v>
      </c>
      <c r="C825" s="2">
        <v>550</v>
      </c>
      <c r="D825" s="2">
        <v>100</v>
      </c>
      <c r="E825" s="2">
        <v>200</v>
      </c>
      <c r="F825" s="2">
        <v>100</v>
      </c>
      <c r="G825" s="21">
        <v>8.25</v>
      </c>
      <c r="H825" s="20"/>
      <c r="I825" s="20"/>
      <c r="J825" s="20"/>
      <c r="K825" s="86"/>
      <c r="L825" s="826"/>
      <c r="M825" s="20"/>
      <c r="N825" s="20"/>
      <c r="O825" s="20"/>
      <c r="P825" s="20"/>
      <c r="Q825" s="21"/>
      <c r="R825" s="22" t="s">
        <v>16</v>
      </c>
      <c r="S825" s="22">
        <v>2</v>
      </c>
      <c r="T825" s="753">
        <f t="shared" si="77"/>
        <v>1104.5361017187261</v>
      </c>
      <c r="U825" s="22">
        <v>0</v>
      </c>
      <c r="V825" s="20" t="str">
        <f t="shared" si="76"/>
        <v>K-550x200x100</v>
      </c>
    </row>
    <row r="826" spans="1:22" ht="14.25" customHeight="1">
      <c r="A826" s="85" t="s">
        <v>187</v>
      </c>
      <c r="B826" s="73" t="s">
        <v>2147</v>
      </c>
      <c r="C826" s="2">
        <v>550</v>
      </c>
      <c r="D826" s="2">
        <v>100</v>
      </c>
      <c r="E826" s="2">
        <v>205</v>
      </c>
      <c r="F826" s="2">
        <v>95</v>
      </c>
      <c r="G826" s="21">
        <v>8.25</v>
      </c>
      <c r="H826" s="20"/>
      <c r="I826" s="20"/>
      <c r="J826" s="20"/>
      <c r="K826" s="86"/>
      <c r="L826" s="826"/>
      <c r="M826" s="20"/>
      <c r="N826" s="20"/>
      <c r="O826" s="20"/>
      <c r="P826" s="20"/>
      <c r="Q826" s="21"/>
      <c r="R826" s="22" t="s">
        <v>16</v>
      </c>
      <c r="S826" s="22">
        <v>2</v>
      </c>
      <c r="T826" s="753">
        <f t="shared" si="77"/>
        <v>1030.1122511648912</v>
      </c>
      <c r="U826" s="22">
        <v>0</v>
      </c>
      <c r="V826" s="20" t="str">
        <f t="shared" si="76"/>
        <v>K-550x205x100</v>
      </c>
    </row>
    <row r="827" spans="1:22">
      <c r="A827" s="85" t="s">
        <v>188</v>
      </c>
      <c r="B827" s="73" t="s">
        <v>2147</v>
      </c>
      <c r="C827" s="2">
        <v>550</v>
      </c>
      <c r="D827" s="2">
        <v>100</v>
      </c>
      <c r="E827" s="2">
        <v>210</v>
      </c>
      <c r="F827" s="2">
        <v>90</v>
      </c>
      <c r="G827" s="21">
        <v>8.25</v>
      </c>
      <c r="H827" s="20"/>
      <c r="I827" s="20"/>
      <c r="J827" s="20"/>
      <c r="K827" s="86"/>
      <c r="L827" s="826"/>
      <c r="M827" s="20"/>
      <c r="N827" s="20"/>
      <c r="O827" s="20"/>
      <c r="P827" s="20"/>
      <c r="Q827" s="21"/>
      <c r="R827" s="22" t="s">
        <v>16</v>
      </c>
      <c r="S827" s="22">
        <v>2</v>
      </c>
      <c r="T827" s="753">
        <f t="shared" si="77"/>
        <v>968.21033355361374</v>
      </c>
      <c r="U827" s="22">
        <v>0</v>
      </c>
      <c r="V827" s="20" t="str">
        <f t="shared" si="76"/>
        <v>K-550x210x100</v>
      </c>
    </row>
    <row r="828" spans="1:22">
      <c r="A828" s="85" t="s">
        <v>189</v>
      </c>
      <c r="B828" s="289" t="s">
        <v>2145</v>
      </c>
      <c r="C828" s="2">
        <v>600</v>
      </c>
      <c r="D828" s="2">
        <v>100</v>
      </c>
      <c r="E828" s="2">
        <v>150</v>
      </c>
      <c r="F828" s="2">
        <v>150</v>
      </c>
      <c r="G828" s="21">
        <v>9</v>
      </c>
      <c r="H828" s="20"/>
      <c r="I828" s="20"/>
      <c r="J828" s="20"/>
      <c r="K828" s="86"/>
      <c r="L828" s="826"/>
      <c r="M828" s="20"/>
      <c r="N828" s="20"/>
      <c r="O828" s="20"/>
      <c r="P828" s="20"/>
      <c r="Q828" s="21"/>
      <c r="R828" s="22" t="s">
        <v>16</v>
      </c>
      <c r="S828" s="22">
        <v>2</v>
      </c>
      <c r="T828" s="753" t="str">
        <f t="shared" si="77"/>
        <v>-</v>
      </c>
      <c r="U828" s="22">
        <v>0</v>
      </c>
      <c r="V828" s="20" t="str">
        <f t="shared" si="76"/>
        <v>S-600x150x100</v>
      </c>
    </row>
    <row r="829" spans="1:22" ht="14.25" customHeight="1">
      <c r="A829" s="85" t="s">
        <v>190</v>
      </c>
      <c r="B829" s="73" t="s">
        <v>2147</v>
      </c>
      <c r="C829" s="2">
        <v>600</v>
      </c>
      <c r="D829" s="2">
        <v>100</v>
      </c>
      <c r="E829" s="2">
        <v>154</v>
      </c>
      <c r="F829" s="2">
        <v>146</v>
      </c>
      <c r="G829" s="21">
        <v>9</v>
      </c>
      <c r="H829" s="20"/>
      <c r="I829" s="20"/>
      <c r="J829" s="20"/>
      <c r="K829" s="86"/>
      <c r="L829" s="826"/>
      <c r="M829" s="20"/>
      <c r="N829" s="20"/>
      <c r="O829" s="20"/>
      <c r="P829" s="20"/>
      <c r="Q829" s="21"/>
      <c r="R829" s="22" t="s">
        <v>16</v>
      </c>
      <c r="S829" s="22">
        <v>2</v>
      </c>
      <c r="T829" s="753">
        <f t="shared" si="77"/>
        <v>11550.256663814878</v>
      </c>
      <c r="U829" s="22">
        <v>0</v>
      </c>
      <c r="V829" s="20" t="str">
        <f t="shared" si="76"/>
        <v>K-600x154x100</v>
      </c>
    </row>
    <row r="830" spans="1:22">
      <c r="A830" s="85" t="s">
        <v>191</v>
      </c>
      <c r="B830" s="73" t="s">
        <v>2147</v>
      </c>
      <c r="C830" s="2">
        <v>600</v>
      </c>
      <c r="D830" s="2">
        <v>100</v>
      </c>
      <c r="E830" s="2">
        <v>160</v>
      </c>
      <c r="F830" s="2">
        <v>140</v>
      </c>
      <c r="G830" s="21">
        <v>9</v>
      </c>
      <c r="H830" s="20"/>
      <c r="I830" s="20"/>
      <c r="J830" s="20"/>
      <c r="K830" s="86"/>
      <c r="L830" s="826"/>
      <c r="M830" s="20"/>
      <c r="N830" s="20"/>
      <c r="O830" s="20"/>
      <c r="P830" s="20"/>
      <c r="Q830" s="21"/>
      <c r="R830" s="22" t="s">
        <v>16</v>
      </c>
      <c r="S830" s="22">
        <v>2</v>
      </c>
      <c r="T830" s="753">
        <f t="shared" si="77"/>
        <v>4800.6666203767991</v>
      </c>
      <c r="U830" s="22">
        <v>0</v>
      </c>
      <c r="V830" s="20" t="str">
        <f t="shared" si="76"/>
        <v>K-600x160x100</v>
      </c>
    </row>
    <row r="831" spans="1:22">
      <c r="A831" s="85" t="s">
        <v>192</v>
      </c>
      <c r="B831" s="73" t="s">
        <v>2147</v>
      </c>
      <c r="C831" s="2">
        <v>600</v>
      </c>
      <c r="D831" s="2">
        <v>100</v>
      </c>
      <c r="E831" s="2">
        <v>165</v>
      </c>
      <c r="F831" s="2">
        <v>135</v>
      </c>
      <c r="G831" s="21">
        <v>9</v>
      </c>
      <c r="H831" s="20"/>
      <c r="I831" s="20"/>
      <c r="J831" s="20"/>
      <c r="K831" s="86"/>
      <c r="L831" s="826"/>
      <c r="M831" s="20"/>
      <c r="N831" s="20"/>
      <c r="O831" s="20"/>
      <c r="P831" s="20"/>
      <c r="Q831" s="21"/>
      <c r="R831" s="22" t="s">
        <v>16</v>
      </c>
      <c r="S831" s="22">
        <v>2</v>
      </c>
      <c r="T831" s="753">
        <f t="shared" si="77"/>
        <v>3301.0310889175216</v>
      </c>
      <c r="U831" s="22">
        <v>0</v>
      </c>
      <c r="V831" s="20" t="str">
        <f t="shared" si="76"/>
        <v>K-600x165x100</v>
      </c>
    </row>
    <row r="832" spans="1:22" ht="14.25" customHeight="1">
      <c r="A832" s="85" t="s">
        <v>193</v>
      </c>
      <c r="B832" s="73" t="s">
        <v>2147</v>
      </c>
      <c r="C832" s="2">
        <v>600</v>
      </c>
      <c r="D832" s="2">
        <v>100</v>
      </c>
      <c r="E832" s="2">
        <v>168</v>
      </c>
      <c r="F832" s="2">
        <v>132</v>
      </c>
      <c r="G832" s="21">
        <v>9</v>
      </c>
      <c r="H832" s="20"/>
      <c r="I832" s="20"/>
      <c r="J832" s="20"/>
      <c r="K832" s="86"/>
      <c r="L832" s="826"/>
      <c r="M832" s="20"/>
      <c r="N832" s="20"/>
      <c r="O832" s="20"/>
      <c r="P832" s="20"/>
      <c r="Q832" s="21"/>
      <c r="R832" s="22" t="s">
        <v>16</v>
      </c>
      <c r="S832" s="22">
        <v>2</v>
      </c>
      <c r="T832" s="753">
        <f t="shared" si="77"/>
        <v>2801.2597166275036</v>
      </c>
      <c r="U832" s="22">
        <v>0</v>
      </c>
      <c r="V832" s="20" t="str">
        <f t="shared" si="76"/>
        <v>K-600x168x100</v>
      </c>
    </row>
    <row r="833" spans="1:22">
      <c r="A833" s="85" t="s">
        <v>194</v>
      </c>
      <c r="B833" s="73" t="s">
        <v>2147</v>
      </c>
      <c r="C833" s="2">
        <v>600</v>
      </c>
      <c r="D833" s="2">
        <v>100</v>
      </c>
      <c r="E833" s="2">
        <v>170</v>
      </c>
      <c r="F833" s="2">
        <v>130</v>
      </c>
      <c r="G833" s="21">
        <v>9</v>
      </c>
      <c r="H833" s="20"/>
      <c r="I833" s="20"/>
      <c r="J833" s="20"/>
      <c r="K833" s="86"/>
      <c r="L833" s="826"/>
      <c r="M833" s="20"/>
      <c r="N833" s="20"/>
      <c r="O833" s="20"/>
      <c r="P833" s="20"/>
      <c r="Q833" s="21"/>
      <c r="R833" s="22" t="s">
        <v>16</v>
      </c>
      <c r="S833" s="22">
        <v>2</v>
      </c>
      <c r="T833" s="753">
        <f t="shared" si="77"/>
        <v>2551.416273366618</v>
      </c>
      <c r="U833" s="22">
        <v>0</v>
      </c>
      <c r="V833" s="20" t="str">
        <f t="shared" si="76"/>
        <v>K-600x170x100</v>
      </c>
    </row>
    <row r="834" spans="1:22">
      <c r="A834" s="85" t="s">
        <v>195</v>
      </c>
      <c r="B834" s="73" t="s">
        <v>2147</v>
      </c>
      <c r="C834" s="2">
        <v>600</v>
      </c>
      <c r="D834" s="2">
        <v>100</v>
      </c>
      <c r="E834" s="2">
        <v>180</v>
      </c>
      <c r="F834" s="2">
        <v>120</v>
      </c>
      <c r="G834" s="21">
        <v>9</v>
      </c>
      <c r="H834" s="20"/>
      <c r="I834" s="20"/>
      <c r="J834" s="20"/>
      <c r="K834" s="86"/>
      <c r="L834" s="826"/>
      <c r="M834" s="20"/>
      <c r="N834" s="20"/>
      <c r="O834" s="20"/>
      <c r="P834" s="20"/>
      <c r="Q834" s="21"/>
      <c r="R834" s="22" t="s">
        <v>16</v>
      </c>
      <c r="S834" s="22">
        <v>2</v>
      </c>
      <c r="T834" s="753">
        <f t="shared" si="77"/>
        <v>1802.2485955050709</v>
      </c>
      <c r="U834" s="22">
        <v>0</v>
      </c>
      <c r="V834" s="20" t="str">
        <f t="shared" si="76"/>
        <v>K-600x180x100</v>
      </c>
    </row>
    <row r="835" spans="1:22" ht="14.25" customHeight="1">
      <c r="A835" s="85" t="s">
        <v>196</v>
      </c>
      <c r="B835" s="73" t="s">
        <v>2147</v>
      </c>
      <c r="C835" s="2">
        <v>600</v>
      </c>
      <c r="D835" s="2">
        <v>100</v>
      </c>
      <c r="E835" s="2">
        <v>190</v>
      </c>
      <c r="F835" s="2">
        <v>110</v>
      </c>
      <c r="G835" s="21">
        <v>9</v>
      </c>
      <c r="H835" s="20"/>
      <c r="I835" s="20"/>
      <c r="J835" s="20"/>
      <c r="K835" s="86"/>
      <c r="L835" s="826"/>
      <c r="M835" s="20"/>
      <c r="N835" s="20"/>
      <c r="O835" s="20"/>
      <c r="P835" s="20"/>
      <c r="Q835" s="21"/>
      <c r="R835" s="22" t="s">
        <v>16</v>
      </c>
      <c r="S835" s="22">
        <v>2</v>
      </c>
      <c r="T835" s="753">
        <f t="shared" si="77"/>
        <v>1428.1631559454261</v>
      </c>
      <c r="U835" s="22">
        <v>0</v>
      </c>
      <c r="V835" s="20" t="str">
        <f t="shared" si="76"/>
        <v>K-600x190x100</v>
      </c>
    </row>
    <row r="836" spans="1:22">
      <c r="A836" s="85" t="s">
        <v>197</v>
      </c>
      <c r="B836" s="73" t="s">
        <v>2147</v>
      </c>
      <c r="C836" s="2">
        <v>600</v>
      </c>
      <c r="D836" s="2">
        <v>100</v>
      </c>
      <c r="E836" s="2">
        <v>195</v>
      </c>
      <c r="F836" s="2">
        <v>105</v>
      </c>
      <c r="G836" s="21">
        <v>9</v>
      </c>
      <c r="H836" s="20"/>
      <c r="I836" s="20"/>
      <c r="J836" s="20"/>
      <c r="K836" s="86"/>
      <c r="L836" s="826"/>
      <c r="M836" s="20"/>
      <c r="N836" s="20"/>
      <c r="O836" s="20"/>
      <c r="P836" s="20"/>
      <c r="Q836" s="21"/>
      <c r="R836" s="22" t="s">
        <v>16</v>
      </c>
      <c r="S836" s="22">
        <v>2</v>
      </c>
      <c r="T836" s="753">
        <f t="shared" si="77"/>
        <v>1303.6511228085526</v>
      </c>
      <c r="U836" s="22">
        <v>0</v>
      </c>
      <c r="V836" s="20" t="str">
        <f t="shared" si="76"/>
        <v>K-600x195x100</v>
      </c>
    </row>
    <row r="837" spans="1:22">
      <c r="A837" s="85" t="s">
        <v>198</v>
      </c>
      <c r="B837" s="73" t="s">
        <v>2147</v>
      </c>
      <c r="C837" s="2">
        <v>600</v>
      </c>
      <c r="D837" s="2">
        <v>100</v>
      </c>
      <c r="E837" s="2">
        <v>210</v>
      </c>
      <c r="F837" s="2">
        <v>90</v>
      </c>
      <c r="G837" s="21">
        <v>9</v>
      </c>
      <c r="H837" s="20"/>
      <c r="I837" s="20"/>
      <c r="J837" s="20"/>
      <c r="K837" s="86"/>
      <c r="L837" s="826"/>
      <c r="M837" s="20"/>
      <c r="N837" s="20"/>
      <c r="O837" s="20"/>
      <c r="P837" s="20"/>
      <c r="Q837" s="21"/>
      <c r="R837" s="22" t="s">
        <v>16</v>
      </c>
      <c r="S837" s="22">
        <v>2</v>
      </c>
      <c r="T837" s="753">
        <f t="shared" si="77"/>
        <v>1055.2369402176935</v>
      </c>
      <c r="U837" s="22">
        <v>0</v>
      </c>
      <c r="V837" s="20" t="str">
        <f t="shared" si="76"/>
        <v>K-600x210x100</v>
      </c>
    </row>
    <row r="838" spans="1:22" ht="14.25" customHeight="1">
      <c r="A838" s="85" t="s">
        <v>199</v>
      </c>
      <c r="B838" s="289" t="s">
        <v>2145</v>
      </c>
      <c r="C838" s="2">
        <v>650</v>
      </c>
      <c r="D838" s="2">
        <v>100</v>
      </c>
      <c r="E838" s="2">
        <v>150</v>
      </c>
      <c r="F838" s="2">
        <v>150</v>
      </c>
      <c r="G838" s="21">
        <v>9.75</v>
      </c>
      <c r="H838" s="20"/>
      <c r="I838" s="20"/>
      <c r="J838" s="20"/>
      <c r="K838" s="86"/>
      <c r="L838" s="826"/>
      <c r="M838" s="20"/>
      <c r="N838" s="20"/>
      <c r="O838" s="20"/>
      <c r="P838" s="20"/>
      <c r="Q838" s="21"/>
      <c r="R838" s="22" t="s">
        <v>16</v>
      </c>
      <c r="S838" s="22">
        <v>2</v>
      </c>
      <c r="T838" s="753" t="str">
        <f t="shared" si="77"/>
        <v>-</v>
      </c>
      <c r="U838" s="22">
        <v>0</v>
      </c>
      <c r="V838" s="20" t="str">
        <f t="shared" ref="V838:V869" si="78">B838&amp;"-"&amp;C838&amp;"x"&amp;E838&amp;"x"&amp;D838</f>
        <v>S-650x150x100</v>
      </c>
    </row>
    <row r="839" spans="1:22">
      <c r="A839" s="85" t="s">
        <v>200</v>
      </c>
      <c r="B839" s="73" t="s">
        <v>2147</v>
      </c>
      <c r="C839" s="2">
        <v>650</v>
      </c>
      <c r="D839" s="2">
        <v>100</v>
      </c>
      <c r="E839" s="2">
        <v>154</v>
      </c>
      <c r="F839" s="2">
        <v>146</v>
      </c>
      <c r="G839" s="21">
        <v>9.75</v>
      </c>
      <c r="H839" s="20"/>
      <c r="I839" s="20"/>
      <c r="J839" s="20"/>
      <c r="K839" s="86"/>
      <c r="L839" s="826"/>
      <c r="M839" s="20"/>
      <c r="N839" s="20"/>
      <c r="O839" s="20"/>
      <c r="P839" s="20"/>
      <c r="Q839" s="21"/>
      <c r="R839" s="22" t="s">
        <v>16</v>
      </c>
      <c r="S839" s="22">
        <v>2</v>
      </c>
      <c r="T839" s="753">
        <f t="shared" si="77"/>
        <v>12512.736920833908</v>
      </c>
      <c r="U839" s="22">
        <v>0</v>
      </c>
      <c r="V839" s="20" t="str">
        <f t="shared" si="78"/>
        <v>K-650x154x100</v>
      </c>
    </row>
    <row r="840" spans="1:22">
      <c r="A840" s="85" t="s">
        <v>201</v>
      </c>
      <c r="B840" s="73" t="s">
        <v>2147</v>
      </c>
      <c r="C840" s="2">
        <v>650</v>
      </c>
      <c r="D840" s="2">
        <v>100</v>
      </c>
      <c r="E840" s="2">
        <v>160</v>
      </c>
      <c r="F840" s="2">
        <v>140</v>
      </c>
      <c r="G840" s="21">
        <v>9.75</v>
      </c>
      <c r="H840" s="20"/>
      <c r="I840" s="20"/>
      <c r="J840" s="20"/>
      <c r="K840" s="86"/>
      <c r="L840" s="826"/>
      <c r="M840" s="20"/>
      <c r="N840" s="20"/>
      <c r="O840" s="20"/>
      <c r="P840" s="20"/>
      <c r="Q840" s="21"/>
      <c r="R840" s="22" t="s">
        <v>16</v>
      </c>
      <c r="S840" s="22">
        <v>2</v>
      </c>
      <c r="T840" s="753">
        <f t="shared" si="77"/>
        <v>5200.6153482064028</v>
      </c>
      <c r="U840" s="22">
        <v>0</v>
      </c>
      <c r="V840" s="20" t="str">
        <f t="shared" si="78"/>
        <v>K-650x160x100</v>
      </c>
    </row>
    <row r="841" spans="1:22" ht="14.25" customHeight="1">
      <c r="A841" s="85" t="s">
        <v>202</v>
      </c>
      <c r="B841" s="73" t="s">
        <v>2147</v>
      </c>
      <c r="C841" s="2">
        <v>650</v>
      </c>
      <c r="D841" s="2">
        <v>100</v>
      </c>
      <c r="E841" s="2">
        <v>168</v>
      </c>
      <c r="F841" s="2">
        <v>132</v>
      </c>
      <c r="G841" s="21">
        <v>9.75</v>
      </c>
      <c r="H841" s="20"/>
      <c r="I841" s="20"/>
      <c r="J841" s="20"/>
      <c r="K841" s="86"/>
      <c r="L841" s="826"/>
      <c r="M841" s="20"/>
      <c r="N841" s="20"/>
      <c r="O841" s="20"/>
      <c r="P841" s="20"/>
      <c r="Q841" s="21"/>
      <c r="R841" s="22" t="s">
        <v>16</v>
      </c>
      <c r="S841" s="22">
        <v>2</v>
      </c>
      <c r="T841" s="753">
        <f t="shared" si="77"/>
        <v>3034.4961873614393</v>
      </c>
      <c r="U841" s="22">
        <v>0</v>
      </c>
      <c r="V841" s="20" t="str">
        <f t="shared" si="78"/>
        <v>K-650x168x100</v>
      </c>
    </row>
    <row r="842" spans="1:22">
      <c r="A842" s="85" t="s">
        <v>203</v>
      </c>
      <c r="B842" s="73" t="s">
        <v>2147</v>
      </c>
      <c r="C842" s="2">
        <v>650</v>
      </c>
      <c r="D842" s="2">
        <v>100</v>
      </c>
      <c r="E842" s="2">
        <v>180</v>
      </c>
      <c r="F842" s="2">
        <v>120</v>
      </c>
      <c r="G842" s="21">
        <v>9.75</v>
      </c>
      <c r="H842" s="20"/>
      <c r="I842" s="20"/>
      <c r="J842" s="20"/>
      <c r="K842" s="86"/>
      <c r="L842" s="826"/>
      <c r="M842" s="20"/>
      <c r="N842" s="20"/>
      <c r="O842" s="20"/>
      <c r="P842" s="20"/>
      <c r="Q842" s="21"/>
      <c r="R842" s="22" t="s">
        <v>16</v>
      </c>
      <c r="S842" s="22">
        <v>2</v>
      </c>
      <c r="T842" s="753">
        <f t="shared" si="77"/>
        <v>1952.0758181996928</v>
      </c>
      <c r="U842" s="22">
        <v>0</v>
      </c>
      <c r="V842" s="20" t="str">
        <f t="shared" si="78"/>
        <v>K-650x180x100</v>
      </c>
    </row>
    <row r="843" spans="1:22">
      <c r="A843" s="85" t="s">
        <v>204</v>
      </c>
      <c r="B843" s="73" t="s">
        <v>2147</v>
      </c>
      <c r="C843" s="2">
        <v>650</v>
      </c>
      <c r="D843" s="2">
        <v>100</v>
      </c>
      <c r="E843" s="2">
        <v>190</v>
      </c>
      <c r="F843" s="2">
        <v>110</v>
      </c>
      <c r="G843" s="21">
        <v>9.75</v>
      </c>
      <c r="H843" s="20"/>
      <c r="I843" s="20"/>
      <c r="J843" s="20"/>
      <c r="K843" s="86"/>
      <c r="L843" s="826"/>
      <c r="M843" s="20"/>
      <c r="N843" s="20"/>
      <c r="O843" s="20"/>
      <c r="P843" s="20"/>
      <c r="Q843" s="21"/>
      <c r="R843" s="22" t="s">
        <v>16</v>
      </c>
      <c r="S843" s="22">
        <v>2</v>
      </c>
      <c r="T843" s="753">
        <f t="shared" si="77"/>
        <v>1546.670314740669</v>
      </c>
      <c r="U843" s="22">
        <v>0</v>
      </c>
      <c r="V843" s="20" t="str">
        <f t="shared" si="78"/>
        <v>K-650x190x100</v>
      </c>
    </row>
    <row r="844" spans="1:22" ht="14.25" customHeight="1">
      <c r="A844" s="85" t="s">
        <v>205</v>
      </c>
      <c r="B844" s="73" t="s">
        <v>2147</v>
      </c>
      <c r="C844" s="2">
        <v>650</v>
      </c>
      <c r="D844" s="2">
        <v>100</v>
      </c>
      <c r="E844" s="2">
        <v>195</v>
      </c>
      <c r="F844" s="2">
        <v>105</v>
      </c>
      <c r="G844" s="21">
        <v>9.75</v>
      </c>
      <c r="H844" s="20"/>
      <c r="I844" s="20"/>
      <c r="J844" s="20"/>
      <c r="K844" s="86"/>
      <c r="L844" s="826"/>
      <c r="M844" s="20"/>
      <c r="N844" s="20"/>
      <c r="O844" s="20"/>
      <c r="P844" s="20"/>
      <c r="Q844" s="21"/>
      <c r="R844" s="22" t="s">
        <v>16</v>
      </c>
      <c r="S844" s="22">
        <v>2</v>
      </c>
      <c r="T844" s="753">
        <f t="shared" si="77"/>
        <v>1411.7042989867878</v>
      </c>
      <c r="U844" s="22">
        <v>0</v>
      </c>
      <c r="V844" s="20" t="str">
        <f t="shared" si="78"/>
        <v>K-650x195x100</v>
      </c>
    </row>
    <row r="845" spans="1:22">
      <c r="A845" s="85" t="s">
        <v>206</v>
      </c>
      <c r="B845" s="73" t="s">
        <v>2147</v>
      </c>
      <c r="C845" s="2">
        <v>650</v>
      </c>
      <c r="D845" s="2">
        <v>100</v>
      </c>
      <c r="E845" s="2">
        <v>210</v>
      </c>
      <c r="F845" s="2">
        <v>90</v>
      </c>
      <c r="G845" s="21">
        <v>9.75</v>
      </c>
      <c r="H845" s="20"/>
      <c r="I845" s="20"/>
      <c r="J845" s="20"/>
      <c r="K845" s="86"/>
      <c r="L845" s="826"/>
      <c r="M845" s="20"/>
      <c r="N845" s="20"/>
      <c r="O845" s="20"/>
      <c r="P845" s="20"/>
      <c r="Q845" s="21"/>
      <c r="R845" s="22" t="s">
        <v>16</v>
      </c>
      <c r="S845" s="22">
        <v>2</v>
      </c>
      <c r="T845" s="753">
        <f t="shared" si="77"/>
        <v>1142.3358744257312</v>
      </c>
      <c r="U845" s="22">
        <v>0</v>
      </c>
      <c r="V845" s="20" t="str">
        <f t="shared" si="78"/>
        <v>K-650x210x100</v>
      </c>
    </row>
    <row r="846" spans="1:22">
      <c r="A846" s="85" t="s">
        <v>207</v>
      </c>
      <c r="B846" s="289" t="s">
        <v>2145</v>
      </c>
      <c r="C846" s="2">
        <v>700</v>
      </c>
      <c r="D846" s="2">
        <v>100</v>
      </c>
      <c r="E846" s="2">
        <v>150</v>
      </c>
      <c r="F846" s="2">
        <v>150</v>
      </c>
      <c r="G846" s="21">
        <v>10.5</v>
      </c>
      <c r="H846" s="20"/>
      <c r="I846" s="20"/>
      <c r="J846" s="20"/>
      <c r="K846" s="86"/>
      <c r="L846" s="826"/>
      <c r="M846" s="20"/>
      <c r="N846" s="20"/>
      <c r="O846" s="20"/>
      <c r="P846" s="20"/>
      <c r="Q846" s="21"/>
      <c r="R846" s="22" t="s">
        <v>16</v>
      </c>
      <c r="S846" s="22">
        <v>2</v>
      </c>
      <c r="T846" s="753" t="str">
        <f t="shared" si="77"/>
        <v>-</v>
      </c>
      <c r="U846" s="22">
        <v>0</v>
      </c>
      <c r="V846" s="20" t="str">
        <f t="shared" si="78"/>
        <v>S-700x150x100</v>
      </c>
    </row>
    <row r="847" spans="1:22" ht="14.25" customHeight="1">
      <c r="A847" s="85" t="s">
        <v>208</v>
      </c>
      <c r="B847" s="73" t="s">
        <v>2147</v>
      </c>
      <c r="C847" s="2">
        <v>700</v>
      </c>
      <c r="D847" s="2">
        <v>100</v>
      </c>
      <c r="E847" s="2">
        <v>154</v>
      </c>
      <c r="F847" s="2">
        <v>146</v>
      </c>
      <c r="G847" s="21">
        <v>10.5</v>
      </c>
      <c r="H847" s="20"/>
      <c r="I847" s="20"/>
      <c r="J847" s="20"/>
      <c r="K847" s="86"/>
      <c r="L847" s="826"/>
      <c r="M847" s="20"/>
      <c r="N847" s="20"/>
      <c r="O847" s="20"/>
      <c r="P847" s="20"/>
      <c r="Q847" s="21"/>
      <c r="R847" s="22" t="s">
        <v>16</v>
      </c>
      <c r="S847" s="22">
        <v>2</v>
      </c>
      <c r="T847" s="753">
        <f t="shared" si="77"/>
        <v>13475.219998204111</v>
      </c>
      <c r="U847" s="22">
        <v>0</v>
      </c>
      <c r="V847" s="20" t="str">
        <f t="shared" si="78"/>
        <v>K-700x154x100</v>
      </c>
    </row>
    <row r="848" spans="1:22">
      <c r="A848" s="85" t="s">
        <v>209</v>
      </c>
      <c r="B848" s="73" t="s">
        <v>2147</v>
      </c>
      <c r="C848" s="2">
        <v>700</v>
      </c>
      <c r="D848" s="2">
        <v>100</v>
      </c>
      <c r="E848" s="2">
        <v>160</v>
      </c>
      <c r="F848" s="2">
        <v>140</v>
      </c>
      <c r="G848" s="21">
        <v>10.5</v>
      </c>
      <c r="H848" s="20"/>
      <c r="I848" s="20"/>
      <c r="J848" s="20"/>
      <c r="K848" s="86"/>
      <c r="L848" s="826"/>
      <c r="M848" s="20"/>
      <c r="N848" s="20"/>
      <c r="O848" s="20"/>
      <c r="P848" s="20"/>
      <c r="Q848" s="21"/>
      <c r="R848" s="22" t="s">
        <v>16</v>
      </c>
      <c r="S848" s="22">
        <v>2</v>
      </c>
      <c r="T848" s="753">
        <f t="shared" si="77"/>
        <v>5600.5713994198841</v>
      </c>
      <c r="U848" s="22">
        <v>0</v>
      </c>
      <c r="V848" s="20" t="str">
        <f t="shared" si="78"/>
        <v>K-700x160x100</v>
      </c>
    </row>
    <row r="849" spans="1:22">
      <c r="A849" s="85" t="s">
        <v>210</v>
      </c>
      <c r="B849" s="73" t="s">
        <v>2147</v>
      </c>
      <c r="C849" s="2">
        <v>700</v>
      </c>
      <c r="D849" s="2">
        <v>100</v>
      </c>
      <c r="E849" s="2">
        <v>168</v>
      </c>
      <c r="F849" s="2">
        <v>132</v>
      </c>
      <c r="G849" s="21">
        <v>10.5</v>
      </c>
      <c r="H849" s="20"/>
      <c r="I849" s="20"/>
      <c r="J849" s="20"/>
      <c r="K849" s="86"/>
      <c r="L849" s="826"/>
      <c r="M849" s="20"/>
      <c r="N849" s="20"/>
      <c r="O849" s="20"/>
      <c r="P849" s="20"/>
      <c r="Q849" s="21"/>
      <c r="R849" s="22" t="s">
        <v>16</v>
      </c>
      <c r="S849" s="22">
        <v>2</v>
      </c>
      <c r="T849" s="753">
        <f t="shared" si="77"/>
        <v>3267.7464881950546</v>
      </c>
      <c r="U849" s="22">
        <v>0</v>
      </c>
      <c r="V849" s="20" t="str">
        <f t="shared" si="78"/>
        <v>K-700x168x100</v>
      </c>
    </row>
    <row r="850" spans="1:22" ht="14.25" customHeight="1">
      <c r="A850" s="85" t="s">
        <v>211</v>
      </c>
      <c r="B850" s="73" t="s">
        <v>2147</v>
      </c>
      <c r="C850" s="2">
        <v>700</v>
      </c>
      <c r="D850" s="2">
        <v>100</v>
      </c>
      <c r="E850" s="2">
        <v>180</v>
      </c>
      <c r="F850" s="2">
        <v>120</v>
      </c>
      <c r="G850" s="21">
        <v>10.5</v>
      </c>
      <c r="H850" s="20"/>
      <c r="I850" s="20"/>
      <c r="J850" s="20"/>
      <c r="K850" s="86"/>
      <c r="L850" s="826"/>
      <c r="M850" s="20"/>
      <c r="N850" s="20"/>
      <c r="O850" s="20"/>
      <c r="P850" s="20"/>
      <c r="Q850" s="21"/>
      <c r="R850" s="22" t="s">
        <v>16</v>
      </c>
      <c r="S850" s="22">
        <v>2</v>
      </c>
      <c r="T850" s="753">
        <f t="shared" si="77"/>
        <v>2101.9276866724031</v>
      </c>
      <c r="U850" s="22">
        <v>0</v>
      </c>
      <c r="V850" s="20" t="str">
        <f t="shared" si="78"/>
        <v>K-700x180x100</v>
      </c>
    </row>
    <row r="851" spans="1:22">
      <c r="A851" s="85" t="s">
        <v>212</v>
      </c>
      <c r="B851" s="73" t="s">
        <v>2147</v>
      </c>
      <c r="C851" s="2">
        <v>700</v>
      </c>
      <c r="D851" s="2">
        <v>100</v>
      </c>
      <c r="E851" s="2">
        <v>190</v>
      </c>
      <c r="F851" s="2">
        <v>110</v>
      </c>
      <c r="G851" s="21">
        <v>10.5</v>
      </c>
      <c r="H851" s="20"/>
      <c r="I851" s="20"/>
      <c r="J851" s="20"/>
      <c r="K851" s="86"/>
      <c r="L851" s="826"/>
      <c r="M851" s="20"/>
      <c r="N851" s="20"/>
      <c r="O851" s="20"/>
      <c r="P851" s="20"/>
      <c r="Q851" s="21"/>
      <c r="R851" s="22" t="s">
        <v>16</v>
      </c>
      <c r="S851" s="22">
        <v>2</v>
      </c>
      <c r="T851" s="753">
        <f t="shared" si="77"/>
        <v>1665.2120735810199</v>
      </c>
      <c r="U851" s="22">
        <v>0</v>
      </c>
      <c r="V851" s="20" t="str">
        <f t="shared" si="78"/>
        <v>K-700x190x100</v>
      </c>
    </row>
    <row r="852" spans="1:22">
      <c r="A852" s="85" t="s">
        <v>213</v>
      </c>
      <c r="B852" s="73" t="s">
        <v>2147</v>
      </c>
      <c r="C852" s="2">
        <v>700</v>
      </c>
      <c r="D852" s="2">
        <v>100</v>
      </c>
      <c r="E852" s="2">
        <v>210</v>
      </c>
      <c r="F852" s="2">
        <v>90</v>
      </c>
      <c r="G852" s="21">
        <v>10.5</v>
      </c>
      <c r="H852" s="20"/>
      <c r="I852" s="20"/>
      <c r="J852" s="20"/>
      <c r="K852" s="86"/>
      <c r="L852" s="826"/>
      <c r="M852" s="20"/>
      <c r="N852" s="20"/>
      <c r="O852" s="20"/>
      <c r="P852" s="20"/>
      <c r="Q852" s="21"/>
      <c r="R852" s="22" t="s">
        <v>16</v>
      </c>
      <c r="S852" s="22">
        <v>2</v>
      </c>
      <c r="T852" s="753">
        <f t="shared" si="77"/>
        <v>1229.4917649175206</v>
      </c>
      <c r="U852" s="22">
        <v>0</v>
      </c>
      <c r="V852" s="20" t="str">
        <f t="shared" si="78"/>
        <v>K-700x210x100</v>
      </c>
    </row>
    <row r="853" spans="1:22" ht="14.25" customHeight="1">
      <c r="A853" s="85" t="s">
        <v>214</v>
      </c>
      <c r="B853" s="289" t="s">
        <v>2145</v>
      </c>
      <c r="C853" s="2">
        <v>750</v>
      </c>
      <c r="D853" s="2">
        <v>100</v>
      </c>
      <c r="E853" s="2">
        <v>150</v>
      </c>
      <c r="F853" s="2">
        <v>150</v>
      </c>
      <c r="G853" s="21">
        <v>11.25</v>
      </c>
      <c r="H853" s="20"/>
      <c r="I853" s="20"/>
      <c r="J853" s="20"/>
      <c r="K853" s="86"/>
      <c r="L853" s="826"/>
      <c r="M853" s="20"/>
      <c r="N853" s="20"/>
      <c r="O853" s="20"/>
      <c r="P853" s="20"/>
      <c r="Q853" s="21"/>
      <c r="R853" s="22" t="s">
        <v>16</v>
      </c>
      <c r="S853" s="22">
        <v>2</v>
      </c>
      <c r="T853" s="753" t="str">
        <f t="shared" si="77"/>
        <v>-</v>
      </c>
      <c r="U853" s="22">
        <v>0</v>
      </c>
      <c r="V853" s="20" t="str">
        <f t="shared" si="78"/>
        <v>S-750x150x100</v>
      </c>
    </row>
    <row r="854" spans="1:22">
      <c r="A854" s="85" t="s">
        <v>215</v>
      </c>
      <c r="B854" s="73" t="s">
        <v>2147</v>
      </c>
      <c r="C854" s="2">
        <v>750</v>
      </c>
      <c r="D854" s="2">
        <v>100</v>
      </c>
      <c r="E854" s="2">
        <v>154</v>
      </c>
      <c r="F854" s="2">
        <v>146</v>
      </c>
      <c r="G854" s="21">
        <v>11.25</v>
      </c>
      <c r="H854" s="20"/>
      <c r="I854" s="20"/>
      <c r="J854" s="20"/>
      <c r="K854" s="86"/>
      <c r="L854" s="826"/>
      <c r="M854" s="20"/>
      <c r="N854" s="20"/>
      <c r="O854" s="20"/>
      <c r="P854" s="20"/>
      <c r="Q854" s="21"/>
      <c r="R854" s="22" t="s">
        <v>16</v>
      </c>
      <c r="S854" s="22">
        <v>2</v>
      </c>
      <c r="T854" s="753">
        <f t="shared" si="77"/>
        <v>14437.705331873205</v>
      </c>
      <c r="U854" s="22">
        <v>0</v>
      </c>
      <c r="V854" s="20" t="str">
        <f t="shared" si="78"/>
        <v>K-750x154x100</v>
      </c>
    </row>
    <row r="855" spans="1:22">
      <c r="A855" s="85" t="s">
        <v>216</v>
      </c>
      <c r="B855" s="73" t="s">
        <v>2147</v>
      </c>
      <c r="C855" s="2">
        <v>750</v>
      </c>
      <c r="D855" s="2">
        <v>100</v>
      </c>
      <c r="E855" s="2">
        <v>160</v>
      </c>
      <c r="F855" s="2">
        <v>140</v>
      </c>
      <c r="G855" s="21">
        <v>11.25</v>
      </c>
      <c r="H855" s="20"/>
      <c r="I855" s="20"/>
      <c r="J855" s="20"/>
      <c r="K855" s="86"/>
      <c r="L855" s="826"/>
      <c r="M855" s="20"/>
      <c r="N855" s="20"/>
      <c r="O855" s="20"/>
      <c r="P855" s="20"/>
      <c r="Q855" s="21"/>
      <c r="R855" s="22" t="s">
        <v>16</v>
      </c>
      <c r="S855" s="22">
        <v>2</v>
      </c>
      <c r="T855" s="753">
        <f t="shared" si="77"/>
        <v>6000.5333096317363</v>
      </c>
      <c r="U855" s="22">
        <v>0</v>
      </c>
      <c r="V855" s="20" t="str">
        <f t="shared" si="78"/>
        <v>K-750x160x100</v>
      </c>
    </row>
    <row r="856" spans="1:22" ht="14.25" customHeight="1">
      <c r="A856" s="85" t="s">
        <v>217</v>
      </c>
      <c r="B856" s="73" t="s">
        <v>2147</v>
      </c>
      <c r="C856" s="2">
        <v>750</v>
      </c>
      <c r="D856" s="2">
        <v>100</v>
      </c>
      <c r="E856" s="2">
        <v>168</v>
      </c>
      <c r="F856" s="2">
        <v>132</v>
      </c>
      <c r="G856" s="21">
        <v>11.25</v>
      </c>
      <c r="H856" s="20"/>
      <c r="I856" s="20"/>
      <c r="J856" s="20"/>
      <c r="K856" s="86"/>
      <c r="L856" s="826"/>
      <c r="M856" s="20"/>
      <c r="N856" s="20"/>
      <c r="O856" s="20"/>
      <c r="P856" s="20"/>
      <c r="Q856" s="21"/>
      <c r="R856" s="22" t="s">
        <v>16</v>
      </c>
      <c r="S856" s="22">
        <v>2</v>
      </c>
      <c r="T856" s="753">
        <f t="shared" si="77"/>
        <v>3501.0078548897886</v>
      </c>
      <c r="U856" s="22">
        <v>0</v>
      </c>
      <c r="V856" s="20" t="str">
        <f t="shared" si="78"/>
        <v>K-750x168x100</v>
      </c>
    </row>
    <row r="857" spans="1:22">
      <c r="A857" s="85" t="s">
        <v>218</v>
      </c>
      <c r="B857" s="73" t="s">
        <v>2147</v>
      </c>
      <c r="C857" s="2">
        <v>750</v>
      </c>
      <c r="D857" s="2">
        <v>100</v>
      </c>
      <c r="E857" s="2">
        <v>180</v>
      </c>
      <c r="F857" s="2">
        <v>120</v>
      </c>
      <c r="G857" s="21">
        <v>11.25</v>
      </c>
      <c r="H857" s="20"/>
      <c r="I857" s="20"/>
      <c r="J857" s="20"/>
      <c r="K857" s="86"/>
      <c r="L857" s="826"/>
      <c r="M857" s="20"/>
      <c r="N857" s="20"/>
      <c r="O857" s="20"/>
      <c r="P857" s="20"/>
      <c r="Q857" s="21"/>
      <c r="R857" s="22" t="s">
        <v>16</v>
      </c>
      <c r="S857" s="22">
        <v>2</v>
      </c>
      <c r="T857" s="753">
        <f t="shared" si="77"/>
        <v>2251.7992805754247</v>
      </c>
      <c r="U857" s="22">
        <v>0</v>
      </c>
      <c r="V857" s="20" t="str">
        <f t="shared" si="78"/>
        <v>K-750x180x100</v>
      </c>
    </row>
    <row r="858" spans="1:22">
      <c r="A858" s="85" t="s">
        <v>219</v>
      </c>
      <c r="B858" s="73" t="s">
        <v>2147</v>
      </c>
      <c r="C858" s="2">
        <v>750</v>
      </c>
      <c r="D858" s="2">
        <v>100</v>
      </c>
      <c r="E858" s="2">
        <v>190</v>
      </c>
      <c r="F858" s="2">
        <v>110</v>
      </c>
      <c r="G858" s="21">
        <v>11.25</v>
      </c>
      <c r="H858" s="20"/>
      <c r="I858" s="20"/>
      <c r="J858" s="20"/>
      <c r="K858" s="86"/>
      <c r="L858" s="826"/>
      <c r="M858" s="20"/>
      <c r="N858" s="20"/>
      <c r="O858" s="20"/>
      <c r="P858" s="20"/>
      <c r="Q858" s="21"/>
      <c r="R858" s="22" t="s">
        <v>16</v>
      </c>
      <c r="S858" s="22">
        <v>2</v>
      </c>
      <c r="T858" s="753">
        <f t="shared" si="77"/>
        <v>1783.7815344094131</v>
      </c>
      <c r="U858" s="22">
        <v>0</v>
      </c>
      <c r="V858" s="20" t="str">
        <f t="shared" si="78"/>
        <v>K-750x190x100</v>
      </c>
    </row>
    <row r="859" spans="1:22" ht="14.25" customHeight="1">
      <c r="A859" s="85" t="s">
        <v>220</v>
      </c>
      <c r="B859" s="73" t="s">
        <v>2147</v>
      </c>
      <c r="C859" s="2">
        <v>750</v>
      </c>
      <c r="D859" s="2">
        <v>100</v>
      </c>
      <c r="E859" s="2">
        <v>210</v>
      </c>
      <c r="F859" s="2">
        <v>90</v>
      </c>
      <c r="G859" s="21">
        <v>11.25</v>
      </c>
      <c r="H859" s="20"/>
      <c r="I859" s="20"/>
      <c r="J859" s="20"/>
      <c r="K859" s="86"/>
      <c r="L859" s="826"/>
      <c r="M859" s="20"/>
      <c r="N859" s="20"/>
      <c r="O859" s="20"/>
      <c r="P859" s="20"/>
      <c r="Q859" s="21"/>
      <c r="R859" s="22" t="s">
        <v>16</v>
      </c>
      <c r="S859" s="22">
        <v>2</v>
      </c>
      <c r="T859" s="753">
        <f t="shared" si="77"/>
        <v>1316.6933014183676</v>
      </c>
      <c r="U859" s="22">
        <v>0</v>
      </c>
      <c r="V859" s="20" t="str">
        <f t="shared" si="78"/>
        <v>K-750x210x100</v>
      </c>
    </row>
    <row r="860" spans="1:22">
      <c r="A860" s="85" t="s">
        <v>221</v>
      </c>
      <c r="B860" s="289" t="s">
        <v>2145</v>
      </c>
      <c r="C860" s="2">
        <v>800</v>
      </c>
      <c r="D860" s="2">
        <v>100</v>
      </c>
      <c r="E860" s="2">
        <v>150</v>
      </c>
      <c r="F860" s="2">
        <v>150</v>
      </c>
      <c r="G860" s="21">
        <v>12</v>
      </c>
      <c r="H860" s="20"/>
      <c r="I860" s="20"/>
      <c r="J860" s="20"/>
      <c r="K860" s="86"/>
      <c r="L860" s="826"/>
      <c r="M860" s="20"/>
      <c r="N860" s="20"/>
      <c r="O860" s="20"/>
      <c r="P860" s="20"/>
      <c r="Q860" s="21"/>
      <c r="R860" s="22" t="s">
        <v>16</v>
      </c>
      <c r="S860" s="22">
        <v>2</v>
      </c>
      <c r="T860" s="753" t="str">
        <f t="shared" si="77"/>
        <v>-</v>
      </c>
      <c r="U860" s="22">
        <v>0</v>
      </c>
      <c r="V860" s="20" t="str">
        <f t="shared" si="78"/>
        <v>S-800x150x100</v>
      </c>
    </row>
    <row r="861" spans="1:22">
      <c r="A861" s="85" t="s">
        <v>222</v>
      </c>
      <c r="B861" s="73" t="s">
        <v>2147</v>
      </c>
      <c r="C861" s="2">
        <v>800</v>
      </c>
      <c r="D861" s="2">
        <v>100</v>
      </c>
      <c r="E861" s="2">
        <v>154</v>
      </c>
      <c r="F861" s="2">
        <v>146</v>
      </c>
      <c r="G861" s="21">
        <v>12</v>
      </c>
      <c r="H861" s="20"/>
      <c r="I861" s="20"/>
      <c r="J861" s="20"/>
      <c r="K861" s="86"/>
      <c r="L861" s="826"/>
      <c r="M861" s="20"/>
      <c r="N861" s="20"/>
      <c r="O861" s="20"/>
      <c r="P861" s="20"/>
      <c r="Q861" s="21"/>
      <c r="R861" s="22" t="s">
        <v>16</v>
      </c>
      <c r="S861" s="22">
        <v>2</v>
      </c>
      <c r="T861" s="753">
        <f t="shared" si="77"/>
        <v>15400.192498796891</v>
      </c>
      <c r="U861" s="22">
        <v>0</v>
      </c>
      <c r="V861" s="20" t="str">
        <f t="shared" si="78"/>
        <v>K-800x154x100</v>
      </c>
    </row>
    <row r="862" spans="1:22" ht="14.25" customHeight="1">
      <c r="A862" s="85" t="s">
        <v>223</v>
      </c>
      <c r="B862" s="73" t="s">
        <v>2147</v>
      </c>
      <c r="C862" s="2">
        <v>800</v>
      </c>
      <c r="D862" s="2">
        <v>100</v>
      </c>
      <c r="E862" s="2">
        <v>160</v>
      </c>
      <c r="F862" s="2">
        <v>140</v>
      </c>
      <c r="G862" s="21">
        <v>12</v>
      </c>
      <c r="H862" s="20"/>
      <c r="I862" s="20"/>
      <c r="J862" s="20"/>
      <c r="K862" s="86"/>
      <c r="L862" s="826"/>
      <c r="M862" s="20"/>
      <c r="N862" s="20"/>
      <c r="O862" s="20"/>
      <c r="P862" s="20"/>
      <c r="Q862" s="21"/>
      <c r="R862" s="22" t="s">
        <v>16</v>
      </c>
      <c r="S862" s="22">
        <v>2</v>
      </c>
      <c r="T862" s="753">
        <f t="shared" si="77"/>
        <v>6400.4999804702757</v>
      </c>
      <c r="U862" s="22">
        <v>0</v>
      </c>
      <c r="V862" s="20" t="str">
        <f t="shared" si="78"/>
        <v>K-800x160x100</v>
      </c>
    </row>
    <row r="863" spans="1:22">
      <c r="A863" s="85" t="s">
        <v>224</v>
      </c>
      <c r="B863" s="73" t="s">
        <v>2147</v>
      </c>
      <c r="C863" s="2">
        <v>800</v>
      </c>
      <c r="D863" s="2">
        <v>100</v>
      </c>
      <c r="E863" s="2">
        <v>168</v>
      </c>
      <c r="F863" s="2">
        <v>132</v>
      </c>
      <c r="G863" s="21">
        <v>12</v>
      </c>
      <c r="H863" s="20"/>
      <c r="I863" s="20"/>
      <c r="J863" s="20"/>
      <c r="K863" s="86"/>
      <c r="L863" s="826"/>
      <c r="M863" s="20"/>
      <c r="N863" s="20"/>
      <c r="O863" s="20"/>
      <c r="P863" s="20"/>
      <c r="Q863" s="21"/>
      <c r="R863" s="22" t="s">
        <v>16</v>
      </c>
      <c r="S863" s="22">
        <v>2</v>
      </c>
      <c r="T863" s="753">
        <f t="shared" si="77"/>
        <v>3734.2782137620356</v>
      </c>
      <c r="U863" s="22">
        <v>0</v>
      </c>
      <c r="V863" s="20" t="str">
        <f t="shared" si="78"/>
        <v>K-800x168x100</v>
      </c>
    </row>
    <row r="864" spans="1:22">
      <c r="A864" s="85" t="s">
        <v>225</v>
      </c>
      <c r="B864" s="73" t="s">
        <v>2147</v>
      </c>
      <c r="C864" s="2">
        <v>800</v>
      </c>
      <c r="D864" s="2">
        <v>100</v>
      </c>
      <c r="E864" s="2">
        <v>180</v>
      </c>
      <c r="F864" s="2">
        <v>120</v>
      </c>
      <c r="G864" s="21">
        <v>12</v>
      </c>
      <c r="H864" s="20"/>
      <c r="I864" s="20"/>
      <c r="J864" s="20"/>
      <c r="K864" s="86"/>
      <c r="L864" s="826"/>
      <c r="M864" s="20"/>
      <c r="N864" s="20"/>
      <c r="O864" s="20"/>
      <c r="P864" s="20"/>
      <c r="Q864" s="21"/>
      <c r="R864" s="22" t="s">
        <v>16</v>
      </c>
      <c r="S864" s="22">
        <v>2</v>
      </c>
      <c r="T864" s="753">
        <f t="shared" si="77"/>
        <v>2401.6869071550518</v>
      </c>
      <c r="U864" s="22">
        <v>0</v>
      </c>
      <c r="V864" s="20" t="str">
        <f t="shared" si="78"/>
        <v>K-800x180x100</v>
      </c>
    </row>
    <row r="865" spans="1:22" ht="14.25" customHeight="1">
      <c r="A865" s="85" t="s">
        <v>226</v>
      </c>
      <c r="B865" s="73" t="s">
        <v>2147</v>
      </c>
      <c r="C865" s="2">
        <v>800</v>
      </c>
      <c r="D865" s="2">
        <v>100</v>
      </c>
      <c r="E865" s="2">
        <v>190</v>
      </c>
      <c r="F865" s="2">
        <v>110</v>
      </c>
      <c r="G865" s="21">
        <v>12</v>
      </c>
      <c r="H865" s="20"/>
      <c r="I865" s="20"/>
      <c r="J865" s="20"/>
      <c r="K865" s="86"/>
      <c r="L865" s="826"/>
      <c r="M865" s="20"/>
      <c r="N865" s="20"/>
      <c r="O865" s="20"/>
      <c r="P865" s="20"/>
      <c r="Q865" s="21"/>
      <c r="R865" s="22" t="s">
        <v>16</v>
      </c>
      <c r="S865" s="22">
        <v>2</v>
      </c>
      <c r="T865" s="753">
        <f t="shared" si="77"/>
        <v>1902.3735174775745</v>
      </c>
      <c r="U865" s="22">
        <v>0</v>
      </c>
      <c r="V865" s="20" t="str">
        <f t="shared" si="78"/>
        <v>K-800x190x100</v>
      </c>
    </row>
    <row r="866" spans="1:22">
      <c r="A866" s="85" t="s">
        <v>227</v>
      </c>
      <c r="B866" s="73" t="s">
        <v>2147</v>
      </c>
      <c r="C866" s="2">
        <v>800</v>
      </c>
      <c r="D866" s="2">
        <v>100</v>
      </c>
      <c r="E866" s="2">
        <v>210</v>
      </c>
      <c r="F866" s="2">
        <v>90</v>
      </c>
      <c r="G866" s="21">
        <v>12</v>
      </c>
      <c r="H866" s="20"/>
      <c r="I866" s="20"/>
      <c r="J866" s="20"/>
      <c r="K866" s="86"/>
      <c r="L866" s="826"/>
      <c r="M866" s="20"/>
      <c r="N866" s="20"/>
      <c r="O866" s="20"/>
      <c r="P866" s="20"/>
      <c r="Q866" s="21"/>
      <c r="R866" s="22" t="s">
        <v>16</v>
      </c>
      <c r="S866" s="22">
        <v>2</v>
      </c>
      <c r="T866" s="753">
        <f t="shared" si="77"/>
        <v>1403.9319784092106</v>
      </c>
      <c r="U866" s="22">
        <v>0</v>
      </c>
      <c r="V866" s="20" t="str">
        <f t="shared" si="78"/>
        <v>K-800x210x100</v>
      </c>
    </row>
    <row r="867" spans="1:22">
      <c r="A867" s="85" t="s">
        <v>228</v>
      </c>
      <c r="B867" s="289" t="s">
        <v>2145</v>
      </c>
      <c r="C867" s="2">
        <v>850</v>
      </c>
      <c r="D867" s="2">
        <v>100</v>
      </c>
      <c r="E867" s="2">
        <v>150</v>
      </c>
      <c r="F867" s="2">
        <v>150</v>
      </c>
      <c r="G867" s="21">
        <v>12.75</v>
      </c>
      <c r="H867" s="20"/>
      <c r="I867" s="20"/>
      <c r="J867" s="20"/>
      <c r="K867" s="86"/>
      <c r="L867" s="826"/>
      <c r="M867" s="20"/>
      <c r="N867" s="20"/>
      <c r="O867" s="20"/>
      <c r="P867" s="20"/>
      <c r="Q867" s="21"/>
      <c r="R867" s="22" t="s">
        <v>16</v>
      </c>
      <c r="S867" s="22">
        <v>2</v>
      </c>
      <c r="T867" s="753" t="str">
        <f t="shared" si="77"/>
        <v>-</v>
      </c>
      <c r="U867" s="22">
        <v>0</v>
      </c>
      <c r="V867" s="20" t="str">
        <f t="shared" si="78"/>
        <v>S-850x150x100</v>
      </c>
    </row>
    <row r="868" spans="1:22">
      <c r="A868" s="85" t="s">
        <v>229</v>
      </c>
      <c r="B868" s="73" t="s">
        <v>2147</v>
      </c>
      <c r="C868" s="2">
        <v>850</v>
      </c>
      <c r="D868" s="2">
        <v>100</v>
      </c>
      <c r="E868" s="2">
        <v>154</v>
      </c>
      <c r="F868" s="2">
        <v>146</v>
      </c>
      <c r="G868" s="21">
        <v>12.75</v>
      </c>
      <c r="H868" s="20"/>
      <c r="I868" s="20"/>
      <c r="J868" s="20"/>
      <c r="K868" s="86"/>
      <c r="L868" s="826"/>
      <c r="M868" s="20"/>
      <c r="N868" s="20"/>
      <c r="O868" s="20"/>
      <c r="P868" s="20"/>
      <c r="Q868" s="21"/>
      <c r="R868" s="22" t="s">
        <v>16</v>
      </c>
      <c r="S868" s="22">
        <v>2</v>
      </c>
      <c r="T868" s="753">
        <f t="shared" si="77"/>
        <v>16362.681175467545</v>
      </c>
      <c r="U868" s="22">
        <v>0</v>
      </c>
      <c r="V868" s="20" t="str">
        <f t="shared" si="78"/>
        <v>K-850x154x100</v>
      </c>
    </row>
    <row r="869" spans="1:22">
      <c r="A869" s="85" t="s">
        <v>230</v>
      </c>
      <c r="B869" s="73" t="s">
        <v>2147</v>
      </c>
      <c r="C869" s="2">
        <v>850</v>
      </c>
      <c r="D869" s="2">
        <v>100</v>
      </c>
      <c r="E869" s="2">
        <v>160</v>
      </c>
      <c r="F869" s="2">
        <v>140</v>
      </c>
      <c r="G869" s="21">
        <v>12.75</v>
      </c>
      <c r="H869" s="20"/>
      <c r="I869" s="20"/>
      <c r="J869" s="20"/>
      <c r="K869" s="86"/>
      <c r="L869" s="826"/>
      <c r="M869" s="20"/>
      <c r="N869" s="20"/>
      <c r="O869" s="20"/>
      <c r="P869" s="20"/>
      <c r="Q869" s="21"/>
      <c r="R869" s="22" t="s">
        <v>16</v>
      </c>
      <c r="S869" s="22">
        <v>2</v>
      </c>
      <c r="T869" s="753">
        <f t="shared" si="77"/>
        <v>6800.4705719530912</v>
      </c>
      <c r="U869" s="22">
        <v>0</v>
      </c>
      <c r="V869" s="20" t="str">
        <f t="shared" si="78"/>
        <v>K-850x160x100</v>
      </c>
    </row>
    <row r="870" spans="1:22" ht="14.25" customHeight="1">
      <c r="A870" s="85" t="s">
        <v>231</v>
      </c>
      <c r="B870" s="73" t="s">
        <v>2147</v>
      </c>
      <c r="C870" s="2">
        <v>850</v>
      </c>
      <c r="D870" s="2">
        <v>100</v>
      </c>
      <c r="E870" s="2">
        <v>168</v>
      </c>
      <c r="F870" s="2">
        <v>132</v>
      </c>
      <c r="G870" s="21">
        <v>12.75</v>
      </c>
      <c r="H870" s="20"/>
      <c r="I870" s="20"/>
      <c r="J870" s="20"/>
      <c r="K870" s="86"/>
      <c r="L870" s="826"/>
      <c r="M870" s="20"/>
      <c r="N870" s="20"/>
      <c r="O870" s="20"/>
      <c r="P870" s="20"/>
      <c r="Q870" s="21"/>
      <c r="R870" s="22" t="s">
        <v>16</v>
      </c>
      <c r="S870" s="22">
        <v>2</v>
      </c>
      <c r="T870" s="753">
        <f t="shared" si="77"/>
        <v>3967.5559787411253</v>
      </c>
      <c r="U870" s="22">
        <v>0</v>
      </c>
      <c r="V870" s="20" t="str">
        <f t="shared" ref="V870:V901" si="79">B870&amp;"-"&amp;C870&amp;"x"&amp;E870&amp;"x"&amp;D870</f>
        <v>K-850x168x100</v>
      </c>
    </row>
    <row r="871" spans="1:22">
      <c r="A871" s="85" t="s">
        <v>232</v>
      </c>
      <c r="B871" s="73" t="s">
        <v>2147</v>
      </c>
      <c r="C871" s="2">
        <v>850</v>
      </c>
      <c r="D871" s="2">
        <v>100</v>
      </c>
      <c r="E871" s="2">
        <v>180</v>
      </c>
      <c r="F871" s="2">
        <v>120</v>
      </c>
      <c r="G871" s="21">
        <v>12.75</v>
      </c>
      <c r="H871" s="20"/>
      <c r="I871" s="20"/>
      <c r="J871" s="20"/>
      <c r="K871" s="86"/>
      <c r="L871" s="826"/>
      <c r="M871" s="20"/>
      <c r="N871" s="20"/>
      <c r="O871" s="20"/>
      <c r="P871" s="20"/>
      <c r="Q871" s="21"/>
      <c r="R871" s="22" t="s">
        <v>16</v>
      </c>
      <c r="S871" s="22">
        <v>2</v>
      </c>
      <c r="T871" s="753">
        <f t="shared" si="77"/>
        <v>2551.5877409957902</v>
      </c>
      <c r="U871" s="22">
        <v>0</v>
      </c>
      <c r="V871" s="20" t="str">
        <f t="shared" si="79"/>
        <v>K-850x180x100</v>
      </c>
    </row>
    <row r="872" spans="1:22">
      <c r="A872" s="85" t="s">
        <v>233</v>
      </c>
      <c r="B872" s="73" t="s">
        <v>2147</v>
      </c>
      <c r="C872" s="2">
        <v>850</v>
      </c>
      <c r="D872" s="2">
        <v>100</v>
      </c>
      <c r="E872" s="2">
        <v>190</v>
      </c>
      <c r="F872" s="2">
        <v>110</v>
      </c>
      <c r="G872" s="21">
        <v>12.75</v>
      </c>
      <c r="H872" s="20"/>
      <c r="I872" s="20"/>
      <c r="J872" s="20"/>
      <c r="K872" s="86"/>
      <c r="L872" s="826"/>
      <c r="M872" s="20"/>
      <c r="N872" s="20"/>
      <c r="O872" s="20"/>
      <c r="P872" s="20"/>
      <c r="Q872" s="21"/>
      <c r="R872" s="22" t="s">
        <v>16</v>
      </c>
      <c r="S872" s="22">
        <v>2</v>
      </c>
      <c r="T872" s="753">
        <f t="shared" si="77"/>
        <v>2020.9840579529568</v>
      </c>
      <c r="U872" s="22">
        <v>0</v>
      </c>
      <c r="V872" s="20" t="str">
        <f t="shared" si="79"/>
        <v>K-850x190x100</v>
      </c>
    </row>
    <row r="873" spans="1:22" ht="14.25" customHeight="1">
      <c r="A873" s="85" t="s">
        <v>234</v>
      </c>
      <c r="B873" s="73" t="s">
        <v>2147</v>
      </c>
      <c r="C873" s="2">
        <v>850</v>
      </c>
      <c r="D873" s="2">
        <v>100</v>
      </c>
      <c r="E873" s="2">
        <v>210</v>
      </c>
      <c r="F873" s="2">
        <v>90</v>
      </c>
      <c r="G873" s="21">
        <v>12.75</v>
      </c>
      <c r="H873" s="20"/>
      <c r="I873" s="20"/>
      <c r="J873" s="20"/>
      <c r="K873" s="86"/>
      <c r="L873" s="826"/>
      <c r="M873" s="20"/>
      <c r="N873" s="20"/>
      <c r="O873" s="20"/>
      <c r="P873" s="20"/>
      <c r="Q873" s="21"/>
      <c r="R873" s="22" t="s">
        <v>16</v>
      </c>
      <c r="S873" s="22">
        <v>2</v>
      </c>
      <c r="T873" s="753">
        <f t="shared" si="77"/>
        <v>1491.2012774940879</v>
      </c>
      <c r="U873" s="22">
        <v>0</v>
      </c>
      <c r="V873" s="20" t="str">
        <f t="shared" si="79"/>
        <v>K-850x210x100</v>
      </c>
    </row>
    <row r="874" spans="1:22">
      <c r="A874" s="85" t="s">
        <v>235</v>
      </c>
      <c r="B874" s="289" t="s">
        <v>2145</v>
      </c>
      <c r="C874" s="2">
        <v>900</v>
      </c>
      <c r="D874" s="2">
        <v>100</v>
      </c>
      <c r="E874" s="2">
        <v>150</v>
      </c>
      <c r="F874" s="2">
        <v>150</v>
      </c>
      <c r="G874" s="21">
        <v>13.5</v>
      </c>
      <c r="H874" s="20"/>
      <c r="I874" s="20"/>
      <c r="J874" s="20"/>
      <c r="K874" s="86"/>
      <c r="L874" s="826"/>
      <c r="M874" s="20"/>
      <c r="N874" s="20"/>
      <c r="O874" s="20"/>
      <c r="P874" s="20"/>
      <c r="Q874" s="21"/>
      <c r="R874" s="22" t="s">
        <v>16</v>
      </c>
      <c r="S874" s="22">
        <v>2</v>
      </c>
      <c r="T874" s="753" t="str">
        <f t="shared" si="77"/>
        <v>-</v>
      </c>
      <c r="U874" s="22">
        <v>0</v>
      </c>
      <c r="V874" s="20" t="str">
        <f t="shared" si="79"/>
        <v>S-900x150x100</v>
      </c>
    </row>
    <row r="875" spans="1:22">
      <c r="A875" s="85" t="s">
        <v>236</v>
      </c>
      <c r="B875" s="73" t="s">
        <v>2147</v>
      </c>
      <c r="C875" s="2">
        <v>900</v>
      </c>
      <c r="D875" s="2">
        <v>100</v>
      </c>
      <c r="E875" s="2">
        <v>154</v>
      </c>
      <c r="F875" s="2">
        <v>146</v>
      </c>
      <c r="G875" s="21">
        <v>13.5</v>
      </c>
      <c r="H875" s="20"/>
      <c r="I875" s="20"/>
      <c r="J875" s="20"/>
      <c r="K875" s="86"/>
      <c r="L875" s="826"/>
      <c r="M875" s="20"/>
      <c r="N875" s="20"/>
      <c r="O875" s="20"/>
      <c r="P875" s="20"/>
      <c r="Q875" s="21"/>
      <c r="R875" s="22" t="s">
        <v>16</v>
      </c>
      <c r="S875" s="22">
        <v>2</v>
      </c>
      <c r="T875" s="753">
        <f t="shared" si="77"/>
        <v>17325.171110266125</v>
      </c>
      <c r="U875" s="22">
        <v>0</v>
      </c>
      <c r="V875" s="20" t="str">
        <f t="shared" si="79"/>
        <v>K-900x154x100</v>
      </c>
    </row>
    <row r="876" spans="1:22" ht="14.25" customHeight="1">
      <c r="A876" s="85" t="s">
        <v>237</v>
      </c>
      <c r="B876" s="73" t="s">
        <v>2147</v>
      </c>
      <c r="C876" s="2">
        <v>900</v>
      </c>
      <c r="D876" s="2">
        <v>100</v>
      </c>
      <c r="E876" s="2">
        <v>160</v>
      </c>
      <c r="F876" s="2">
        <v>140</v>
      </c>
      <c r="G876" s="21">
        <v>13.5</v>
      </c>
      <c r="H876" s="20"/>
      <c r="I876" s="20"/>
      <c r="J876" s="20"/>
      <c r="K876" s="86"/>
      <c r="L876" s="826"/>
      <c r="M876" s="20"/>
      <c r="N876" s="20"/>
      <c r="O876" s="20"/>
      <c r="P876" s="20"/>
      <c r="Q876" s="21"/>
      <c r="R876" s="22" t="s">
        <v>16</v>
      </c>
      <c r="S876" s="22">
        <v>2</v>
      </c>
      <c r="T876" s="753">
        <f t="shared" si="77"/>
        <v>7200.44443072787</v>
      </c>
      <c r="U876" s="22">
        <v>0</v>
      </c>
      <c r="V876" s="20" t="str">
        <f t="shared" si="79"/>
        <v>K-900x160x100</v>
      </c>
    </row>
    <row r="877" spans="1:22">
      <c r="A877" s="85" t="s">
        <v>238</v>
      </c>
      <c r="B877" s="73" t="s">
        <v>2147</v>
      </c>
      <c r="C877" s="2">
        <v>900</v>
      </c>
      <c r="D877" s="2">
        <v>100</v>
      </c>
      <c r="E877" s="2">
        <v>168</v>
      </c>
      <c r="F877" s="2">
        <v>132</v>
      </c>
      <c r="G877" s="21">
        <v>13.5</v>
      </c>
      <c r="H877" s="20"/>
      <c r="I877" s="20"/>
      <c r="J877" s="20"/>
      <c r="K877" s="86"/>
      <c r="L877" s="826"/>
      <c r="M877" s="20"/>
      <c r="N877" s="20"/>
      <c r="O877" s="20"/>
      <c r="P877" s="20"/>
      <c r="Q877" s="21"/>
      <c r="R877" s="22" t="s">
        <v>16</v>
      </c>
      <c r="S877" s="22">
        <v>2</v>
      </c>
      <c r="T877" s="753">
        <f t="shared" si="77"/>
        <v>4200.8399160167965</v>
      </c>
      <c r="U877" s="22">
        <v>0</v>
      </c>
      <c r="V877" s="20" t="str">
        <f t="shared" si="79"/>
        <v>K-900x168x100</v>
      </c>
    </row>
    <row r="878" spans="1:22">
      <c r="A878" s="85" t="s">
        <v>239</v>
      </c>
      <c r="B878" s="73" t="s">
        <v>2147</v>
      </c>
      <c r="C878" s="2">
        <v>900</v>
      </c>
      <c r="D878" s="2">
        <v>100</v>
      </c>
      <c r="E878" s="2">
        <v>180</v>
      </c>
      <c r="F878" s="2">
        <v>120</v>
      </c>
      <c r="G878" s="21">
        <v>13.5</v>
      </c>
      <c r="H878" s="20"/>
      <c r="I878" s="20"/>
      <c r="J878" s="20"/>
      <c r="K878" s="86"/>
      <c r="L878" s="826"/>
      <c r="M878" s="20"/>
      <c r="N878" s="20"/>
      <c r="O878" s="20"/>
      <c r="P878" s="20"/>
      <c r="Q878" s="21"/>
      <c r="R878" s="22" t="s">
        <v>16</v>
      </c>
      <c r="S878" s="22">
        <v>2</v>
      </c>
      <c r="T878" s="753">
        <f t="shared" si="77"/>
        <v>2701.4995835646541</v>
      </c>
      <c r="U878" s="22">
        <v>0</v>
      </c>
      <c r="V878" s="20" t="str">
        <f t="shared" si="79"/>
        <v>K-900x180x100</v>
      </c>
    </row>
    <row r="879" spans="1:22" ht="14.25" customHeight="1">
      <c r="A879" s="85" t="s">
        <v>240</v>
      </c>
      <c r="B879" s="73" t="s">
        <v>2147</v>
      </c>
      <c r="C879" s="2">
        <v>900</v>
      </c>
      <c r="D879" s="2">
        <v>100</v>
      </c>
      <c r="E879" s="2">
        <v>190</v>
      </c>
      <c r="F879" s="2">
        <v>110</v>
      </c>
      <c r="G879" s="21">
        <v>13.5</v>
      </c>
      <c r="H879" s="20"/>
      <c r="I879" s="20"/>
      <c r="J879" s="20"/>
      <c r="K879" s="86"/>
      <c r="L879" s="826"/>
      <c r="M879" s="20"/>
      <c r="N879" s="20"/>
      <c r="O879" s="20"/>
      <c r="P879" s="20"/>
      <c r="Q879" s="21"/>
      <c r="R879" s="22" t="s">
        <v>16</v>
      </c>
      <c r="S879" s="22">
        <v>2</v>
      </c>
      <c r="T879" s="753">
        <f t="shared" si="77"/>
        <v>2139.6100696154895</v>
      </c>
      <c r="U879" s="22">
        <v>0</v>
      </c>
      <c r="V879" s="20" t="str">
        <f t="shared" si="79"/>
        <v>K-900x190x100</v>
      </c>
    </row>
    <row r="880" spans="1:22">
      <c r="A880" s="85" t="s">
        <v>241</v>
      </c>
      <c r="B880" s="73" t="s">
        <v>2147</v>
      </c>
      <c r="C880" s="2">
        <v>900</v>
      </c>
      <c r="D880" s="2">
        <v>100</v>
      </c>
      <c r="E880" s="2">
        <v>210</v>
      </c>
      <c r="F880" s="2">
        <v>90</v>
      </c>
      <c r="G880" s="21">
        <v>13.5</v>
      </c>
      <c r="H880" s="20"/>
      <c r="I880" s="20"/>
      <c r="J880" s="20"/>
      <c r="K880" s="86"/>
      <c r="L880" s="826"/>
      <c r="M880" s="20"/>
      <c r="N880" s="20"/>
      <c r="O880" s="20"/>
      <c r="P880" s="20"/>
      <c r="Q880" s="21"/>
      <c r="R880" s="22" t="s">
        <v>16</v>
      </c>
      <c r="S880" s="22">
        <v>2</v>
      </c>
      <c r="T880" s="753">
        <f t="shared" si="77"/>
        <v>1578.4961197291555</v>
      </c>
      <c r="U880" s="22">
        <v>0</v>
      </c>
      <c r="V880" s="20" t="str">
        <f t="shared" si="79"/>
        <v>K-900x210x100</v>
      </c>
    </row>
    <row r="881" spans="1:22">
      <c r="A881" s="85" t="s">
        <v>242</v>
      </c>
      <c r="B881" s="73" t="s">
        <v>2147</v>
      </c>
      <c r="C881" s="2">
        <v>950</v>
      </c>
      <c r="D881" s="2">
        <v>100</v>
      </c>
      <c r="E881" s="2">
        <v>160</v>
      </c>
      <c r="F881" s="2">
        <v>140</v>
      </c>
      <c r="G881" s="21">
        <v>14.25</v>
      </c>
      <c r="H881" s="20"/>
      <c r="I881" s="20"/>
      <c r="J881" s="20"/>
      <c r="K881" s="86"/>
      <c r="L881" s="826"/>
      <c r="M881" s="20"/>
      <c r="N881" s="20"/>
      <c r="O881" s="20"/>
      <c r="P881" s="20"/>
      <c r="Q881" s="21"/>
      <c r="R881" s="22" t="s">
        <v>16</v>
      </c>
      <c r="S881" s="22">
        <v>2</v>
      </c>
      <c r="T881" s="753">
        <f t="shared" si="77"/>
        <v>7600.4210409687175</v>
      </c>
      <c r="U881" s="22">
        <v>0</v>
      </c>
      <c r="V881" s="20" t="str">
        <f t="shared" si="79"/>
        <v>K-950x160x100</v>
      </c>
    </row>
    <row r="882" spans="1:22">
      <c r="A882" s="85" t="s">
        <v>243</v>
      </c>
      <c r="B882" s="73" t="s">
        <v>2147</v>
      </c>
      <c r="C882" s="2">
        <v>950</v>
      </c>
      <c r="D882" s="2">
        <v>100</v>
      </c>
      <c r="E882" s="2">
        <v>168</v>
      </c>
      <c r="F882" s="2">
        <v>132</v>
      </c>
      <c r="G882" s="21">
        <v>14.25</v>
      </c>
      <c r="H882" s="20"/>
      <c r="I882" s="20"/>
      <c r="J882" s="20"/>
      <c r="K882" s="86"/>
      <c r="L882" s="826"/>
      <c r="M882" s="20"/>
      <c r="N882" s="20"/>
      <c r="O882" s="20"/>
      <c r="P882" s="20"/>
      <c r="Q882" s="21"/>
      <c r="R882" s="22" t="s">
        <v>16</v>
      </c>
      <c r="S882" s="22">
        <v>2</v>
      </c>
      <c r="T882" s="753">
        <f t="shared" si="77"/>
        <v>4434.129051397179</v>
      </c>
      <c r="U882" s="22">
        <v>0</v>
      </c>
      <c r="V882" s="20" t="str">
        <f t="shared" si="79"/>
        <v>K-950x168x100</v>
      </c>
    </row>
    <row r="883" spans="1:22">
      <c r="A883" s="85" t="s">
        <v>244</v>
      </c>
      <c r="B883" s="73" t="s">
        <v>2147</v>
      </c>
      <c r="C883" s="2">
        <v>950</v>
      </c>
      <c r="D883" s="2">
        <v>100</v>
      </c>
      <c r="E883" s="2">
        <v>170</v>
      </c>
      <c r="F883" s="2">
        <v>130</v>
      </c>
      <c r="G883" s="21">
        <v>14.25</v>
      </c>
      <c r="H883" s="20"/>
      <c r="I883" s="20"/>
      <c r="J883" s="20"/>
      <c r="K883" s="86"/>
      <c r="L883" s="826"/>
      <c r="M883" s="20"/>
      <c r="N883" s="20"/>
      <c r="O883" s="20"/>
      <c r="P883" s="20"/>
      <c r="Q883" s="21"/>
      <c r="R883" s="22" t="s">
        <v>16</v>
      </c>
      <c r="S883" s="22">
        <v>2</v>
      </c>
      <c r="T883" s="753">
        <f t="shared" si="77"/>
        <v>4038.3946377242528</v>
      </c>
      <c r="U883" s="22">
        <v>0</v>
      </c>
      <c r="V883" s="20" t="str">
        <f t="shared" si="79"/>
        <v>K-950x170x100</v>
      </c>
    </row>
    <row r="884" spans="1:22" ht="14.25" customHeight="1">
      <c r="A884" s="85" t="s">
        <v>245</v>
      </c>
      <c r="B884" s="73" t="s">
        <v>2147</v>
      </c>
      <c r="C884" s="2">
        <v>950</v>
      </c>
      <c r="D884" s="2">
        <v>100</v>
      </c>
      <c r="E884" s="2">
        <v>180</v>
      </c>
      <c r="F884" s="2">
        <v>120</v>
      </c>
      <c r="G884" s="21">
        <v>14.25</v>
      </c>
      <c r="H884" s="20"/>
      <c r="I884" s="20"/>
      <c r="J884" s="20"/>
      <c r="K884" s="86"/>
      <c r="L884" s="826"/>
      <c r="M884" s="20"/>
      <c r="N884" s="20"/>
      <c r="O884" s="20"/>
      <c r="P884" s="20"/>
      <c r="Q884" s="21"/>
      <c r="R884" s="22" t="s">
        <v>16</v>
      </c>
      <c r="S884" s="22">
        <v>2</v>
      </c>
      <c r="T884" s="753">
        <f t="shared" si="77"/>
        <v>2851.4206985290684</v>
      </c>
      <c r="U884" s="22">
        <v>0</v>
      </c>
      <c r="V884" s="20" t="str">
        <f t="shared" si="79"/>
        <v>K-950x180x100</v>
      </c>
    </row>
    <row r="885" spans="1:22">
      <c r="A885" s="85" t="s">
        <v>246</v>
      </c>
      <c r="B885" s="73" t="s">
        <v>2147</v>
      </c>
      <c r="C885" s="2">
        <v>950</v>
      </c>
      <c r="D885" s="2">
        <v>100</v>
      </c>
      <c r="E885" s="2">
        <v>190</v>
      </c>
      <c r="F885" s="2">
        <v>110</v>
      </c>
      <c r="G885" s="21">
        <v>14.25</v>
      </c>
      <c r="H885" s="20"/>
      <c r="I885" s="20"/>
      <c r="J885" s="20"/>
      <c r="K885" s="86"/>
      <c r="L885" s="826"/>
      <c r="M885" s="20"/>
      <c r="N885" s="20"/>
      <c r="O885" s="20"/>
      <c r="P885" s="20"/>
      <c r="Q885" s="21"/>
      <c r="R885" s="22" t="s">
        <v>16</v>
      </c>
      <c r="S885" s="22">
        <v>2</v>
      </c>
      <c r="T885" s="753">
        <f t="shared" si="77"/>
        <v>2258.2491143582897</v>
      </c>
      <c r="U885" s="22">
        <v>0</v>
      </c>
      <c r="V885" s="20" t="str">
        <f t="shared" si="79"/>
        <v>K-950x190x100</v>
      </c>
    </row>
    <row r="886" spans="1:22">
      <c r="A886" s="85" t="s">
        <v>247</v>
      </c>
      <c r="B886" s="73" t="s">
        <v>2147</v>
      </c>
      <c r="C886" s="2">
        <v>950</v>
      </c>
      <c r="D886" s="2">
        <v>100</v>
      </c>
      <c r="E886" s="2">
        <v>210</v>
      </c>
      <c r="F886" s="2">
        <v>90</v>
      </c>
      <c r="G886" s="21">
        <v>14.25</v>
      </c>
      <c r="H886" s="20"/>
      <c r="I886" s="20"/>
      <c r="J886" s="20"/>
      <c r="K886" s="86"/>
      <c r="L886" s="826"/>
      <c r="M886" s="20"/>
      <c r="N886" s="20"/>
      <c r="O886" s="20"/>
      <c r="P886" s="20"/>
      <c r="Q886" s="21"/>
      <c r="R886" s="22" t="s">
        <v>16</v>
      </c>
      <c r="S886" s="22">
        <v>2</v>
      </c>
      <c r="T886" s="753">
        <f t="shared" si="77"/>
        <v>1665.8124894477169</v>
      </c>
      <c r="U886" s="22">
        <v>0</v>
      </c>
      <c r="V886" s="20" t="str">
        <f t="shared" si="79"/>
        <v>K-950x210x100</v>
      </c>
    </row>
    <row r="887" spans="1:22" ht="14.25" customHeight="1">
      <c r="A887" s="85" t="s">
        <v>248</v>
      </c>
      <c r="B887" s="289" t="s">
        <v>2145</v>
      </c>
      <c r="C887" s="2">
        <v>1000</v>
      </c>
      <c r="D887" s="2">
        <v>100</v>
      </c>
      <c r="E887" s="2">
        <v>150</v>
      </c>
      <c r="F887" s="2">
        <v>150</v>
      </c>
      <c r="G887" s="21">
        <v>15</v>
      </c>
      <c r="H887" s="20"/>
      <c r="I887" s="20"/>
      <c r="J887" s="20"/>
      <c r="K887" s="86"/>
      <c r="L887" s="826"/>
      <c r="M887" s="20"/>
      <c r="N887" s="20"/>
      <c r="O887" s="20"/>
      <c r="P887" s="20"/>
      <c r="Q887" s="21"/>
      <c r="R887" s="22" t="s">
        <v>16</v>
      </c>
      <c r="S887" s="22">
        <v>2</v>
      </c>
      <c r="T887" s="753" t="str">
        <f t="shared" si="77"/>
        <v>-</v>
      </c>
      <c r="U887" s="22">
        <v>0</v>
      </c>
      <c r="V887" s="20" t="str">
        <f t="shared" si="79"/>
        <v>S-1000x150x100</v>
      </c>
    </row>
    <row r="888" spans="1:22">
      <c r="A888" s="85" t="s">
        <v>249</v>
      </c>
      <c r="B888" s="73" t="s">
        <v>2147</v>
      </c>
      <c r="C888" s="2">
        <v>1000</v>
      </c>
      <c r="D888" s="2">
        <v>100</v>
      </c>
      <c r="E888" s="2">
        <v>160</v>
      </c>
      <c r="F888" s="2">
        <v>140</v>
      </c>
      <c r="G888" s="21">
        <v>15</v>
      </c>
      <c r="H888" s="20"/>
      <c r="I888" s="20"/>
      <c r="J888" s="20"/>
      <c r="K888" s="86"/>
      <c r="L888" s="826"/>
      <c r="M888" s="20"/>
      <c r="N888" s="20"/>
      <c r="O888" s="20"/>
      <c r="P888" s="20"/>
      <c r="Q888" s="21"/>
      <c r="R888" s="22" t="s">
        <v>16</v>
      </c>
      <c r="S888" s="22">
        <v>2</v>
      </c>
      <c r="T888" s="753">
        <f t="shared" ref="T888:T931" si="80">IF(E888=F888,"-",(E888/(E888-F888))*SQRT((C888^2)+((E888-F888)/2)^2))</f>
        <v>8000.3999900005001</v>
      </c>
      <c r="U888" s="22">
        <v>0</v>
      </c>
      <c r="V888" s="20" t="str">
        <f t="shared" si="79"/>
        <v>K-1000x160x100</v>
      </c>
    </row>
    <row r="889" spans="1:22">
      <c r="A889" s="85" t="s">
        <v>250</v>
      </c>
      <c r="B889" s="73" t="s">
        <v>2147</v>
      </c>
      <c r="C889" s="2">
        <v>1000</v>
      </c>
      <c r="D889" s="2">
        <v>100</v>
      </c>
      <c r="E889" s="2">
        <v>168</v>
      </c>
      <c r="F889" s="2">
        <v>132</v>
      </c>
      <c r="G889" s="21">
        <v>15</v>
      </c>
      <c r="H889" s="20"/>
      <c r="I889" s="20"/>
      <c r="J889" s="20"/>
      <c r="K889" s="86"/>
      <c r="L889" s="826"/>
      <c r="M889" s="20"/>
      <c r="N889" s="20"/>
      <c r="O889" s="20"/>
      <c r="P889" s="20"/>
      <c r="Q889" s="21"/>
      <c r="R889" s="22" t="s">
        <v>16</v>
      </c>
      <c r="S889" s="22">
        <v>2</v>
      </c>
      <c r="T889" s="753">
        <f t="shared" si="80"/>
        <v>4667.4226054405854</v>
      </c>
      <c r="U889" s="22">
        <v>0</v>
      </c>
      <c r="V889" s="20" t="str">
        <f t="shared" si="79"/>
        <v>K-1000x168x100</v>
      </c>
    </row>
    <row r="890" spans="1:22" ht="14.25" customHeight="1">
      <c r="A890" s="85" t="s">
        <v>251</v>
      </c>
      <c r="B890" s="73" t="s">
        <v>2147</v>
      </c>
      <c r="C890" s="2">
        <v>1000</v>
      </c>
      <c r="D890" s="2">
        <v>100</v>
      </c>
      <c r="E890" s="2">
        <v>180</v>
      </c>
      <c r="F890" s="2">
        <v>120</v>
      </c>
      <c r="G890" s="21">
        <v>15</v>
      </c>
      <c r="H890" s="20"/>
      <c r="I890" s="20"/>
      <c r="J890" s="20"/>
      <c r="K890" s="86"/>
      <c r="L890" s="826"/>
      <c r="M890" s="20"/>
      <c r="N890" s="20"/>
      <c r="O890" s="20"/>
      <c r="P890" s="20"/>
      <c r="Q890" s="21"/>
      <c r="R890" s="22" t="s">
        <v>16</v>
      </c>
      <c r="S890" s="22">
        <v>2</v>
      </c>
      <c r="T890" s="753">
        <f t="shared" si="80"/>
        <v>3001.349696386611</v>
      </c>
      <c r="U890" s="22">
        <v>0</v>
      </c>
      <c r="V890" s="20" t="str">
        <f t="shared" si="79"/>
        <v>K-1000x180x100</v>
      </c>
    </row>
    <row r="891" spans="1:22">
      <c r="A891" s="85" t="s">
        <v>252</v>
      </c>
      <c r="B891" s="73" t="s">
        <v>2147</v>
      </c>
      <c r="C891" s="2">
        <v>1000</v>
      </c>
      <c r="D891" s="2">
        <v>100</v>
      </c>
      <c r="E891" s="2">
        <v>190</v>
      </c>
      <c r="F891" s="2">
        <v>110</v>
      </c>
      <c r="G891" s="21">
        <v>15</v>
      </c>
      <c r="H891" s="20"/>
      <c r="I891" s="20"/>
      <c r="J891" s="20"/>
      <c r="K891" s="86"/>
      <c r="L891" s="826"/>
      <c r="M891" s="20"/>
      <c r="N891" s="20"/>
      <c r="O891" s="20"/>
      <c r="P891" s="20"/>
      <c r="Q891" s="21"/>
      <c r="R891" s="22" t="s">
        <v>16</v>
      </c>
      <c r="S891" s="22">
        <v>2</v>
      </c>
      <c r="T891" s="753">
        <f t="shared" si="80"/>
        <v>2376.8992406073926</v>
      </c>
      <c r="U891" s="22">
        <v>0</v>
      </c>
      <c r="V891" s="20" t="str">
        <f t="shared" si="79"/>
        <v>K-1000x190x100</v>
      </c>
    </row>
    <row r="892" spans="1:22">
      <c r="A892" s="85" t="s">
        <v>253</v>
      </c>
      <c r="B892" s="73" t="s">
        <v>2147</v>
      </c>
      <c r="C892" s="2">
        <v>1000</v>
      </c>
      <c r="D892" s="2">
        <v>100</v>
      </c>
      <c r="E892" s="2">
        <v>210</v>
      </c>
      <c r="F892" s="2">
        <v>90</v>
      </c>
      <c r="G892" s="21">
        <v>15</v>
      </c>
      <c r="H892" s="20"/>
      <c r="I892" s="20"/>
      <c r="J892" s="20"/>
      <c r="K892" s="86"/>
      <c r="L892" s="826"/>
      <c r="M892" s="20"/>
      <c r="N892" s="20"/>
      <c r="O892" s="20"/>
      <c r="P892" s="20"/>
      <c r="Q892" s="21"/>
      <c r="R892" s="22" t="s">
        <v>16</v>
      </c>
      <c r="S892" s="22">
        <v>2</v>
      </c>
      <c r="T892" s="753">
        <f t="shared" si="80"/>
        <v>1753.1471700915472</v>
      </c>
      <c r="U892" s="22">
        <v>0</v>
      </c>
      <c r="V892" s="20" t="str">
        <f t="shared" si="79"/>
        <v>K-1000x210x100</v>
      </c>
    </row>
    <row r="893" spans="1:22" ht="14.25" customHeight="1">
      <c r="A893" s="85" t="s">
        <v>254</v>
      </c>
      <c r="B893" s="73" t="s">
        <v>2147</v>
      </c>
      <c r="C893" s="2">
        <v>1050</v>
      </c>
      <c r="D893" s="2">
        <v>100</v>
      </c>
      <c r="E893" s="2">
        <v>168</v>
      </c>
      <c r="F893" s="2">
        <v>132</v>
      </c>
      <c r="G893" s="21">
        <v>15.75</v>
      </c>
      <c r="H893" s="20"/>
      <c r="I893" s="20"/>
      <c r="J893" s="20"/>
      <c r="K893" s="86"/>
      <c r="L893" s="826"/>
      <c r="M893" s="20"/>
      <c r="N893" s="20"/>
      <c r="O893" s="20"/>
      <c r="P893" s="20"/>
      <c r="Q893" s="21"/>
      <c r="R893" s="22" t="s">
        <v>16</v>
      </c>
      <c r="S893" s="22">
        <v>2</v>
      </c>
      <c r="T893" s="753">
        <f t="shared" si="80"/>
        <v>4900.719947109812</v>
      </c>
      <c r="U893" s="22">
        <v>0</v>
      </c>
      <c r="V893" s="20" t="str">
        <f t="shared" si="79"/>
        <v>K-1050x168x100</v>
      </c>
    </row>
    <row r="894" spans="1:22">
      <c r="A894" s="85" t="s">
        <v>255</v>
      </c>
      <c r="B894" s="73" t="s">
        <v>2147</v>
      </c>
      <c r="C894" s="2">
        <v>1050</v>
      </c>
      <c r="D894" s="2">
        <v>100</v>
      </c>
      <c r="E894" s="2">
        <v>190</v>
      </c>
      <c r="F894" s="2">
        <v>110</v>
      </c>
      <c r="G894" s="21">
        <v>15.75</v>
      </c>
      <c r="H894" s="20"/>
      <c r="I894" s="20"/>
      <c r="J894" s="20"/>
      <c r="K894" s="86"/>
      <c r="L894" s="826"/>
      <c r="M894" s="20"/>
      <c r="N894" s="20"/>
      <c r="O894" s="20"/>
      <c r="P894" s="20"/>
      <c r="Q894" s="21"/>
      <c r="R894" s="22" t="s">
        <v>16</v>
      </c>
      <c r="S894" s="22">
        <v>2</v>
      </c>
      <c r="T894" s="753">
        <f t="shared" si="80"/>
        <v>2495.5588677689011</v>
      </c>
      <c r="U894" s="22">
        <v>0</v>
      </c>
      <c r="V894" s="20" t="str">
        <f t="shared" si="79"/>
        <v>K-1050x190x100</v>
      </c>
    </row>
    <row r="895" spans="1:22">
      <c r="A895" s="85" t="s">
        <v>256</v>
      </c>
      <c r="B895" s="73" t="s">
        <v>2147</v>
      </c>
      <c r="C895" s="2">
        <v>1100</v>
      </c>
      <c r="D895" s="2">
        <v>100</v>
      </c>
      <c r="E895" s="2">
        <v>154</v>
      </c>
      <c r="F895" s="2">
        <v>146</v>
      </c>
      <c r="G895" s="21">
        <v>16.5</v>
      </c>
      <c r="H895" s="20"/>
      <c r="I895" s="20"/>
      <c r="J895" s="20"/>
      <c r="K895" s="86"/>
      <c r="L895" s="826"/>
      <c r="M895" s="20"/>
      <c r="N895" s="20"/>
      <c r="O895" s="20"/>
      <c r="P895" s="20"/>
      <c r="Q895" s="21"/>
      <c r="R895" s="22" t="s">
        <v>16</v>
      </c>
      <c r="S895" s="22">
        <v>2</v>
      </c>
      <c r="T895" s="753">
        <f t="shared" si="80"/>
        <v>21175.139999537194</v>
      </c>
      <c r="U895" s="22">
        <v>0</v>
      </c>
      <c r="V895" s="20" t="str">
        <f t="shared" si="79"/>
        <v>K-1100x154x100</v>
      </c>
    </row>
    <row r="896" spans="1:22">
      <c r="A896" s="85" t="s">
        <v>257</v>
      </c>
      <c r="B896" s="73" t="s">
        <v>2147</v>
      </c>
      <c r="C896" s="2">
        <v>1100</v>
      </c>
      <c r="D896" s="2">
        <v>100</v>
      </c>
      <c r="E896" s="2">
        <v>160</v>
      </c>
      <c r="F896" s="2">
        <v>140</v>
      </c>
      <c r="G896" s="21">
        <v>16.5</v>
      </c>
      <c r="H896" s="20"/>
      <c r="I896" s="20"/>
      <c r="J896" s="20"/>
      <c r="K896" s="86"/>
      <c r="L896" s="826"/>
      <c r="M896" s="20"/>
      <c r="N896" s="20"/>
      <c r="O896" s="20"/>
      <c r="P896" s="20"/>
      <c r="Q896" s="21"/>
      <c r="R896" s="22" t="s">
        <v>16</v>
      </c>
      <c r="S896" s="22">
        <v>2</v>
      </c>
      <c r="T896" s="753">
        <f t="shared" si="80"/>
        <v>8800.3636288507987</v>
      </c>
      <c r="U896" s="22">
        <v>0</v>
      </c>
      <c r="V896" s="20" t="str">
        <f t="shared" si="79"/>
        <v>K-1100x160x100</v>
      </c>
    </row>
    <row r="897" spans="1:22">
      <c r="A897" s="85" t="s">
        <v>258</v>
      </c>
      <c r="B897" s="73" t="s">
        <v>2147</v>
      </c>
      <c r="C897" s="2">
        <v>1100</v>
      </c>
      <c r="D897" s="2">
        <v>100</v>
      </c>
      <c r="E897" s="2">
        <v>168</v>
      </c>
      <c r="F897" s="2">
        <v>132</v>
      </c>
      <c r="G897" s="21">
        <v>16.5</v>
      </c>
      <c r="H897" s="20"/>
      <c r="I897" s="20"/>
      <c r="J897" s="20"/>
      <c r="K897" s="86"/>
      <c r="L897" s="826"/>
      <c r="M897" s="20"/>
      <c r="N897" s="20"/>
      <c r="O897" s="20"/>
      <c r="P897" s="20"/>
      <c r="Q897" s="21"/>
      <c r="R897" s="22" t="s">
        <v>16</v>
      </c>
      <c r="S897" s="22">
        <v>2</v>
      </c>
      <c r="T897" s="753">
        <f t="shared" si="80"/>
        <v>5134.0205600592517</v>
      </c>
      <c r="U897" s="22">
        <v>0</v>
      </c>
      <c r="V897" s="20" t="str">
        <f t="shared" si="79"/>
        <v>K-1100x168x100</v>
      </c>
    </row>
    <row r="898" spans="1:22" ht="14.25" customHeight="1">
      <c r="A898" s="85" t="s">
        <v>259</v>
      </c>
      <c r="B898" s="73" t="s">
        <v>2147</v>
      </c>
      <c r="C898" s="2">
        <v>1100</v>
      </c>
      <c r="D898" s="2">
        <v>100</v>
      </c>
      <c r="E898" s="2">
        <v>190</v>
      </c>
      <c r="F898" s="2">
        <v>110</v>
      </c>
      <c r="G898" s="21">
        <v>16.5</v>
      </c>
      <c r="H898" s="20"/>
      <c r="I898" s="20"/>
      <c r="J898" s="20"/>
      <c r="K898" s="86"/>
      <c r="L898" s="826"/>
      <c r="M898" s="20"/>
      <c r="N898" s="20"/>
      <c r="O898" s="20"/>
      <c r="P898" s="20"/>
      <c r="Q898" s="21"/>
      <c r="R898" s="22" t="s">
        <v>16</v>
      </c>
      <c r="S898" s="22">
        <v>2</v>
      </c>
      <c r="T898" s="753">
        <f t="shared" si="80"/>
        <v>2614.2267021052326</v>
      </c>
      <c r="U898" s="22">
        <v>0</v>
      </c>
      <c r="V898" s="20" t="str">
        <f t="shared" si="79"/>
        <v>K-1100x190x100</v>
      </c>
    </row>
    <row r="899" spans="1:22">
      <c r="A899" s="85" t="s">
        <v>260</v>
      </c>
      <c r="B899" s="73" t="s">
        <v>2147</v>
      </c>
      <c r="C899" s="2">
        <v>1150</v>
      </c>
      <c r="D899" s="2">
        <v>100</v>
      </c>
      <c r="E899" s="2">
        <v>168</v>
      </c>
      <c r="F899" s="2">
        <v>132</v>
      </c>
      <c r="G899" s="21">
        <v>17.25</v>
      </c>
      <c r="H899" s="20"/>
      <c r="I899" s="20"/>
      <c r="J899" s="20"/>
      <c r="K899" s="86"/>
      <c r="L899" s="826"/>
      <c r="M899" s="20"/>
      <c r="N899" s="20"/>
      <c r="O899" s="20"/>
      <c r="P899" s="20"/>
      <c r="Q899" s="21"/>
      <c r="R899" s="22" t="s">
        <v>16</v>
      </c>
      <c r="S899" s="22">
        <v>2</v>
      </c>
      <c r="T899" s="753">
        <f t="shared" si="80"/>
        <v>5367.3240177122825</v>
      </c>
      <c r="U899" s="22">
        <v>0</v>
      </c>
      <c r="V899" s="20" t="str">
        <f t="shared" si="79"/>
        <v>K-1150x168x100</v>
      </c>
    </row>
    <row r="900" spans="1:22">
      <c r="A900" s="85" t="s">
        <v>261</v>
      </c>
      <c r="B900" s="73" t="s">
        <v>2147</v>
      </c>
      <c r="C900" s="2">
        <v>1150</v>
      </c>
      <c r="D900" s="2">
        <v>100</v>
      </c>
      <c r="E900" s="2">
        <v>190</v>
      </c>
      <c r="F900" s="2">
        <v>110</v>
      </c>
      <c r="G900" s="21">
        <v>17.25</v>
      </c>
      <c r="H900" s="20"/>
      <c r="I900" s="20"/>
      <c r="J900" s="20"/>
      <c r="K900" s="86"/>
      <c r="L900" s="826"/>
      <c r="M900" s="20"/>
      <c r="N900" s="20"/>
      <c r="O900" s="20"/>
      <c r="P900" s="20"/>
      <c r="Q900" s="21"/>
      <c r="R900" s="22" t="s">
        <v>16</v>
      </c>
      <c r="S900" s="22">
        <v>2</v>
      </c>
      <c r="T900" s="753">
        <f t="shared" si="80"/>
        <v>2732.9016745027616</v>
      </c>
      <c r="U900" s="22">
        <v>0</v>
      </c>
      <c r="V900" s="20" t="str">
        <f t="shared" si="79"/>
        <v>K-1150x190x100</v>
      </c>
    </row>
    <row r="901" spans="1:22" ht="14.25" customHeight="1">
      <c r="A901" s="85" t="s">
        <v>262</v>
      </c>
      <c r="B901" s="73" t="s">
        <v>2147</v>
      </c>
      <c r="C901" s="2">
        <v>1200</v>
      </c>
      <c r="D901" s="2">
        <v>100</v>
      </c>
      <c r="E901" s="2">
        <v>168</v>
      </c>
      <c r="F901" s="2">
        <v>132</v>
      </c>
      <c r="G901" s="21">
        <v>18</v>
      </c>
      <c r="H901" s="20"/>
      <c r="I901" s="20"/>
      <c r="J901" s="20"/>
      <c r="K901" s="86"/>
      <c r="L901" s="826"/>
      <c r="M901" s="20"/>
      <c r="N901" s="20"/>
      <c r="O901" s="20"/>
      <c r="P901" s="20"/>
      <c r="Q901" s="21"/>
      <c r="R901" s="22" t="s">
        <v>16</v>
      </c>
      <c r="S901" s="22">
        <v>2</v>
      </c>
      <c r="T901" s="753">
        <f t="shared" si="80"/>
        <v>5600.6299645664867</v>
      </c>
      <c r="U901" s="22">
        <v>0</v>
      </c>
      <c r="V901" s="20" t="str">
        <f t="shared" si="79"/>
        <v>K-1200x168x100</v>
      </c>
    </row>
    <row r="902" spans="1:22">
      <c r="A902" s="85" t="s">
        <v>263</v>
      </c>
      <c r="B902" s="73" t="s">
        <v>2147</v>
      </c>
      <c r="C902" s="2">
        <v>1200</v>
      </c>
      <c r="D902" s="2">
        <v>100</v>
      </c>
      <c r="E902" s="2">
        <v>190</v>
      </c>
      <c r="F902" s="2">
        <v>110</v>
      </c>
      <c r="G902" s="21">
        <v>18</v>
      </c>
      <c r="H902" s="20"/>
      <c r="I902" s="20"/>
      <c r="J902" s="20"/>
      <c r="K902" s="86"/>
      <c r="L902" s="826"/>
      <c r="M902" s="20"/>
      <c r="N902" s="20"/>
      <c r="O902" s="20"/>
      <c r="P902" s="20"/>
      <c r="Q902" s="21"/>
      <c r="R902" s="22" t="s">
        <v>16</v>
      </c>
      <c r="S902" s="22">
        <v>2</v>
      </c>
      <c r="T902" s="753">
        <f t="shared" si="80"/>
        <v>2851.5828937626907</v>
      </c>
      <c r="U902" s="22">
        <v>0</v>
      </c>
      <c r="V902" s="20" t="str">
        <f t="shared" ref="V902:V931" si="81">B902&amp;"-"&amp;C902&amp;"x"&amp;E902&amp;"x"&amp;D902</f>
        <v>K-1200x190x100</v>
      </c>
    </row>
    <row r="903" spans="1:22">
      <c r="A903" s="85" t="s">
        <v>264</v>
      </c>
      <c r="B903" s="73" t="s">
        <v>2147</v>
      </c>
      <c r="C903" s="2">
        <v>230</v>
      </c>
      <c r="D903" s="2">
        <v>100</v>
      </c>
      <c r="E903" s="2">
        <v>115</v>
      </c>
      <c r="F903" s="2">
        <v>85</v>
      </c>
      <c r="G903" s="21">
        <v>2.2999999999999998</v>
      </c>
      <c r="H903" s="20"/>
      <c r="I903" s="20"/>
      <c r="J903" s="20"/>
      <c r="K903" s="86"/>
      <c r="L903" s="826"/>
      <c r="M903" s="20"/>
      <c r="N903" s="20"/>
      <c r="O903" s="20"/>
      <c r="P903" s="20"/>
      <c r="Q903" s="21"/>
      <c r="R903" s="22" t="s">
        <v>16</v>
      </c>
      <c r="S903" s="22">
        <v>2</v>
      </c>
      <c r="T903" s="753">
        <f t="shared" si="80"/>
        <v>883.53967715723513</v>
      </c>
      <c r="U903" s="22">
        <v>0</v>
      </c>
      <c r="V903" s="20" t="str">
        <f t="shared" si="81"/>
        <v>K-230x115x100</v>
      </c>
    </row>
    <row r="904" spans="1:22" ht="14.25" customHeight="1">
      <c r="A904" s="85" t="s">
        <v>265</v>
      </c>
      <c r="B904" s="73" t="s">
        <v>2147</v>
      </c>
      <c r="C904" s="2">
        <v>230</v>
      </c>
      <c r="D904" s="2">
        <v>100</v>
      </c>
      <c r="E904" s="2">
        <v>127.5</v>
      </c>
      <c r="F904" s="2">
        <v>97.5</v>
      </c>
      <c r="G904" s="21">
        <v>2.5880000000000001</v>
      </c>
      <c r="H904" s="20"/>
      <c r="I904" s="20"/>
      <c r="J904" s="20"/>
      <c r="K904" s="86"/>
      <c r="L904" s="826"/>
      <c r="M904" s="20"/>
      <c r="N904" s="20"/>
      <c r="O904" s="20"/>
      <c r="P904" s="20"/>
      <c r="Q904" s="21"/>
      <c r="R904" s="22" t="s">
        <v>16</v>
      </c>
      <c r="S904" s="22">
        <v>2</v>
      </c>
      <c r="T904" s="753">
        <f t="shared" si="80"/>
        <v>979.57659858736929</v>
      </c>
      <c r="U904" s="22">
        <v>0</v>
      </c>
      <c r="V904" s="20" t="str">
        <f t="shared" si="81"/>
        <v>K-230x127,5x100</v>
      </c>
    </row>
    <row r="905" spans="1:22">
      <c r="A905" s="85" t="s">
        <v>266</v>
      </c>
      <c r="B905" s="73" t="s">
        <v>2147</v>
      </c>
      <c r="C905" s="2">
        <v>250</v>
      </c>
      <c r="D905" s="2">
        <v>100</v>
      </c>
      <c r="E905" s="2">
        <v>79</v>
      </c>
      <c r="F905" s="2">
        <v>71</v>
      </c>
      <c r="G905" s="21">
        <v>1.875</v>
      </c>
      <c r="H905" s="20"/>
      <c r="I905" s="20"/>
      <c r="J905" s="20"/>
      <c r="K905" s="86"/>
      <c r="L905" s="826"/>
      <c r="M905" s="20"/>
      <c r="N905" s="20"/>
      <c r="O905" s="20"/>
      <c r="P905" s="20"/>
      <c r="Q905" s="21"/>
      <c r="R905" s="22" t="s">
        <v>16</v>
      </c>
      <c r="S905" s="22">
        <v>2</v>
      </c>
      <c r="T905" s="753">
        <f t="shared" si="80"/>
        <v>2469.0659797785879</v>
      </c>
      <c r="U905" s="22">
        <v>0</v>
      </c>
      <c r="V905" s="20" t="str">
        <f t="shared" si="81"/>
        <v>K-250x79x100</v>
      </c>
    </row>
    <row r="906" spans="1:22">
      <c r="A906" s="85" t="s">
        <v>267</v>
      </c>
      <c r="B906" s="73" t="s">
        <v>2147</v>
      </c>
      <c r="C906" s="2">
        <v>250</v>
      </c>
      <c r="D906" s="2">
        <v>100</v>
      </c>
      <c r="E906" s="2">
        <v>115</v>
      </c>
      <c r="F906" s="2">
        <v>85</v>
      </c>
      <c r="G906" s="21">
        <v>2.5</v>
      </c>
      <c r="H906" s="20"/>
      <c r="I906" s="20"/>
      <c r="J906" s="20"/>
      <c r="K906" s="86"/>
      <c r="L906" s="826"/>
      <c r="M906" s="20"/>
      <c r="N906" s="20"/>
      <c r="O906" s="20"/>
      <c r="P906" s="20"/>
      <c r="Q906" s="21"/>
      <c r="R906" s="22" t="s">
        <v>16</v>
      </c>
      <c r="S906" s="22">
        <v>2</v>
      </c>
      <c r="T906" s="753">
        <f t="shared" si="80"/>
        <v>960.05678362156164</v>
      </c>
      <c r="U906" s="22">
        <v>0</v>
      </c>
      <c r="V906" s="20" t="str">
        <f t="shared" si="81"/>
        <v>K-250x115x100</v>
      </c>
    </row>
    <row r="907" spans="1:22" ht="14.25" customHeight="1">
      <c r="A907" s="85" t="s">
        <v>268</v>
      </c>
      <c r="B907" s="73" t="s">
        <v>2147</v>
      </c>
      <c r="C907" s="2">
        <v>250</v>
      </c>
      <c r="D907" s="2">
        <v>100</v>
      </c>
      <c r="E907" s="2">
        <v>127.5</v>
      </c>
      <c r="F907" s="2">
        <v>97.5</v>
      </c>
      <c r="G907" s="21">
        <v>2.8130000000000002</v>
      </c>
      <c r="H907" s="20"/>
      <c r="I907" s="20"/>
      <c r="J907" s="20"/>
      <c r="K907" s="86"/>
      <c r="L907" s="826"/>
      <c r="M907" s="20"/>
      <c r="N907" s="20"/>
      <c r="O907" s="20"/>
      <c r="P907" s="20"/>
      <c r="Q907" s="21"/>
      <c r="R907" s="22" t="s">
        <v>16</v>
      </c>
      <c r="S907" s="22">
        <v>2</v>
      </c>
      <c r="T907" s="753">
        <f t="shared" si="80"/>
        <v>1064.4107818412965</v>
      </c>
      <c r="U907" s="22">
        <v>0</v>
      </c>
      <c r="V907" s="20" t="str">
        <f t="shared" si="81"/>
        <v>K-250x127,5x100</v>
      </c>
    </row>
    <row r="908" spans="1:22">
      <c r="A908" s="85" t="s">
        <v>269</v>
      </c>
      <c r="B908" s="73" t="s">
        <v>2147</v>
      </c>
      <c r="C908" s="2">
        <v>350</v>
      </c>
      <c r="D908" s="2">
        <v>100</v>
      </c>
      <c r="E908" s="2">
        <v>127.5</v>
      </c>
      <c r="F908" s="2">
        <v>97.5</v>
      </c>
      <c r="G908" s="21">
        <v>3.9380000000000002</v>
      </c>
      <c r="H908" s="20"/>
      <c r="I908" s="20"/>
      <c r="J908" s="20"/>
      <c r="K908" s="86"/>
      <c r="L908" s="826"/>
      <c r="M908" s="20"/>
      <c r="N908" s="20"/>
      <c r="O908" s="20"/>
      <c r="P908" s="20"/>
      <c r="Q908" s="21"/>
      <c r="R908" s="22" t="s">
        <v>16</v>
      </c>
      <c r="S908" s="22">
        <v>2</v>
      </c>
      <c r="T908" s="753">
        <f t="shared" si="80"/>
        <v>1488.8654447262857</v>
      </c>
      <c r="U908" s="22">
        <v>0</v>
      </c>
      <c r="V908" s="20" t="str">
        <f t="shared" si="81"/>
        <v>K-350x127,5x100</v>
      </c>
    </row>
    <row r="909" spans="1:22">
      <c r="A909" s="85" t="s">
        <v>270</v>
      </c>
      <c r="B909" s="73" t="s">
        <v>2147</v>
      </c>
      <c r="C909" s="2">
        <v>500</v>
      </c>
      <c r="D909" s="2">
        <v>100</v>
      </c>
      <c r="E909" s="2">
        <v>79</v>
      </c>
      <c r="F909" s="2">
        <v>71</v>
      </c>
      <c r="G909" s="21">
        <v>3.75</v>
      </c>
      <c r="H909" s="20"/>
      <c r="I909" s="20"/>
      <c r="J909" s="20"/>
      <c r="K909" s="86"/>
      <c r="L909" s="826"/>
      <c r="M909" s="20"/>
      <c r="N909" s="20"/>
      <c r="O909" s="20"/>
      <c r="P909" s="20"/>
      <c r="Q909" s="21"/>
      <c r="R909" s="22" t="s">
        <v>16</v>
      </c>
      <c r="S909" s="22">
        <v>2</v>
      </c>
      <c r="T909" s="753">
        <f t="shared" si="80"/>
        <v>4937.6579974720808</v>
      </c>
      <c r="U909" s="22">
        <v>0</v>
      </c>
      <c r="V909" s="20" t="str">
        <f t="shared" si="81"/>
        <v>K-500x79x100</v>
      </c>
    </row>
    <row r="910" spans="1:22">
      <c r="A910" s="85" t="s">
        <v>271</v>
      </c>
      <c r="B910" s="73" t="s">
        <v>2147</v>
      </c>
      <c r="C910" s="2">
        <v>550</v>
      </c>
      <c r="D910" s="2">
        <v>100</v>
      </c>
      <c r="E910" s="2">
        <v>150</v>
      </c>
      <c r="F910" s="2">
        <v>90</v>
      </c>
      <c r="G910" s="21">
        <v>6.6</v>
      </c>
      <c r="H910" s="20"/>
      <c r="I910" s="20"/>
      <c r="J910" s="20"/>
      <c r="K910" s="86"/>
      <c r="L910" s="826"/>
      <c r="M910" s="20"/>
      <c r="N910" s="20"/>
      <c r="O910" s="20"/>
      <c r="P910" s="20"/>
      <c r="Q910" s="21"/>
      <c r="R910" s="22" t="s">
        <v>16</v>
      </c>
      <c r="S910" s="22">
        <v>2</v>
      </c>
      <c r="T910" s="753">
        <f t="shared" si="80"/>
        <v>1377.0439353920412</v>
      </c>
      <c r="U910" s="22">
        <v>0</v>
      </c>
      <c r="V910" s="20" t="str">
        <f t="shared" si="81"/>
        <v>K-550x150x100</v>
      </c>
    </row>
    <row r="911" spans="1:22">
      <c r="A911" s="85" t="s">
        <v>272</v>
      </c>
      <c r="B911" s="73" t="s">
        <v>2147</v>
      </c>
      <c r="C911" s="2">
        <v>600</v>
      </c>
      <c r="D911" s="2">
        <v>100</v>
      </c>
      <c r="E911" s="2">
        <v>79</v>
      </c>
      <c r="F911" s="2">
        <v>71</v>
      </c>
      <c r="G911" s="21">
        <v>4.5</v>
      </c>
      <c r="H911" s="20"/>
      <c r="I911" s="20"/>
      <c r="J911" s="20"/>
      <c r="K911" s="86"/>
      <c r="L911" s="826"/>
      <c r="M911" s="20"/>
      <c r="N911" s="20"/>
      <c r="O911" s="20"/>
      <c r="P911" s="20"/>
      <c r="Q911" s="21"/>
      <c r="R911" s="22" t="s">
        <v>16</v>
      </c>
      <c r="S911" s="22">
        <v>2</v>
      </c>
      <c r="T911" s="753">
        <f t="shared" si="80"/>
        <v>5925.1316652037358</v>
      </c>
      <c r="U911" s="22">
        <v>0</v>
      </c>
      <c r="V911" s="20" t="str">
        <f t="shared" si="81"/>
        <v>K-600x79x100</v>
      </c>
    </row>
    <row r="912" spans="1:22" ht="14.25" customHeight="1">
      <c r="A912" s="85" t="s">
        <v>273</v>
      </c>
      <c r="B912" s="73" t="s">
        <v>2147</v>
      </c>
      <c r="C912" s="2">
        <v>600</v>
      </c>
      <c r="D912" s="2">
        <v>100</v>
      </c>
      <c r="E912" s="2">
        <v>130</v>
      </c>
      <c r="F912" s="2">
        <v>70</v>
      </c>
      <c r="G912" s="21">
        <v>6</v>
      </c>
      <c r="H912" s="20"/>
      <c r="I912" s="20"/>
      <c r="J912" s="20"/>
      <c r="K912" s="86"/>
      <c r="L912" s="826"/>
      <c r="M912" s="20"/>
      <c r="N912" s="20"/>
      <c r="O912" s="20"/>
      <c r="P912" s="20"/>
      <c r="Q912" s="21"/>
      <c r="R912" s="22" t="s">
        <v>16</v>
      </c>
      <c r="S912" s="22">
        <v>2</v>
      </c>
      <c r="T912" s="753">
        <f t="shared" si="80"/>
        <v>1301.6239856425511</v>
      </c>
      <c r="U912" s="22">
        <v>0</v>
      </c>
      <c r="V912" s="20" t="str">
        <f t="shared" si="81"/>
        <v>K-600x130x100</v>
      </c>
    </row>
    <row r="913" spans="1:22">
      <c r="A913" s="85" t="s">
        <v>274</v>
      </c>
      <c r="B913" s="73" t="s">
        <v>2147</v>
      </c>
      <c r="C913" s="2">
        <v>650</v>
      </c>
      <c r="D913" s="2">
        <v>100</v>
      </c>
      <c r="E913" s="2">
        <v>150</v>
      </c>
      <c r="F913" s="2">
        <v>90</v>
      </c>
      <c r="G913" s="21">
        <v>7.8</v>
      </c>
      <c r="H913" s="20"/>
      <c r="I913" s="20"/>
      <c r="J913" s="20"/>
      <c r="K913" s="86"/>
      <c r="L913" s="826"/>
      <c r="M913" s="20"/>
      <c r="N913" s="20"/>
      <c r="O913" s="20"/>
      <c r="P913" s="20"/>
      <c r="Q913" s="21"/>
      <c r="R913" s="22" t="s">
        <v>16</v>
      </c>
      <c r="S913" s="22">
        <v>2</v>
      </c>
      <c r="T913" s="753">
        <f t="shared" si="80"/>
        <v>1626.7298484997441</v>
      </c>
      <c r="U913" s="22">
        <v>0</v>
      </c>
      <c r="V913" s="20" t="str">
        <f t="shared" si="81"/>
        <v>K-650x150x100</v>
      </c>
    </row>
    <row r="914" spans="1:22">
      <c r="A914" s="85" t="s">
        <v>275</v>
      </c>
      <c r="B914" s="73" t="s">
        <v>2147</v>
      </c>
      <c r="C914" s="2">
        <v>700</v>
      </c>
      <c r="D914" s="2">
        <v>100</v>
      </c>
      <c r="E914" s="2">
        <v>142</v>
      </c>
      <c r="F914" s="2">
        <v>82</v>
      </c>
      <c r="G914" s="21">
        <v>7.84</v>
      </c>
      <c r="H914" s="20"/>
      <c r="I914" s="20"/>
      <c r="J914" s="20"/>
      <c r="K914" s="86"/>
      <c r="L914" s="826"/>
      <c r="M914" s="20"/>
      <c r="N914" s="20"/>
      <c r="O914" s="20"/>
      <c r="P914" s="20"/>
      <c r="Q914" s="21"/>
      <c r="R914" s="22" t="s">
        <v>16</v>
      </c>
      <c r="S914" s="22">
        <v>2</v>
      </c>
      <c r="T914" s="753">
        <f t="shared" si="80"/>
        <v>1658.1873972637848</v>
      </c>
      <c r="U914" s="22">
        <v>0</v>
      </c>
      <c r="V914" s="20" t="str">
        <f t="shared" si="81"/>
        <v>K-700x142x100</v>
      </c>
    </row>
    <row r="915" spans="1:22" ht="14.25" customHeight="1">
      <c r="A915" s="85" t="s">
        <v>276</v>
      </c>
      <c r="B915" s="73" t="s">
        <v>2147</v>
      </c>
      <c r="C915" s="2">
        <v>750</v>
      </c>
      <c r="D915" s="2">
        <v>100</v>
      </c>
      <c r="E915" s="2">
        <v>112</v>
      </c>
      <c r="F915" s="2">
        <v>88</v>
      </c>
      <c r="G915" s="21">
        <v>7.5</v>
      </c>
      <c r="H915" s="20"/>
      <c r="I915" s="20"/>
      <c r="J915" s="20"/>
      <c r="K915" s="86"/>
      <c r="L915" s="826"/>
      <c r="M915" s="20"/>
      <c r="N915" s="20"/>
      <c r="O915" s="20"/>
      <c r="P915" s="20"/>
      <c r="Q915" s="21"/>
      <c r="R915" s="22" t="s">
        <v>16</v>
      </c>
      <c r="S915" s="22">
        <v>2</v>
      </c>
      <c r="T915" s="753">
        <f t="shared" si="80"/>
        <v>3500.4479713316696</v>
      </c>
      <c r="U915" s="22">
        <v>0</v>
      </c>
      <c r="V915" s="20" t="str">
        <f t="shared" si="81"/>
        <v>K-750x112x100</v>
      </c>
    </row>
    <row r="916" spans="1:22">
      <c r="A916" s="85" t="s">
        <v>277</v>
      </c>
      <c r="B916" s="73" t="s">
        <v>2147</v>
      </c>
      <c r="C916" s="2">
        <v>750</v>
      </c>
      <c r="D916" s="2">
        <v>100</v>
      </c>
      <c r="E916" s="2">
        <v>126</v>
      </c>
      <c r="F916" s="2">
        <v>99</v>
      </c>
      <c r="G916" s="21">
        <v>8.4380000000000006</v>
      </c>
      <c r="H916" s="20"/>
      <c r="I916" s="20"/>
      <c r="J916" s="20"/>
      <c r="K916" s="86"/>
      <c r="L916" s="826"/>
      <c r="M916" s="20"/>
      <c r="N916" s="20"/>
      <c r="O916" s="20"/>
      <c r="P916" s="20"/>
      <c r="Q916" s="21"/>
      <c r="R916" s="22" t="s">
        <v>16</v>
      </c>
      <c r="S916" s="22">
        <v>2</v>
      </c>
      <c r="T916" s="753">
        <f t="shared" si="80"/>
        <v>3500.5669540804388</v>
      </c>
      <c r="U916" s="22">
        <v>0</v>
      </c>
      <c r="V916" s="20" t="str">
        <f t="shared" si="81"/>
        <v>K-750x126x100</v>
      </c>
    </row>
    <row r="917" spans="1:22">
      <c r="A917" s="85" t="s">
        <v>278</v>
      </c>
      <c r="B917" s="73" t="s">
        <v>2147</v>
      </c>
      <c r="C917" s="2">
        <v>750</v>
      </c>
      <c r="D917" s="2">
        <v>100</v>
      </c>
      <c r="E917" s="2">
        <v>150</v>
      </c>
      <c r="F917" s="2">
        <v>90</v>
      </c>
      <c r="G917" s="21">
        <v>9</v>
      </c>
      <c r="H917" s="20"/>
      <c r="I917" s="20"/>
      <c r="J917" s="20"/>
      <c r="K917" s="86"/>
      <c r="L917" s="826"/>
      <c r="M917" s="20"/>
      <c r="N917" s="20"/>
      <c r="O917" s="20"/>
      <c r="P917" s="20"/>
      <c r="Q917" s="21"/>
      <c r="R917" s="22" t="s">
        <v>16</v>
      </c>
      <c r="S917" s="22">
        <v>2</v>
      </c>
      <c r="T917" s="753">
        <f t="shared" si="80"/>
        <v>1876.4994004795203</v>
      </c>
      <c r="U917" s="22">
        <v>0</v>
      </c>
      <c r="V917" s="20" t="str">
        <f t="shared" si="81"/>
        <v>K-750x150x100</v>
      </c>
    </row>
    <row r="918" spans="1:22" ht="14.25" customHeight="1">
      <c r="A918" s="85" t="s">
        <v>279</v>
      </c>
      <c r="B918" s="73" t="s">
        <v>2147</v>
      </c>
      <c r="C918" s="2">
        <v>800</v>
      </c>
      <c r="D918" s="2">
        <v>100</v>
      </c>
      <c r="E918" s="2">
        <v>107</v>
      </c>
      <c r="F918" s="2">
        <v>93</v>
      </c>
      <c r="G918" s="21">
        <v>8</v>
      </c>
      <c r="H918" s="20"/>
      <c r="I918" s="20"/>
      <c r="J918" s="20"/>
      <c r="K918" s="86"/>
      <c r="L918" s="826"/>
      <c r="M918" s="20"/>
      <c r="N918" s="20"/>
      <c r="O918" s="20"/>
      <c r="P918" s="20"/>
      <c r="Q918" s="21"/>
      <c r="R918" s="22" t="s">
        <v>16</v>
      </c>
      <c r="S918" s="22">
        <v>2</v>
      </c>
      <c r="T918" s="753">
        <f t="shared" si="80"/>
        <v>6114.5197723057836</v>
      </c>
      <c r="U918" s="22">
        <v>0</v>
      </c>
      <c r="V918" s="20" t="str">
        <f t="shared" si="81"/>
        <v>K-800x107x100</v>
      </c>
    </row>
    <row r="919" spans="1:22">
      <c r="A919" s="85" t="s">
        <v>280</v>
      </c>
      <c r="B919" s="73" t="s">
        <v>2147</v>
      </c>
      <c r="C919" s="2">
        <v>800</v>
      </c>
      <c r="D919" s="2">
        <v>100</v>
      </c>
      <c r="E919" s="2">
        <v>120</v>
      </c>
      <c r="F919" s="2">
        <v>105</v>
      </c>
      <c r="G919" s="21">
        <v>9</v>
      </c>
      <c r="H919" s="20"/>
      <c r="I919" s="20"/>
      <c r="J919" s="20"/>
      <c r="K919" s="86"/>
      <c r="L919" s="826"/>
      <c r="M919" s="20"/>
      <c r="N919" s="20"/>
      <c r="O919" s="20"/>
      <c r="P919" s="20"/>
      <c r="Q919" s="21"/>
      <c r="R919" s="22" t="s">
        <v>16</v>
      </c>
      <c r="S919" s="22">
        <v>2</v>
      </c>
      <c r="T919" s="753">
        <f t="shared" si="80"/>
        <v>6400.2812438204619</v>
      </c>
      <c r="U919" s="22">
        <v>0</v>
      </c>
      <c r="V919" s="20" t="str">
        <f t="shared" si="81"/>
        <v>K-800x120x100</v>
      </c>
    </row>
    <row r="920" spans="1:22">
      <c r="A920" s="85" t="s">
        <v>281</v>
      </c>
      <c r="B920" s="73" t="s">
        <v>2147</v>
      </c>
      <c r="C920" s="2">
        <v>800</v>
      </c>
      <c r="D920" s="2">
        <v>100</v>
      </c>
      <c r="E920" s="2">
        <v>112</v>
      </c>
      <c r="F920" s="2">
        <v>88</v>
      </c>
      <c r="G920" s="21">
        <v>8</v>
      </c>
      <c r="H920" s="20"/>
      <c r="I920" s="20"/>
      <c r="J920" s="20"/>
      <c r="K920" s="86"/>
      <c r="L920" s="826"/>
      <c r="M920" s="20"/>
      <c r="N920" s="20"/>
      <c r="O920" s="20"/>
      <c r="P920" s="20"/>
      <c r="Q920" s="21"/>
      <c r="R920" s="22" t="s">
        <v>16</v>
      </c>
      <c r="S920" s="22">
        <v>2</v>
      </c>
      <c r="T920" s="753">
        <f t="shared" si="80"/>
        <v>3733.7533097109913</v>
      </c>
      <c r="U920" s="22">
        <v>0</v>
      </c>
      <c r="V920" s="20" t="str">
        <f t="shared" si="81"/>
        <v>K-800x112x100</v>
      </c>
    </row>
    <row r="921" spans="1:22" ht="14.25" customHeight="1">
      <c r="A921" s="85" t="s">
        <v>282</v>
      </c>
      <c r="B921" s="73" t="s">
        <v>2147</v>
      </c>
      <c r="C921" s="2">
        <v>800</v>
      </c>
      <c r="D921" s="2">
        <v>100</v>
      </c>
      <c r="E921" s="2">
        <v>126</v>
      </c>
      <c r="F921" s="2">
        <v>99</v>
      </c>
      <c r="G921" s="21">
        <v>9</v>
      </c>
      <c r="H921" s="20"/>
      <c r="I921" s="20"/>
      <c r="J921" s="20"/>
      <c r="K921" s="86"/>
      <c r="L921" s="826"/>
      <c r="M921" s="20"/>
      <c r="N921" s="20"/>
      <c r="O921" s="20"/>
      <c r="P921" s="20"/>
      <c r="Q921" s="21"/>
      <c r="R921" s="22" t="s">
        <v>16</v>
      </c>
      <c r="S921" s="22">
        <v>2</v>
      </c>
      <c r="T921" s="753">
        <f t="shared" si="80"/>
        <v>3733.8648579960386</v>
      </c>
      <c r="U921" s="22">
        <v>0</v>
      </c>
      <c r="V921" s="20" t="str">
        <f t="shared" si="81"/>
        <v>K-800x126x100</v>
      </c>
    </row>
    <row r="922" spans="1:22">
      <c r="A922" s="85" t="s">
        <v>283</v>
      </c>
      <c r="B922" s="73" t="s">
        <v>2147</v>
      </c>
      <c r="C922" s="2">
        <v>800</v>
      </c>
      <c r="D922" s="2">
        <v>100</v>
      </c>
      <c r="E922" s="2">
        <v>120</v>
      </c>
      <c r="F922" s="2">
        <v>80</v>
      </c>
      <c r="G922" s="21">
        <v>8</v>
      </c>
      <c r="H922" s="20"/>
      <c r="I922" s="20"/>
      <c r="J922" s="20"/>
      <c r="K922" s="86"/>
      <c r="L922" s="826"/>
      <c r="M922" s="20"/>
      <c r="N922" s="20"/>
      <c r="O922" s="20"/>
      <c r="P922" s="20"/>
      <c r="Q922" s="21"/>
      <c r="R922" s="22" t="s">
        <v>16</v>
      </c>
      <c r="S922" s="22">
        <v>2</v>
      </c>
      <c r="T922" s="753">
        <f t="shared" si="80"/>
        <v>2400.7498828491071</v>
      </c>
      <c r="U922" s="22">
        <v>0</v>
      </c>
      <c r="V922" s="20" t="str">
        <f t="shared" si="81"/>
        <v>K-800x120x100</v>
      </c>
    </row>
    <row r="923" spans="1:22">
      <c r="A923" s="85" t="s">
        <v>284</v>
      </c>
      <c r="B923" s="73" t="s">
        <v>2147</v>
      </c>
      <c r="C923" s="2">
        <v>900</v>
      </c>
      <c r="D923" s="2">
        <v>100</v>
      </c>
      <c r="E923" s="2">
        <v>136</v>
      </c>
      <c r="F923" s="2">
        <v>76</v>
      </c>
      <c r="G923" s="21">
        <v>9.5399999999999991</v>
      </c>
      <c r="H923" s="20"/>
      <c r="I923" s="20"/>
      <c r="J923" s="20"/>
      <c r="K923" s="86"/>
      <c r="L923" s="826"/>
      <c r="M923" s="20"/>
      <c r="N923" s="20"/>
      <c r="O923" s="20"/>
      <c r="P923" s="20"/>
      <c r="Q923" s="21"/>
      <c r="R923" s="22" t="s">
        <v>16</v>
      </c>
      <c r="S923" s="22">
        <v>2</v>
      </c>
      <c r="T923" s="753">
        <f t="shared" si="80"/>
        <v>2041.1330186932944</v>
      </c>
      <c r="U923" s="22">
        <v>0</v>
      </c>
      <c r="V923" s="20" t="str">
        <f t="shared" si="81"/>
        <v>K-900x136x100</v>
      </c>
    </row>
    <row r="924" spans="1:22">
      <c r="A924" s="85" t="s">
        <v>285</v>
      </c>
      <c r="B924" s="73" t="s">
        <v>2147</v>
      </c>
      <c r="C924" s="2">
        <v>400</v>
      </c>
      <c r="D924" s="2">
        <v>98</v>
      </c>
      <c r="E924" s="2">
        <v>156.80000000000001</v>
      </c>
      <c r="F924" s="2">
        <v>136.80000000000001</v>
      </c>
      <c r="G924" s="21">
        <v>5.7880000000000003</v>
      </c>
      <c r="H924" s="20"/>
      <c r="I924" s="20"/>
      <c r="J924" s="20"/>
      <c r="K924" s="86"/>
      <c r="L924" s="826"/>
      <c r="M924" s="20"/>
      <c r="N924" s="20"/>
      <c r="O924" s="20"/>
      <c r="P924" s="20"/>
      <c r="Q924" s="21"/>
      <c r="R924" s="22" t="s">
        <v>16</v>
      </c>
      <c r="S924" s="22">
        <v>2</v>
      </c>
      <c r="T924" s="753">
        <f t="shared" si="80"/>
        <v>3136.9798469228335</v>
      </c>
      <c r="U924" s="22">
        <v>0</v>
      </c>
      <c r="V924" s="20" t="str">
        <f t="shared" si="81"/>
        <v>K-400x156,8x98</v>
      </c>
    </row>
    <row r="925" spans="1:22">
      <c r="A925" s="85" t="s">
        <v>286</v>
      </c>
      <c r="B925" s="289" t="s">
        <v>2145</v>
      </c>
      <c r="C925" s="2">
        <v>950</v>
      </c>
      <c r="D925" s="2">
        <v>150</v>
      </c>
      <c r="E925" s="2">
        <v>150</v>
      </c>
      <c r="F925" s="2">
        <v>150</v>
      </c>
      <c r="G925" s="21">
        <v>21.38</v>
      </c>
      <c r="H925" s="20"/>
      <c r="I925" s="20"/>
      <c r="J925" s="20"/>
      <c r="K925" s="86"/>
      <c r="L925" s="826"/>
      <c r="M925" s="20"/>
      <c r="N925" s="20"/>
      <c r="O925" s="20"/>
      <c r="P925" s="20"/>
      <c r="Q925" s="21"/>
      <c r="R925" s="22" t="s">
        <v>16</v>
      </c>
      <c r="S925" s="22">
        <v>2</v>
      </c>
      <c r="T925" s="753" t="str">
        <f t="shared" si="80"/>
        <v>-</v>
      </c>
      <c r="U925" s="22">
        <v>0</v>
      </c>
      <c r="V925" s="20" t="str">
        <f t="shared" si="81"/>
        <v>S-950x150x150</v>
      </c>
    </row>
    <row r="926" spans="1:22" ht="14.25" customHeight="1">
      <c r="A926" s="85" t="s">
        <v>287</v>
      </c>
      <c r="B926" s="73" t="s">
        <v>2147</v>
      </c>
      <c r="C926" s="2">
        <v>950</v>
      </c>
      <c r="D926" s="2">
        <v>150</v>
      </c>
      <c r="E926" s="2">
        <v>155</v>
      </c>
      <c r="F926" s="2">
        <v>145</v>
      </c>
      <c r="G926" s="21">
        <v>21.38</v>
      </c>
      <c r="H926" s="20"/>
      <c r="I926" s="20"/>
      <c r="J926" s="20"/>
      <c r="K926" s="86"/>
      <c r="L926" s="826"/>
      <c r="M926" s="20"/>
      <c r="N926" s="20"/>
      <c r="O926" s="20"/>
      <c r="P926" s="20"/>
      <c r="Q926" s="21"/>
      <c r="R926" s="22" t="s">
        <v>16</v>
      </c>
      <c r="S926" s="22">
        <v>2</v>
      </c>
      <c r="T926" s="753">
        <f t="shared" si="80"/>
        <v>14725.203945956064</v>
      </c>
      <c r="U926" s="22">
        <v>0</v>
      </c>
      <c r="V926" s="20" t="str">
        <f t="shared" si="81"/>
        <v>K-950x155x150</v>
      </c>
    </row>
    <row r="927" spans="1:22">
      <c r="A927" s="85" t="s">
        <v>288</v>
      </c>
      <c r="B927" s="73" t="s">
        <v>2147</v>
      </c>
      <c r="C927" s="2">
        <v>950</v>
      </c>
      <c r="D927" s="2">
        <v>150</v>
      </c>
      <c r="E927" s="2">
        <v>175</v>
      </c>
      <c r="F927" s="2">
        <v>125</v>
      </c>
      <c r="G927" s="21">
        <v>21.38</v>
      </c>
      <c r="H927" s="20"/>
      <c r="I927" s="20"/>
      <c r="J927" s="20"/>
      <c r="K927" s="86"/>
      <c r="L927" s="826"/>
      <c r="M927" s="20"/>
      <c r="N927" s="20"/>
      <c r="O927" s="20"/>
      <c r="P927" s="20"/>
      <c r="Q927" s="21"/>
      <c r="R927" s="22" t="s">
        <v>16</v>
      </c>
      <c r="S927" s="22">
        <v>2</v>
      </c>
      <c r="T927" s="753">
        <f t="shared" si="80"/>
        <v>3326.1511165309371</v>
      </c>
      <c r="U927" s="22">
        <v>0</v>
      </c>
      <c r="V927" s="20" t="str">
        <f t="shared" si="81"/>
        <v>K-950x175x150</v>
      </c>
    </row>
    <row r="928" spans="1:22">
      <c r="A928" s="85" t="s">
        <v>289</v>
      </c>
      <c r="B928" s="73" t="s">
        <v>2147</v>
      </c>
      <c r="C928" s="2">
        <v>1050</v>
      </c>
      <c r="D928" s="2">
        <v>150</v>
      </c>
      <c r="E928" s="2">
        <v>160</v>
      </c>
      <c r="F928" s="2">
        <v>140</v>
      </c>
      <c r="G928" s="21">
        <v>23.63</v>
      </c>
      <c r="H928" s="20"/>
      <c r="I928" s="20"/>
      <c r="J928" s="20"/>
      <c r="K928" s="86"/>
      <c r="L928" s="826"/>
      <c r="M928" s="20"/>
      <c r="N928" s="20"/>
      <c r="O928" s="20"/>
      <c r="P928" s="20"/>
      <c r="Q928" s="21"/>
      <c r="R928" s="22" t="s">
        <v>16</v>
      </c>
      <c r="S928" s="22">
        <v>2</v>
      </c>
      <c r="T928" s="753">
        <f t="shared" si="80"/>
        <v>8400.3809437429682</v>
      </c>
      <c r="U928" s="22">
        <v>0</v>
      </c>
      <c r="V928" s="20" t="str">
        <f t="shared" si="81"/>
        <v>K-1050x160x150</v>
      </c>
    </row>
    <row r="929" spans="1:22" ht="14.25" customHeight="1">
      <c r="A929" s="85" t="s">
        <v>290</v>
      </c>
      <c r="B929" s="73" t="s">
        <v>2147</v>
      </c>
      <c r="C929" s="2">
        <v>1050</v>
      </c>
      <c r="D929" s="2">
        <v>150</v>
      </c>
      <c r="E929" s="2">
        <v>180</v>
      </c>
      <c r="F929" s="2">
        <v>120</v>
      </c>
      <c r="G929" s="21">
        <v>23.63</v>
      </c>
      <c r="H929" s="20"/>
      <c r="I929" s="20"/>
      <c r="J929" s="20"/>
      <c r="K929" s="86"/>
      <c r="L929" s="826"/>
      <c r="M929" s="20"/>
      <c r="N929" s="20"/>
      <c r="O929" s="20"/>
      <c r="P929" s="20"/>
      <c r="Q929" s="21"/>
      <c r="R929" s="22" t="s">
        <v>16</v>
      </c>
      <c r="S929" s="22">
        <v>2</v>
      </c>
      <c r="T929" s="753">
        <f t="shared" si="80"/>
        <v>3151.2854520020874</v>
      </c>
      <c r="U929" s="22">
        <v>0</v>
      </c>
      <c r="V929" s="20" t="str">
        <f t="shared" si="81"/>
        <v>K-1050x180x150</v>
      </c>
    </row>
    <row r="930" spans="1:22">
      <c r="A930" s="85" t="s">
        <v>291</v>
      </c>
      <c r="B930" s="73" t="s">
        <v>2147</v>
      </c>
      <c r="C930" s="2">
        <v>1150</v>
      </c>
      <c r="D930" s="2">
        <v>150</v>
      </c>
      <c r="E930" s="2">
        <v>160</v>
      </c>
      <c r="F930" s="2">
        <v>140</v>
      </c>
      <c r="G930" s="21">
        <v>25.58</v>
      </c>
      <c r="H930" s="20"/>
      <c r="I930" s="20"/>
      <c r="J930" s="20"/>
      <c r="K930" s="86"/>
      <c r="L930" s="826"/>
      <c r="M930" s="20"/>
      <c r="N930" s="20"/>
      <c r="O930" s="20"/>
      <c r="P930" s="20"/>
      <c r="Q930" s="21"/>
      <c r="R930" s="22" t="s">
        <v>16</v>
      </c>
      <c r="S930" s="22">
        <v>2</v>
      </c>
      <c r="T930" s="753">
        <f t="shared" si="80"/>
        <v>9200.3478195120424</v>
      </c>
      <c r="U930" s="22">
        <v>0</v>
      </c>
      <c r="V930" s="20" t="str">
        <f t="shared" si="81"/>
        <v>K-1150x160x150</v>
      </c>
    </row>
    <row r="931" spans="1:22" ht="13.8" thickBot="1">
      <c r="A931" s="87" t="s">
        <v>292</v>
      </c>
      <c r="B931" s="77" t="s">
        <v>2147</v>
      </c>
      <c r="C931" s="78">
        <v>1150</v>
      </c>
      <c r="D931" s="78">
        <v>150</v>
      </c>
      <c r="E931" s="78">
        <v>180</v>
      </c>
      <c r="F931" s="78">
        <v>120</v>
      </c>
      <c r="G931" s="100">
        <v>25.58</v>
      </c>
      <c r="H931" s="79"/>
      <c r="I931" s="79"/>
      <c r="J931" s="79"/>
      <c r="K931" s="88"/>
      <c r="L931" s="827"/>
      <c r="M931" s="20"/>
      <c r="N931" s="20"/>
      <c r="O931" s="20"/>
      <c r="P931" s="20"/>
      <c r="Q931" s="21"/>
      <c r="R931" s="22" t="s">
        <v>16</v>
      </c>
      <c r="S931" s="22">
        <v>2</v>
      </c>
      <c r="T931" s="753">
        <f t="shared" si="80"/>
        <v>3451.1737133908514</v>
      </c>
      <c r="U931" s="22">
        <v>0</v>
      </c>
      <c r="V931" s="20" t="str">
        <f t="shared" si="81"/>
        <v>K-1150x180x150</v>
      </c>
    </row>
    <row r="932" spans="1:22" ht="13.8" thickBot="1">
      <c r="A932" s="77"/>
      <c r="B932" s="78"/>
      <c r="C932" s="78"/>
      <c r="D932" s="78"/>
      <c r="E932" s="78"/>
      <c r="F932" s="78"/>
      <c r="G932" s="100"/>
      <c r="H932" s="79"/>
      <c r="I932" s="79"/>
      <c r="J932" s="79"/>
      <c r="K932" s="79"/>
      <c r="L932" s="354"/>
      <c r="M932" s="20"/>
      <c r="N932" s="20"/>
      <c r="O932" s="20"/>
      <c r="P932" s="20"/>
      <c r="Q932" s="21"/>
      <c r="R932" s="22"/>
      <c r="S932" s="22"/>
      <c r="T932" s="20"/>
      <c r="U932" s="22"/>
      <c r="V932" s="20"/>
    </row>
    <row r="933" spans="1:22" ht="25.2" thickBot="1">
      <c r="A933" s="61" t="s">
        <v>641</v>
      </c>
      <c r="B933" s="69"/>
      <c r="C933" s="70"/>
      <c r="D933" s="70"/>
      <c r="E933" s="70"/>
      <c r="F933" s="70"/>
      <c r="G933" s="101"/>
      <c r="H933" s="70"/>
      <c r="I933" s="70"/>
      <c r="J933" s="70"/>
      <c r="K933" s="70"/>
      <c r="L933" s="90"/>
      <c r="M933" s="20"/>
      <c r="N933" s="20"/>
      <c r="O933" s="20"/>
      <c r="P933" s="20"/>
      <c r="Q933" s="21"/>
      <c r="R933" s="22"/>
      <c r="S933" s="22"/>
      <c r="T933" s="20"/>
      <c r="U933" s="22"/>
      <c r="V933" s="20"/>
    </row>
    <row r="934" spans="1:22" ht="15" customHeight="1">
      <c r="A934" s="82" t="s">
        <v>679</v>
      </c>
      <c r="B934" s="539" t="s">
        <v>2147</v>
      </c>
      <c r="C934" s="74">
        <v>101.6</v>
      </c>
      <c r="D934" s="74">
        <v>100</v>
      </c>
      <c r="E934" s="74">
        <v>155</v>
      </c>
      <c r="F934" s="74">
        <v>145</v>
      </c>
      <c r="G934" s="83">
        <v>1.53</v>
      </c>
      <c r="H934" s="75"/>
      <c r="I934" s="75"/>
      <c r="J934" s="75"/>
      <c r="K934" s="84"/>
      <c r="L934" s="825" t="s">
        <v>649</v>
      </c>
      <c r="M934" s="20"/>
      <c r="N934" s="20"/>
      <c r="O934" s="20"/>
      <c r="P934" s="20"/>
      <c r="Q934" s="21"/>
      <c r="R934" s="22" t="s">
        <v>16</v>
      </c>
      <c r="S934" s="22">
        <v>2</v>
      </c>
      <c r="T934" s="753">
        <f t="shared" ref="T934:T997" si="82">IF(E934=F934,"-",(E934/(E934-F934))*SQRT((C934^2)+((E934-F934)/2)^2))</f>
        <v>1576.7058349609797</v>
      </c>
      <c r="U934" s="22">
        <v>0</v>
      </c>
      <c r="V934" s="20" t="str">
        <f t="shared" ref="V934:V947" si="83">B934&amp;"-"&amp;C934&amp;"x"&amp;E934&amp;"x"&amp;D934</f>
        <v>K-101,6x155x100</v>
      </c>
    </row>
    <row r="935" spans="1:22">
      <c r="A935" s="85" t="s">
        <v>680</v>
      </c>
      <c r="B935" s="73" t="s">
        <v>2147</v>
      </c>
      <c r="C935" s="2">
        <v>101.6</v>
      </c>
      <c r="D935" s="2">
        <v>100</v>
      </c>
      <c r="E935" s="2">
        <v>165</v>
      </c>
      <c r="F935" s="2">
        <v>135</v>
      </c>
      <c r="G935" s="21">
        <v>1.53</v>
      </c>
      <c r="H935" s="20"/>
      <c r="I935" s="20"/>
      <c r="J935" s="20"/>
      <c r="K935" s="86"/>
      <c r="L935" s="826"/>
      <c r="M935" s="20"/>
      <c r="N935" s="20"/>
      <c r="O935" s="20"/>
      <c r="P935" s="20"/>
      <c r="Q935" s="21"/>
      <c r="R935" s="22" t="s">
        <v>16</v>
      </c>
      <c r="S935" s="22">
        <v>2</v>
      </c>
      <c r="T935" s="753">
        <f t="shared" si="82"/>
        <v>564.85722974925261</v>
      </c>
      <c r="U935" s="22">
        <v>0</v>
      </c>
      <c r="V935" s="20" t="str">
        <f t="shared" si="83"/>
        <v>K-101,6x165x100</v>
      </c>
    </row>
    <row r="936" spans="1:22">
      <c r="A936" s="85" t="s">
        <v>681</v>
      </c>
      <c r="B936" s="289" t="s">
        <v>2145</v>
      </c>
      <c r="C936" s="2">
        <v>127</v>
      </c>
      <c r="D936" s="2">
        <v>100</v>
      </c>
      <c r="E936" s="2">
        <v>150</v>
      </c>
      <c r="F936" s="2">
        <v>150</v>
      </c>
      <c r="G936" s="21">
        <v>1.905</v>
      </c>
      <c r="H936" s="20"/>
      <c r="I936" s="20"/>
      <c r="J936" s="20"/>
      <c r="K936" s="86"/>
      <c r="L936" s="826"/>
      <c r="M936" s="20"/>
      <c r="N936" s="20"/>
      <c r="O936" s="20"/>
      <c r="P936" s="20"/>
      <c r="Q936" s="21"/>
      <c r="R936" s="22" t="s">
        <v>16</v>
      </c>
      <c r="S936" s="22">
        <v>2</v>
      </c>
      <c r="T936" s="753" t="str">
        <f t="shared" si="82"/>
        <v>-</v>
      </c>
      <c r="U936" s="22">
        <v>0</v>
      </c>
      <c r="V936" s="20" t="str">
        <f t="shared" si="83"/>
        <v>S-127x150x100</v>
      </c>
    </row>
    <row r="937" spans="1:22">
      <c r="A937" s="85" t="s">
        <v>682</v>
      </c>
      <c r="B937" s="73" t="s">
        <v>2147</v>
      </c>
      <c r="C937" s="2">
        <v>127</v>
      </c>
      <c r="D937" s="2">
        <v>100</v>
      </c>
      <c r="E937" s="2">
        <v>153</v>
      </c>
      <c r="F937" s="2">
        <v>147</v>
      </c>
      <c r="G937" s="21">
        <v>1.905</v>
      </c>
      <c r="H937" s="20"/>
      <c r="I937" s="20"/>
      <c r="J937" s="20"/>
      <c r="K937" s="86"/>
      <c r="L937" s="826"/>
      <c r="M937" s="20"/>
      <c r="N937" s="20"/>
      <c r="O937" s="20"/>
      <c r="P937" s="20"/>
      <c r="Q937" s="21"/>
      <c r="R937" s="22" t="s">
        <v>16</v>
      </c>
      <c r="S937" s="22">
        <v>2</v>
      </c>
      <c r="T937" s="753">
        <f t="shared" si="82"/>
        <v>3239.4034172976976</v>
      </c>
      <c r="U937" s="22">
        <v>0</v>
      </c>
      <c r="V937" s="20" t="str">
        <f t="shared" si="83"/>
        <v>K-127x153x100</v>
      </c>
    </row>
    <row r="938" spans="1:22">
      <c r="A938" s="85" t="s">
        <v>683</v>
      </c>
      <c r="B938" s="73" t="s">
        <v>2147</v>
      </c>
      <c r="C938" s="2">
        <v>127</v>
      </c>
      <c r="D938" s="2">
        <v>100</v>
      </c>
      <c r="E938" s="2">
        <v>154</v>
      </c>
      <c r="F938" s="2">
        <v>146</v>
      </c>
      <c r="G938" s="21">
        <v>1.905</v>
      </c>
      <c r="H938" s="20"/>
      <c r="I938" s="20"/>
      <c r="J938" s="20"/>
      <c r="K938" s="86"/>
      <c r="L938" s="826"/>
      <c r="M938" s="20"/>
      <c r="N938" s="20"/>
      <c r="O938" s="20"/>
      <c r="P938" s="20"/>
      <c r="Q938" s="21"/>
      <c r="R938" s="22" t="s">
        <v>16</v>
      </c>
      <c r="S938" s="22">
        <v>2</v>
      </c>
      <c r="T938" s="753">
        <f t="shared" si="82"/>
        <v>2445.9622978492534</v>
      </c>
      <c r="U938" s="22">
        <v>0</v>
      </c>
      <c r="V938" s="20" t="str">
        <f t="shared" si="83"/>
        <v>K-127x154x100</v>
      </c>
    </row>
    <row r="939" spans="1:22">
      <c r="A939" s="85" t="s">
        <v>684</v>
      </c>
      <c r="B939" s="73" t="s">
        <v>2147</v>
      </c>
      <c r="C939" s="2">
        <v>127</v>
      </c>
      <c r="D939" s="2">
        <v>100</v>
      </c>
      <c r="E939" s="2">
        <v>160</v>
      </c>
      <c r="F939" s="2">
        <v>140</v>
      </c>
      <c r="G939" s="21">
        <v>1.905</v>
      </c>
      <c r="H939" s="20"/>
      <c r="I939" s="20"/>
      <c r="J939" s="20"/>
      <c r="K939" s="86"/>
      <c r="L939" s="826"/>
      <c r="M939" s="20"/>
      <c r="N939" s="20"/>
      <c r="O939" s="20"/>
      <c r="P939" s="20"/>
      <c r="Q939" s="21"/>
      <c r="R939" s="22" t="s">
        <v>16</v>
      </c>
      <c r="S939" s="22">
        <v>2</v>
      </c>
      <c r="T939" s="753">
        <f t="shared" si="82"/>
        <v>1019.1447394752131</v>
      </c>
      <c r="U939" s="22">
        <v>0</v>
      </c>
      <c r="V939" s="20" t="str">
        <f t="shared" si="83"/>
        <v>K-127x160x100</v>
      </c>
    </row>
    <row r="940" spans="1:22">
      <c r="A940" s="85" t="s">
        <v>685</v>
      </c>
      <c r="B940" s="73" t="s">
        <v>2147</v>
      </c>
      <c r="C940" s="2">
        <v>127</v>
      </c>
      <c r="D940" s="2">
        <v>100</v>
      </c>
      <c r="E940" s="2">
        <v>165</v>
      </c>
      <c r="F940" s="2">
        <v>135</v>
      </c>
      <c r="G940" s="21">
        <v>1.905</v>
      </c>
      <c r="H940" s="20"/>
      <c r="I940" s="20"/>
      <c r="J940" s="20"/>
      <c r="K940" s="86"/>
      <c r="L940" s="826"/>
      <c r="M940" s="20"/>
      <c r="N940" s="20"/>
      <c r="O940" s="20"/>
      <c r="P940" s="20"/>
      <c r="Q940" s="21"/>
      <c r="R940" s="22" t="s">
        <v>16</v>
      </c>
      <c r="S940" s="22">
        <v>2</v>
      </c>
      <c r="T940" s="753">
        <f t="shared" si="82"/>
        <v>703.35517343657898</v>
      </c>
      <c r="U940" s="22">
        <v>0</v>
      </c>
      <c r="V940" s="20" t="str">
        <f t="shared" si="83"/>
        <v>K-127x165x100</v>
      </c>
    </row>
    <row r="941" spans="1:22">
      <c r="A941" s="85" t="s">
        <v>686</v>
      </c>
      <c r="B941" s="73" t="s">
        <v>2147</v>
      </c>
      <c r="C941" s="2">
        <v>127</v>
      </c>
      <c r="D941" s="2">
        <v>100</v>
      </c>
      <c r="E941" s="2">
        <v>166</v>
      </c>
      <c r="F941" s="2">
        <v>134</v>
      </c>
      <c r="G941" s="21">
        <v>1.905</v>
      </c>
      <c r="H941" s="20"/>
      <c r="I941" s="20"/>
      <c r="J941" s="20"/>
      <c r="K941" s="86"/>
      <c r="L941" s="826"/>
      <c r="M941" s="20"/>
      <c r="N941" s="20"/>
      <c r="O941" s="20"/>
      <c r="P941" s="20"/>
      <c r="Q941" s="21"/>
      <c r="R941" s="22" t="s">
        <v>16</v>
      </c>
      <c r="S941" s="22">
        <v>2</v>
      </c>
      <c r="T941" s="753">
        <f t="shared" si="82"/>
        <v>664.02026336268534</v>
      </c>
      <c r="U941" s="22">
        <v>0</v>
      </c>
      <c r="V941" s="20" t="str">
        <f t="shared" si="83"/>
        <v>K-127x166x100</v>
      </c>
    </row>
    <row r="942" spans="1:22">
      <c r="A942" s="85" t="s">
        <v>687</v>
      </c>
      <c r="B942" s="73" t="s">
        <v>2147</v>
      </c>
      <c r="C942" s="2">
        <v>127</v>
      </c>
      <c r="D942" s="2">
        <v>100</v>
      </c>
      <c r="E942" s="2">
        <v>170</v>
      </c>
      <c r="F942" s="2">
        <v>130</v>
      </c>
      <c r="G942" s="21">
        <v>1.905</v>
      </c>
      <c r="H942" s="20"/>
      <c r="I942" s="20"/>
      <c r="J942" s="20"/>
      <c r="K942" s="86"/>
      <c r="L942" s="826"/>
      <c r="M942" s="20"/>
      <c r="N942" s="20"/>
      <c r="O942" s="20"/>
      <c r="P942" s="20"/>
      <c r="Q942" s="21"/>
      <c r="R942" s="22" t="s">
        <v>16</v>
      </c>
      <c r="S942" s="22">
        <v>2</v>
      </c>
      <c r="T942" s="753">
        <f t="shared" si="82"/>
        <v>546.40192395342103</v>
      </c>
      <c r="U942" s="22">
        <v>0</v>
      </c>
      <c r="V942" s="20" t="str">
        <f t="shared" si="83"/>
        <v>K-127x170x100</v>
      </c>
    </row>
    <row r="943" spans="1:22">
      <c r="A943" s="85" t="s">
        <v>688</v>
      </c>
      <c r="B943" s="73" t="s">
        <v>2147</v>
      </c>
      <c r="C943" s="2">
        <v>152</v>
      </c>
      <c r="D943" s="2">
        <v>100</v>
      </c>
      <c r="E943" s="2">
        <v>150</v>
      </c>
      <c r="F943" s="2">
        <v>150</v>
      </c>
      <c r="G943" s="21">
        <v>2.2799999999999998</v>
      </c>
      <c r="H943" s="20"/>
      <c r="I943" s="20"/>
      <c r="J943" s="20"/>
      <c r="K943" s="86"/>
      <c r="L943" s="826"/>
      <c r="M943" s="20"/>
      <c r="N943" s="20"/>
      <c r="O943" s="20"/>
      <c r="P943" s="20"/>
      <c r="Q943" s="21"/>
      <c r="R943" s="22" t="s">
        <v>16</v>
      </c>
      <c r="S943" s="22">
        <v>2</v>
      </c>
      <c r="T943" s="753" t="str">
        <f t="shared" si="82"/>
        <v>-</v>
      </c>
      <c r="U943" s="22">
        <v>0</v>
      </c>
      <c r="V943" s="20" t="str">
        <f t="shared" si="83"/>
        <v>K-152x150x100</v>
      </c>
    </row>
    <row r="944" spans="1:22">
      <c r="A944" s="85" t="s">
        <v>689</v>
      </c>
      <c r="B944" s="73" t="s">
        <v>2147</v>
      </c>
      <c r="C944" s="2">
        <v>152</v>
      </c>
      <c r="D944" s="2">
        <v>100</v>
      </c>
      <c r="E944" s="2">
        <v>152.69999999999999</v>
      </c>
      <c r="F944" s="2">
        <v>147.30000000000001</v>
      </c>
      <c r="G944" s="21">
        <v>2.2799999999999998</v>
      </c>
      <c r="H944" s="20"/>
      <c r="I944" s="20"/>
      <c r="J944" s="20"/>
      <c r="K944" s="86"/>
      <c r="L944" s="826"/>
      <c r="M944" s="20"/>
      <c r="N944" s="20"/>
      <c r="O944" s="20"/>
      <c r="P944" s="20"/>
      <c r="Q944" s="21"/>
      <c r="R944" s="22" t="s">
        <v>16</v>
      </c>
      <c r="S944" s="22">
        <v>2</v>
      </c>
      <c r="T944" s="753">
        <f t="shared" si="82"/>
        <v>4298.9002772924487</v>
      </c>
      <c r="U944" s="22">
        <v>0</v>
      </c>
      <c r="V944" s="20" t="str">
        <f t="shared" si="83"/>
        <v>K-152x152,7x100</v>
      </c>
    </row>
    <row r="945" spans="1:22">
      <c r="A945" s="85" t="s">
        <v>690</v>
      </c>
      <c r="B945" s="73" t="s">
        <v>2147</v>
      </c>
      <c r="C945" s="2">
        <v>152</v>
      </c>
      <c r="D945" s="2">
        <v>100</v>
      </c>
      <c r="E945" s="2">
        <v>154</v>
      </c>
      <c r="F945" s="2">
        <v>146</v>
      </c>
      <c r="G945" s="21">
        <v>2.2799999999999998</v>
      </c>
      <c r="H945" s="20"/>
      <c r="I945" s="20"/>
      <c r="J945" s="20"/>
      <c r="K945" s="86"/>
      <c r="L945" s="826"/>
      <c r="M945" s="20"/>
      <c r="N945" s="20"/>
      <c r="O945" s="20"/>
      <c r="P945" s="20"/>
      <c r="Q945" s="21"/>
      <c r="R945" s="22" t="s">
        <v>16</v>
      </c>
      <c r="S945" s="22">
        <v>2</v>
      </c>
      <c r="T945" s="753">
        <f t="shared" si="82"/>
        <v>2927.0129825472245</v>
      </c>
      <c r="U945" s="22">
        <v>0</v>
      </c>
      <c r="V945" s="20" t="str">
        <f t="shared" si="83"/>
        <v>K-152x154x100</v>
      </c>
    </row>
    <row r="946" spans="1:22">
      <c r="A946" s="85" t="s">
        <v>691</v>
      </c>
      <c r="B946" s="73" t="s">
        <v>2147</v>
      </c>
      <c r="C946" s="2">
        <v>152</v>
      </c>
      <c r="D946" s="2">
        <v>100</v>
      </c>
      <c r="E946" s="2">
        <v>155</v>
      </c>
      <c r="F946" s="2">
        <v>145</v>
      </c>
      <c r="G946" s="21">
        <v>2.2799999999999998</v>
      </c>
      <c r="H946" s="20"/>
      <c r="I946" s="20"/>
      <c r="J946" s="20"/>
      <c r="K946" s="86"/>
      <c r="L946" s="826"/>
      <c r="M946" s="20"/>
      <c r="N946" s="20"/>
      <c r="O946" s="20"/>
      <c r="P946" s="20"/>
      <c r="Q946" s="21"/>
      <c r="R946" s="22" t="s">
        <v>16</v>
      </c>
      <c r="S946" s="22">
        <v>2</v>
      </c>
      <c r="T946" s="753">
        <f t="shared" si="82"/>
        <v>2357.2743264202409</v>
      </c>
      <c r="U946" s="22">
        <v>0</v>
      </c>
      <c r="V946" s="20" t="str">
        <f t="shared" si="83"/>
        <v>K-152x155x100</v>
      </c>
    </row>
    <row r="947" spans="1:22">
      <c r="A947" s="85" t="s">
        <v>692</v>
      </c>
      <c r="B947" s="73" t="s">
        <v>2147</v>
      </c>
      <c r="C947" s="2">
        <v>152</v>
      </c>
      <c r="D947" s="2">
        <v>100</v>
      </c>
      <c r="E947" s="2">
        <v>156</v>
      </c>
      <c r="F947" s="2">
        <v>144</v>
      </c>
      <c r="G947" s="21">
        <v>2.2799999999999998</v>
      </c>
      <c r="H947" s="20"/>
      <c r="I947" s="20"/>
      <c r="J947" s="20"/>
      <c r="K947" s="86"/>
      <c r="L947" s="826"/>
      <c r="M947" s="20"/>
      <c r="N947" s="20"/>
      <c r="O947" s="20"/>
      <c r="P947" s="20"/>
      <c r="Q947" s="21"/>
      <c r="R947" s="22" t="s">
        <v>16</v>
      </c>
      <c r="S947" s="22">
        <v>2</v>
      </c>
      <c r="T947" s="753">
        <f t="shared" si="82"/>
        <v>1977.5388744598674</v>
      </c>
      <c r="U947" s="22"/>
      <c r="V947" s="20" t="str">
        <f t="shared" si="83"/>
        <v>K-152x156x100</v>
      </c>
    </row>
    <row r="948" spans="1:22">
      <c r="A948" s="85" t="s">
        <v>693</v>
      </c>
      <c r="B948" s="73" t="s">
        <v>2147</v>
      </c>
      <c r="C948" s="2">
        <v>152</v>
      </c>
      <c r="D948" s="2">
        <v>100</v>
      </c>
      <c r="E948" s="2">
        <v>156.5</v>
      </c>
      <c r="F948" s="2">
        <v>143.5</v>
      </c>
      <c r="G948" s="21">
        <v>2.2799999999999998</v>
      </c>
      <c r="H948" s="20"/>
      <c r="I948" s="20"/>
      <c r="J948" s="20"/>
      <c r="K948" s="86"/>
      <c r="L948" s="826"/>
      <c r="M948" s="20"/>
      <c r="N948" s="20"/>
      <c r="O948" s="20"/>
      <c r="P948" s="20"/>
      <c r="Q948" s="21"/>
      <c r="R948" s="22" t="s">
        <v>16</v>
      </c>
      <c r="S948" s="22">
        <v>2</v>
      </c>
      <c r="T948" s="753">
        <f t="shared" si="82"/>
        <v>1831.5184981991206</v>
      </c>
      <c r="U948" s="22">
        <v>0</v>
      </c>
      <c r="V948" s="20" t="str">
        <f t="shared" ref="V948:V978" si="84">B948&amp;"-"&amp;C948&amp;"x"&amp;E948&amp;"x"&amp;D948</f>
        <v>K-152x156,5x100</v>
      </c>
    </row>
    <row r="949" spans="1:22">
      <c r="A949" s="85" t="s">
        <v>694</v>
      </c>
      <c r="B949" s="73" t="s">
        <v>2147</v>
      </c>
      <c r="C949" s="2">
        <v>152</v>
      </c>
      <c r="D949" s="2">
        <v>100</v>
      </c>
      <c r="E949" s="2">
        <v>160</v>
      </c>
      <c r="F949" s="2">
        <v>140</v>
      </c>
      <c r="G949" s="21">
        <v>2.2799999999999998</v>
      </c>
      <c r="H949" s="20"/>
      <c r="I949" s="20"/>
      <c r="J949" s="20"/>
      <c r="K949" s="86"/>
      <c r="L949" s="826"/>
      <c r="M949" s="20"/>
      <c r="N949" s="20"/>
      <c r="O949" s="20"/>
      <c r="P949" s="20"/>
      <c r="Q949" s="21"/>
      <c r="R949" s="22" t="s">
        <v>16</v>
      </c>
      <c r="S949" s="22">
        <v>2</v>
      </c>
      <c r="T949" s="753">
        <f t="shared" si="82"/>
        <v>1218.6287375570953</v>
      </c>
      <c r="U949" s="22">
        <v>0</v>
      </c>
      <c r="V949" s="20" t="str">
        <f t="shared" si="84"/>
        <v>K-152x160x100</v>
      </c>
    </row>
    <row r="950" spans="1:22">
      <c r="A950" s="85" t="s">
        <v>695</v>
      </c>
      <c r="B950" s="73" t="s">
        <v>2147</v>
      </c>
      <c r="C950" s="2">
        <v>152</v>
      </c>
      <c r="D950" s="2">
        <v>100</v>
      </c>
      <c r="E950" s="2">
        <v>162.69999999999999</v>
      </c>
      <c r="F950" s="2">
        <v>137.30000000000001</v>
      </c>
      <c r="G950" s="21">
        <v>2.2799999999999998</v>
      </c>
      <c r="H950" s="20"/>
      <c r="I950" s="20"/>
      <c r="J950" s="20"/>
      <c r="K950" s="86"/>
      <c r="L950" s="826"/>
      <c r="M950" s="20"/>
      <c r="N950" s="20"/>
      <c r="O950" s="20"/>
      <c r="P950" s="20"/>
      <c r="Q950" s="21"/>
      <c r="R950" s="22" t="s">
        <v>16</v>
      </c>
      <c r="S950" s="22">
        <v>2</v>
      </c>
      <c r="T950" s="753">
        <f t="shared" si="82"/>
        <v>977.03038790465177</v>
      </c>
      <c r="U950" s="22">
        <v>0</v>
      </c>
      <c r="V950" s="20" t="str">
        <f t="shared" si="84"/>
        <v>K-152x162,7x100</v>
      </c>
    </row>
    <row r="951" spans="1:22">
      <c r="A951" s="85" t="s">
        <v>696</v>
      </c>
      <c r="B951" s="73" t="s">
        <v>2147</v>
      </c>
      <c r="C951" s="2">
        <v>152</v>
      </c>
      <c r="D951" s="2">
        <v>100</v>
      </c>
      <c r="E951" s="2">
        <v>165</v>
      </c>
      <c r="F951" s="2">
        <v>135</v>
      </c>
      <c r="G951" s="21">
        <v>2.2799999999999998</v>
      </c>
      <c r="H951" s="20"/>
      <c r="I951" s="20"/>
      <c r="J951" s="20"/>
      <c r="K951" s="86"/>
      <c r="L951" s="826"/>
      <c r="M951" s="20"/>
      <c r="N951" s="20"/>
      <c r="O951" s="20"/>
      <c r="P951" s="20"/>
      <c r="Q951" s="21"/>
      <c r="R951" s="22" t="s">
        <v>16</v>
      </c>
      <c r="S951" s="22">
        <v>2</v>
      </c>
      <c r="T951" s="753">
        <f t="shared" si="82"/>
        <v>840.06086089044754</v>
      </c>
      <c r="U951" s="22">
        <v>0</v>
      </c>
      <c r="V951" s="20" t="str">
        <f t="shared" si="84"/>
        <v>K-152x165x100</v>
      </c>
    </row>
    <row r="952" spans="1:22">
      <c r="A952" s="85" t="s">
        <v>697</v>
      </c>
      <c r="B952" s="73" t="s">
        <v>2147</v>
      </c>
      <c r="C952" s="2">
        <v>152</v>
      </c>
      <c r="D952" s="2">
        <v>100</v>
      </c>
      <c r="E952" s="2">
        <v>170</v>
      </c>
      <c r="F952" s="2">
        <v>130</v>
      </c>
      <c r="G952" s="21">
        <v>2.2799999999999998</v>
      </c>
      <c r="H952" s="20"/>
      <c r="I952" s="20"/>
      <c r="J952" s="20"/>
      <c r="K952" s="86"/>
      <c r="L952" s="826"/>
      <c r="M952" s="20"/>
      <c r="N952" s="20"/>
      <c r="O952" s="20"/>
      <c r="P952" s="20"/>
      <c r="Q952" s="21"/>
      <c r="R952" s="22" t="s">
        <v>16</v>
      </c>
      <c r="S952" s="22">
        <v>2</v>
      </c>
      <c r="T952" s="753">
        <f t="shared" si="82"/>
        <v>651.56810848905116</v>
      </c>
      <c r="U952" s="22">
        <v>0</v>
      </c>
      <c r="V952" s="20" t="str">
        <f t="shared" si="84"/>
        <v>K-152x170x100</v>
      </c>
    </row>
    <row r="953" spans="1:22">
      <c r="A953" s="85" t="s">
        <v>698</v>
      </c>
      <c r="B953" s="73" t="s">
        <v>2147</v>
      </c>
      <c r="C953" s="2">
        <v>178</v>
      </c>
      <c r="D953" s="2">
        <v>100</v>
      </c>
      <c r="E953" s="2">
        <v>154</v>
      </c>
      <c r="F953" s="2">
        <v>146</v>
      </c>
      <c r="G953" s="21">
        <v>2.67</v>
      </c>
      <c r="H953" s="20"/>
      <c r="I953" s="20"/>
      <c r="J953" s="20"/>
      <c r="K953" s="86"/>
      <c r="L953" s="826"/>
      <c r="M953" s="20"/>
      <c r="N953" s="20"/>
      <c r="O953" s="20"/>
      <c r="P953" s="20"/>
      <c r="Q953" s="21"/>
      <c r="R953" s="22" t="s">
        <v>16</v>
      </c>
      <c r="S953" s="22">
        <v>2</v>
      </c>
      <c r="T953" s="753">
        <f t="shared" si="82"/>
        <v>3427.3650593422349</v>
      </c>
      <c r="U953" s="22">
        <v>0</v>
      </c>
      <c r="V953" s="20" t="str">
        <f t="shared" si="84"/>
        <v>K-178x154x100</v>
      </c>
    </row>
    <row r="954" spans="1:22">
      <c r="A954" s="85" t="s">
        <v>699</v>
      </c>
      <c r="B954" s="73" t="s">
        <v>2147</v>
      </c>
      <c r="C954" s="2">
        <v>178</v>
      </c>
      <c r="D954" s="2">
        <v>100</v>
      </c>
      <c r="E954" s="2">
        <v>155</v>
      </c>
      <c r="F954" s="2">
        <v>145</v>
      </c>
      <c r="G954" s="21">
        <v>2.67</v>
      </c>
      <c r="H954" s="20"/>
      <c r="I954" s="20"/>
      <c r="J954" s="20"/>
      <c r="K954" s="86"/>
      <c r="L954" s="826"/>
      <c r="M954" s="20"/>
      <c r="N954" s="20"/>
      <c r="O954" s="20"/>
      <c r="P954" s="20"/>
      <c r="Q954" s="21"/>
      <c r="R954" s="22" t="s">
        <v>16</v>
      </c>
      <c r="S954" s="22">
        <v>2</v>
      </c>
      <c r="T954" s="753">
        <f t="shared" si="82"/>
        <v>2760.0882685160632</v>
      </c>
      <c r="U954" s="22">
        <v>0</v>
      </c>
      <c r="V954" s="20" t="str">
        <f t="shared" si="84"/>
        <v>K-178x155x100</v>
      </c>
    </row>
    <row r="955" spans="1:22">
      <c r="A955" s="85" t="s">
        <v>700</v>
      </c>
      <c r="B955" s="73" t="s">
        <v>2147</v>
      </c>
      <c r="C955" s="2">
        <v>178</v>
      </c>
      <c r="D955" s="2">
        <v>100</v>
      </c>
      <c r="E955" s="2">
        <v>159</v>
      </c>
      <c r="F955" s="2">
        <v>141</v>
      </c>
      <c r="G955" s="21">
        <v>2.67</v>
      </c>
      <c r="H955" s="20"/>
      <c r="I955" s="20"/>
      <c r="J955" s="20"/>
      <c r="K955" s="86"/>
      <c r="L955" s="826"/>
      <c r="M955" s="20"/>
      <c r="N955" s="20"/>
      <c r="O955" s="20"/>
      <c r="P955" s="20"/>
      <c r="Q955" s="21"/>
      <c r="R955" s="22" t="s">
        <v>16</v>
      </c>
      <c r="S955" s="22">
        <v>2</v>
      </c>
      <c r="T955" s="753">
        <f t="shared" si="82"/>
        <v>1574.3418819021208</v>
      </c>
      <c r="U955" s="22">
        <v>0</v>
      </c>
      <c r="V955" s="20" t="str">
        <f t="shared" si="84"/>
        <v>K-178x159x100</v>
      </c>
    </row>
    <row r="956" spans="1:22">
      <c r="A956" s="85" t="s">
        <v>701</v>
      </c>
      <c r="B956" s="73" t="s">
        <v>2147</v>
      </c>
      <c r="C956" s="2">
        <v>178</v>
      </c>
      <c r="D956" s="2">
        <v>100</v>
      </c>
      <c r="E956" s="2">
        <v>160</v>
      </c>
      <c r="F956" s="2">
        <v>140</v>
      </c>
      <c r="G956" s="21">
        <v>2.67</v>
      </c>
      <c r="H956" s="20"/>
      <c r="I956" s="20"/>
      <c r="J956" s="20"/>
      <c r="K956" s="86"/>
      <c r="L956" s="826"/>
      <c r="M956" s="20"/>
      <c r="N956" s="20"/>
      <c r="O956" s="20"/>
      <c r="P956" s="20"/>
      <c r="Q956" s="21"/>
      <c r="R956" s="22" t="s">
        <v>16</v>
      </c>
      <c r="S956" s="22">
        <v>2</v>
      </c>
      <c r="T956" s="753">
        <f t="shared" si="82"/>
        <v>1426.2454206762593</v>
      </c>
      <c r="U956" s="22">
        <v>0</v>
      </c>
      <c r="V956" s="20" t="str">
        <f t="shared" si="84"/>
        <v>K-178x160x100</v>
      </c>
    </row>
    <row r="957" spans="1:22">
      <c r="A957" s="85" t="s">
        <v>702</v>
      </c>
      <c r="B957" s="73" t="s">
        <v>2147</v>
      </c>
      <c r="C957" s="2">
        <v>178</v>
      </c>
      <c r="D957" s="2">
        <v>100</v>
      </c>
      <c r="E957" s="2">
        <v>165</v>
      </c>
      <c r="F957" s="2">
        <v>135</v>
      </c>
      <c r="G957" s="21">
        <v>2.67</v>
      </c>
      <c r="H957" s="20"/>
      <c r="I957" s="20"/>
      <c r="J957" s="20"/>
      <c r="K957" s="86"/>
      <c r="L957" s="826"/>
      <c r="M957" s="20"/>
      <c r="N957" s="20"/>
      <c r="O957" s="20"/>
      <c r="P957" s="20"/>
      <c r="Q957" s="21"/>
      <c r="R957" s="22" t="s">
        <v>16</v>
      </c>
      <c r="S957" s="22">
        <v>2</v>
      </c>
      <c r="T957" s="753">
        <f t="shared" si="82"/>
        <v>982.46997409590074</v>
      </c>
      <c r="U957" s="22">
        <v>0</v>
      </c>
      <c r="V957" s="20" t="str">
        <f t="shared" si="84"/>
        <v>K-178x165x100</v>
      </c>
    </row>
    <row r="958" spans="1:22">
      <c r="A958" s="85" t="s">
        <v>703</v>
      </c>
      <c r="B958" s="73" t="s">
        <v>2147</v>
      </c>
      <c r="C958" s="2">
        <v>178</v>
      </c>
      <c r="D958" s="2">
        <v>100</v>
      </c>
      <c r="E958" s="2">
        <v>170</v>
      </c>
      <c r="F958" s="2">
        <v>130</v>
      </c>
      <c r="G958" s="21">
        <v>2.67</v>
      </c>
      <c r="H958" s="20"/>
      <c r="I958" s="20"/>
      <c r="J958" s="20"/>
      <c r="K958" s="86"/>
      <c r="L958" s="826"/>
      <c r="M958" s="20"/>
      <c r="N958" s="20"/>
      <c r="O958" s="20"/>
      <c r="P958" s="20"/>
      <c r="Q958" s="21"/>
      <c r="R958" s="22" t="s">
        <v>16</v>
      </c>
      <c r="S958" s="22">
        <v>2</v>
      </c>
      <c r="T958" s="753">
        <f t="shared" si="82"/>
        <v>761.2603037069515</v>
      </c>
      <c r="U958" s="22">
        <v>0</v>
      </c>
      <c r="V958" s="20" t="str">
        <f t="shared" si="84"/>
        <v>K-178x170x100</v>
      </c>
    </row>
    <row r="959" spans="1:22">
      <c r="A959" s="85" t="s">
        <v>704</v>
      </c>
      <c r="B959" s="73" t="s">
        <v>2147</v>
      </c>
      <c r="C959" s="2">
        <v>203</v>
      </c>
      <c r="D959" s="2">
        <v>100</v>
      </c>
      <c r="E959" s="2">
        <v>150</v>
      </c>
      <c r="F959" s="2">
        <v>150</v>
      </c>
      <c r="G959" s="21">
        <v>3.0449999999999999</v>
      </c>
      <c r="H959" s="20"/>
      <c r="I959" s="20"/>
      <c r="J959" s="20"/>
      <c r="K959" s="86"/>
      <c r="L959" s="826"/>
      <c r="M959" s="20"/>
      <c r="N959" s="20"/>
      <c r="O959" s="20"/>
      <c r="P959" s="20"/>
      <c r="Q959" s="21"/>
      <c r="R959" s="22" t="s">
        <v>16</v>
      </c>
      <c r="S959" s="22">
        <v>2</v>
      </c>
      <c r="T959" s="753" t="str">
        <f t="shared" si="82"/>
        <v>-</v>
      </c>
      <c r="U959" s="22">
        <v>0</v>
      </c>
      <c r="V959" s="20" t="str">
        <f t="shared" si="84"/>
        <v>K-203x150x100</v>
      </c>
    </row>
    <row r="960" spans="1:22">
      <c r="A960" s="85" t="s">
        <v>705</v>
      </c>
      <c r="B960" s="73" t="s">
        <v>2147</v>
      </c>
      <c r="C960" s="2">
        <v>203</v>
      </c>
      <c r="D960" s="2">
        <v>100</v>
      </c>
      <c r="E960" s="2">
        <v>154</v>
      </c>
      <c r="F960" s="2">
        <v>146</v>
      </c>
      <c r="G960" s="21">
        <v>3.0449999999999999</v>
      </c>
      <c r="H960" s="20"/>
      <c r="I960" s="20"/>
      <c r="J960" s="20"/>
      <c r="K960" s="86"/>
      <c r="L960" s="826"/>
      <c r="M960" s="20"/>
      <c r="N960" s="20"/>
      <c r="O960" s="20"/>
      <c r="P960" s="20"/>
      <c r="Q960" s="21"/>
      <c r="R960" s="22" t="s">
        <v>16</v>
      </c>
      <c r="S960" s="22">
        <v>2</v>
      </c>
      <c r="T960" s="753">
        <f t="shared" si="82"/>
        <v>3908.5085470675385</v>
      </c>
      <c r="U960" s="22">
        <v>0</v>
      </c>
      <c r="V960" s="20" t="str">
        <f t="shared" si="84"/>
        <v>K-203x154x100</v>
      </c>
    </row>
    <row r="961" spans="1:22">
      <c r="A961" s="85" t="s">
        <v>706</v>
      </c>
      <c r="B961" s="73" t="s">
        <v>2147</v>
      </c>
      <c r="C961" s="2">
        <v>203</v>
      </c>
      <c r="D961" s="2">
        <v>100</v>
      </c>
      <c r="E961" s="2">
        <v>155</v>
      </c>
      <c r="F961" s="2">
        <v>145</v>
      </c>
      <c r="G961" s="21">
        <v>3.0449999999999999</v>
      </c>
      <c r="H961" s="20"/>
      <c r="I961" s="20"/>
      <c r="J961" s="20"/>
      <c r="K961" s="86"/>
      <c r="L961" s="826"/>
      <c r="M961" s="20"/>
      <c r="N961" s="20"/>
      <c r="O961" s="20"/>
      <c r="P961" s="20"/>
      <c r="Q961" s="21"/>
      <c r="R961" s="22" t="s">
        <v>16</v>
      </c>
      <c r="S961" s="22">
        <v>2</v>
      </c>
      <c r="T961" s="753">
        <f t="shared" si="82"/>
        <v>3147.4542887864154</v>
      </c>
      <c r="U961" s="22">
        <v>0</v>
      </c>
      <c r="V961" s="20" t="str">
        <f t="shared" si="84"/>
        <v>K-203x155x100</v>
      </c>
    </row>
    <row r="962" spans="1:22">
      <c r="A962" s="85" t="s">
        <v>707</v>
      </c>
      <c r="B962" s="73" t="s">
        <v>2147</v>
      </c>
      <c r="C962" s="2">
        <v>203</v>
      </c>
      <c r="D962" s="2">
        <v>100</v>
      </c>
      <c r="E962" s="2">
        <v>159.5</v>
      </c>
      <c r="F962" s="2">
        <v>140.5</v>
      </c>
      <c r="G962" s="21">
        <v>3.0449999999999999</v>
      </c>
      <c r="H962" s="20"/>
      <c r="I962" s="20"/>
      <c r="J962" s="20"/>
      <c r="K962" s="86"/>
      <c r="L962" s="826"/>
      <c r="M962" s="20"/>
      <c r="N962" s="20"/>
      <c r="O962" s="20"/>
      <c r="P962" s="20"/>
      <c r="Q962" s="21"/>
      <c r="R962" s="22" t="s">
        <v>16</v>
      </c>
      <c r="S962" s="22">
        <v>2</v>
      </c>
      <c r="T962" s="753">
        <f t="shared" si="82"/>
        <v>1705.9966297931689</v>
      </c>
      <c r="U962" s="22">
        <v>0</v>
      </c>
      <c r="V962" s="20" t="str">
        <f t="shared" si="84"/>
        <v>K-203x159,5x100</v>
      </c>
    </row>
    <row r="963" spans="1:22">
      <c r="A963" s="85" t="s">
        <v>708</v>
      </c>
      <c r="B963" s="73" t="s">
        <v>2147</v>
      </c>
      <c r="C963" s="2">
        <v>203</v>
      </c>
      <c r="D963" s="2">
        <v>100</v>
      </c>
      <c r="E963" s="2">
        <v>160</v>
      </c>
      <c r="F963" s="2">
        <v>140</v>
      </c>
      <c r="G963" s="21">
        <v>3.0449999999999999</v>
      </c>
      <c r="H963" s="20"/>
      <c r="I963" s="20"/>
      <c r="J963" s="20"/>
      <c r="K963" s="86"/>
      <c r="L963" s="826"/>
      <c r="M963" s="20"/>
      <c r="N963" s="20"/>
      <c r="O963" s="20"/>
      <c r="P963" s="20"/>
      <c r="Q963" s="21"/>
      <c r="R963" s="22" t="s">
        <v>16</v>
      </c>
      <c r="S963" s="22">
        <v>2</v>
      </c>
      <c r="T963" s="753">
        <f t="shared" si="82"/>
        <v>1625.9692494017222</v>
      </c>
      <c r="U963" s="22">
        <v>0</v>
      </c>
      <c r="V963" s="20" t="str">
        <f t="shared" si="84"/>
        <v>K-203x160x100</v>
      </c>
    </row>
    <row r="964" spans="1:22">
      <c r="A964" s="85" t="s">
        <v>709</v>
      </c>
      <c r="B964" s="73" t="s">
        <v>2147</v>
      </c>
      <c r="C964" s="2">
        <v>203</v>
      </c>
      <c r="D964" s="2">
        <v>100</v>
      </c>
      <c r="E964" s="2">
        <v>165</v>
      </c>
      <c r="F964" s="2">
        <v>135</v>
      </c>
      <c r="G964" s="21">
        <v>3.0449999999999999</v>
      </c>
      <c r="H964" s="20"/>
      <c r="I964" s="20"/>
      <c r="J964" s="20"/>
      <c r="K964" s="86"/>
      <c r="L964" s="826"/>
      <c r="M964" s="20"/>
      <c r="N964" s="20"/>
      <c r="O964" s="20"/>
      <c r="P964" s="20"/>
      <c r="Q964" s="21"/>
      <c r="R964" s="22" t="s">
        <v>16</v>
      </c>
      <c r="S964" s="22">
        <v>2</v>
      </c>
      <c r="T964" s="753">
        <f t="shared" si="82"/>
        <v>1119.543880336988</v>
      </c>
      <c r="U964" s="22">
        <v>0</v>
      </c>
      <c r="V964" s="20" t="str">
        <f t="shared" si="84"/>
        <v>K-203x165x100</v>
      </c>
    </row>
    <row r="965" spans="1:22">
      <c r="A965" s="85" t="s">
        <v>710</v>
      </c>
      <c r="B965" s="73" t="s">
        <v>2147</v>
      </c>
      <c r="C965" s="2">
        <v>203</v>
      </c>
      <c r="D965" s="2">
        <v>100</v>
      </c>
      <c r="E965" s="2">
        <v>170</v>
      </c>
      <c r="F965" s="2">
        <v>130</v>
      </c>
      <c r="G965" s="21">
        <v>3.0449999999999999</v>
      </c>
      <c r="H965" s="20"/>
      <c r="I965" s="20"/>
      <c r="J965" s="20"/>
      <c r="K965" s="86"/>
      <c r="L965" s="826"/>
      <c r="M965" s="20"/>
      <c r="N965" s="20"/>
      <c r="O965" s="20"/>
      <c r="P965" s="20"/>
      <c r="Q965" s="21"/>
      <c r="R965" s="22" t="s">
        <v>16</v>
      </c>
      <c r="S965" s="22">
        <v>2</v>
      </c>
      <c r="T965" s="753">
        <f t="shared" si="82"/>
        <v>866.92708026684681</v>
      </c>
      <c r="U965" s="22">
        <v>0</v>
      </c>
      <c r="V965" s="20" t="str">
        <f t="shared" si="84"/>
        <v>K-203x170x100</v>
      </c>
    </row>
    <row r="966" spans="1:22">
      <c r="A966" s="85" t="s">
        <v>711</v>
      </c>
      <c r="B966" s="73" t="s">
        <v>2147</v>
      </c>
      <c r="C966" s="2">
        <v>203</v>
      </c>
      <c r="D966" s="2">
        <v>100</v>
      </c>
      <c r="E966" s="2">
        <v>172.2</v>
      </c>
      <c r="F966" s="2">
        <v>127.8</v>
      </c>
      <c r="G966" s="21">
        <v>3.0449999999999999</v>
      </c>
      <c r="H966" s="20"/>
      <c r="I966" s="20"/>
      <c r="J966" s="20"/>
      <c r="K966" s="86"/>
      <c r="L966" s="826"/>
      <c r="M966" s="20"/>
      <c r="N966" s="20"/>
      <c r="O966" s="20"/>
      <c r="P966" s="20"/>
      <c r="Q966" s="21"/>
      <c r="R966" s="22" t="s">
        <v>16</v>
      </c>
      <c r="S966" s="22">
        <v>2</v>
      </c>
      <c r="T966" s="753">
        <f t="shared" si="82"/>
        <v>792.00474924054367</v>
      </c>
      <c r="U966" s="22">
        <v>0</v>
      </c>
      <c r="V966" s="20" t="str">
        <f t="shared" si="84"/>
        <v>K-203x172,2x100</v>
      </c>
    </row>
    <row r="967" spans="1:22">
      <c r="A967" s="85" t="s">
        <v>712</v>
      </c>
      <c r="B967" s="73" t="s">
        <v>2147</v>
      </c>
      <c r="C967" s="2">
        <v>229</v>
      </c>
      <c r="D967" s="2">
        <v>100</v>
      </c>
      <c r="E967" s="2">
        <v>150</v>
      </c>
      <c r="F967" s="2">
        <v>150</v>
      </c>
      <c r="G967" s="21">
        <v>3.4350000000000001</v>
      </c>
      <c r="H967" s="20"/>
      <c r="I967" s="20"/>
      <c r="J967" s="20"/>
      <c r="K967" s="86"/>
      <c r="L967" s="826"/>
      <c r="M967" s="20"/>
      <c r="N967" s="20"/>
      <c r="O967" s="20"/>
      <c r="P967" s="20"/>
      <c r="Q967" s="21"/>
      <c r="R967" s="22" t="s">
        <v>16</v>
      </c>
      <c r="S967" s="22">
        <v>2</v>
      </c>
      <c r="T967" s="753" t="str">
        <f t="shared" si="82"/>
        <v>-</v>
      </c>
      <c r="U967" s="22">
        <v>0</v>
      </c>
      <c r="V967" s="20" t="str">
        <f t="shared" si="84"/>
        <v>K-229x150x100</v>
      </c>
    </row>
    <row r="968" spans="1:22">
      <c r="A968" s="85" t="s">
        <v>713</v>
      </c>
      <c r="B968" s="73" t="s">
        <v>2147</v>
      </c>
      <c r="C968" s="2">
        <v>229</v>
      </c>
      <c r="D968" s="2">
        <v>100</v>
      </c>
      <c r="E968" s="2">
        <v>154</v>
      </c>
      <c r="F968" s="2">
        <v>146</v>
      </c>
      <c r="G968" s="21">
        <v>3.4350000000000001</v>
      </c>
      <c r="H968" s="20"/>
      <c r="I968" s="20"/>
      <c r="J968" s="20"/>
      <c r="K968" s="86"/>
      <c r="L968" s="826"/>
      <c r="M968" s="20"/>
      <c r="N968" s="20"/>
      <c r="O968" s="20"/>
      <c r="P968" s="20"/>
      <c r="Q968" s="21"/>
      <c r="R968" s="22" t="s">
        <v>16</v>
      </c>
      <c r="S968" s="22">
        <v>2</v>
      </c>
      <c r="T968" s="753">
        <f t="shared" si="82"/>
        <v>4408.9224377958835</v>
      </c>
      <c r="U968" s="22">
        <v>0</v>
      </c>
      <c r="V968" s="20" t="str">
        <f t="shared" si="84"/>
        <v>K-229x154x100</v>
      </c>
    </row>
    <row r="969" spans="1:22">
      <c r="A969" s="85" t="s">
        <v>714</v>
      </c>
      <c r="B969" s="73" t="s">
        <v>2147</v>
      </c>
      <c r="C969" s="2">
        <v>229</v>
      </c>
      <c r="D969" s="2">
        <v>100</v>
      </c>
      <c r="E969" s="2">
        <v>158</v>
      </c>
      <c r="F969" s="2">
        <v>142</v>
      </c>
      <c r="G969" s="21">
        <v>3.4350000000000001</v>
      </c>
      <c r="H969" s="20"/>
      <c r="I969" s="20"/>
      <c r="J969" s="20"/>
      <c r="K969" s="86"/>
      <c r="L969" s="826"/>
      <c r="M969" s="20"/>
      <c r="N969" s="20"/>
      <c r="O969" s="20"/>
      <c r="P969" s="20"/>
      <c r="Q969" s="21"/>
      <c r="R969" s="22" t="s">
        <v>16</v>
      </c>
      <c r="S969" s="22">
        <v>2</v>
      </c>
      <c r="T969" s="753">
        <f t="shared" si="82"/>
        <v>2262.7544919025131</v>
      </c>
      <c r="U969" s="22">
        <v>0</v>
      </c>
      <c r="V969" s="20" t="str">
        <f t="shared" si="84"/>
        <v>K-229x158x100</v>
      </c>
    </row>
    <row r="970" spans="1:22">
      <c r="A970" s="85" t="s">
        <v>715</v>
      </c>
      <c r="B970" s="73" t="s">
        <v>2147</v>
      </c>
      <c r="C970" s="2">
        <v>229</v>
      </c>
      <c r="D970" s="2">
        <v>100</v>
      </c>
      <c r="E970" s="2">
        <v>165</v>
      </c>
      <c r="F970" s="2">
        <v>135</v>
      </c>
      <c r="G970" s="21">
        <v>3.4350000000000001</v>
      </c>
      <c r="H970" s="20"/>
      <c r="I970" s="20"/>
      <c r="J970" s="20"/>
      <c r="K970" s="86"/>
      <c r="L970" s="826"/>
      <c r="M970" s="20"/>
      <c r="N970" s="20"/>
      <c r="O970" s="20"/>
      <c r="P970" s="20"/>
      <c r="Q970" s="21"/>
      <c r="R970" s="22" t="s">
        <v>16</v>
      </c>
      <c r="S970" s="22">
        <v>2</v>
      </c>
      <c r="T970" s="753">
        <f t="shared" si="82"/>
        <v>1262.1990730467203</v>
      </c>
      <c r="U970" s="22">
        <v>0</v>
      </c>
      <c r="V970" s="20" t="str">
        <f t="shared" si="84"/>
        <v>K-229x165x100</v>
      </c>
    </row>
    <row r="971" spans="1:22">
      <c r="A971" s="85" t="s">
        <v>716</v>
      </c>
      <c r="B971" s="73" t="s">
        <v>2147</v>
      </c>
      <c r="C971" s="2">
        <v>229</v>
      </c>
      <c r="D971" s="2">
        <v>100</v>
      </c>
      <c r="E971" s="2">
        <v>175</v>
      </c>
      <c r="F971" s="2">
        <v>125</v>
      </c>
      <c r="G971" s="21">
        <v>3.4350000000000001</v>
      </c>
      <c r="H971" s="20"/>
      <c r="I971" s="20"/>
      <c r="J971" s="20"/>
      <c r="K971" s="86"/>
      <c r="L971" s="826"/>
      <c r="M971" s="20"/>
      <c r="N971" s="20"/>
      <c r="O971" s="20"/>
      <c r="P971" s="20"/>
      <c r="Q971" s="21"/>
      <c r="R971" s="22" t="s">
        <v>16</v>
      </c>
      <c r="S971" s="22">
        <v>2</v>
      </c>
      <c r="T971" s="753">
        <f t="shared" si="82"/>
        <v>806.26205417345545</v>
      </c>
      <c r="U971" s="22">
        <v>0</v>
      </c>
      <c r="V971" s="20" t="str">
        <f t="shared" si="84"/>
        <v>K-229x175x100</v>
      </c>
    </row>
    <row r="972" spans="1:22">
      <c r="A972" s="85" t="s">
        <v>717</v>
      </c>
      <c r="B972" s="73" t="s">
        <v>2147</v>
      </c>
      <c r="C972" s="2">
        <v>178</v>
      </c>
      <c r="D972" s="2">
        <v>100</v>
      </c>
      <c r="E972" s="2">
        <v>110</v>
      </c>
      <c r="F972" s="2">
        <v>90</v>
      </c>
      <c r="G972" s="21">
        <v>1.78</v>
      </c>
      <c r="H972" s="20"/>
      <c r="I972" s="20"/>
      <c r="J972" s="20"/>
      <c r="K972" s="86"/>
      <c r="L972" s="826"/>
      <c r="M972" s="20"/>
      <c r="N972" s="20"/>
      <c r="O972" s="20"/>
      <c r="P972" s="20"/>
      <c r="Q972" s="21"/>
      <c r="R972" s="22" t="s">
        <v>16</v>
      </c>
      <c r="S972" s="22">
        <v>2</v>
      </c>
      <c r="T972" s="753">
        <f t="shared" si="82"/>
        <v>980.54372671492831</v>
      </c>
      <c r="U972" s="22">
        <v>0</v>
      </c>
      <c r="V972" s="20" t="str">
        <f t="shared" si="84"/>
        <v>K-178x110x100</v>
      </c>
    </row>
    <row r="973" spans="1:22">
      <c r="A973" s="85" t="s">
        <v>718</v>
      </c>
      <c r="B973" s="73" t="s">
        <v>2147</v>
      </c>
      <c r="C973" s="2">
        <v>178</v>
      </c>
      <c r="D973" s="2">
        <v>100</v>
      </c>
      <c r="E973" s="2">
        <v>122.5</v>
      </c>
      <c r="F973" s="2">
        <v>102.5</v>
      </c>
      <c r="G973" s="21">
        <v>2.0030000000000001</v>
      </c>
      <c r="H973" s="20"/>
      <c r="I973" s="20"/>
      <c r="J973" s="20"/>
      <c r="K973" s="86"/>
      <c r="L973" s="826"/>
      <c r="M973" s="20"/>
      <c r="N973" s="20"/>
      <c r="O973" s="20"/>
      <c r="P973" s="20"/>
      <c r="Q973" s="21"/>
      <c r="R973" s="22" t="s">
        <v>16</v>
      </c>
      <c r="S973" s="22">
        <v>2</v>
      </c>
      <c r="T973" s="753">
        <f t="shared" si="82"/>
        <v>1091.969150205261</v>
      </c>
      <c r="U973" s="22">
        <v>0</v>
      </c>
      <c r="V973" s="20" t="str">
        <f t="shared" si="84"/>
        <v>K-178x122,5x100</v>
      </c>
    </row>
    <row r="974" spans="1:22">
      <c r="A974" s="85" t="s">
        <v>719</v>
      </c>
      <c r="B974" s="73" t="s">
        <v>2147</v>
      </c>
      <c r="C974" s="2">
        <v>203</v>
      </c>
      <c r="D974" s="2">
        <v>100</v>
      </c>
      <c r="E974" s="2">
        <v>104</v>
      </c>
      <c r="F974" s="2">
        <v>96</v>
      </c>
      <c r="G974" s="21">
        <v>2.0299999999999998</v>
      </c>
      <c r="H974" s="20"/>
      <c r="I974" s="20"/>
      <c r="J974" s="20"/>
      <c r="K974" s="86"/>
      <c r="L974" s="826"/>
      <c r="M974" s="20"/>
      <c r="N974" s="20"/>
      <c r="O974" s="20"/>
      <c r="P974" s="20"/>
      <c r="Q974" s="21"/>
      <c r="R974" s="22" t="s">
        <v>16</v>
      </c>
      <c r="S974" s="22">
        <v>2</v>
      </c>
      <c r="T974" s="753">
        <f t="shared" si="82"/>
        <v>2639.5122655521036</v>
      </c>
      <c r="U974" s="22">
        <v>0</v>
      </c>
      <c r="V974" s="20" t="str">
        <f t="shared" si="84"/>
        <v>K-203x104x100</v>
      </c>
    </row>
    <row r="975" spans="1:22" ht="14.25" customHeight="1">
      <c r="A975" s="85" t="s">
        <v>720</v>
      </c>
      <c r="B975" s="73" t="s">
        <v>2147</v>
      </c>
      <c r="C975" s="2">
        <v>203</v>
      </c>
      <c r="D975" s="2">
        <v>100</v>
      </c>
      <c r="E975" s="2">
        <v>116.5</v>
      </c>
      <c r="F975" s="2">
        <v>108.5</v>
      </c>
      <c r="G975" s="21">
        <v>2.2839999999999998</v>
      </c>
      <c r="H975" s="20"/>
      <c r="I975" s="20"/>
      <c r="J975" s="20"/>
      <c r="K975" s="86"/>
      <c r="L975" s="826"/>
      <c r="M975" s="20"/>
      <c r="N975" s="20"/>
      <c r="O975" s="20"/>
      <c r="P975" s="20"/>
      <c r="Q975" s="21"/>
      <c r="R975" s="22" t="s">
        <v>16</v>
      </c>
      <c r="S975" s="22">
        <v>2</v>
      </c>
      <c r="T975" s="753">
        <f t="shared" si="82"/>
        <v>2956.7613359309626</v>
      </c>
      <c r="U975" s="22">
        <v>0</v>
      </c>
      <c r="V975" s="20" t="str">
        <f t="shared" si="84"/>
        <v>K-203x116,5x100</v>
      </c>
    </row>
    <row r="976" spans="1:22">
      <c r="A976" s="85" t="s">
        <v>721</v>
      </c>
      <c r="B976" s="73" t="s">
        <v>2147</v>
      </c>
      <c r="C976" s="2">
        <v>229</v>
      </c>
      <c r="D976" s="2">
        <v>100</v>
      </c>
      <c r="E976" s="2">
        <v>104</v>
      </c>
      <c r="F976" s="2">
        <v>96</v>
      </c>
      <c r="G976" s="21">
        <v>2.29</v>
      </c>
      <c r="H976" s="20"/>
      <c r="I976" s="20"/>
      <c r="J976" s="20"/>
      <c r="K976" s="86"/>
      <c r="L976" s="826"/>
      <c r="M976" s="20"/>
      <c r="N976" s="20"/>
      <c r="O976" s="20"/>
      <c r="P976" s="20"/>
      <c r="Q976" s="21"/>
      <c r="R976" s="22" t="s">
        <v>16</v>
      </c>
      <c r="S976" s="22">
        <v>2</v>
      </c>
      <c r="T976" s="753">
        <f t="shared" si="82"/>
        <v>2977.4541138361815</v>
      </c>
      <c r="U976" s="22">
        <v>0</v>
      </c>
      <c r="V976" s="20" t="str">
        <f t="shared" si="84"/>
        <v>K-229x104x100</v>
      </c>
    </row>
    <row r="977" spans="1:22">
      <c r="A977" s="85" t="s">
        <v>722</v>
      </c>
      <c r="B977" s="73" t="s">
        <v>2147</v>
      </c>
      <c r="C977" s="2">
        <v>229</v>
      </c>
      <c r="D977" s="2">
        <v>100</v>
      </c>
      <c r="E977" s="2">
        <v>116.5</v>
      </c>
      <c r="F977" s="2">
        <v>108.5</v>
      </c>
      <c r="G977" s="21">
        <v>2.5760000000000001</v>
      </c>
      <c r="H977" s="20"/>
      <c r="I977" s="20"/>
      <c r="J977" s="20"/>
      <c r="K977" s="86"/>
      <c r="L977" s="826"/>
      <c r="M977" s="20"/>
      <c r="N977" s="20"/>
      <c r="O977" s="20"/>
      <c r="P977" s="20"/>
      <c r="Q977" s="21"/>
      <c r="R977" s="22" t="s">
        <v>16</v>
      </c>
      <c r="S977" s="22">
        <v>2</v>
      </c>
      <c r="T977" s="753">
        <f t="shared" si="82"/>
        <v>3335.3211948261069</v>
      </c>
      <c r="U977" s="22">
        <v>0</v>
      </c>
      <c r="V977" s="20" t="str">
        <f t="shared" si="84"/>
        <v>K-229x116,5x100</v>
      </c>
    </row>
    <row r="978" spans="1:22" ht="13.8" thickBot="1">
      <c r="A978" s="87" t="s">
        <v>723</v>
      </c>
      <c r="B978" s="77" t="s">
        <v>2147</v>
      </c>
      <c r="C978" s="78">
        <v>152</v>
      </c>
      <c r="D978" s="78">
        <v>100</v>
      </c>
      <c r="E978" s="78">
        <v>154</v>
      </c>
      <c r="F978" s="78">
        <v>146</v>
      </c>
      <c r="G978" s="100">
        <v>1.7330000000000001</v>
      </c>
      <c r="H978" s="79"/>
      <c r="I978" s="79"/>
      <c r="J978" s="79"/>
      <c r="K978" s="88"/>
      <c r="L978" s="827"/>
      <c r="M978" s="20"/>
      <c r="N978" s="20"/>
      <c r="O978" s="20"/>
      <c r="P978" s="20"/>
      <c r="Q978" s="21"/>
      <c r="R978" s="22" t="s">
        <v>16</v>
      </c>
      <c r="S978" s="22">
        <v>2</v>
      </c>
      <c r="T978" s="753">
        <f t="shared" si="82"/>
        <v>2927.0129825472245</v>
      </c>
      <c r="U978" s="22">
        <v>0</v>
      </c>
      <c r="V978" s="20" t="str">
        <f t="shared" si="84"/>
        <v>K-152x154x100</v>
      </c>
    </row>
    <row r="979" spans="1:22" ht="25.2" thickBot="1">
      <c r="A979" s="61" t="s">
        <v>122</v>
      </c>
      <c r="B979" s="69"/>
      <c r="C979" s="70"/>
      <c r="D979" s="70"/>
      <c r="E979" s="70"/>
      <c r="F979" s="70"/>
      <c r="G979" s="101"/>
      <c r="H979" s="70"/>
      <c r="I979" s="70"/>
      <c r="J979" s="70"/>
      <c r="K979" s="70"/>
      <c r="L979" s="90"/>
      <c r="M979" s="20"/>
      <c r="N979" s="20"/>
      <c r="O979" s="20"/>
      <c r="P979" s="20"/>
      <c r="Q979" s="21"/>
      <c r="R979" s="22"/>
      <c r="S979" s="22"/>
      <c r="T979" s="20"/>
      <c r="U979" s="22"/>
      <c r="V979" s="20"/>
    </row>
    <row r="980" spans="1:22">
      <c r="A980" s="82" t="s">
        <v>724</v>
      </c>
      <c r="B980" s="539" t="s">
        <v>2147</v>
      </c>
      <c r="C980" s="74">
        <v>100</v>
      </c>
      <c r="D980" s="74">
        <v>100</v>
      </c>
      <c r="E980" s="74">
        <v>153</v>
      </c>
      <c r="F980" s="74">
        <v>147</v>
      </c>
      <c r="G980" s="83">
        <v>1.5</v>
      </c>
      <c r="H980" s="75"/>
      <c r="I980" s="75"/>
      <c r="J980" s="75"/>
      <c r="K980" s="84"/>
      <c r="L980" s="825" t="s">
        <v>122</v>
      </c>
      <c r="M980" s="20"/>
      <c r="N980" s="20"/>
      <c r="O980" s="20"/>
      <c r="P980" s="20"/>
      <c r="Q980" s="21"/>
      <c r="R980" s="22" t="s">
        <v>16</v>
      </c>
      <c r="S980" s="22">
        <v>2</v>
      </c>
      <c r="T980" s="753">
        <f t="shared" si="82"/>
        <v>2551.1472419286188</v>
      </c>
      <c r="U980" s="22">
        <v>0</v>
      </c>
      <c r="V980" s="20" t="str">
        <f t="shared" ref="V980:V1011" si="85">B980&amp;"-"&amp;C980&amp;"x"&amp;E980&amp;"x"&amp;D980</f>
        <v>K-100x153x100</v>
      </c>
    </row>
    <row r="981" spans="1:22">
      <c r="A981" s="85" t="s">
        <v>725</v>
      </c>
      <c r="B981" s="73" t="s">
        <v>2147</v>
      </c>
      <c r="C981" s="2">
        <v>100</v>
      </c>
      <c r="D981" s="2">
        <v>100</v>
      </c>
      <c r="E981" s="2">
        <v>160</v>
      </c>
      <c r="F981" s="2">
        <v>140</v>
      </c>
      <c r="G981" s="21">
        <v>1.5</v>
      </c>
      <c r="H981" s="20"/>
      <c r="I981" s="20"/>
      <c r="J981" s="20"/>
      <c r="K981" s="86"/>
      <c r="L981" s="826"/>
      <c r="M981" s="20"/>
      <c r="N981" s="20"/>
      <c r="O981" s="20"/>
      <c r="P981" s="20"/>
      <c r="Q981" s="21"/>
      <c r="R981" s="22" t="s">
        <v>16</v>
      </c>
      <c r="S981" s="22">
        <v>2</v>
      </c>
      <c r="T981" s="753">
        <f t="shared" si="82"/>
        <v>803.9900496896712</v>
      </c>
      <c r="U981" s="22">
        <v>0</v>
      </c>
      <c r="V981" s="20" t="str">
        <f t="shared" si="85"/>
        <v>K-100x160x100</v>
      </c>
    </row>
    <row r="982" spans="1:22">
      <c r="A982" s="85" t="s">
        <v>726</v>
      </c>
      <c r="B982" s="73" t="s">
        <v>2147</v>
      </c>
      <c r="C982" s="2">
        <v>130</v>
      </c>
      <c r="D982" s="2">
        <v>100</v>
      </c>
      <c r="E982" s="2">
        <v>153</v>
      </c>
      <c r="F982" s="2">
        <v>147</v>
      </c>
      <c r="G982" s="21">
        <v>1.95</v>
      </c>
      <c r="H982" s="20"/>
      <c r="I982" s="20"/>
      <c r="J982" s="20"/>
      <c r="K982" s="86"/>
      <c r="L982" s="826"/>
      <c r="M982" s="20"/>
      <c r="N982" s="20"/>
      <c r="O982" s="20"/>
      <c r="P982" s="20"/>
      <c r="Q982" s="21"/>
      <c r="R982" s="22" t="s">
        <v>16</v>
      </c>
      <c r="S982" s="22">
        <v>2</v>
      </c>
      <c r="T982" s="753">
        <f t="shared" si="82"/>
        <v>3315.8825748207673</v>
      </c>
      <c r="U982" s="22">
        <v>0</v>
      </c>
      <c r="V982" s="20" t="str">
        <f t="shared" si="85"/>
        <v>K-130x153x100</v>
      </c>
    </row>
    <row r="983" spans="1:22">
      <c r="A983" s="85" t="s">
        <v>727</v>
      </c>
      <c r="B983" s="73" t="s">
        <v>2147</v>
      </c>
      <c r="C983" s="2">
        <v>130</v>
      </c>
      <c r="D983" s="2">
        <v>100</v>
      </c>
      <c r="E983" s="2">
        <v>160</v>
      </c>
      <c r="F983" s="2">
        <v>140</v>
      </c>
      <c r="G983" s="21">
        <v>1.95</v>
      </c>
      <c r="H983" s="20"/>
      <c r="I983" s="20"/>
      <c r="J983" s="20"/>
      <c r="K983" s="86"/>
      <c r="L983" s="826"/>
      <c r="M983" s="20"/>
      <c r="N983" s="20"/>
      <c r="O983" s="20"/>
      <c r="P983" s="20"/>
      <c r="Q983" s="21"/>
      <c r="R983" s="22" t="s">
        <v>16</v>
      </c>
      <c r="S983" s="22">
        <v>2</v>
      </c>
      <c r="T983" s="753">
        <f t="shared" si="82"/>
        <v>1043.0723848324237</v>
      </c>
      <c r="U983" s="22">
        <v>0</v>
      </c>
      <c r="V983" s="20" t="str">
        <f t="shared" si="85"/>
        <v>K-130x160x100</v>
      </c>
    </row>
    <row r="984" spans="1:22">
      <c r="A984" s="85" t="s">
        <v>728</v>
      </c>
      <c r="B984" s="73" t="s">
        <v>2147</v>
      </c>
      <c r="C984" s="2">
        <v>130</v>
      </c>
      <c r="D984" s="2">
        <v>100</v>
      </c>
      <c r="E984" s="2">
        <v>165</v>
      </c>
      <c r="F984" s="2">
        <v>135</v>
      </c>
      <c r="G984" s="21">
        <v>1.95</v>
      </c>
      <c r="H984" s="20"/>
      <c r="I984" s="20"/>
      <c r="J984" s="20"/>
      <c r="K984" s="86"/>
      <c r="L984" s="826"/>
      <c r="M984" s="20"/>
      <c r="N984" s="20"/>
      <c r="O984" s="20"/>
      <c r="P984" s="20"/>
      <c r="Q984" s="21"/>
      <c r="R984" s="22" t="s">
        <v>16</v>
      </c>
      <c r="S984" s="22">
        <v>2</v>
      </c>
      <c r="T984" s="753">
        <f t="shared" si="82"/>
        <v>719.74387805663207</v>
      </c>
      <c r="U984" s="22">
        <v>0</v>
      </c>
      <c r="V984" s="20" t="str">
        <f t="shared" si="85"/>
        <v>K-130x165x100</v>
      </c>
    </row>
    <row r="985" spans="1:22">
      <c r="A985" s="85" t="s">
        <v>729</v>
      </c>
      <c r="B985" s="73" t="s">
        <v>2147</v>
      </c>
      <c r="C985" s="2">
        <v>130</v>
      </c>
      <c r="D985" s="2">
        <v>100</v>
      </c>
      <c r="E985" s="2">
        <v>170</v>
      </c>
      <c r="F985" s="2">
        <v>130</v>
      </c>
      <c r="G985" s="21">
        <v>1.95</v>
      </c>
      <c r="H985" s="20"/>
      <c r="I985" s="20"/>
      <c r="J985" s="20"/>
      <c r="K985" s="86"/>
      <c r="L985" s="826"/>
      <c r="M985" s="20"/>
      <c r="N985" s="20"/>
      <c r="O985" s="20"/>
      <c r="P985" s="20"/>
      <c r="Q985" s="21"/>
      <c r="R985" s="22" t="s">
        <v>16</v>
      </c>
      <c r="S985" s="22">
        <v>2</v>
      </c>
      <c r="T985" s="753">
        <f t="shared" si="82"/>
        <v>559.00022361355104</v>
      </c>
      <c r="U985" s="22">
        <v>0</v>
      </c>
      <c r="V985" s="20" t="str">
        <f t="shared" si="85"/>
        <v>K-130x170x100</v>
      </c>
    </row>
    <row r="986" spans="1:22">
      <c r="A986" s="85" t="s">
        <v>730</v>
      </c>
      <c r="B986" s="73" t="s">
        <v>2147</v>
      </c>
      <c r="C986" s="2">
        <v>140</v>
      </c>
      <c r="D986" s="2">
        <v>100</v>
      </c>
      <c r="E986" s="2">
        <v>154</v>
      </c>
      <c r="F986" s="2">
        <v>146</v>
      </c>
      <c r="G986" s="21">
        <v>2.1</v>
      </c>
      <c r="H986" s="20"/>
      <c r="I986" s="20"/>
      <c r="J986" s="20"/>
      <c r="K986" s="86"/>
      <c r="L986" s="826"/>
      <c r="M986" s="20"/>
      <c r="N986" s="20"/>
      <c r="O986" s="20"/>
      <c r="P986" s="20"/>
      <c r="Q986" s="21"/>
      <c r="R986" s="22" t="s">
        <v>16</v>
      </c>
      <c r="S986" s="22">
        <v>2</v>
      </c>
      <c r="T986" s="753">
        <f t="shared" si="82"/>
        <v>2696.099775601786</v>
      </c>
      <c r="U986" s="22">
        <v>0</v>
      </c>
      <c r="V986" s="20" t="str">
        <f t="shared" si="85"/>
        <v>K-140x154x100</v>
      </c>
    </row>
    <row r="987" spans="1:22">
      <c r="A987" s="85" t="s">
        <v>731</v>
      </c>
      <c r="B987" s="73" t="s">
        <v>2147</v>
      </c>
      <c r="C987" s="2">
        <v>140</v>
      </c>
      <c r="D987" s="2">
        <v>100</v>
      </c>
      <c r="E987" s="2">
        <v>160</v>
      </c>
      <c r="F987" s="2">
        <v>140</v>
      </c>
      <c r="G987" s="21">
        <v>2.1</v>
      </c>
      <c r="H987" s="20"/>
      <c r="I987" s="20"/>
      <c r="J987" s="20"/>
      <c r="K987" s="86"/>
      <c r="L987" s="826"/>
      <c r="M987" s="20"/>
      <c r="N987" s="20"/>
      <c r="O987" s="20"/>
      <c r="P987" s="20"/>
      <c r="Q987" s="21"/>
      <c r="R987" s="22" t="s">
        <v>16</v>
      </c>
      <c r="S987" s="22">
        <v>2</v>
      </c>
      <c r="T987" s="753">
        <f t="shared" si="82"/>
        <v>1122.853507809456</v>
      </c>
      <c r="U987" s="22">
        <v>0</v>
      </c>
      <c r="V987" s="20" t="str">
        <f t="shared" si="85"/>
        <v>K-140x160x100</v>
      </c>
    </row>
    <row r="988" spans="1:22">
      <c r="A988" s="85" t="s">
        <v>732</v>
      </c>
      <c r="B988" s="73" t="s">
        <v>2147</v>
      </c>
      <c r="C988" s="2">
        <v>150</v>
      </c>
      <c r="D988" s="2">
        <v>100</v>
      </c>
      <c r="E988" s="2">
        <v>153</v>
      </c>
      <c r="F988" s="2">
        <v>147</v>
      </c>
      <c r="G988" s="21">
        <v>2.25</v>
      </c>
      <c r="H988" s="20"/>
      <c r="I988" s="20"/>
      <c r="J988" s="20"/>
      <c r="K988" s="86"/>
      <c r="L988" s="826"/>
      <c r="M988" s="20"/>
      <c r="N988" s="20"/>
      <c r="O988" s="20"/>
      <c r="P988" s="20"/>
      <c r="Q988" s="21"/>
      <c r="R988" s="22" t="s">
        <v>16</v>
      </c>
      <c r="S988" s="22">
        <v>2</v>
      </c>
      <c r="T988" s="753">
        <f t="shared" si="82"/>
        <v>3825.7649235152962</v>
      </c>
      <c r="U988" s="22">
        <v>0</v>
      </c>
      <c r="V988" s="20" t="str">
        <f t="shared" si="85"/>
        <v>K-150x153x100</v>
      </c>
    </row>
    <row r="989" spans="1:22">
      <c r="A989" s="85" t="s">
        <v>733</v>
      </c>
      <c r="B989" s="73" t="s">
        <v>2147</v>
      </c>
      <c r="C989" s="2">
        <v>150</v>
      </c>
      <c r="D989" s="2">
        <v>100</v>
      </c>
      <c r="E989" s="2">
        <v>154</v>
      </c>
      <c r="F989" s="2">
        <v>146</v>
      </c>
      <c r="G989" s="21">
        <v>2.25</v>
      </c>
      <c r="H989" s="20"/>
      <c r="I989" s="20"/>
      <c r="J989" s="20"/>
      <c r="K989" s="86"/>
      <c r="L989" s="826"/>
      <c r="M989" s="20"/>
      <c r="N989" s="20"/>
      <c r="O989" s="20"/>
      <c r="P989" s="20"/>
      <c r="Q989" s="21"/>
      <c r="R989" s="22" t="s">
        <v>16</v>
      </c>
      <c r="S989" s="22">
        <v>2</v>
      </c>
      <c r="T989" s="753">
        <f t="shared" si="82"/>
        <v>2888.526484213015</v>
      </c>
      <c r="U989" s="22">
        <v>0</v>
      </c>
      <c r="V989" s="20" t="str">
        <f t="shared" si="85"/>
        <v>K-150x154x100</v>
      </c>
    </row>
    <row r="990" spans="1:22">
      <c r="A990" s="85" t="s">
        <v>734</v>
      </c>
      <c r="B990" s="73" t="s">
        <v>2147</v>
      </c>
      <c r="C990" s="2">
        <v>150</v>
      </c>
      <c r="D990" s="2">
        <v>100</v>
      </c>
      <c r="E990" s="2">
        <v>155</v>
      </c>
      <c r="F990" s="2">
        <v>145</v>
      </c>
      <c r="G990" s="21">
        <v>2.25</v>
      </c>
      <c r="H990" s="20"/>
      <c r="I990" s="20"/>
      <c r="J990" s="20"/>
      <c r="K990" s="86"/>
      <c r="L990" s="826"/>
      <c r="M990" s="20"/>
      <c r="N990" s="20"/>
      <c r="O990" s="20"/>
      <c r="P990" s="20"/>
      <c r="Q990" s="21"/>
      <c r="R990" s="22" t="s">
        <v>16</v>
      </c>
      <c r="S990" s="22">
        <v>2</v>
      </c>
      <c r="T990" s="753">
        <f t="shared" si="82"/>
        <v>2326.2913080695635</v>
      </c>
      <c r="U990" s="22">
        <v>0</v>
      </c>
      <c r="V990" s="20" t="str">
        <f t="shared" si="85"/>
        <v>K-150x155x100</v>
      </c>
    </row>
    <row r="991" spans="1:22">
      <c r="A991" s="85" t="s">
        <v>735</v>
      </c>
      <c r="B991" s="73" t="s">
        <v>2147</v>
      </c>
      <c r="C991" s="2">
        <v>150</v>
      </c>
      <c r="D991" s="2">
        <v>100</v>
      </c>
      <c r="E991" s="2">
        <v>156.5</v>
      </c>
      <c r="F991" s="2">
        <v>143.5</v>
      </c>
      <c r="G991" s="21">
        <v>2.25</v>
      </c>
      <c r="H991" s="20"/>
      <c r="I991" s="20"/>
      <c r="J991" s="20"/>
      <c r="K991" s="86"/>
      <c r="L991" s="826"/>
      <c r="M991" s="20"/>
      <c r="N991" s="20"/>
      <c r="O991" s="20"/>
      <c r="P991" s="20"/>
      <c r="Q991" s="21"/>
      <c r="R991" s="22" t="s">
        <v>16</v>
      </c>
      <c r="S991" s="22">
        <v>2</v>
      </c>
      <c r="T991" s="753">
        <f t="shared" si="82"/>
        <v>1807.4638522783516</v>
      </c>
      <c r="U991" s="22">
        <v>0</v>
      </c>
      <c r="V991" s="20" t="str">
        <f t="shared" si="85"/>
        <v>K-150x156,5x100</v>
      </c>
    </row>
    <row r="992" spans="1:22">
      <c r="A992" s="85" t="s">
        <v>736</v>
      </c>
      <c r="B992" s="73" t="s">
        <v>2147</v>
      </c>
      <c r="C992" s="2">
        <v>150</v>
      </c>
      <c r="D992" s="2">
        <v>100</v>
      </c>
      <c r="E992" s="2">
        <v>158</v>
      </c>
      <c r="F992" s="2">
        <v>142</v>
      </c>
      <c r="G992" s="21">
        <v>2.25</v>
      </c>
      <c r="H992" s="20"/>
      <c r="I992" s="20"/>
      <c r="J992" s="20"/>
      <c r="K992" s="86"/>
      <c r="L992" s="826"/>
      <c r="M992" s="20"/>
      <c r="N992" s="20"/>
      <c r="O992" s="20"/>
      <c r="P992" s="20"/>
      <c r="Q992" s="21"/>
      <c r="R992" s="22" t="s">
        <v>16</v>
      </c>
      <c r="S992" s="22">
        <v>2</v>
      </c>
      <c r="T992" s="753">
        <f t="shared" si="82"/>
        <v>1483.3551707194065</v>
      </c>
      <c r="U992" s="22">
        <v>0</v>
      </c>
      <c r="V992" s="20" t="str">
        <f t="shared" si="85"/>
        <v>K-150x158x100</v>
      </c>
    </row>
    <row r="993" spans="1:22">
      <c r="A993" s="85" t="s">
        <v>737</v>
      </c>
      <c r="B993" s="73" t="s">
        <v>2147</v>
      </c>
      <c r="C993" s="2">
        <v>150</v>
      </c>
      <c r="D993" s="2">
        <v>100</v>
      </c>
      <c r="E993" s="2">
        <v>160</v>
      </c>
      <c r="F993" s="2">
        <v>140</v>
      </c>
      <c r="G993" s="21">
        <v>2.25</v>
      </c>
      <c r="H993" s="20"/>
      <c r="I993" s="20"/>
      <c r="J993" s="20"/>
      <c r="K993" s="86"/>
      <c r="L993" s="826"/>
      <c r="M993" s="20"/>
      <c r="N993" s="20"/>
      <c r="O993" s="20"/>
      <c r="P993" s="20"/>
      <c r="Q993" s="21"/>
      <c r="R993" s="22" t="s">
        <v>16</v>
      </c>
      <c r="S993" s="22">
        <v>2</v>
      </c>
      <c r="T993" s="753">
        <f t="shared" si="82"/>
        <v>1202.6637102698326</v>
      </c>
      <c r="U993" s="22">
        <v>0</v>
      </c>
      <c r="V993" s="20" t="str">
        <f t="shared" si="85"/>
        <v>K-150x160x100</v>
      </c>
    </row>
    <row r="994" spans="1:22">
      <c r="A994" s="85" t="s">
        <v>738</v>
      </c>
      <c r="B994" s="73" t="s">
        <v>2147</v>
      </c>
      <c r="C994" s="2">
        <v>150</v>
      </c>
      <c r="D994" s="2">
        <v>100</v>
      </c>
      <c r="E994" s="2">
        <v>162.5</v>
      </c>
      <c r="F994" s="2">
        <v>137.5</v>
      </c>
      <c r="G994" s="21">
        <v>2.25</v>
      </c>
      <c r="H994" s="20"/>
      <c r="I994" s="20"/>
      <c r="J994" s="20"/>
      <c r="K994" s="86"/>
      <c r="L994" s="826"/>
      <c r="M994" s="20"/>
      <c r="N994" s="20"/>
      <c r="O994" s="20"/>
      <c r="P994" s="20"/>
      <c r="Q994" s="21"/>
      <c r="R994" s="22" t="s">
        <v>16</v>
      </c>
      <c r="S994" s="22">
        <v>2</v>
      </c>
      <c r="T994" s="753">
        <f t="shared" si="82"/>
        <v>978.37955952687412</v>
      </c>
      <c r="U994" s="22">
        <v>0</v>
      </c>
      <c r="V994" s="20" t="str">
        <f t="shared" si="85"/>
        <v>K-150x162,5x100</v>
      </c>
    </row>
    <row r="995" spans="1:22">
      <c r="A995" s="85" t="s">
        <v>739</v>
      </c>
      <c r="B995" s="73" t="s">
        <v>2147</v>
      </c>
      <c r="C995" s="2">
        <v>150</v>
      </c>
      <c r="D995" s="2">
        <v>100</v>
      </c>
      <c r="E995" s="2">
        <v>165</v>
      </c>
      <c r="F995" s="2">
        <v>135</v>
      </c>
      <c r="G995" s="21">
        <v>2.25</v>
      </c>
      <c r="H995" s="20"/>
      <c r="I995" s="20"/>
      <c r="J995" s="20"/>
      <c r="K995" s="86"/>
      <c r="L995" s="826"/>
      <c r="M995" s="20"/>
      <c r="N995" s="20"/>
      <c r="O995" s="20"/>
      <c r="P995" s="20"/>
      <c r="Q995" s="21"/>
      <c r="R995" s="22" t="s">
        <v>16</v>
      </c>
      <c r="S995" s="22">
        <v>2</v>
      </c>
      <c r="T995" s="753">
        <f t="shared" si="82"/>
        <v>829.11473874247338</v>
      </c>
      <c r="U995" s="22">
        <v>0</v>
      </c>
      <c r="V995" s="20" t="str">
        <f t="shared" si="85"/>
        <v>K-150x165x100</v>
      </c>
    </row>
    <row r="996" spans="1:22">
      <c r="A996" s="85" t="s">
        <v>740</v>
      </c>
      <c r="B996" s="73" t="s">
        <v>2147</v>
      </c>
      <c r="C996" s="2">
        <v>150</v>
      </c>
      <c r="D996" s="2">
        <v>100</v>
      </c>
      <c r="E996" s="2">
        <v>170</v>
      </c>
      <c r="F996" s="2">
        <v>130</v>
      </c>
      <c r="G996" s="21">
        <v>2.25</v>
      </c>
      <c r="H996" s="20"/>
      <c r="I996" s="20"/>
      <c r="J996" s="20"/>
      <c r="K996" s="86"/>
      <c r="L996" s="826"/>
      <c r="M996" s="20"/>
      <c r="N996" s="20"/>
      <c r="O996" s="20"/>
      <c r="P996" s="20"/>
      <c r="Q996" s="21"/>
      <c r="R996" s="22" t="s">
        <v>16</v>
      </c>
      <c r="S996" s="22">
        <v>2</v>
      </c>
      <c r="T996" s="753">
        <f t="shared" si="82"/>
        <v>643.14170289291621</v>
      </c>
      <c r="U996" s="22">
        <v>0</v>
      </c>
      <c r="V996" s="20" t="str">
        <f t="shared" si="85"/>
        <v>K-150x170x100</v>
      </c>
    </row>
    <row r="997" spans="1:22">
      <c r="A997" s="85" t="s">
        <v>741</v>
      </c>
      <c r="B997" s="73" t="s">
        <v>2147</v>
      </c>
      <c r="C997" s="2">
        <v>150</v>
      </c>
      <c r="D997" s="2">
        <v>100</v>
      </c>
      <c r="E997" s="2">
        <v>185</v>
      </c>
      <c r="F997" s="2">
        <v>115</v>
      </c>
      <c r="G997" s="21">
        <v>2.25</v>
      </c>
      <c r="H997" s="20"/>
      <c r="I997" s="20"/>
      <c r="J997" s="20"/>
      <c r="K997" s="86"/>
      <c r="L997" s="826"/>
      <c r="M997" s="20"/>
      <c r="N997" s="20"/>
      <c r="O997" s="20"/>
      <c r="P997" s="20"/>
      <c r="Q997" s="21"/>
      <c r="R997" s="22" t="s">
        <v>16</v>
      </c>
      <c r="S997" s="22">
        <v>2</v>
      </c>
      <c r="T997" s="753">
        <f t="shared" si="82"/>
        <v>407.07721901980455</v>
      </c>
      <c r="U997" s="22">
        <v>0</v>
      </c>
      <c r="V997" s="20" t="str">
        <f t="shared" si="85"/>
        <v>K-150x185x100</v>
      </c>
    </row>
    <row r="998" spans="1:22">
      <c r="A998" s="85" t="s">
        <v>742</v>
      </c>
      <c r="B998" s="73" t="s">
        <v>2147</v>
      </c>
      <c r="C998" s="2">
        <v>170</v>
      </c>
      <c r="D998" s="2">
        <v>100</v>
      </c>
      <c r="E998" s="2">
        <v>155</v>
      </c>
      <c r="F998" s="2">
        <v>145</v>
      </c>
      <c r="G998" s="21">
        <v>2.5499999999999998</v>
      </c>
      <c r="H998" s="20"/>
      <c r="I998" s="20"/>
      <c r="J998" s="20"/>
      <c r="K998" s="86"/>
      <c r="L998" s="826"/>
      <c r="M998" s="20"/>
      <c r="N998" s="20"/>
      <c r="O998" s="20"/>
      <c r="P998" s="20"/>
      <c r="Q998" s="21"/>
      <c r="R998" s="22" t="s">
        <v>16</v>
      </c>
      <c r="S998" s="22">
        <v>2</v>
      </c>
      <c r="T998" s="753">
        <f t="shared" ref="T998:T1039" si="86">IF(E998=F998,"-",(E998/(E998-F998))*SQRT((C998^2)+((E998-F998)/2)^2))</f>
        <v>2636.1394595127167</v>
      </c>
      <c r="U998" s="22">
        <v>0</v>
      </c>
      <c r="V998" s="20" t="str">
        <f t="shared" si="85"/>
        <v>K-170x155x100</v>
      </c>
    </row>
    <row r="999" spans="1:22">
      <c r="A999" s="85" t="s">
        <v>743</v>
      </c>
      <c r="B999" s="73" t="s">
        <v>2147</v>
      </c>
      <c r="C999" s="2">
        <v>170</v>
      </c>
      <c r="D999" s="2">
        <v>100</v>
      </c>
      <c r="E999" s="2">
        <v>157.5</v>
      </c>
      <c r="F999" s="2">
        <v>142.5</v>
      </c>
      <c r="G999" s="21">
        <v>2.5499999999999998</v>
      </c>
      <c r="H999" s="20"/>
      <c r="I999" s="20"/>
      <c r="J999" s="20"/>
      <c r="K999" s="86"/>
      <c r="L999" s="826"/>
      <c r="M999" s="20"/>
      <c r="N999" s="20"/>
      <c r="O999" s="20"/>
      <c r="P999" s="20"/>
      <c r="Q999" s="21"/>
      <c r="R999" s="22" t="s">
        <v>16</v>
      </c>
      <c r="S999" s="22">
        <v>2</v>
      </c>
      <c r="T999" s="753">
        <f t="shared" si="86"/>
        <v>1786.7362879003717</v>
      </c>
      <c r="U999" s="22">
        <v>0</v>
      </c>
      <c r="V999" s="20" t="str">
        <f t="shared" si="85"/>
        <v>K-170x157,5x100</v>
      </c>
    </row>
    <row r="1000" spans="1:22">
      <c r="A1000" s="85" t="s">
        <v>744</v>
      </c>
      <c r="B1000" s="73" t="s">
        <v>2147</v>
      </c>
      <c r="C1000" s="2">
        <v>170</v>
      </c>
      <c r="D1000" s="2">
        <v>100</v>
      </c>
      <c r="E1000" s="2">
        <v>164</v>
      </c>
      <c r="F1000" s="2">
        <v>136</v>
      </c>
      <c r="G1000" s="21">
        <v>2.5499999999999998</v>
      </c>
      <c r="H1000" s="20"/>
      <c r="I1000" s="20"/>
      <c r="J1000" s="20"/>
      <c r="K1000" s="86"/>
      <c r="L1000" s="826"/>
      <c r="M1000" s="20"/>
      <c r="N1000" s="20"/>
      <c r="O1000" s="20"/>
      <c r="P1000" s="20"/>
      <c r="Q1000" s="21"/>
      <c r="R1000" s="22" t="s">
        <v>16</v>
      </c>
      <c r="S1000" s="22">
        <v>2</v>
      </c>
      <c r="T1000" s="753">
        <f t="shared" si="86"/>
        <v>999.08505082175566</v>
      </c>
      <c r="U1000" s="22">
        <v>0</v>
      </c>
      <c r="V1000" s="20" t="str">
        <f t="shared" si="85"/>
        <v>K-170x164x100</v>
      </c>
    </row>
    <row r="1001" spans="1:22">
      <c r="A1001" s="85" t="s">
        <v>745</v>
      </c>
      <c r="B1001" s="73" t="s">
        <v>2147</v>
      </c>
      <c r="C1001" s="2">
        <v>170</v>
      </c>
      <c r="D1001" s="2">
        <v>100</v>
      </c>
      <c r="E1001" s="2">
        <v>167.5</v>
      </c>
      <c r="F1001" s="2">
        <v>132.5</v>
      </c>
      <c r="G1001" s="21">
        <v>2.5499999999999998</v>
      </c>
      <c r="H1001" s="20"/>
      <c r="I1001" s="20"/>
      <c r="J1001" s="20"/>
      <c r="K1001" s="86"/>
      <c r="L1001" s="826"/>
      <c r="M1001" s="20"/>
      <c r="N1001" s="20"/>
      <c r="O1001" s="20"/>
      <c r="P1001" s="20"/>
      <c r="Q1001" s="21"/>
      <c r="R1001" s="22" t="s">
        <v>16</v>
      </c>
      <c r="S1001" s="22">
        <v>2</v>
      </c>
      <c r="T1001" s="753">
        <f t="shared" si="86"/>
        <v>817.87073054838868</v>
      </c>
      <c r="U1001" s="22">
        <v>0</v>
      </c>
      <c r="V1001" s="20" t="str">
        <f t="shared" si="85"/>
        <v>K-170x167,5x100</v>
      </c>
    </row>
    <row r="1002" spans="1:22">
      <c r="A1002" s="85" t="s">
        <v>746</v>
      </c>
      <c r="B1002" s="73" t="s">
        <v>2147</v>
      </c>
      <c r="C1002" s="2">
        <v>170</v>
      </c>
      <c r="D1002" s="2">
        <v>100</v>
      </c>
      <c r="E1002" s="2">
        <v>170</v>
      </c>
      <c r="F1002" s="2">
        <v>130</v>
      </c>
      <c r="G1002" s="21">
        <v>2.5499999999999998</v>
      </c>
      <c r="H1002" s="20"/>
      <c r="I1002" s="20"/>
      <c r="J1002" s="20"/>
      <c r="K1002" s="86"/>
      <c r="L1002" s="826"/>
      <c r="M1002" s="20"/>
      <c r="N1002" s="20"/>
      <c r="O1002" s="20"/>
      <c r="P1002" s="20"/>
      <c r="Q1002" s="21"/>
      <c r="R1002" s="22" t="s">
        <v>16</v>
      </c>
      <c r="S1002" s="22">
        <v>2</v>
      </c>
      <c r="T1002" s="753">
        <f t="shared" si="86"/>
        <v>727.48281766650678</v>
      </c>
      <c r="U1002" s="22">
        <v>0</v>
      </c>
      <c r="V1002" s="20" t="str">
        <f t="shared" si="85"/>
        <v>K-170x170x100</v>
      </c>
    </row>
    <row r="1003" spans="1:22">
      <c r="A1003" s="85" t="s">
        <v>747</v>
      </c>
      <c r="B1003" s="73" t="s">
        <v>2147</v>
      </c>
      <c r="C1003" s="2">
        <v>180</v>
      </c>
      <c r="D1003" s="2">
        <v>100</v>
      </c>
      <c r="E1003" s="2">
        <v>152</v>
      </c>
      <c r="F1003" s="2">
        <v>148</v>
      </c>
      <c r="G1003" s="21">
        <v>2.7</v>
      </c>
      <c r="H1003" s="20"/>
      <c r="I1003" s="20"/>
      <c r="J1003" s="20"/>
      <c r="K1003" s="86"/>
      <c r="L1003" s="826"/>
      <c r="M1003" s="20"/>
      <c r="N1003" s="20"/>
      <c r="O1003" s="20"/>
      <c r="P1003" s="20"/>
      <c r="Q1003" s="21"/>
      <c r="R1003" s="22" t="s">
        <v>16</v>
      </c>
      <c r="S1003" s="22">
        <v>2</v>
      </c>
      <c r="T1003" s="753">
        <f t="shared" si="86"/>
        <v>6840.4222091914762</v>
      </c>
      <c r="U1003" s="22">
        <v>0</v>
      </c>
      <c r="V1003" s="20" t="str">
        <f t="shared" si="85"/>
        <v>K-180x152x100</v>
      </c>
    </row>
    <row r="1004" spans="1:22">
      <c r="A1004" s="85" t="s">
        <v>748</v>
      </c>
      <c r="B1004" s="73" t="s">
        <v>2147</v>
      </c>
      <c r="C1004" s="2">
        <v>180</v>
      </c>
      <c r="D1004" s="2">
        <v>100</v>
      </c>
      <c r="E1004" s="2">
        <v>153</v>
      </c>
      <c r="F1004" s="2">
        <v>147</v>
      </c>
      <c r="G1004" s="21">
        <v>2.7</v>
      </c>
      <c r="H1004" s="20"/>
      <c r="I1004" s="20"/>
      <c r="J1004" s="20"/>
      <c r="K1004" s="86"/>
      <c r="L1004" s="826"/>
      <c r="M1004" s="20"/>
      <c r="N1004" s="20"/>
      <c r="O1004" s="20"/>
      <c r="P1004" s="20"/>
      <c r="Q1004" s="21"/>
      <c r="R1004" s="22" t="s">
        <v>16</v>
      </c>
      <c r="S1004" s="22">
        <v>2</v>
      </c>
      <c r="T1004" s="753">
        <f t="shared" si="86"/>
        <v>4590.6374557353147</v>
      </c>
      <c r="U1004" s="22">
        <v>0</v>
      </c>
      <c r="V1004" s="20" t="str">
        <f t="shared" si="85"/>
        <v>K-180x153x100</v>
      </c>
    </row>
    <row r="1005" spans="1:22">
      <c r="A1005" s="85" t="s">
        <v>749</v>
      </c>
      <c r="B1005" s="73" t="s">
        <v>2147</v>
      </c>
      <c r="C1005" s="2">
        <v>180</v>
      </c>
      <c r="D1005" s="2">
        <v>100</v>
      </c>
      <c r="E1005" s="2">
        <v>154</v>
      </c>
      <c r="F1005" s="2">
        <v>146</v>
      </c>
      <c r="G1005" s="21">
        <v>2.7</v>
      </c>
      <c r="H1005" s="20"/>
      <c r="I1005" s="20"/>
      <c r="J1005" s="20"/>
      <c r="K1005" s="86"/>
      <c r="L1005" s="826"/>
      <c r="M1005" s="20"/>
      <c r="N1005" s="20"/>
      <c r="O1005" s="20"/>
      <c r="P1005" s="20"/>
      <c r="Q1005" s="21"/>
      <c r="R1005" s="22" t="s">
        <v>16</v>
      </c>
      <c r="S1005" s="22">
        <v>2</v>
      </c>
      <c r="T1005" s="753">
        <f t="shared" si="86"/>
        <v>3465.8554499574852</v>
      </c>
      <c r="U1005" s="22">
        <v>0</v>
      </c>
      <c r="V1005" s="20" t="str">
        <f t="shared" si="85"/>
        <v>K-180x154x100</v>
      </c>
    </row>
    <row r="1006" spans="1:22">
      <c r="A1006" s="85" t="s">
        <v>750</v>
      </c>
      <c r="B1006" s="73" t="s">
        <v>2147</v>
      </c>
      <c r="C1006" s="2">
        <v>180</v>
      </c>
      <c r="D1006" s="2">
        <v>100</v>
      </c>
      <c r="E1006" s="2">
        <v>158</v>
      </c>
      <c r="F1006" s="2">
        <v>142</v>
      </c>
      <c r="G1006" s="21">
        <v>2.7</v>
      </c>
      <c r="H1006" s="20"/>
      <c r="I1006" s="20"/>
      <c r="J1006" s="20"/>
      <c r="K1006" s="86"/>
      <c r="L1006" s="826"/>
      <c r="M1006" s="20"/>
      <c r="N1006" s="20"/>
      <c r="O1006" s="20"/>
      <c r="P1006" s="20"/>
      <c r="Q1006" s="21"/>
      <c r="R1006" s="22" t="s">
        <v>16</v>
      </c>
      <c r="S1006" s="22">
        <v>2</v>
      </c>
      <c r="T1006" s="753">
        <f t="shared" si="86"/>
        <v>1779.254689469723</v>
      </c>
      <c r="U1006" s="22">
        <v>0</v>
      </c>
      <c r="V1006" s="20" t="str">
        <f t="shared" si="85"/>
        <v>K-180x158x100</v>
      </c>
    </row>
    <row r="1007" spans="1:22">
      <c r="A1007" s="85" t="s">
        <v>751</v>
      </c>
      <c r="B1007" s="73" t="s">
        <v>2147</v>
      </c>
      <c r="C1007" s="2">
        <v>180</v>
      </c>
      <c r="D1007" s="2">
        <v>100</v>
      </c>
      <c r="E1007" s="2">
        <v>160</v>
      </c>
      <c r="F1007" s="2">
        <v>140</v>
      </c>
      <c r="G1007" s="21">
        <v>2.7</v>
      </c>
      <c r="H1007" s="20"/>
      <c r="I1007" s="20"/>
      <c r="J1007" s="20"/>
      <c r="K1007" s="86"/>
      <c r="L1007" s="826"/>
      <c r="M1007" s="20"/>
      <c r="N1007" s="20"/>
      <c r="O1007" s="20"/>
      <c r="P1007" s="20"/>
      <c r="Q1007" s="21"/>
      <c r="R1007" s="22" t="s">
        <v>16</v>
      </c>
      <c r="S1007" s="22">
        <v>2</v>
      </c>
      <c r="T1007" s="753">
        <f t="shared" si="86"/>
        <v>1442.2205101855957</v>
      </c>
      <c r="U1007" s="22">
        <v>0</v>
      </c>
      <c r="V1007" s="20" t="str">
        <f t="shared" si="85"/>
        <v>K-180x160x100</v>
      </c>
    </row>
    <row r="1008" spans="1:22">
      <c r="A1008" s="85" t="s">
        <v>752</v>
      </c>
      <c r="B1008" s="73" t="s">
        <v>2147</v>
      </c>
      <c r="C1008" s="2">
        <v>180</v>
      </c>
      <c r="D1008" s="2">
        <v>100</v>
      </c>
      <c r="E1008" s="2">
        <v>165</v>
      </c>
      <c r="F1008" s="2">
        <v>135</v>
      </c>
      <c r="G1008" s="21">
        <v>2.7</v>
      </c>
      <c r="H1008" s="20"/>
      <c r="I1008" s="20"/>
      <c r="J1008" s="20"/>
      <c r="K1008" s="86"/>
      <c r="L1008" s="826"/>
      <c r="M1008" s="20"/>
      <c r="N1008" s="20"/>
      <c r="O1008" s="20"/>
      <c r="P1008" s="20"/>
      <c r="Q1008" s="21"/>
      <c r="R1008" s="22" t="s">
        <v>16</v>
      </c>
      <c r="S1008" s="22">
        <v>2</v>
      </c>
      <c r="T1008" s="753">
        <f t="shared" si="86"/>
        <v>993.43155275036429</v>
      </c>
      <c r="U1008" s="22">
        <v>0</v>
      </c>
      <c r="V1008" s="20" t="str">
        <f t="shared" si="85"/>
        <v>K-180x165x100</v>
      </c>
    </row>
    <row r="1009" spans="1:22">
      <c r="A1009" s="85" t="s">
        <v>753</v>
      </c>
      <c r="B1009" s="73" t="s">
        <v>2147</v>
      </c>
      <c r="C1009" s="2">
        <v>180</v>
      </c>
      <c r="D1009" s="2">
        <v>100</v>
      </c>
      <c r="E1009" s="2">
        <v>170</v>
      </c>
      <c r="F1009" s="2">
        <v>130</v>
      </c>
      <c r="G1009" s="21">
        <v>2.7</v>
      </c>
      <c r="H1009" s="20"/>
      <c r="I1009" s="20"/>
      <c r="J1009" s="20"/>
      <c r="K1009" s="86"/>
      <c r="L1009" s="826"/>
      <c r="M1009" s="20"/>
      <c r="N1009" s="20"/>
      <c r="O1009" s="20"/>
      <c r="P1009" s="20"/>
      <c r="Q1009" s="21"/>
      <c r="R1009" s="22" t="s">
        <v>16</v>
      </c>
      <c r="S1009" s="22">
        <v>2</v>
      </c>
      <c r="T1009" s="753">
        <f t="shared" si="86"/>
        <v>769.70773674168049</v>
      </c>
      <c r="U1009" s="22">
        <v>0</v>
      </c>
      <c r="V1009" s="20" t="str">
        <f t="shared" si="85"/>
        <v>K-180x170x100</v>
      </c>
    </row>
    <row r="1010" spans="1:22">
      <c r="A1010" s="85" t="s">
        <v>754</v>
      </c>
      <c r="B1010" s="73" t="s">
        <v>2147</v>
      </c>
      <c r="C1010" s="2">
        <v>180</v>
      </c>
      <c r="D1010" s="2">
        <v>100</v>
      </c>
      <c r="E1010" s="2">
        <v>174</v>
      </c>
      <c r="F1010" s="2">
        <v>126</v>
      </c>
      <c r="G1010" s="21">
        <v>2.7</v>
      </c>
      <c r="H1010" s="20"/>
      <c r="I1010" s="20"/>
      <c r="J1010" s="20"/>
      <c r="K1010" s="86"/>
      <c r="L1010" s="826"/>
      <c r="M1010" s="20"/>
      <c r="N1010" s="20"/>
      <c r="O1010" s="20"/>
      <c r="P1010" s="20"/>
      <c r="Q1010" s="21"/>
      <c r="R1010" s="22" t="s">
        <v>16</v>
      </c>
      <c r="S1010" s="22">
        <v>2</v>
      </c>
      <c r="T1010" s="753">
        <f t="shared" si="86"/>
        <v>658.27444884333772</v>
      </c>
      <c r="U1010" s="22">
        <v>0</v>
      </c>
      <c r="V1010" s="20" t="str">
        <f t="shared" si="85"/>
        <v>K-180x174x100</v>
      </c>
    </row>
    <row r="1011" spans="1:22">
      <c r="A1011" s="85" t="s">
        <v>755</v>
      </c>
      <c r="B1011" s="73" t="s">
        <v>2147</v>
      </c>
      <c r="C1011" s="2">
        <v>200</v>
      </c>
      <c r="D1011" s="2">
        <v>100</v>
      </c>
      <c r="E1011" s="2">
        <v>150</v>
      </c>
      <c r="F1011" s="2">
        <v>150</v>
      </c>
      <c r="G1011" s="21">
        <v>3</v>
      </c>
      <c r="H1011" s="20"/>
      <c r="I1011" s="20"/>
      <c r="J1011" s="20"/>
      <c r="K1011" s="86"/>
      <c r="L1011" s="826"/>
      <c r="M1011" s="20"/>
      <c r="N1011" s="20"/>
      <c r="O1011" s="20"/>
      <c r="P1011" s="20"/>
      <c r="Q1011" s="21"/>
      <c r="R1011" s="22" t="s">
        <v>16</v>
      </c>
      <c r="S1011" s="22">
        <v>2</v>
      </c>
      <c r="T1011" s="753" t="str">
        <f t="shared" si="86"/>
        <v>-</v>
      </c>
      <c r="U1011" s="22">
        <v>0</v>
      </c>
      <c r="V1011" s="20" t="str">
        <f t="shared" si="85"/>
        <v>K-200x150x100</v>
      </c>
    </row>
    <row r="1012" spans="1:22">
      <c r="A1012" s="85" t="s">
        <v>756</v>
      </c>
      <c r="B1012" s="73" t="s">
        <v>2147</v>
      </c>
      <c r="C1012" s="2">
        <v>200</v>
      </c>
      <c r="D1012" s="2">
        <v>100</v>
      </c>
      <c r="E1012" s="2">
        <v>154</v>
      </c>
      <c r="F1012" s="2">
        <v>146</v>
      </c>
      <c r="G1012" s="21">
        <v>3</v>
      </c>
      <c r="H1012" s="20"/>
      <c r="I1012" s="20"/>
      <c r="J1012" s="20"/>
      <c r="K1012" s="86"/>
      <c r="L1012" s="826"/>
      <c r="M1012" s="20"/>
      <c r="N1012" s="20"/>
      <c r="O1012" s="20"/>
      <c r="P1012" s="20"/>
      <c r="Q1012" s="21"/>
      <c r="R1012" s="22" t="s">
        <v>16</v>
      </c>
      <c r="S1012" s="22">
        <v>2</v>
      </c>
      <c r="T1012" s="753">
        <f t="shared" si="86"/>
        <v>3850.7699230153958</v>
      </c>
      <c r="U1012" s="22">
        <v>0</v>
      </c>
      <c r="V1012" s="20" t="str">
        <f t="shared" ref="V1012:V1039" si="87">B1012&amp;"-"&amp;C1012&amp;"x"&amp;E1012&amp;"x"&amp;D1012</f>
        <v>K-200x154x100</v>
      </c>
    </row>
    <row r="1013" spans="1:22">
      <c r="A1013" s="85" t="s">
        <v>757</v>
      </c>
      <c r="B1013" s="73" t="s">
        <v>2147</v>
      </c>
      <c r="C1013" s="2">
        <v>200</v>
      </c>
      <c r="D1013" s="2">
        <v>100</v>
      </c>
      <c r="E1013" s="2">
        <v>155</v>
      </c>
      <c r="F1013" s="2">
        <v>145</v>
      </c>
      <c r="G1013" s="21">
        <v>3</v>
      </c>
      <c r="H1013" s="20"/>
      <c r="I1013" s="20"/>
      <c r="J1013" s="20"/>
      <c r="K1013" s="86"/>
      <c r="L1013" s="826"/>
      <c r="M1013" s="20"/>
      <c r="N1013" s="20"/>
      <c r="O1013" s="20"/>
      <c r="P1013" s="20"/>
      <c r="Q1013" s="21"/>
      <c r="R1013" s="22" t="s">
        <v>16</v>
      </c>
      <c r="S1013" s="22">
        <v>2</v>
      </c>
      <c r="T1013" s="753">
        <f t="shared" si="86"/>
        <v>3100.9685986800964</v>
      </c>
      <c r="U1013" s="22">
        <v>0</v>
      </c>
      <c r="V1013" s="20" t="str">
        <f t="shared" si="87"/>
        <v>K-200x155x100</v>
      </c>
    </row>
    <row r="1014" spans="1:22">
      <c r="A1014" s="85" t="s">
        <v>758</v>
      </c>
      <c r="B1014" s="73" t="s">
        <v>2147</v>
      </c>
      <c r="C1014" s="2">
        <v>200</v>
      </c>
      <c r="D1014" s="2">
        <v>100</v>
      </c>
      <c r="E1014" s="2">
        <v>158</v>
      </c>
      <c r="F1014" s="2">
        <v>142</v>
      </c>
      <c r="G1014" s="21">
        <v>3</v>
      </c>
      <c r="H1014" s="20"/>
      <c r="I1014" s="20"/>
      <c r="J1014" s="20"/>
      <c r="K1014" s="86"/>
      <c r="L1014" s="826"/>
      <c r="M1014" s="20"/>
      <c r="N1014" s="20"/>
      <c r="O1014" s="20"/>
      <c r="P1014" s="20"/>
      <c r="Q1014" s="21"/>
      <c r="R1014" s="22" t="s">
        <v>16</v>
      </c>
      <c r="S1014" s="22">
        <v>2</v>
      </c>
      <c r="T1014" s="753">
        <f t="shared" si="86"/>
        <v>1976.5793685050951</v>
      </c>
      <c r="U1014" s="22">
        <v>0</v>
      </c>
      <c r="V1014" s="20" t="str">
        <f t="shared" si="87"/>
        <v>K-200x158x100</v>
      </c>
    </row>
    <row r="1015" spans="1:22">
      <c r="A1015" s="85" t="s">
        <v>759</v>
      </c>
      <c r="B1015" s="73" t="s">
        <v>2147</v>
      </c>
      <c r="C1015" s="2">
        <v>200</v>
      </c>
      <c r="D1015" s="2">
        <v>100</v>
      </c>
      <c r="E1015" s="2">
        <v>159.5</v>
      </c>
      <c r="F1015" s="2">
        <v>140.5</v>
      </c>
      <c r="G1015" s="21">
        <v>3</v>
      </c>
      <c r="H1015" s="20"/>
      <c r="I1015" s="20"/>
      <c r="J1015" s="20"/>
      <c r="K1015" s="86"/>
      <c r="L1015" s="826"/>
      <c r="M1015" s="20"/>
      <c r="N1015" s="20"/>
      <c r="O1015" s="20"/>
      <c r="P1015" s="20"/>
      <c r="Q1015" s="21"/>
      <c r="R1015" s="22" t="s">
        <v>16</v>
      </c>
      <c r="S1015" s="22">
        <v>2</v>
      </c>
      <c r="T1015" s="753">
        <f t="shared" si="86"/>
        <v>1680.8403637549816</v>
      </c>
      <c r="U1015" s="22">
        <v>0</v>
      </c>
      <c r="V1015" s="20" t="str">
        <f t="shared" si="87"/>
        <v>K-200x159,5x100</v>
      </c>
    </row>
    <row r="1016" spans="1:22">
      <c r="A1016" s="85" t="s">
        <v>760</v>
      </c>
      <c r="B1016" s="73" t="s">
        <v>2147</v>
      </c>
      <c r="C1016" s="2">
        <v>200</v>
      </c>
      <c r="D1016" s="2">
        <v>100</v>
      </c>
      <c r="E1016" s="2">
        <v>165</v>
      </c>
      <c r="F1016" s="2">
        <v>135</v>
      </c>
      <c r="G1016" s="21">
        <v>3</v>
      </c>
      <c r="H1016" s="20"/>
      <c r="I1016" s="20"/>
      <c r="J1016" s="20"/>
      <c r="K1016" s="86"/>
      <c r="L1016" s="826"/>
      <c r="M1016" s="20"/>
      <c r="N1016" s="20"/>
      <c r="O1016" s="20"/>
      <c r="P1016" s="20"/>
      <c r="Q1016" s="21"/>
      <c r="R1016" s="22" t="s">
        <v>16</v>
      </c>
      <c r="S1016" s="22">
        <v>2</v>
      </c>
      <c r="T1016" s="753">
        <f t="shared" si="86"/>
        <v>1103.0894116072368</v>
      </c>
      <c r="U1016" s="22">
        <v>0</v>
      </c>
      <c r="V1016" s="20" t="str">
        <f t="shared" si="87"/>
        <v>K-200x165x100</v>
      </c>
    </row>
    <row r="1017" spans="1:22">
      <c r="A1017" s="85" t="s">
        <v>761</v>
      </c>
      <c r="B1017" s="73" t="s">
        <v>2147</v>
      </c>
      <c r="C1017" s="2">
        <v>200</v>
      </c>
      <c r="D1017" s="2">
        <v>100</v>
      </c>
      <c r="E1017" s="2">
        <v>167</v>
      </c>
      <c r="F1017" s="2">
        <v>133</v>
      </c>
      <c r="G1017" s="21">
        <v>3</v>
      </c>
      <c r="H1017" s="20"/>
      <c r="I1017" s="20"/>
      <c r="J1017" s="20"/>
      <c r="K1017" s="86"/>
      <c r="L1017" s="826"/>
      <c r="M1017" s="20"/>
      <c r="N1017" s="20"/>
      <c r="O1017" s="20"/>
      <c r="P1017" s="20"/>
      <c r="Q1017" s="21"/>
      <c r="R1017" s="22" t="s">
        <v>16</v>
      </c>
      <c r="S1017" s="22">
        <v>2</v>
      </c>
      <c r="T1017" s="753">
        <f t="shared" si="86"/>
        <v>985.89530429861691</v>
      </c>
      <c r="U1017" s="22">
        <v>0</v>
      </c>
      <c r="V1017" s="20" t="str">
        <f t="shared" si="87"/>
        <v>K-200x167x100</v>
      </c>
    </row>
    <row r="1018" spans="1:22">
      <c r="A1018" s="85" t="s">
        <v>762</v>
      </c>
      <c r="B1018" s="73" t="s">
        <v>2147</v>
      </c>
      <c r="C1018" s="2">
        <v>200</v>
      </c>
      <c r="D1018" s="2">
        <v>100</v>
      </c>
      <c r="E1018" s="2">
        <v>180</v>
      </c>
      <c r="F1018" s="2">
        <v>120</v>
      </c>
      <c r="G1018" s="21">
        <v>3</v>
      </c>
      <c r="H1018" s="20"/>
      <c r="I1018" s="20"/>
      <c r="J1018" s="20"/>
      <c r="K1018" s="86"/>
      <c r="L1018" s="826"/>
      <c r="M1018" s="20"/>
      <c r="N1018" s="20"/>
      <c r="O1018" s="20"/>
      <c r="P1018" s="20"/>
      <c r="Q1018" s="21"/>
      <c r="R1018" s="22" t="s">
        <v>16</v>
      </c>
      <c r="S1018" s="22">
        <v>2</v>
      </c>
      <c r="T1018" s="753">
        <f t="shared" si="86"/>
        <v>606.71245248470052</v>
      </c>
      <c r="U1018" s="22">
        <v>0</v>
      </c>
      <c r="V1018" s="20" t="str">
        <f t="shared" si="87"/>
        <v>K-200x180x100</v>
      </c>
    </row>
    <row r="1019" spans="1:22">
      <c r="A1019" s="85" t="s">
        <v>763</v>
      </c>
      <c r="B1019" s="73" t="s">
        <v>2147</v>
      </c>
      <c r="C1019" s="2">
        <v>200</v>
      </c>
      <c r="D1019" s="2">
        <v>100</v>
      </c>
      <c r="E1019" s="2">
        <v>185</v>
      </c>
      <c r="F1019" s="2">
        <v>115</v>
      </c>
      <c r="G1019" s="21">
        <v>3</v>
      </c>
      <c r="H1019" s="20"/>
      <c r="I1019" s="20"/>
      <c r="J1019" s="20"/>
      <c r="K1019" s="86"/>
      <c r="L1019" s="826"/>
      <c r="M1019" s="20"/>
      <c r="N1019" s="20"/>
      <c r="O1019" s="20"/>
      <c r="P1019" s="20"/>
      <c r="Q1019" s="21"/>
      <c r="R1019" s="22" t="s">
        <v>16</v>
      </c>
      <c r="S1019" s="22">
        <v>2</v>
      </c>
      <c r="T1019" s="753">
        <f t="shared" si="86"/>
        <v>536.60414189795517</v>
      </c>
      <c r="U1019" s="22">
        <v>0</v>
      </c>
      <c r="V1019" s="20" t="str">
        <f t="shared" si="87"/>
        <v>K-200x185x100</v>
      </c>
    </row>
    <row r="1020" spans="1:22">
      <c r="A1020" s="85" t="s">
        <v>764</v>
      </c>
      <c r="B1020" s="73" t="s">
        <v>2147</v>
      </c>
      <c r="C1020" s="2">
        <v>220</v>
      </c>
      <c r="D1020" s="2">
        <v>100</v>
      </c>
      <c r="E1020" s="2">
        <v>154</v>
      </c>
      <c r="F1020" s="2">
        <v>146</v>
      </c>
      <c r="G1020" s="21">
        <v>3.3</v>
      </c>
      <c r="H1020" s="20"/>
      <c r="I1020" s="20"/>
      <c r="J1020" s="20"/>
      <c r="K1020" s="86"/>
      <c r="L1020" s="826"/>
      <c r="M1020" s="20"/>
      <c r="N1020" s="20"/>
      <c r="O1020" s="20"/>
      <c r="P1020" s="20"/>
      <c r="Q1020" s="21"/>
      <c r="R1020" s="22" t="s">
        <v>16</v>
      </c>
      <c r="S1020" s="22">
        <v>2</v>
      </c>
      <c r="T1020" s="753">
        <f t="shared" si="86"/>
        <v>4235.6999421583205</v>
      </c>
      <c r="U1020" s="22">
        <v>0</v>
      </c>
      <c r="V1020" s="20" t="str">
        <f t="shared" si="87"/>
        <v>K-220x154x100</v>
      </c>
    </row>
    <row r="1021" spans="1:22">
      <c r="A1021" s="85" t="s">
        <v>765</v>
      </c>
      <c r="B1021" s="73" t="s">
        <v>2147</v>
      </c>
      <c r="C1021" s="2">
        <v>220</v>
      </c>
      <c r="D1021" s="2">
        <v>100</v>
      </c>
      <c r="E1021" s="2">
        <v>159.5</v>
      </c>
      <c r="F1021" s="2">
        <v>140.5</v>
      </c>
      <c r="G1021" s="21">
        <v>3.3</v>
      </c>
      <c r="H1021" s="20"/>
      <c r="I1021" s="20"/>
      <c r="J1021" s="20"/>
      <c r="K1021" s="86"/>
      <c r="L1021" s="826"/>
      <c r="M1021" s="20"/>
      <c r="N1021" s="20"/>
      <c r="O1021" s="20"/>
      <c r="P1021" s="20"/>
      <c r="Q1021" s="21"/>
      <c r="R1021" s="22" t="s">
        <v>16</v>
      </c>
      <c r="S1021" s="22">
        <v>2</v>
      </c>
      <c r="T1021" s="753">
        <f t="shared" si="86"/>
        <v>1848.5631783287402</v>
      </c>
      <c r="U1021" s="22">
        <v>0</v>
      </c>
      <c r="V1021" s="20" t="str">
        <f t="shared" si="87"/>
        <v>K-220x159,5x100</v>
      </c>
    </row>
    <row r="1022" spans="1:22">
      <c r="A1022" s="85" t="s">
        <v>766</v>
      </c>
      <c r="B1022" s="73" t="s">
        <v>2147</v>
      </c>
      <c r="C1022" s="2">
        <v>220</v>
      </c>
      <c r="D1022" s="2">
        <v>100</v>
      </c>
      <c r="E1022" s="2">
        <v>168.5</v>
      </c>
      <c r="F1022" s="2">
        <v>131.5</v>
      </c>
      <c r="G1022" s="21">
        <v>3.3</v>
      </c>
      <c r="H1022" s="20"/>
      <c r="I1022" s="20"/>
      <c r="J1022" s="20"/>
      <c r="K1022" s="86"/>
      <c r="L1022" s="826"/>
      <c r="M1022" s="20"/>
      <c r="N1022" s="20"/>
      <c r="O1022" s="20"/>
      <c r="P1022" s="20"/>
      <c r="Q1022" s="21"/>
      <c r="R1022" s="22" t="s">
        <v>16</v>
      </c>
      <c r="S1022" s="22">
        <v>2</v>
      </c>
      <c r="T1022" s="753">
        <f t="shared" si="86"/>
        <v>1005.4279812789748</v>
      </c>
      <c r="U1022" s="22">
        <v>0</v>
      </c>
      <c r="V1022" s="20" t="str">
        <f t="shared" si="87"/>
        <v>K-220x168,5x100</v>
      </c>
    </row>
    <row r="1023" spans="1:22">
      <c r="A1023" s="85" t="s">
        <v>767</v>
      </c>
      <c r="B1023" s="73" t="s">
        <v>2147</v>
      </c>
      <c r="C1023" s="2">
        <v>220</v>
      </c>
      <c r="D1023" s="2">
        <v>100</v>
      </c>
      <c r="E1023" s="2">
        <v>170</v>
      </c>
      <c r="F1023" s="2">
        <v>130</v>
      </c>
      <c r="G1023" s="21">
        <v>3.3</v>
      </c>
      <c r="H1023" s="20"/>
      <c r="I1023" s="20"/>
      <c r="J1023" s="20"/>
      <c r="K1023" s="86"/>
      <c r="L1023" s="826"/>
      <c r="M1023" s="20"/>
      <c r="N1023" s="20"/>
      <c r="O1023" s="20"/>
      <c r="P1023" s="20"/>
      <c r="Q1023" s="21"/>
      <c r="R1023" s="22" t="s">
        <v>16</v>
      </c>
      <c r="S1023" s="22">
        <v>2</v>
      </c>
      <c r="T1023" s="753">
        <f t="shared" si="86"/>
        <v>938.85568646091724</v>
      </c>
      <c r="U1023" s="22">
        <v>0</v>
      </c>
      <c r="V1023" s="20" t="str">
        <f t="shared" si="87"/>
        <v>K-220x170x100</v>
      </c>
    </row>
    <row r="1024" spans="1:22">
      <c r="A1024" s="287" t="s">
        <v>768</v>
      </c>
      <c r="B1024" s="73" t="s">
        <v>2147</v>
      </c>
      <c r="C1024" s="2">
        <v>220</v>
      </c>
      <c r="D1024" s="2">
        <v>100</v>
      </c>
      <c r="E1024" s="2">
        <v>179.5</v>
      </c>
      <c r="F1024" s="2">
        <v>120.5</v>
      </c>
      <c r="G1024" s="21">
        <v>3.3</v>
      </c>
      <c r="H1024" s="20"/>
      <c r="I1024" s="20"/>
      <c r="J1024" s="20"/>
      <c r="K1024" s="86"/>
      <c r="L1024" s="826"/>
      <c r="M1024" s="20"/>
      <c r="N1024" s="20"/>
      <c r="O1024" s="20"/>
      <c r="P1024" s="20"/>
      <c r="Q1024" s="21"/>
      <c r="R1024" s="22" t="s">
        <v>16</v>
      </c>
      <c r="S1024" s="22">
        <v>2</v>
      </c>
      <c r="T1024" s="753">
        <f t="shared" si="86"/>
        <v>675.31255545988756</v>
      </c>
      <c r="U1024" s="22">
        <v>0</v>
      </c>
      <c r="V1024" s="20" t="str">
        <f t="shared" si="87"/>
        <v>K-220x179,5x100</v>
      </c>
    </row>
    <row r="1025" spans="1:22">
      <c r="A1025" s="85" t="s">
        <v>769</v>
      </c>
      <c r="B1025" s="73" t="s">
        <v>2147</v>
      </c>
      <c r="C1025" s="2">
        <v>230</v>
      </c>
      <c r="D1025" s="2">
        <v>100</v>
      </c>
      <c r="E1025" s="2">
        <v>150</v>
      </c>
      <c r="F1025" s="2">
        <v>150</v>
      </c>
      <c r="G1025" s="21">
        <v>3.45</v>
      </c>
      <c r="H1025" s="20"/>
      <c r="I1025" s="20"/>
      <c r="J1025" s="20"/>
      <c r="K1025" s="86"/>
      <c r="L1025" s="826"/>
      <c r="M1025" s="20"/>
      <c r="N1025" s="20"/>
      <c r="O1025" s="20"/>
      <c r="P1025" s="20"/>
      <c r="Q1025" s="21"/>
      <c r="R1025" s="22" t="s">
        <v>16</v>
      </c>
      <c r="S1025" s="22">
        <v>2</v>
      </c>
      <c r="T1025" s="753" t="str">
        <f t="shared" si="86"/>
        <v>-</v>
      </c>
      <c r="U1025" s="22">
        <v>0</v>
      </c>
      <c r="V1025" s="20" t="str">
        <f t="shared" si="87"/>
        <v>K-230x150x100</v>
      </c>
    </row>
    <row r="1026" spans="1:22">
      <c r="A1026" s="85" t="s">
        <v>770</v>
      </c>
      <c r="B1026" s="73" t="s">
        <v>2147</v>
      </c>
      <c r="C1026" s="2">
        <v>230</v>
      </c>
      <c r="D1026" s="2">
        <v>100</v>
      </c>
      <c r="E1026" s="2">
        <v>154</v>
      </c>
      <c r="F1026" s="2">
        <v>146</v>
      </c>
      <c r="G1026" s="21">
        <v>3.45</v>
      </c>
      <c r="H1026" s="20"/>
      <c r="I1026" s="20"/>
      <c r="J1026" s="20"/>
      <c r="K1026" s="86"/>
      <c r="L1026" s="826"/>
      <c r="M1026" s="20"/>
      <c r="N1026" s="20"/>
      <c r="O1026" s="20"/>
      <c r="P1026" s="20"/>
      <c r="Q1026" s="21"/>
      <c r="R1026" s="22" t="s">
        <v>16</v>
      </c>
      <c r="S1026" s="22">
        <v>2</v>
      </c>
      <c r="T1026" s="753">
        <f t="shared" si="86"/>
        <v>4428.1695145962967</v>
      </c>
      <c r="U1026" s="22">
        <v>0</v>
      </c>
      <c r="V1026" s="20" t="str">
        <f t="shared" si="87"/>
        <v>K-230x154x100</v>
      </c>
    </row>
    <row r="1027" spans="1:22">
      <c r="A1027" s="85" t="s">
        <v>771</v>
      </c>
      <c r="B1027" s="73" t="s">
        <v>2147</v>
      </c>
      <c r="C1027" s="2">
        <v>230</v>
      </c>
      <c r="D1027" s="2">
        <v>100</v>
      </c>
      <c r="E1027" s="2">
        <v>158</v>
      </c>
      <c r="F1027" s="2">
        <v>142</v>
      </c>
      <c r="G1027" s="21">
        <v>3.45</v>
      </c>
      <c r="H1027" s="20"/>
      <c r="I1027" s="20"/>
      <c r="J1027" s="20"/>
      <c r="K1027" s="86"/>
      <c r="L1027" s="826"/>
      <c r="M1027" s="20"/>
      <c r="N1027" s="20"/>
      <c r="O1027" s="20"/>
      <c r="P1027" s="20"/>
      <c r="Q1027" s="21"/>
      <c r="R1027" s="22" t="s">
        <v>16</v>
      </c>
      <c r="S1027" s="22">
        <v>2</v>
      </c>
      <c r="T1027" s="753">
        <f t="shared" si="86"/>
        <v>2272.6234977444019</v>
      </c>
      <c r="U1027" s="22">
        <v>0</v>
      </c>
      <c r="V1027" s="20" t="str">
        <f t="shared" si="87"/>
        <v>K-230x158x100</v>
      </c>
    </row>
    <row r="1028" spans="1:22">
      <c r="A1028" s="85" t="s">
        <v>772</v>
      </c>
      <c r="B1028" s="73" t="s">
        <v>2147</v>
      </c>
      <c r="C1028" s="2">
        <v>230</v>
      </c>
      <c r="D1028" s="2">
        <v>100</v>
      </c>
      <c r="E1028" s="2">
        <v>160</v>
      </c>
      <c r="F1028" s="2">
        <v>140</v>
      </c>
      <c r="G1028" s="21">
        <v>3.45</v>
      </c>
      <c r="H1028" s="20"/>
      <c r="I1028" s="20"/>
      <c r="J1028" s="20"/>
      <c r="K1028" s="86"/>
      <c r="L1028" s="826"/>
      <c r="M1028" s="20"/>
      <c r="N1028" s="20"/>
      <c r="O1028" s="20"/>
      <c r="P1028" s="20"/>
      <c r="Q1028" s="21"/>
      <c r="R1028" s="22" t="s">
        <v>16</v>
      </c>
      <c r="S1028" s="22">
        <v>2</v>
      </c>
      <c r="T1028" s="753">
        <f t="shared" si="86"/>
        <v>1841.7383093154142</v>
      </c>
      <c r="U1028" s="22">
        <v>0</v>
      </c>
      <c r="V1028" s="20" t="str">
        <f t="shared" si="87"/>
        <v>K-230x160x100</v>
      </c>
    </row>
    <row r="1029" spans="1:22">
      <c r="A1029" s="85" t="s">
        <v>773</v>
      </c>
      <c r="B1029" s="73" t="s">
        <v>2147</v>
      </c>
      <c r="C1029" s="2">
        <v>230</v>
      </c>
      <c r="D1029" s="2">
        <v>100</v>
      </c>
      <c r="E1029" s="2">
        <v>165</v>
      </c>
      <c r="F1029" s="2">
        <v>135</v>
      </c>
      <c r="G1029" s="21">
        <v>3.45</v>
      </c>
      <c r="H1029" s="20"/>
      <c r="I1029" s="20"/>
      <c r="J1029" s="20"/>
      <c r="K1029" s="86"/>
      <c r="L1029" s="826"/>
      <c r="M1029" s="20"/>
      <c r="N1029" s="20"/>
      <c r="O1029" s="20"/>
      <c r="P1029" s="20"/>
      <c r="Q1029" s="21"/>
      <c r="R1029" s="22" t="s">
        <v>16</v>
      </c>
      <c r="S1029" s="22">
        <v>2</v>
      </c>
      <c r="T1029" s="753">
        <f t="shared" si="86"/>
        <v>1267.6873628777721</v>
      </c>
      <c r="U1029" s="22">
        <v>0</v>
      </c>
      <c r="V1029" s="20" t="str">
        <f t="shared" si="87"/>
        <v>K-230x165x100</v>
      </c>
    </row>
    <row r="1030" spans="1:22">
      <c r="A1030" s="85" t="s">
        <v>774</v>
      </c>
      <c r="B1030" s="73" t="s">
        <v>2147</v>
      </c>
      <c r="C1030" s="2">
        <v>230</v>
      </c>
      <c r="D1030" s="2">
        <v>100</v>
      </c>
      <c r="E1030" s="2">
        <v>170</v>
      </c>
      <c r="F1030" s="2">
        <v>130</v>
      </c>
      <c r="G1030" s="21">
        <v>3.45</v>
      </c>
      <c r="H1030" s="20"/>
      <c r="I1030" s="20"/>
      <c r="J1030" s="20"/>
      <c r="K1030" s="86"/>
      <c r="L1030" s="826"/>
      <c r="M1030" s="20"/>
      <c r="N1030" s="20"/>
      <c r="O1030" s="20"/>
      <c r="P1030" s="20"/>
      <c r="Q1030" s="21"/>
      <c r="R1030" s="22" t="s">
        <v>16</v>
      </c>
      <c r="S1030" s="22">
        <v>2</v>
      </c>
      <c r="T1030" s="753">
        <f t="shared" si="86"/>
        <v>981.18869235229158</v>
      </c>
      <c r="U1030" s="22">
        <v>0</v>
      </c>
      <c r="V1030" s="20" t="str">
        <f t="shared" si="87"/>
        <v>K-230x170x100</v>
      </c>
    </row>
    <row r="1031" spans="1:22">
      <c r="A1031" s="85" t="s">
        <v>775</v>
      </c>
      <c r="B1031" s="73" t="s">
        <v>2147</v>
      </c>
      <c r="C1031" s="2">
        <v>230</v>
      </c>
      <c r="D1031" s="2">
        <v>100</v>
      </c>
      <c r="E1031" s="2">
        <v>175</v>
      </c>
      <c r="F1031" s="2">
        <v>125</v>
      </c>
      <c r="G1031" s="21">
        <v>3.45</v>
      </c>
      <c r="H1031" s="20"/>
      <c r="I1031" s="20"/>
      <c r="J1031" s="20"/>
      <c r="K1031" s="86"/>
      <c r="L1031" s="826"/>
      <c r="M1031" s="20"/>
      <c r="N1031" s="20"/>
      <c r="O1031" s="20"/>
      <c r="P1031" s="20"/>
      <c r="Q1031" s="21"/>
      <c r="R1031" s="22" t="s">
        <v>16</v>
      </c>
      <c r="S1031" s="22">
        <v>2</v>
      </c>
      <c r="T1031" s="753">
        <f t="shared" si="86"/>
        <v>809.74147108814918</v>
      </c>
      <c r="U1031" s="22">
        <v>0</v>
      </c>
      <c r="V1031" s="20" t="str">
        <f t="shared" si="87"/>
        <v>K-230x175x100</v>
      </c>
    </row>
    <row r="1032" spans="1:22">
      <c r="A1032" s="85" t="s">
        <v>776</v>
      </c>
      <c r="B1032" s="73" t="s">
        <v>2147</v>
      </c>
      <c r="C1032" s="2">
        <v>150</v>
      </c>
      <c r="D1032" s="2">
        <v>100</v>
      </c>
      <c r="E1032" s="2">
        <v>104</v>
      </c>
      <c r="F1032" s="2">
        <v>96</v>
      </c>
      <c r="G1032" s="21">
        <v>1.5</v>
      </c>
      <c r="H1032" s="20"/>
      <c r="I1032" s="20"/>
      <c r="J1032" s="20"/>
      <c r="K1032" s="86"/>
      <c r="L1032" s="826"/>
      <c r="M1032" s="20"/>
      <c r="N1032" s="20"/>
      <c r="O1032" s="20"/>
      <c r="P1032" s="20"/>
      <c r="Q1032" s="21"/>
      <c r="R1032" s="22" t="s">
        <v>16</v>
      </c>
      <c r="S1032" s="22">
        <v>2</v>
      </c>
      <c r="T1032" s="753">
        <f t="shared" si="86"/>
        <v>1950.6932101178802</v>
      </c>
      <c r="U1032" s="22">
        <v>0</v>
      </c>
      <c r="V1032" s="20" t="str">
        <f t="shared" si="87"/>
        <v>K-150x104x100</v>
      </c>
    </row>
    <row r="1033" spans="1:22">
      <c r="A1033" s="85" t="s">
        <v>777</v>
      </c>
      <c r="B1033" s="73" t="s">
        <v>2147</v>
      </c>
      <c r="C1033" s="2">
        <v>150</v>
      </c>
      <c r="D1033" s="2">
        <v>100</v>
      </c>
      <c r="E1033" s="2">
        <v>124</v>
      </c>
      <c r="F1033" s="2">
        <v>116</v>
      </c>
      <c r="G1033" s="21">
        <v>1.8</v>
      </c>
      <c r="H1033" s="20"/>
      <c r="I1033" s="20"/>
      <c r="J1033" s="20"/>
      <c r="K1033" s="86"/>
      <c r="L1033" s="826"/>
      <c r="M1033" s="20"/>
      <c r="N1033" s="20"/>
      <c r="O1033" s="20"/>
      <c r="P1033" s="20"/>
      <c r="Q1033" s="21"/>
      <c r="R1033" s="22" t="s">
        <v>16</v>
      </c>
      <c r="S1033" s="22">
        <v>2</v>
      </c>
      <c r="T1033" s="753">
        <f t="shared" si="86"/>
        <v>2325.826519755934</v>
      </c>
      <c r="U1033" s="22">
        <v>0</v>
      </c>
      <c r="V1033" s="20" t="str">
        <f t="shared" si="87"/>
        <v>K-150x124x100</v>
      </c>
    </row>
    <row r="1034" spans="1:22">
      <c r="A1034" s="85" t="s">
        <v>778</v>
      </c>
      <c r="B1034" s="73" t="s">
        <v>2147</v>
      </c>
      <c r="C1034" s="2">
        <v>150</v>
      </c>
      <c r="D1034" s="2">
        <v>100</v>
      </c>
      <c r="E1034" s="2">
        <v>110</v>
      </c>
      <c r="F1034" s="2">
        <v>90</v>
      </c>
      <c r="G1034" s="21">
        <v>1.5</v>
      </c>
      <c r="H1034" s="20"/>
      <c r="I1034" s="20"/>
      <c r="J1034" s="20"/>
      <c r="K1034" s="86"/>
      <c r="L1034" s="826"/>
      <c r="M1034" s="20"/>
      <c r="N1034" s="20"/>
      <c r="O1034" s="20"/>
      <c r="P1034" s="20"/>
      <c r="Q1034" s="21"/>
      <c r="R1034" s="22" t="s">
        <v>16</v>
      </c>
      <c r="S1034" s="22">
        <v>2</v>
      </c>
      <c r="T1034" s="753">
        <f t="shared" si="86"/>
        <v>826.8313008105099</v>
      </c>
      <c r="U1034" s="22">
        <v>0</v>
      </c>
      <c r="V1034" s="20" t="str">
        <f t="shared" si="87"/>
        <v>K-150x110x100</v>
      </c>
    </row>
    <row r="1035" spans="1:22">
      <c r="A1035" s="85" t="s">
        <v>779</v>
      </c>
      <c r="B1035" s="73" t="s">
        <v>2147</v>
      </c>
      <c r="C1035" s="2">
        <v>150</v>
      </c>
      <c r="D1035" s="2">
        <v>100</v>
      </c>
      <c r="E1035" s="2">
        <v>130</v>
      </c>
      <c r="F1035" s="2">
        <v>110</v>
      </c>
      <c r="G1035" s="21">
        <v>1.8</v>
      </c>
      <c r="H1035" s="20"/>
      <c r="I1035" s="20"/>
      <c r="J1035" s="20"/>
      <c r="K1035" s="86"/>
      <c r="L1035" s="826"/>
      <c r="M1035" s="20"/>
      <c r="N1035" s="20"/>
      <c r="O1035" s="20"/>
      <c r="P1035" s="20"/>
      <c r="Q1035" s="21"/>
      <c r="R1035" s="22" t="s">
        <v>16</v>
      </c>
      <c r="S1035" s="22">
        <v>2</v>
      </c>
      <c r="T1035" s="753">
        <f t="shared" si="86"/>
        <v>977.16426459423894</v>
      </c>
      <c r="U1035" s="22">
        <v>0</v>
      </c>
      <c r="V1035" s="20" t="str">
        <f t="shared" si="87"/>
        <v>K-150x130x100</v>
      </c>
    </row>
    <row r="1036" spans="1:22">
      <c r="A1036" s="85" t="s">
        <v>780</v>
      </c>
      <c r="B1036" s="73" t="s">
        <v>2147</v>
      </c>
      <c r="C1036" s="2">
        <v>180</v>
      </c>
      <c r="D1036" s="2">
        <v>100</v>
      </c>
      <c r="E1036" s="2">
        <v>104</v>
      </c>
      <c r="F1036" s="2">
        <v>96</v>
      </c>
      <c r="G1036" s="21">
        <v>1.8</v>
      </c>
      <c r="H1036" s="20"/>
      <c r="I1036" s="20"/>
      <c r="J1036" s="20"/>
      <c r="K1036" s="86"/>
      <c r="L1036" s="826"/>
      <c r="M1036" s="20"/>
      <c r="N1036" s="20"/>
      <c r="O1036" s="20"/>
      <c r="P1036" s="20"/>
      <c r="Q1036" s="21"/>
      <c r="R1036" s="22" t="s">
        <v>16</v>
      </c>
      <c r="S1036" s="22">
        <v>2</v>
      </c>
      <c r="T1036" s="753">
        <f t="shared" si="86"/>
        <v>2340.577706464795</v>
      </c>
      <c r="U1036" s="22">
        <v>0</v>
      </c>
      <c r="V1036" s="20" t="str">
        <f t="shared" si="87"/>
        <v>K-180x104x100</v>
      </c>
    </row>
    <row r="1037" spans="1:22">
      <c r="A1037" s="85" t="s">
        <v>781</v>
      </c>
      <c r="B1037" s="73" t="s">
        <v>2147</v>
      </c>
      <c r="C1037" s="2">
        <v>180</v>
      </c>
      <c r="D1037" s="2">
        <v>100</v>
      </c>
      <c r="E1037" s="2">
        <v>124</v>
      </c>
      <c r="F1037" s="2">
        <v>116</v>
      </c>
      <c r="G1037" s="21">
        <v>2.16</v>
      </c>
      <c r="H1037" s="20"/>
      <c r="I1037" s="20"/>
      <c r="J1037" s="20"/>
      <c r="K1037" s="86"/>
      <c r="L1037" s="826"/>
      <c r="M1037" s="20"/>
      <c r="N1037" s="20"/>
      <c r="O1037" s="20"/>
      <c r="P1037" s="20"/>
      <c r="Q1037" s="21"/>
      <c r="R1037" s="22" t="s">
        <v>16</v>
      </c>
      <c r="S1037" s="22">
        <v>2</v>
      </c>
      <c r="T1037" s="753">
        <f t="shared" si="86"/>
        <v>2790.6888038618713</v>
      </c>
      <c r="U1037" s="22">
        <v>0</v>
      </c>
      <c r="V1037" s="20" t="str">
        <f t="shared" si="87"/>
        <v>K-180x124x100</v>
      </c>
    </row>
    <row r="1038" spans="1:22">
      <c r="A1038" s="85" t="s">
        <v>782</v>
      </c>
      <c r="B1038" s="73" t="s">
        <v>2147</v>
      </c>
      <c r="C1038" s="2">
        <v>180</v>
      </c>
      <c r="D1038" s="2">
        <v>100</v>
      </c>
      <c r="E1038" s="2">
        <v>110</v>
      </c>
      <c r="F1038" s="2">
        <v>90</v>
      </c>
      <c r="G1038" s="21">
        <v>1.8</v>
      </c>
      <c r="H1038" s="20"/>
      <c r="I1038" s="20"/>
      <c r="J1038" s="20"/>
      <c r="K1038" s="86"/>
      <c r="L1038" s="826"/>
      <c r="M1038" s="20"/>
      <c r="N1038" s="20"/>
      <c r="O1038" s="20"/>
      <c r="P1038" s="20"/>
      <c r="Q1038" s="21"/>
      <c r="R1038" s="22" t="s">
        <v>16</v>
      </c>
      <c r="S1038" s="22">
        <v>2</v>
      </c>
      <c r="T1038" s="753">
        <f t="shared" si="86"/>
        <v>991.52660075259701</v>
      </c>
      <c r="U1038" s="22">
        <v>0</v>
      </c>
      <c r="V1038" s="20" t="str">
        <f t="shared" si="87"/>
        <v>K-180x110x100</v>
      </c>
    </row>
    <row r="1039" spans="1:22" ht="13.8" thickBot="1">
      <c r="A1039" s="87" t="s">
        <v>783</v>
      </c>
      <c r="B1039" s="77" t="s">
        <v>2147</v>
      </c>
      <c r="C1039" s="78">
        <v>180</v>
      </c>
      <c r="D1039" s="78">
        <v>100</v>
      </c>
      <c r="E1039" s="78">
        <v>130</v>
      </c>
      <c r="F1039" s="78">
        <v>110</v>
      </c>
      <c r="G1039" s="100">
        <v>2.16</v>
      </c>
      <c r="H1039" s="79"/>
      <c r="I1039" s="79"/>
      <c r="J1039" s="79"/>
      <c r="K1039" s="88"/>
      <c r="L1039" s="827"/>
      <c r="M1039" s="20"/>
      <c r="N1039" s="20"/>
      <c r="O1039" s="20"/>
      <c r="P1039" s="20"/>
      <c r="Q1039" s="21"/>
      <c r="R1039" s="22" t="s">
        <v>16</v>
      </c>
      <c r="S1039" s="22">
        <v>2</v>
      </c>
      <c r="T1039" s="753">
        <f t="shared" si="86"/>
        <v>1171.8041645257965</v>
      </c>
      <c r="U1039" s="22">
        <v>0</v>
      </c>
      <c r="V1039" s="20" t="str">
        <f t="shared" si="87"/>
        <v>K-180x130x100</v>
      </c>
    </row>
    <row r="1040" spans="1:22" ht="25.2" thickBot="1">
      <c r="A1040" s="61" t="s">
        <v>117</v>
      </c>
      <c r="B1040" s="69"/>
      <c r="C1040" s="70"/>
      <c r="D1040" s="70"/>
      <c r="E1040" s="70"/>
      <c r="F1040" s="70"/>
      <c r="G1040" s="101"/>
      <c r="H1040" s="70"/>
      <c r="I1040" s="70"/>
      <c r="J1040" s="70"/>
      <c r="K1040" s="70"/>
      <c r="L1040" s="90"/>
      <c r="M1040" s="20"/>
      <c r="N1040" s="20"/>
      <c r="O1040" s="20"/>
      <c r="P1040" s="20"/>
      <c r="Q1040" s="21"/>
      <c r="R1040" s="22"/>
      <c r="S1040" s="22"/>
      <c r="T1040" s="20"/>
      <c r="U1040" s="22"/>
      <c r="V1040" s="20"/>
    </row>
    <row r="1041" spans="1:22" ht="12.75" customHeight="1">
      <c r="A1041" s="539" t="s">
        <v>2149</v>
      </c>
      <c r="B1041" s="289" t="s">
        <v>2147</v>
      </c>
      <c r="C1041" s="74">
        <v>102</v>
      </c>
      <c r="D1041" s="74">
        <v>100</v>
      </c>
      <c r="E1041" s="74">
        <v>211</v>
      </c>
      <c r="F1041" s="74">
        <v>185.7</v>
      </c>
      <c r="G1041" s="83">
        <f>2016*10^-3</f>
        <v>2.016</v>
      </c>
      <c r="H1041" s="75">
        <f t="shared" ref="H1041:H1052" si="88">ROUND(C1041*E1041*F1041/10^6,3)</f>
        <v>3.9969999999999999</v>
      </c>
      <c r="I1041" s="75">
        <f t="shared" ref="I1041:I1052" si="89">IF(D1041="","-",ROUND((F1041+D1041)*C1041/2*E1041/10^6,3))</f>
        <v>3.0739999999999998</v>
      </c>
      <c r="J1041" s="75">
        <f t="shared" ref="J1041:J1052" si="90">IF(D1041="","-",ROUND((E1041+F1041)*C1041/2*D1041/10^6,3))</f>
        <v>2.0230000000000001</v>
      </c>
      <c r="K1041" s="76"/>
      <c r="L1041" s="828" t="s">
        <v>117</v>
      </c>
      <c r="M1041" s="20"/>
      <c r="N1041" s="20"/>
      <c r="O1041" s="20"/>
      <c r="P1041" s="20"/>
      <c r="Q1041" s="21"/>
      <c r="R1041" s="22" t="s">
        <v>16</v>
      </c>
      <c r="S1041" s="22">
        <v>2</v>
      </c>
      <c r="T1041" s="753">
        <f>IF(E1041=F1041,"-",(E1041/(E1041-F1041))*SQRT((C1041^2)+((E1041-F1041)/2)^2))</f>
        <v>857.18900715602149</v>
      </c>
      <c r="U1041" s="22">
        <v>0</v>
      </c>
      <c r="V1041" s="20" t="str">
        <f>B1042&amp;"-"&amp;C1041&amp;"x"&amp;E1041&amp;"x"&amp;D1041</f>
        <v>K-102x211x100</v>
      </c>
    </row>
    <row r="1042" spans="1:22">
      <c r="A1042" s="73" t="s">
        <v>2150</v>
      </c>
      <c r="B1042" s="289" t="s">
        <v>2147</v>
      </c>
      <c r="C1042" s="2">
        <v>102</v>
      </c>
      <c r="D1042" s="2">
        <v>100</v>
      </c>
      <c r="E1042" s="2">
        <v>211</v>
      </c>
      <c r="F1042" s="2">
        <v>198.4</v>
      </c>
      <c r="G1042" s="21">
        <f>2081*10^-3</f>
        <v>2.081</v>
      </c>
      <c r="H1042" s="20">
        <f t="shared" si="88"/>
        <v>4.2699999999999996</v>
      </c>
      <c r="I1042" s="20">
        <f t="shared" si="89"/>
        <v>3.2109999999999999</v>
      </c>
      <c r="J1042" s="20">
        <f t="shared" si="90"/>
        <v>2.0880000000000001</v>
      </c>
      <c r="K1042" s="72"/>
      <c r="L1042" s="829"/>
      <c r="M1042" s="20"/>
      <c r="N1042" s="20"/>
      <c r="O1042" s="20"/>
      <c r="P1042" s="20"/>
      <c r="Q1042" s="21"/>
      <c r="R1042" s="22" t="s">
        <v>16</v>
      </c>
      <c r="S1042" s="22">
        <v>2</v>
      </c>
      <c r="T1042" s="753">
        <f t="shared" ref="T1042:T1052" si="91">IF(E1042=F1042,"-",(E1042/(E1042-F1042))*SQRT((C1042^2)+((E1042-F1042)/2)^2))</f>
        <v>1711.3502249404214</v>
      </c>
      <c r="U1042" s="22">
        <v>0</v>
      </c>
      <c r="V1042" s="20" t="e">
        <f>#REF!&amp;"-"&amp;C1042&amp;"x"&amp;E1042&amp;"x"&amp;D1042</f>
        <v>#REF!</v>
      </c>
    </row>
    <row r="1043" spans="1:22">
      <c r="A1043" s="73" t="s">
        <v>2151</v>
      </c>
      <c r="B1043" s="289" t="s">
        <v>2147</v>
      </c>
      <c r="C1043" s="2">
        <v>102</v>
      </c>
      <c r="D1043" s="2">
        <v>100</v>
      </c>
      <c r="E1043" s="2">
        <v>211</v>
      </c>
      <c r="F1043" s="2">
        <v>202.7</v>
      </c>
      <c r="G1043" s="21">
        <f>2098*10^-3</f>
        <v>2.0979999999999999</v>
      </c>
      <c r="H1043" s="20">
        <f t="shared" si="88"/>
        <v>4.3630000000000004</v>
      </c>
      <c r="I1043" s="20">
        <f t="shared" si="89"/>
        <v>3.2570000000000001</v>
      </c>
      <c r="J1043" s="20">
        <f t="shared" si="90"/>
        <v>2.11</v>
      </c>
      <c r="K1043" s="72"/>
      <c r="L1043" s="829"/>
      <c r="M1043" s="20"/>
      <c r="N1043" s="20"/>
      <c r="O1043" s="20"/>
      <c r="P1043" s="20"/>
      <c r="Q1043" s="21"/>
      <c r="R1043" s="22" t="s">
        <v>16</v>
      </c>
      <c r="S1043" s="22">
        <v>2</v>
      </c>
      <c r="T1043" s="753">
        <f t="shared" si="91"/>
        <v>2595.1573617167901</v>
      </c>
      <c r="U1043" s="22">
        <v>0</v>
      </c>
      <c r="V1043" s="20" t="str">
        <f t="shared" ref="V1043:V1052" si="92">B1043&amp;"-"&amp;C1043&amp;"x"&amp;E1043&amp;"x"&amp;D1043</f>
        <v>K-102x211x100</v>
      </c>
    </row>
    <row r="1044" spans="1:22">
      <c r="A1044" s="73" t="s">
        <v>2152</v>
      </c>
      <c r="B1044" s="289" t="s">
        <v>2147</v>
      </c>
      <c r="C1044" s="2">
        <v>127</v>
      </c>
      <c r="D1044" s="2">
        <v>100</v>
      </c>
      <c r="E1044" s="2">
        <v>211</v>
      </c>
      <c r="F1044" s="2">
        <v>179.3</v>
      </c>
      <c r="G1044" s="21">
        <f>2474*10^-3</f>
        <v>2.4740000000000002</v>
      </c>
      <c r="H1044" s="20">
        <f t="shared" si="88"/>
        <v>4.8049999999999997</v>
      </c>
      <c r="I1044" s="20">
        <f t="shared" si="89"/>
        <v>3.742</v>
      </c>
      <c r="J1044" s="20">
        <f t="shared" si="90"/>
        <v>2.4780000000000002</v>
      </c>
      <c r="K1044" s="72"/>
      <c r="L1044" s="829"/>
      <c r="M1044" s="20"/>
      <c r="N1044" s="20"/>
      <c r="O1044" s="20"/>
      <c r="P1044" s="20"/>
      <c r="Q1044" s="21"/>
      <c r="R1044" s="22" t="s">
        <v>16</v>
      </c>
      <c r="S1044" s="22">
        <v>2</v>
      </c>
      <c r="T1044" s="753">
        <f t="shared" si="91"/>
        <v>851.88915880724301</v>
      </c>
      <c r="U1044" s="22">
        <v>0</v>
      </c>
      <c r="V1044" s="20" t="str">
        <f t="shared" si="92"/>
        <v>K-127x211x100</v>
      </c>
    </row>
    <row r="1045" spans="1:22">
      <c r="A1045" s="73" t="s">
        <v>2153</v>
      </c>
      <c r="B1045" s="289" t="s">
        <v>2147</v>
      </c>
      <c r="C1045" s="2">
        <v>127</v>
      </c>
      <c r="D1045" s="2">
        <v>100</v>
      </c>
      <c r="E1045" s="2">
        <v>211</v>
      </c>
      <c r="F1045" s="2">
        <v>195.3</v>
      </c>
      <c r="G1045" s="21">
        <f>2573*10^-3</f>
        <v>2.573</v>
      </c>
      <c r="H1045" s="20">
        <f t="shared" si="88"/>
        <v>5.2329999999999997</v>
      </c>
      <c r="I1045" s="20">
        <f t="shared" si="89"/>
        <v>3.9569999999999999</v>
      </c>
      <c r="J1045" s="20">
        <f t="shared" si="90"/>
        <v>2.58</v>
      </c>
      <c r="K1045" s="72"/>
      <c r="L1045" s="829"/>
      <c r="M1045" s="20"/>
      <c r="N1045" s="20"/>
      <c r="O1045" s="20"/>
      <c r="P1045" s="20"/>
      <c r="Q1045" s="21"/>
      <c r="R1045" s="22" t="s">
        <v>16</v>
      </c>
      <c r="S1045" s="22">
        <v>2</v>
      </c>
      <c r="T1045" s="753">
        <f t="shared" si="91"/>
        <v>1710.0727097565375</v>
      </c>
      <c r="U1045" s="22">
        <v>0</v>
      </c>
      <c r="V1045" s="20" t="str">
        <f t="shared" si="92"/>
        <v>K-127x211x100</v>
      </c>
    </row>
    <row r="1046" spans="1:22">
      <c r="A1046" s="73" t="s">
        <v>2154</v>
      </c>
      <c r="B1046" s="289" t="s">
        <v>2147</v>
      </c>
      <c r="C1046" s="2">
        <v>127</v>
      </c>
      <c r="D1046" s="2">
        <v>100</v>
      </c>
      <c r="E1046" s="2">
        <v>211</v>
      </c>
      <c r="F1046" s="2">
        <v>200.4</v>
      </c>
      <c r="G1046" s="21">
        <f>2606*10^-3</f>
        <v>2.6059999999999999</v>
      </c>
      <c r="H1046" s="20">
        <f t="shared" si="88"/>
        <v>5.37</v>
      </c>
      <c r="I1046" s="20">
        <f t="shared" si="89"/>
        <v>4.0250000000000004</v>
      </c>
      <c r="J1046" s="20">
        <f t="shared" si="90"/>
        <v>2.6120000000000001</v>
      </c>
      <c r="K1046" s="72"/>
      <c r="L1046" s="829"/>
      <c r="M1046" s="20"/>
      <c r="N1046" s="20"/>
      <c r="O1046" s="20"/>
      <c r="P1046" s="20"/>
      <c r="Q1046" s="21"/>
      <c r="R1046" s="22" t="s">
        <v>16</v>
      </c>
      <c r="S1046" s="22">
        <v>2</v>
      </c>
      <c r="T1046" s="753">
        <f t="shared" si="91"/>
        <v>2530.2192882401359</v>
      </c>
      <c r="U1046" s="22">
        <v>0</v>
      </c>
      <c r="V1046" s="20" t="str">
        <f t="shared" si="92"/>
        <v>K-127x211x100</v>
      </c>
    </row>
    <row r="1047" spans="1:22">
      <c r="A1047" s="73" t="s">
        <v>2155</v>
      </c>
      <c r="B1047" s="289" t="s">
        <v>2147</v>
      </c>
      <c r="C1047" s="2">
        <v>152</v>
      </c>
      <c r="D1047" s="2">
        <v>100</v>
      </c>
      <c r="E1047" s="2">
        <v>211</v>
      </c>
      <c r="F1047" s="2">
        <v>173</v>
      </c>
      <c r="G1047" s="21">
        <f>2933*10^-3</f>
        <v>2.9330000000000003</v>
      </c>
      <c r="H1047" s="20">
        <f t="shared" si="88"/>
        <v>5.548</v>
      </c>
      <c r="I1047" s="20">
        <f t="shared" si="89"/>
        <v>4.3780000000000001</v>
      </c>
      <c r="J1047" s="20">
        <f t="shared" si="90"/>
        <v>2.9180000000000001</v>
      </c>
      <c r="K1047" s="72"/>
      <c r="L1047" s="829"/>
      <c r="M1047" s="20"/>
      <c r="N1047" s="20"/>
      <c r="O1047" s="20"/>
      <c r="P1047" s="20"/>
      <c r="Q1047" s="21"/>
      <c r="R1047" s="22" t="s">
        <v>16</v>
      </c>
      <c r="S1047" s="22">
        <v>2</v>
      </c>
      <c r="T1047" s="753">
        <f t="shared" si="91"/>
        <v>850.56819244549683</v>
      </c>
      <c r="U1047" s="22">
        <v>0</v>
      </c>
      <c r="V1047" s="20" t="str">
        <f t="shared" si="92"/>
        <v>K-152x211x100</v>
      </c>
    </row>
    <row r="1048" spans="1:22">
      <c r="A1048" s="73" t="s">
        <v>2156</v>
      </c>
      <c r="B1048" s="289" t="s">
        <v>2147</v>
      </c>
      <c r="C1048" s="2">
        <v>152</v>
      </c>
      <c r="D1048" s="2">
        <v>100</v>
      </c>
      <c r="E1048" s="2">
        <v>211</v>
      </c>
      <c r="F1048" s="2">
        <v>192</v>
      </c>
      <c r="G1048" s="21">
        <f>3064*10^-3</f>
        <v>3.0640000000000001</v>
      </c>
      <c r="H1048" s="20">
        <f t="shared" si="88"/>
        <v>6.1580000000000004</v>
      </c>
      <c r="I1048" s="20">
        <f t="shared" si="89"/>
        <v>4.6829999999999998</v>
      </c>
      <c r="J1048" s="20">
        <f t="shared" si="90"/>
        <v>3.0630000000000002</v>
      </c>
      <c r="K1048" s="72"/>
      <c r="L1048" s="829"/>
      <c r="M1048" s="20"/>
      <c r="N1048" s="20"/>
      <c r="O1048" s="20"/>
      <c r="P1048" s="20"/>
      <c r="Q1048" s="21"/>
      <c r="R1048" s="22" t="s">
        <v>16</v>
      </c>
      <c r="S1048" s="22">
        <v>2</v>
      </c>
      <c r="T1048" s="753">
        <f t="shared" si="91"/>
        <v>1691.2936616684874</v>
      </c>
      <c r="U1048" s="22">
        <v>0</v>
      </c>
      <c r="V1048" s="20" t="str">
        <f t="shared" si="92"/>
        <v>K-152x211x100</v>
      </c>
    </row>
    <row r="1049" spans="1:22">
      <c r="A1049" s="73" t="s">
        <v>2157</v>
      </c>
      <c r="B1049" s="289" t="s">
        <v>2147</v>
      </c>
      <c r="C1049" s="2">
        <v>152</v>
      </c>
      <c r="D1049" s="2">
        <v>100</v>
      </c>
      <c r="E1049" s="2">
        <v>211</v>
      </c>
      <c r="F1049" s="2">
        <v>198.4</v>
      </c>
      <c r="G1049" s="21">
        <f>3114*10^-3</f>
        <v>3.1139999999999999</v>
      </c>
      <c r="H1049" s="20">
        <f t="shared" si="88"/>
        <v>6.3630000000000004</v>
      </c>
      <c r="I1049" s="20">
        <f t="shared" si="89"/>
        <v>4.7850000000000001</v>
      </c>
      <c r="J1049" s="20">
        <f t="shared" si="90"/>
        <v>3.1110000000000002</v>
      </c>
      <c r="K1049" s="72"/>
      <c r="L1049" s="829"/>
      <c r="M1049" s="20"/>
      <c r="N1049" s="20"/>
      <c r="O1049" s="20"/>
      <c r="P1049" s="20"/>
      <c r="Q1049" s="21"/>
      <c r="R1049" s="22" t="s">
        <v>16</v>
      </c>
      <c r="S1049" s="22">
        <v>2</v>
      </c>
      <c r="T1049" s="753">
        <f t="shared" si="91"/>
        <v>2547.5822359131494</v>
      </c>
      <c r="U1049" s="22">
        <v>0</v>
      </c>
      <c r="V1049" s="20" t="str">
        <f t="shared" si="92"/>
        <v>K-152x211x100</v>
      </c>
    </row>
    <row r="1050" spans="1:22">
      <c r="A1050" s="73" t="s">
        <v>2158</v>
      </c>
      <c r="B1050" s="289" t="s">
        <v>2147</v>
      </c>
      <c r="C1050" s="2">
        <v>203</v>
      </c>
      <c r="D1050" s="2">
        <v>100</v>
      </c>
      <c r="E1050" s="2">
        <v>211</v>
      </c>
      <c r="F1050" s="2">
        <v>160</v>
      </c>
      <c r="G1050" s="21">
        <f>3769*10^-3</f>
        <v>3.7690000000000001</v>
      </c>
      <c r="H1050" s="20">
        <f t="shared" si="88"/>
        <v>6.8529999999999998</v>
      </c>
      <c r="I1050" s="20">
        <f t="shared" si="89"/>
        <v>5.5679999999999996</v>
      </c>
      <c r="J1050" s="20">
        <f t="shared" si="90"/>
        <v>3.766</v>
      </c>
      <c r="K1050" s="72"/>
      <c r="L1050" s="829"/>
      <c r="M1050" s="20"/>
      <c r="N1050" s="20"/>
      <c r="O1050" s="20"/>
      <c r="P1050" s="20"/>
      <c r="Q1050" s="21"/>
      <c r="R1050" s="22" t="s">
        <v>16</v>
      </c>
      <c r="S1050" s="22">
        <v>2</v>
      </c>
      <c r="T1050" s="753">
        <f t="shared" si="91"/>
        <v>846.46304148711306</v>
      </c>
      <c r="U1050" s="22">
        <v>0</v>
      </c>
      <c r="V1050" s="20" t="str">
        <f t="shared" si="92"/>
        <v>K-203x211x100</v>
      </c>
    </row>
    <row r="1051" spans="1:22">
      <c r="A1051" s="73" t="s">
        <v>2159</v>
      </c>
      <c r="B1051" s="289" t="s">
        <v>2147</v>
      </c>
      <c r="C1051" s="2">
        <v>203</v>
      </c>
      <c r="D1051" s="2">
        <v>100</v>
      </c>
      <c r="E1051" s="2">
        <v>211</v>
      </c>
      <c r="F1051" s="2">
        <v>185.7</v>
      </c>
      <c r="G1051" s="21">
        <f>4031*10^-3</f>
        <v>4.0309999999999997</v>
      </c>
      <c r="H1051" s="20">
        <f t="shared" si="88"/>
        <v>7.9539999999999997</v>
      </c>
      <c r="I1051" s="20">
        <f t="shared" si="89"/>
        <v>6.1189999999999998</v>
      </c>
      <c r="J1051" s="20">
        <f t="shared" si="90"/>
        <v>4.0270000000000001</v>
      </c>
      <c r="K1051" s="72"/>
      <c r="L1051" s="829"/>
      <c r="M1051" s="20"/>
      <c r="N1051" s="20"/>
      <c r="O1051" s="20"/>
      <c r="P1051" s="20"/>
      <c r="Q1051" s="21"/>
      <c r="R1051" s="22" t="s">
        <v>16</v>
      </c>
      <c r="S1051" s="22">
        <v>2</v>
      </c>
      <c r="T1051" s="753">
        <f t="shared" si="91"/>
        <v>1696.2878981513809</v>
      </c>
      <c r="U1051" s="22">
        <v>0</v>
      </c>
      <c r="V1051" s="20" t="str">
        <f t="shared" si="92"/>
        <v>K-203x211x100</v>
      </c>
    </row>
    <row r="1052" spans="1:22" ht="13.8" thickBot="1">
      <c r="A1052" s="77" t="s">
        <v>2160</v>
      </c>
      <c r="B1052" s="289" t="s">
        <v>2147</v>
      </c>
      <c r="C1052" s="78">
        <v>203</v>
      </c>
      <c r="D1052" s="78">
        <v>100</v>
      </c>
      <c r="E1052" s="78">
        <v>211</v>
      </c>
      <c r="F1052" s="78">
        <v>194.1</v>
      </c>
      <c r="G1052" s="100">
        <f>4113*10^-3</f>
        <v>4.1130000000000004</v>
      </c>
      <c r="H1052" s="79">
        <f t="shared" si="88"/>
        <v>8.3140000000000001</v>
      </c>
      <c r="I1052" s="79">
        <f t="shared" si="89"/>
        <v>6.2990000000000004</v>
      </c>
      <c r="J1052" s="79">
        <f t="shared" si="90"/>
        <v>4.1120000000000001</v>
      </c>
      <c r="K1052" s="80"/>
      <c r="L1052" s="835"/>
      <c r="M1052" s="20"/>
      <c r="N1052" s="20"/>
      <c r="O1052" s="20"/>
      <c r="P1052" s="20"/>
      <c r="Q1052" s="21"/>
      <c r="R1052" s="22" t="s">
        <v>16</v>
      </c>
      <c r="S1052" s="22">
        <v>2</v>
      </c>
      <c r="T1052" s="753">
        <f t="shared" si="91"/>
        <v>2536.6918423346833</v>
      </c>
      <c r="U1052" s="22">
        <v>0</v>
      </c>
      <c r="V1052" s="20" t="str">
        <f t="shared" si="92"/>
        <v>K-203x211x100</v>
      </c>
    </row>
    <row r="1053" spans="1:22" ht="25.2" thickBot="1">
      <c r="A1053" s="61" t="s">
        <v>1823</v>
      </c>
      <c r="B1053" s="69"/>
      <c r="C1053" s="69"/>
      <c r="D1053" s="70"/>
      <c r="E1053" s="70"/>
      <c r="F1053" s="70"/>
      <c r="G1053" s="101"/>
      <c r="H1053" s="70"/>
      <c r="I1053" s="70"/>
      <c r="J1053" s="70"/>
      <c r="K1053" s="70"/>
      <c r="L1053" s="90"/>
      <c r="M1053" s="20"/>
      <c r="N1053" s="20"/>
      <c r="O1053" s="20"/>
      <c r="P1053" s="20"/>
      <c r="Q1053" s="21"/>
      <c r="R1053" s="22"/>
      <c r="S1053" s="22"/>
      <c r="T1053" s="20"/>
      <c r="U1053" s="22"/>
      <c r="V1053" s="20"/>
    </row>
    <row r="1054" spans="1:22" ht="12.75" customHeight="1">
      <c r="A1054" t="s">
        <v>1852</v>
      </c>
      <c r="B1054" s="74" t="s">
        <v>2148</v>
      </c>
      <c r="C1054" s="491">
        <v>50.8</v>
      </c>
      <c r="D1054" s="490">
        <v>100</v>
      </c>
      <c r="E1054" s="348">
        <v>210</v>
      </c>
      <c r="F1054" s="74">
        <v>203.7</v>
      </c>
      <c r="G1054" s="74">
        <v>1.054</v>
      </c>
      <c r="H1054" s="75"/>
      <c r="I1054" s="75"/>
      <c r="J1054" s="75"/>
      <c r="K1054" s="76"/>
      <c r="L1054" s="828" t="s">
        <v>1823</v>
      </c>
      <c r="M1054" s="20"/>
      <c r="N1054" s="20"/>
      <c r="O1054" s="20"/>
      <c r="P1054" s="20"/>
      <c r="Q1054" s="21"/>
      <c r="R1054" s="22" t="s">
        <v>16</v>
      </c>
      <c r="S1054" s="22">
        <v>2</v>
      </c>
      <c r="T1054" s="20">
        <f t="shared" ref="T1054:T1057" si="93">(E1054+U1054)/2/(SIN(RADIANS((ATAN(((E1054+U1054)-(F1054+U1054))/2/C1054)*180/PI()))))*2</f>
        <v>3393.1712469474728</v>
      </c>
      <c r="U1054" s="22">
        <v>0</v>
      </c>
      <c r="V1054" s="20" t="str">
        <f t="shared" ref="V1054:V1071" si="94">B1054&amp;"-"&amp;C1054&amp;"x"&amp;E1054&amp;"x"&amp;D1054</f>
        <v>SU-50,8x210x100</v>
      </c>
    </row>
    <row r="1055" spans="1:22">
      <c r="A1055" t="s">
        <v>1824</v>
      </c>
      <c r="B1055" s="2" t="s">
        <v>2148</v>
      </c>
      <c r="C1055" s="491">
        <f>3*25.4</f>
        <v>76.199999999999989</v>
      </c>
      <c r="D1055" s="490">
        <v>100</v>
      </c>
      <c r="E1055" s="348">
        <v>210</v>
      </c>
      <c r="F1055" s="2">
        <v>199.4</v>
      </c>
      <c r="G1055" s="2">
        <v>1.56</v>
      </c>
      <c r="H1055" s="20"/>
      <c r="I1055" s="20"/>
      <c r="J1055" s="20"/>
      <c r="K1055" s="72"/>
      <c r="L1055" s="829"/>
      <c r="M1055" s="20"/>
      <c r="N1055" s="20"/>
      <c r="O1055" s="20"/>
      <c r="P1055" s="20"/>
      <c r="Q1055" s="21"/>
      <c r="R1055" s="22" t="s">
        <v>16</v>
      </c>
      <c r="S1055" s="22">
        <v>2</v>
      </c>
      <c r="T1055" s="20">
        <f t="shared" si="93"/>
        <v>3026.5396212558808</v>
      </c>
      <c r="U1055" s="22">
        <v>0</v>
      </c>
      <c r="V1055" s="20" t="str">
        <f t="shared" si="94"/>
        <v>SU-76,2x210x100</v>
      </c>
    </row>
    <row r="1056" spans="1:22">
      <c r="A1056" s="340" t="s">
        <v>1853</v>
      </c>
      <c r="B1056" s="2" t="s">
        <v>2148</v>
      </c>
      <c r="C1056" s="491">
        <f>3*25.4</f>
        <v>76.199999999999989</v>
      </c>
      <c r="D1056" s="490">
        <v>76.2</v>
      </c>
      <c r="E1056" s="348">
        <v>210</v>
      </c>
      <c r="F1056" s="2">
        <v>199.4</v>
      </c>
      <c r="G1056" s="2">
        <v>1.19</v>
      </c>
      <c r="H1056" s="20"/>
      <c r="I1056" s="20"/>
      <c r="J1056" s="20"/>
      <c r="K1056" s="72"/>
      <c r="L1056" s="829"/>
      <c r="M1056" s="20"/>
      <c r="N1056" s="20"/>
      <c r="O1056" s="20"/>
      <c r="P1056" s="20"/>
      <c r="Q1056" s="21"/>
      <c r="R1056" s="22" t="s">
        <v>16</v>
      </c>
      <c r="S1056" s="22">
        <v>2</v>
      </c>
      <c r="T1056" s="20">
        <f t="shared" ref="T1056" si="95">(E1056+U1056)/2/(SIN(RADIANS((ATAN(((E1056+U1056)-(F1056+U1056))/2/C1056)*180/PI()))))*2</f>
        <v>3026.5396212558808</v>
      </c>
      <c r="U1056" s="22">
        <v>0</v>
      </c>
      <c r="V1056" s="20" t="str">
        <f t="shared" ref="V1056" si="96">B1056&amp;"-"&amp;C1056&amp;"x"&amp;E1056&amp;"x"&amp;D1056</f>
        <v>SU-76,2x210x76,2</v>
      </c>
    </row>
    <row r="1057" spans="1:22">
      <c r="A1057" t="s">
        <v>1848</v>
      </c>
      <c r="B1057" s="2" t="s">
        <v>2148</v>
      </c>
      <c r="C1057" s="491">
        <v>76.2</v>
      </c>
      <c r="D1057" s="490">
        <v>100</v>
      </c>
      <c r="E1057" s="348">
        <v>210</v>
      </c>
      <c r="F1057" s="2">
        <v>201.6</v>
      </c>
      <c r="G1057" s="2">
        <v>1.56</v>
      </c>
      <c r="H1057" s="20"/>
      <c r="I1057" s="20"/>
      <c r="J1057" s="20"/>
      <c r="K1057" s="72"/>
      <c r="L1057" s="829"/>
      <c r="M1057" s="20"/>
      <c r="N1057" s="20"/>
      <c r="O1057" s="20"/>
      <c r="P1057" s="20"/>
      <c r="Q1057" s="21"/>
      <c r="R1057" s="22" t="s">
        <v>16</v>
      </c>
      <c r="S1057" s="22">
        <v>2</v>
      </c>
      <c r="T1057" s="20">
        <f t="shared" si="93"/>
        <v>3815.7830126987024</v>
      </c>
      <c r="U1057" s="22">
        <v>0</v>
      </c>
      <c r="V1057" s="20" t="str">
        <f t="shared" si="94"/>
        <v>SU-76,2x210x100</v>
      </c>
    </row>
    <row r="1058" spans="1:22">
      <c r="A1058" t="s">
        <v>1850</v>
      </c>
      <c r="B1058" s="2" t="s">
        <v>2148</v>
      </c>
      <c r="C1058" s="491">
        <v>76.2</v>
      </c>
      <c r="D1058" s="490">
        <v>76.2</v>
      </c>
      <c r="E1058" s="348">
        <v>210</v>
      </c>
      <c r="F1058" s="2">
        <v>201.6</v>
      </c>
      <c r="G1058" s="2">
        <v>1.19</v>
      </c>
      <c r="H1058" s="20"/>
      <c r="I1058" s="20"/>
      <c r="J1058" s="20"/>
      <c r="K1058" s="72"/>
      <c r="L1058" s="829"/>
      <c r="M1058" s="20"/>
      <c r="N1058" s="20"/>
      <c r="O1058" s="20"/>
      <c r="P1058" s="20"/>
      <c r="Q1058" s="21"/>
      <c r="R1058" s="22"/>
      <c r="S1058" s="22"/>
      <c r="T1058" s="20"/>
      <c r="U1058" s="22">
        <v>0</v>
      </c>
      <c r="V1058" s="20" t="str">
        <f t="shared" si="94"/>
        <v>SU-76,2x210x76,2</v>
      </c>
    </row>
    <row r="1059" spans="1:22">
      <c r="A1059" t="s">
        <v>1825</v>
      </c>
      <c r="B1059" s="2" t="s">
        <v>2148</v>
      </c>
      <c r="C1059" s="491">
        <v>101.6</v>
      </c>
      <c r="D1059" s="490">
        <v>100</v>
      </c>
      <c r="E1059" s="348">
        <v>210</v>
      </c>
      <c r="F1059" s="2">
        <v>188.6</v>
      </c>
      <c r="G1059" s="2">
        <v>2.02</v>
      </c>
      <c r="H1059" s="20"/>
      <c r="I1059" s="20"/>
      <c r="J1059" s="20"/>
      <c r="K1059" s="72"/>
      <c r="L1059" s="829"/>
      <c r="M1059" s="20"/>
      <c r="N1059" s="20"/>
      <c r="O1059" s="20"/>
      <c r="P1059" s="20"/>
      <c r="Q1059" s="21"/>
      <c r="R1059" s="22"/>
      <c r="S1059" s="22"/>
      <c r="T1059" s="20"/>
      <c r="U1059" s="22">
        <v>0</v>
      </c>
      <c r="V1059" s="20" t="str">
        <f t="shared" si="94"/>
        <v>SU-101,6x210x100</v>
      </c>
    </row>
    <row r="1060" spans="1:22">
      <c r="A1060" t="s">
        <v>1844</v>
      </c>
      <c r="B1060" s="2" t="s">
        <v>2148</v>
      </c>
      <c r="C1060" s="491">
        <v>101.6</v>
      </c>
      <c r="D1060" s="490">
        <v>76.2</v>
      </c>
      <c r="E1060" s="348">
        <v>210</v>
      </c>
      <c r="F1060" s="2">
        <v>188.6</v>
      </c>
      <c r="G1060" s="2">
        <v>1.5429999999999999</v>
      </c>
      <c r="H1060" s="20"/>
      <c r="I1060" s="20"/>
      <c r="J1060" s="20"/>
      <c r="K1060" s="72"/>
      <c r="L1060" s="829"/>
      <c r="M1060" s="20"/>
      <c r="N1060" s="20"/>
      <c r="O1060" s="20"/>
      <c r="P1060" s="20"/>
      <c r="Q1060" s="21"/>
      <c r="R1060" s="22"/>
      <c r="S1060" s="22"/>
      <c r="T1060" s="20"/>
      <c r="U1060" s="22">
        <v>0</v>
      </c>
      <c r="V1060" s="20" t="str">
        <f t="shared" si="94"/>
        <v>SU-101,6x210x76,2</v>
      </c>
    </row>
    <row r="1061" spans="1:22">
      <c r="A1061" t="s">
        <v>1829</v>
      </c>
      <c r="B1061" s="2" t="s">
        <v>2148</v>
      </c>
      <c r="C1061" s="491">
        <v>101.6</v>
      </c>
      <c r="D1061" s="490">
        <v>100</v>
      </c>
      <c r="E1061" s="348">
        <v>210</v>
      </c>
      <c r="F1061" s="2">
        <v>195.8</v>
      </c>
      <c r="G1061" s="2">
        <v>2.06</v>
      </c>
      <c r="H1061" s="20"/>
      <c r="I1061" s="20"/>
      <c r="J1061" s="20"/>
      <c r="K1061" s="72"/>
      <c r="L1061" s="829"/>
      <c r="M1061" s="20"/>
      <c r="N1061" s="20"/>
      <c r="O1061" s="20"/>
      <c r="P1061" s="20"/>
      <c r="Q1061" s="21"/>
      <c r="R1061" s="22"/>
      <c r="S1061" s="22"/>
      <c r="T1061" s="20"/>
      <c r="U1061" s="22">
        <v>0</v>
      </c>
      <c r="V1061" s="20" t="str">
        <f t="shared" si="94"/>
        <v>SU-101,6x210x100</v>
      </c>
    </row>
    <row r="1062" spans="1:22">
      <c r="A1062" t="s">
        <v>1845</v>
      </c>
      <c r="B1062" s="2" t="s">
        <v>2148</v>
      </c>
      <c r="C1062" s="491">
        <v>101.6</v>
      </c>
      <c r="D1062" s="490">
        <v>76.2</v>
      </c>
      <c r="E1062" s="348">
        <v>210</v>
      </c>
      <c r="F1062" s="2">
        <v>195.8</v>
      </c>
      <c r="G1062" s="2">
        <v>1.57</v>
      </c>
      <c r="H1062" s="20"/>
      <c r="I1062" s="20"/>
      <c r="J1062" s="20"/>
      <c r="K1062" s="72"/>
      <c r="L1062" s="829"/>
      <c r="M1062" s="20"/>
      <c r="N1062" s="20"/>
      <c r="O1062" s="20"/>
      <c r="P1062" s="20"/>
      <c r="Q1062" s="21"/>
      <c r="R1062" s="22"/>
      <c r="S1062" s="22"/>
      <c r="T1062" s="20"/>
      <c r="U1062" s="22">
        <v>0</v>
      </c>
      <c r="V1062" s="20" t="str">
        <f t="shared" si="94"/>
        <v>SU-101,6x210x76,2</v>
      </c>
    </row>
    <row r="1063" spans="1:22">
      <c r="A1063" t="s">
        <v>1826</v>
      </c>
      <c r="B1063" s="2" t="s">
        <v>2148</v>
      </c>
      <c r="C1063" s="491">
        <v>101.6</v>
      </c>
      <c r="D1063" s="490">
        <v>100</v>
      </c>
      <c r="E1063" s="348">
        <v>210</v>
      </c>
      <c r="F1063" s="2">
        <v>199.4</v>
      </c>
      <c r="G1063" s="2">
        <v>2.0790000000000002</v>
      </c>
      <c r="H1063" s="20"/>
      <c r="I1063" s="20"/>
      <c r="J1063" s="20"/>
      <c r="K1063" s="72"/>
      <c r="L1063" s="829"/>
      <c r="M1063" s="20"/>
      <c r="N1063" s="20"/>
      <c r="O1063" s="20"/>
      <c r="P1063" s="20"/>
      <c r="Q1063" s="21"/>
      <c r="R1063" s="22"/>
      <c r="S1063" s="22"/>
      <c r="T1063" s="20"/>
      <c r="U1063" s="22">
        <v>0</v>
      </c>
      <c r="V1063" s="20" t="str">
        <f t="shared" si="94"/>
        <v>SU-101,6x210x100</v>
      </c>
    </row>
    <row r="1064" spans="1:22">
      <c r="A1064" t="s">
        <v>1846</v>
      </c>
      <c r="B1064" s="2" t="s">
        <v>2148</v>
      </c>
      <c r="C1064" s="491">
        <v>101.6</v>
      </c>
      <c r="D1064" s="490">
        <v>76.2</v>
      </c>
      <c r="E1064" s="348">
        <v>210</v>
      </c>
      <c r="F1064" s="2">
        <v>199.4</v>
      </c>
      <c r="G1064" s="2">
        <v>1.56</v>
      </c>
      <c r="H1064" s="20"/>
      <c r="I1064" s="20"/>
      <c r="J1064" s="20"/>
      <c r="K1064" s="72"/>
      <c r="L1064" s="829"/>
      <c r="M1064" s="20"/>
      <c r="N1064" s="20"/>
      <c r="O1064" s="20"/>
      <c r="P1064" s="20"/>
      <c r="Q1064" s="21"/>
      <c r="R1064" s="22"/>
      <c r="S1064" s="22"/>
      <c r="T1064" s="20"/>
      <c r="U1064" s="22">
        <v>0</v>
      </c>
      <c r="V1064" s="20" t="str">
        <f t="shared" si="94"/>
        <v>SU-101,6x210x76,2</v>
      </c>
    </row>
    <row r="1065" spans="1:22">
      <c r="A1065" t="s">
        <v>1830</v>
      </c>
      <c r="B1065" s="2" t="s">
        <v>2148</v>
      </c>
      <c r="C1065" s="491">
        <v>127</v>
      </c>
      <c r="D1065" s="490">
        <v>100</v>
      </c>
      <c r="E1065" s="348">
        <v>210</v>
      </c>
      <c r="F1065" s="2">
        <v>183.4</v>
      </c>
      <c r="G1065" s="2">
        <v>2.5</v>
      </c>
      <c r="H1065" s="20"/>
      <c r="I1065" s="20"/>
      <c r="J1065" s="20"/>
      <c r="K1065" s="72"/>
      <c r="L1065" s="829"/>
      <c r="M1065" s="20"/>
      <c r="N1065" s="20"/>
      <c r="O1065" s="20"/>
      <c r="P1065" s="20"/>
      <c r="Q1065" s="21"/>
      <c r="R1065" s="22"/>
      <c r="S1065" s="22"/>
      <c r="T1065" s="20"/>
      <c r="U1065" s="22">
        <v>0</v>
      </c>
      <c r="V1065" s="20" t="str">
        <f t="shared" si="94"/>
        <v>SU-127x210x100</v>
      </c>
    </row>
    <row r="1066" spans="1:22">
      <c r="A1066" s="340" t="s">
        <v>1865</v>
      </c>
      <c r="B1066" s="2" t="s">
        <v>2148</v>
      </c>
      <c r="C1066" s="491">
        <v>127</v>
      </c>
      <c r="D1066" s="490">
        <v>76.2</v>
      </c>
      <c r="E1066" s="348">
        <v>210</v>
      </c>
      <c r="F1066" s="2">
        <v>183.4</v>
      </c>
      <c r="G1066" s="2">
        <v>1.91</v>
      </c>
      <c r="H1066" s="20"/>
      <c r="I1066" s="20"/>
      <c r="J1066" s="20"/>
      <c r="K1066" s="72"/>
      <c r="L1066" s="829"/>
      <c r="M1066" s="20"/>
      <c r="N1066" s="20"/>
      <c r="O1066" s="20"/>
      <c r="P1066" s="20"/>
      <c r="Q1066" s="21"/>
      <c r="R1066" s="22"/>
      <c r="S1066" s="22"/>
      <c r="T1066" s="20"/>
      <c r="U1066" s="22">
        <v>0</v>
      </c>
      <c r="V1066" s="20" t="str">
        <f t="shared" ref="V1066" si="97">B1066&amp;"-"&amp;C1066&amp;"x"&amp;E1066&amp;"x"&amp;D1066</f>
        <v>SU-127x210x76,2</v>
      </c>
    </row>
    <row r="1067" spans="1:22">
      <c r="A1067" s="340" t="s">
        <v>1864</v>
      </c>
      <c r="B1067" s="2" t="s">
        <v>2148</v>
      </c>
      <c r="C1067" s="491">
        <v>127</v>
      </c>
      <c r="D1067" s="490">
        <v>100</v>
      </c>
      <c r="E1067" s="348">
        <v>210</v>
      </c>
      <c r="F1067" s="2">
        <v>187.8</v>
      </c>
      <c r="G1067" s="2">
        <v>2.5299999999999998</v>
      </c>
      <c r="H1067" s="20"/>
      <c r="I1067" s="20"/>
      <c r="J1067" s="20"/>
      <c r="K1067" s="72"/>
      <c r="L1067" s="829"/>
      <c r="M1067" s="20"/>
      <c r="N1067" s="20"/>
      <c r="O1067" s="20"/>
      <c r="P1067" s="20"/>
      <c r="Q1067" s="21"/>
      <c r="R1067" s="22"/>
      <c r="S1067" s="22"/>
      <c r="T1067" s="20"/>
      <c r="U1067" s="22">
        <v>0</v>
      </c>
      <c r="V1067" s="20" t="str">
        <f t="shared" si="94"/>
        <v>SU-127x210x100</v>
      </c>
    </row>
    <row r="1068" spans="1:22">
      <c r="A1068" s="340" t="s">
        <v>1851</v>
      </c>
      <c r="B1068" s="2" t="s">
        <v>2148</v>
      </c>
      <c r="C1068" s="491">
        <v>127</v>
      </c>
      <c r="D1068" s="490">
        <v>76.2</v>
      </c>
      <c r="E1068" s="348">
        <v>210</v>
      </c>
      <c r="F1068" s="2">
        <v>187.8</v>
      </c>
      <c r="G1068" s="2">
        <v>1.93</v>
      </c>
      <c r="H1068" s="20"/>
      <c r="I1068" s="20"/>
      <c r="J1068" s="20"/>
      <c r="K1068" s="72"/>
      <c r="L1068" s="829"/>
      <c r="M1068" s="20"/>
      <c r="N1068" s="20"/>
      <c r="O1068" s="20"/>
      <c r="P1068" s="20"/>
      <c r="Q1068" s="21"/>
      <c r="R1068" s="22"/>
      <c r="S1068" s="22"/>
      <c r="T1068" s="20"/>
      <c r="U1068" s="22">
        <v>0</v>
      </c>
      <c r="V1068" s="20" t="str">
        <f t="shared" ref="V1068" si="98">B1068&amp;"-"&amp;C1068&amp;"x"&amp;E1068&amp;"x"&amp;D1068</f>
        <v>SU-127x210x76,2</v>
      </c>
    </row>
    <row r="1069" spans="1:22">
      <c r="A1069" t="s">
        <v>1831</v>
      </c>
      <c r="B1069" s="2" t="s">
        <v>2148</v>
      </c>
      <c r="C1069" s="491">
        <v>127</v>
      </c>
      <c r="D1069" s="490">
        <v>100</v>
      </c>
      <c r="E1069" s="348">
        <v>210</v>
      </c>
      <c r="F1069" s="2">
        <v>192.2</v>
      </c>
      <c r="G1069" s="2">
        <v>2.5499999999999998</v>
      </c>
      <c r="H1069" s="20"/>
      <c r="I1069" s="20"/>
      <c r="J1069" s="20"/>
      <c r="K1069" s="72"/>
      <c r="L1069" s="829"/>
      <c r="M1069" s="20"/>
      <c r="N1069" s="20"/>
      <c r="O1069" s="20"/>
      <c r="P1069" s="20"/>
      <c r="Q1069" s="21"/>
      <c r="R1069" s="22"/>
      <c r="S1069" s="22"/>
      <c r="T1069" s="20"/>
      <c r="U1069" s="22">
        <v>0</v>
      </c>
      <c r="V1069" s="20" t="str">
        <f t="shared" si="94"/>
        <v>SU-127x210x100</v>
      </c>
    </row>
    <row r="1070" spans="1:22">
      <c r="A1070" t="s">
        <v>1847</v>
      </c>
      <c r="B1070" s="2" t="s">
        <v>2148</v>
      </c>
      <c r="C1070" s="491">
        <v>127</v>
      </c>
      <c r="D1070" s="490">
        <v>76.2</v>
      </c>
      <c r="E1070" s="348">
        <v>210</v>
      </c>
      <c r="F1070" s="2">
        <v>192.2</v>
      </c>
      <c r="G1070" s="2">
        <v>1.94</v>
      </c>
      <c r="H1070" s="20"/>
      <c r="I1070" s="20"/>
      <c r="J1070" s="20"/>
      <c r="K1070" s="72"/>
      <c r="L1070" s="829"/>
      <c r="M1070" s="20"/>
      <c r="N1070" s="20"/>
      <c r="O1070" s="20"/>
      <c r="P1070" s="20"/>
      <c r="Q1070" s="21"/>
      <c r="R1070" s="22"/>
      <c r="S1070" s="22"/>
      <c r="T1070" s="20"/>
      <c r="U1070" s="22">
        <v>0</v>
      </c>
      <c r="V1070" s="20" t="str">
        <f t="shared" si="94"/>
        <v>SU-127x210x76,2</v>
      </c>
    </row>
    <row r="1071" spans="1:22">
      <c r="A1071" t="s">
        <v>1832</v>
      </c>
      <c r="B1071" s="2" t="s">
        <v>2148</v>
      </c>
      <c r="C1071" s="491">
        <v>127</v>
      </c>
      <c r="D1071" s="490">
        <v>100</v>
      </c>
      <c r="E1071" s="348">
        <v>210</v>
      </c>
      <c r="F1071" s="2">
        <v>196.7</v>
      </c>
      <c r="G1071" s="2">
        <v>2.58</v>
      </c>
      <c r="H1071" s="20"/>
      <c r="I1071" s="20"/>
      <c r="J1071" s="20"/>
      <c r="K1071" s="72"/>
      <c r="L1071" s="829"/>
      <c r="M1071" s="20"/>
      <c r="N1071" s="20"/>
      <c r="O1071" s="20"/>
      <c r="P1071" s="20"/>
      <c r="Q1071" s="21"/>
      <c r="R1071" s="22"/>
      <c r="S1071" s="22"/>
      <c r="T1071" s="20"/>
      <c r="U1071" s="22">
        <v>0</v>
      </c>
      <c r="V1071" s="20" t="str">
        <f t="shared" si="94"/>
        <v>SU-127x210x100</v>
      </c>
    </row>
    <row r="1072" spans="1:22">
      <c r="A1072" s="340" t="s">
        <v>1854</v>
      </c>
      <c r="B1072" s="2" t="s">
        <v>2148</v>
      </c>
      <c r="C1072" s="491">
        <v>127</v>
      </c>
      <c r="D1072" s="490">
        <v>76.2</v>
      </c>
      <c r="E1072" s="348">
        <v>210</v>
      </c>
      <c r="F1072" s="2">
        <v>196.7</v>
      </c>
      <c r="G1072" s="2">
        <v>1.97</v>
      </c>
      <c r="H1072" s="20"/>
      <c r="I1072" s="20"/>
      <c r="J1072" s="20"/>
      <c r="K1072" s="72"/>
      <c r="L1072" s="829"/>
      <c r="M1072" s="20"/>
      <c r="N1072" s="20"/>
      <c r="O1072" s="20"/>
      <c r="P1072" s="20"/>
      <c r="Q1072" s="21"/>
      <c r="R1072" s="22"/>
      <c r="S1072" s="22"/>
      <c r="T1072" s="20"/>
      <c r="U1072" s="22">
        <v>0</v>
      </c>
      <c r="V1072" s="20" t="str">
        <f t="shared" ref="V1072:V1073" si="99">B1072&amp;"-"&amp;C1072&amp;"x"&amp;E1072&amp;"x"&amp;D1072</f>
        <v>SU-127x210x76,2</v>
      </c>
    </row>
    <row r="1073" spans="1:22">
      <c r="A1073" t="s">
        <v>1833</v>
      </c>
      <c r="B1073" s="2" t="s">
        <v>2148</v>
      </c>
      <c r="C1073" s="491">
        <v>152.4</v>
      </c>
      <c r="D1073" s="490">
        <v>100</v>
      </c>
      <c r="E1073" s="348">
        <v>210</v>
      </c>
      <c r="F1073" s="2">
        <v>178</v>
      </c>
      <c r="G1073" s="2">
        <v>2.96</v>
      </c>
      <c r="H1073" s="20"/>
      <c r="I1073" s="20"/>
      <c r="J1073" s="20"/>
      <c r="K1073" s="72"/>
      <c r="L1073" s="829"/>
      <c r="M1073" s="20"/>
      <c r="N1073" s="20"/>
      <c r="O1073" s="20"/>
      <c r="P1073" s="20"/>
      <c r="Q1073" s="21"/>
      <c r="R1073" s="22"/>
      <c r="S1073" s="22"/>
      <c r="T1073" s="20"/>
      <c r="U1073" s="22">
        <v>0</v>
      </c>
      <c r="V1073" s="20" t="str">
        <f t="shared" si="99"/>
        <v>SU-152,4x210x100</v>
      </c>
    </row>
    <row r="1074" spans="1:22">
      <c r="A1074" s="340" t="s">
        <v>1855</v>
      </c>
      <c r="B1074" s="2" t="s">
        <v>2148</v>
      </c>
      <c r="C1074" s="491">
        <v>152.4</v>
      </c>
      <c r="D1074" s="490">
        <v>76.2</v>
      </c>
      <c r="E1074" s="348">
        <v>210</v>
      </c>
      <c r="F1074" s="2">
        <v>178</v>
      </c>
      <c r="G1074" s="2">
        <v>2.2519999999999998</v>
      </c>
      <c r="H1074" s="20"/>
      <c r="I1074" s="20"/>
      <c r="J1074" s="20"/>
      <c r="K1074" s="72"/>
      <c r="L1074" s="829"/>
      <c r="M1074" s="20"/>
      <c r="N1074" s="20"/>
      <c r="O1074" s="20"/>
      <c r="P1074" s="20"/>
      <c r="Q1074" s="21"/>
      <c r="R1074" s="22"/>
      <c r="S1074" s="22"/>
      <c r="T1074" s="20"/>
      <c r="U1074" s="22">
        <v>0</v>
      </c>
      <c r="V1074" s="20" t="str">
        <f t="shared" ref="V1074:V1094" si="100">B1074&amp;"-"&amp;C1074&amp;"x"&amp;E1074&amp;"x"&amp;D1074</f>
        <v>SU-152,4x210x76,2</v>
      </c>
    </row>
    <row r="1075" spans="1:22">
      <c r="A1075" t="s">
        <v>1840</v>
      </c>
      <c r="B1075" s="2" t="s">
        <v>2148</v>
      </c>
      <c r="C1075" s="491">
        <v>152.4</v>
      </c>
      <c r="D1075" s="490">
        <v>100</v>
      </c>
      <c r="E1075" s="348">
        <v>210</v>
      </c>
      <c r="F1075" s="2">
        <v>183.3</v>
      </c>
      <c r="G1075" s="2">
        <v>3</v>
      </c>
      <c r="H1075" s="20"/>
      <c r="I1075" s="20"/>
      <c r="J1075" s="20"/>
      <c r="K1075" s="72"/>
      <c r="L1075" s="829"/>
      <c r="M1075" s="20"/>
      <c r="N1075" s="20"/>
      <c r="O1075" s="20"/>
      <c r="P1075" s="20"/>
      <c r="Q1075" s="21"/>
      <c r="R1075" s="22"/>
      <c r="S1075" s="22"/>
      <c r="T1075" s="20"/>
      <c r="U1075" s="22">
        <v>0</v>
      </c>
      <c r="V1075" s="20" t="str">
        <f t="shared" si="100"/>
        <v>SU-152,4x210x100</v>
      </c>
    </row>
    <row r="1076" spans="1:22">
      <c r="A1076" t="s">
        <v>1828</v>
      </c>
      <c r="B1076" s="2" t="s">
        <v>2148</v>
      </c>
      <c r="C1076" s="491">
        <v>152.4</v>
      </c>
      <c r="D1076" s="490">
        <v>100</v>
      </c>
      <c r="E1076" s="348">
        <v>210</v>
      </c>
      <c r="F1076" s="2">
        <v>188.7</v>
      </c>
      <c r="G1076" s="2">
        <v>3.04</v>
      </c>
      <c r="H1076" s="20"/>
      <c r="I1076" s="20"/>
      <c r="J1076" s="20"/>
      <c r="K1076" s="72"/>
      <c r="L1076" s="829"/>
      <c r="M1076" s="20"/>
      <c r="N1076" s="20"/>
      <c r="O1076" s="20"/>
      <c r="P1076" s="20"/>
      <c r="Q1076" s="21"/>
      <c r="R1076" s="22"/>
      <c r="S1076" s="22"/>
      <c r="T1076" s="20"/>
      <c r="U1076" s="22">
        <v>0</v>
      </c>
      <c r="V1076" s="20" t="str">
        <f t="shared" si="100"/>
        <v>SU-152,4x210x100</v>
      </c>
    </row>
    <row r="1077" spans="1:22">
      <c r="A1077" s="340" t="s">
        <v>1856</v>
      </c>
      <c r="B1077" s="2" t="s">
        <v>2148</v>
      </c>
      <c r="C1077" s="491">
        <v>152.4</v>
      </c>
      <c r="D1077" s="490">
        <v>76.2</v>
      </c>
      <c r="E1077" s="348">
        <v>210</v>
      </c>
      <c r="F1077" s="2">
        <v>188.7</v>
      </c>
      <c r="G1077" s="2">
        <v>2.3140000000000001</v>
      </c>
      <c r="H1077" s="20"/>
      <c r="I1077" s="20"/>
      <c r="J1077" s="20"/>
      <c r="K1077" s="72"/>
      <c r="L1077" s="829"/>
      <c r="M1077" s="20"/>
      <c r="N1077" s="20"/>
      <c r="O1077" s="20"/>
      <c r="P1077" s="20"/>
      <c r="Q1077" s="21"/>
      <c r="R1077" s="22"/>
      <c r="S1077" s="22"/>
      <c r="T1077" s="20"/>
      <c r="U1077" s="22">
        <v>0</v>
      </c>
      <c r="V1077" s="20" t="str">
        <f t="shared" si="100"/>
        <v>SU-152,4x210x76,2</v>
      </c>
    </row>
    <row r="1078" spans="1:22">
      <c r="A1078" t="s">
        <v>1827</v>
      </c>
      <c r="B1078" s="2" t="s">
        <v>2148</v>
      </c>
      <c r="C1078" s="491">
        <v>152.4</v>
      </c>
      <c r="D1078" s="490">
        <v>100</v>
      </c>
      <c r="E1078" s="348">
        <v>210</v>
      </c>
      <c r="F1078" s="2">
        <v>194</v>
      </c>
      <c r="G1078" s="2">
        <v>3.089</v>
      </c>
      <c r="H1078" s="20"/>
      <c r="I1078" s="20"/>
      <c r="J1078" s="20"/>
      <c r="K1078" s="72"/>
      <c r="L1078" s="829"/>
      <c r="M1078" s="20"/>
      <c r="N1078" s="20"/>
      <c r="O1078" s="20"/>
      <c r="P1078" s="20"/>
      <c r="Q1078" s="21"/>
      <c r="R1078" s="22"/>
      <c r="S1078" s="22"/>
      <c r="T1078" s="20"/>
      <c r="U1078" s="22">
        <v>0</v>
      </c>
      <c r="V1078" s="20" t="str">
        <f t="shared" si="100"/>
        <v>SU-152,4x210x100</v>
      </c>
    </row>
    <row r="1079" spans="1:22">
      <c r="A1079" t="s">
        <v>1843</v>
      </c>
      <c r="B1079" s="2" t="s">
        <v>2148</v>
      </c>
      <c r="C1079" s="491">
        <v>152.4</v>
      </c>
      <c r="D1079" s="490">
        <v>76.2</v>
      </c>
      <c r="E1079" s="348">
        <v>210</v>
      </c>
      <c r="F1079" s="2">
        <v>194</v>
      </c>
      <c r="G1079" s="2">
        <v>2.35</v>
      </c>
      <c r="H1079" s="20"/>
      <c r="I1079" s="20"/>
      <c r="J1079" s="20"/>
      <c r="K1079" s="72"/>
      <c r="L1079" s="829"/>
      <c r="M1079" s="20"/>
      <c r="N1079" s="20"/>
      <c r="O1079" s="20"/>
      <c r="P1079" s="20"/>
      <c r="Q1079" s="21"/>
      <c r="R1079" s="22"/>
      <c r="S1079" s="22"/>
      <c r="T1079" s="20"/>
      <c r="U1079" s="22">
        <v>0</v>
      </c>
      <c r="V1079" s="20" t="str">
        <f t="shared" si="100"/>
        <v>SU-152,4x210x76,2</v>
      </c>
    </row>
    <row r="1080" spans="1:22">
      <c r="A1080" t="s">
        <v>1842</v>
      </c>
      <c r="B1080" s="2" t="s">
        <v>2148</v>
      </c>
      <c r="C1080" s="491">
        <v>177.8</v>
      </c>
      <c r="D1080" s="490">
        <v>100</v>
      </c>
      <c r="E1080" s="348">
        <v>210</v>
      </c>
      <c r="F1080" s="2">
        <v>173</v>
      </c>
      <c r="G1080" s="2">
        <v>3.35</v>
      </c>
      <c r="H1080" s="20"/>
      <c r="I1080" s="20"/>
      <c r="J1080" s="20"/>
      <c r="K1080" s="72"/>
      <c r="L1080" s="829"/>
      <c r="M1080" s="20"/>
      <c r="N1080" s="20"/>
      <c r="O1080" s="20"/>
      <c r="P1080" s="20"/>
      <c r="Q1080" s="21"/>
      <c r="R1080" s="22"/>
      <c r="S1080" s="22"/>
      <c r="T1080" s="20"/>
      <c r="U1080" s="22">
        <v>0</v>
      </c>
      <c r="V1080" s="20" t="str">
        <f t="shared" si="100"/>
        <v>SU-177,8x210x100</v>
      </c>
    </row>
    <row r="1081" spans="1:22">
      <c r="A1081" s="340" t="s">
        <v>1857</v>
      </c>
      <c r="B1081" s="2" t="s">
        <v>2148</v>
      </c>
      <c r="C1081" s="491">
        <v>177.8</v>
      </c>
      <c r="D1081" s="490">
        <v>76.2</v>
      </c>
      <c r="E1081" s="348">
        <v>210</v>
      </c>
      <c r="F1081" s="2">
        <v>173</v>
      </c>
      <c r="G1081" s="2">
        <v>2.5939999999999999</v>
      </c>
      <c r="H1081" s="20"/>
      <c r="I1081" s="20"/>
      <c r="J1081" s="20"/>
      <c r="K1081" s="72"/>
      <c r="L1081" s="829"/>
      <c r="M1081" s="20"/>
      <c r="N1081" s="20"/>
      <c r="O1081" s="20"/>
      <c r="P1081" s="20"/>
      <c r="Q1081" s="21"/>
      <c r="R1081" s="22"/>
      <c r="S1081" s="22"/>
      <c r="T1081" s="20"/>
      <c r="U1081" s="22">
        <v>0</v>
      </c>
      <c r="V1081" s="20" t="str">
        <f t="shared" si="100"/>
        <v>SU-177,8x210x76,2</v>
      </c>
    </row>
    <row r="1082" spans="1:22">
      <c r="A1082" s="340" t="s">
        <v>1838</v>
      </c>
      <c r="B1082" s="2" t="s">
        <v>2148</v>
      </c>
      <c r="C1082" s="491">
        <v>177.8</v>
      </c>
      <c r="D1082" s="490">
        <v>100</v>
      </c>
      <c r="E1082" s="348">
        <v>210</v>
      </c>
      <c r="F1082" s="2">
        <v>178.9</v>
      </c>
      <c r="G1082" s="2">
        <v>3.46</v>
      </c>
      <c r="H1082" s="20"/>
      <c r="I1082" s="20"/>
      <c r="J1082" s="20"/>
      <c r="K1082" s="72"/>
      <c r="L1082" s="829"/>
      <c r="M1082" s="20"/>
      <c r="N1082" s="20"/>
      <c r="O1082" s="20"/>
      <c r="P1082" s="20"/>
      <c r="Q1082" s="21"/>
      <c r="R1082" s="22"/>
      <c r="S1082" s="22"/>
      <c r="T1082" s="20"/>
      <c r="U1082" s="22">
        <v>0</v>
      </c>
      <c r="V1082" s="20" t="str">
        <f t="shared" si="100"/>
        <v>SU-177,8x210x100</v>
      </c>
    </row>
    <row r="1083" spans="1:22">
      <c r="A1083" t="s">
        <v>1834</v>
      </c>
      <c r="B1083" s="2" t="s">
        <v>2148</v>
      </c>
      <c r="C1083" s="491">
        <v>177.8</v>
      </c>
      <c r="D1083" s="490">
        <v>100</v>
      </c>
      <c r="E1083" s="348">
        <v>210</v>
      </c>
      <c r="F1083" s="2">
        <v>185.2</v>
      </c>
      <c r="G1083" s="2">
        <v>3.51</v>
      </c>
      <c r="H1083" s="20"/>
      <c r="I1083" s="20"/>
      <c r="J1083" s="20"/>
      <c r="K1083" s="72"/>
      <c r="L1083" s="829"/>
      <c r="M1083" s="20"/>
      <c r="N1083" s="20"/>
      <c r="O1083" s="20"/>
      <c r="P1083" s="20"/>
      <c r="Q1083" s="21"/>
      <c r="R1083" s="22"/>
      <c r="S1083" s="22"/>
      <c r="T1083" s="20"/>
      <c r="U1083" s="22">
        <v>0</v>
      </c>
      <c r="V1083" s="20" t="str">
        <f t="shared" si="100"/>
        <v>SU-177,8x210x100</v>
      </c>
    </row>
    <row r="1084" spans="1:22">
      <c r="A1084" s="340" t="s">
        <v>1858</v>
      </c>
      <c r="B1084" s="2" t="s">
        <v>2148</v>
      </c>
      <c r="C1084" s="491">
        <v>177.8</v>
      </c>
      <c r="D1084" s="490">
        <v>76.2</v>
      </c>
      <c r="E1084" s="348">
        <v>210</v>
      </c>
      <c r="F1084" s="2">
        <v>185.2</v>
      </c>
      <c r="G1084" s="2">
        <v>2.6760000000000002</v>
      </c>
      <c r="H1084" s="20"/>
      <c r="I1084" s="20"/>
      <c r="J1084" s="20"/>
      <c r="K1084" s="72"/>
      <c r="L1084" s="829"/>
      <c r="M1084" s="20"/>
      <c r="N1084" s="20"/>
      <c r="O1084" s="20"/>
      <c r="P1084" s="20"/>
      <c r="Q1084" s="21"/>
      <c r="R1084" s="22"/>
      <c r="S1084" s="22"/>
      <c r="T1084" s="20"/>
      <c r="U1084" s="22">
        <v>0</v>
      </c>
      <c r="V1084" s="20" t="str">
        <f t="shared" si="100"/>
        <v>SU-177,8x210x76,2</v>
      </c>
    </row>
    <row r="1085" spans="1:22">
      <c r="A1085" t="s">
        <v>1835</v>
      </c>
      <c r="B1085" s="2" t="s">
        <v>2148</v>
      </c>
      <c r="C1085" s="491">
        <v>177.8</v>
      </c>
      <c r="D1085" s="490">
        <v>100</v>
      </c>
      <c r="E1085" s="348">
        <v>210</v>
      </c>
      <c r="F1085" s="2">
        <v>191.4</v>
      </c>
      <c r="G1085" s="2">
        <v>3.57</v>
      </c>
      <c r="H1085" s="20"/>
      <c r="I1085" s="20"/>
      <c r="J1085" s="20"/>
      <c r="K1085" s="72"/>
      <c r="L1085" s="829"/>
      <c r="M1085" s="20"/>
      <c r="N1085" s="20"/>
      <c r="O1085" s="20"/>
      <c r="P1085" s="20"/>
      <c r="Q1085" s="21"/>
      <c r="R1085" s="22"/>
      <c r="S1085" s="22"/>
      <c r="T1085" s="20"/>
      <c r="U1085" s="22">
        <v>0</v>
      </c>
      <c r="V1085" s="20" t="str">
        <f t="shared" si="100"/>
        <v>SU-177,8x210x100</v>
      </c>
    </row>
    <row r="1086" spans="1:22">
      <c r="A1086" s="340" t="s">
        <v>1859</v>
      </c>
      <c r="B1086" s="2" t="s">
        <v>2148</v>
      </c>
      <c r="C1086" s="491">
        <v>177.8</v>
      </c>
      <c r="D1086" s="490">
        <v>76.2</v>
      </c>
      <c r="E1086" s="348">
        <v>210</v>
      </c>
      <c r="F1086" s="2">
        <v>191.4</v>
      </c>
      <c r="G1086" s="2">
        <v>2.72</v>
      </c>
      <c r="H1086" s="20"/>
      <c r="I1086" s="20"/>
      <c r="J1086" s="20"/>
      <c r="K1086" s="72"/>
      <c r="L1086" s="829"/>
      <c r="M1086" s="20"/>
      <c r="N1086" s="20"/>
      <c r="O1086" s="20"/>
      <c r="P1086" s="20"/>
      <c r="Q1086" s="21"/>
      <c r="R1086" s="22"/>
      <c r="S1086" s="22"/>
      <c r="T1086" s="20"/>
      <c r="U1086" s="22">
        <v>0</v>
      </c>
      <c r="V1086" s="20" t="str">
        <f t="shared" si="100"/>
        <v>SU-177,8x210x76,2</v>
      </c>
    </row>
    <row r="1087" spans="1:22">
      <c r="A1087" t="s">
        <v>1841</v>
      </c>
      <c r="B1087" s="2" t="s">
        <v>2148</v>
      </c>
      <c r="C1087" s="491">
        <v>203.2</v>
      </c>
      <c r="D1087" s="490">
        <v>100</v>
      </c>
      <c r="E1087" s="348">
        <v>210</v>
      </c>
      <c r="F1087" s="2">
        <v>181.6</v>
      </c>
      <c r="G1087" s="2">
        <v>3.98</v>
      </c>
      <c r="H1087" s="20"/>
      <c r="I1087" s="20"/>
      <c r="J1087" s="20"/>
      <c r="K1087" s="72"/>
      <c r="L1087" s="829"/>
      <c r="M1087" s="20"/>
      <c r="N1087" s="20"/>
      <c r="O1087" s="20"/>
      <c r="P1087" s="20"/>
      <c r="Q1087" s="21"/>
      <c r="R1087" s="22"/>
      <c r="S1087" s="22"/>
      <c r="T1087" s="20"/>
      <c r="U1087" s="22">
        <v>0</v>
      </c>
      <c r="V1087" s="20" t="str">
        <f t="shared" si="100"/>
        <v>SU-203,2x210x100</v>
      </c>
    </row>
    <row r="1088" spans="1:22">
      <c r="A1088" s="340" t="s">
        <v>1860</v>
      </c>
      <c r="B1088" s="2" t="s">
        <v>2148</v>
      </c>
      <c r="C1088" s="491">
        <v>203.2</v>
      </c>
      <c r="D1088" s="490">
        <v>76.2</v>
      </c>
      <c r="E1088" s="348">
        <v>210</v>
      </c>
      <c r="F1088" s="2">
        <v>181.6</v>
      </c>
      <c r="G1088" s="2">
        <v>3.03</v>
      </c>
      <c r="H1088" s="20"/>
      <c r="I1088" s="20"/>
      <c r="J1088" s="20"/>
      <c r="K1088" s="72"/>
      <c r="L1088" s="829"/>
      <c r="M1088" s="20"/>
      <c r="N1088" s="20"/>
      <c r="O1088" s="20"/>
      <c r="P1088" s="20"/>
      <c r="Q1088" s="21"/>
      <c r="R1088" s="22"/>
      <c r="S1088" s="22"/>
      <c r="T1088" s="20"/>
      <c r="U1088" s="22">
        <v>0</v>
      </c>
      <c r="V1088" s="20" t="str">
        <f t="shared" si="100"/>
        <v>SU-203,2x210x76,2</v>
      </c>
    </row>
    <row r="1089" spans="1:22">
      <c r="A1089" t="s">
        <v>1839</v>
      </c>
      <c r="B1089" s="2" t="s">
        <v>2148</v>
      </c>
      <c r="C1089" s="491">
        <v>203.2</v>
      </c>
      <c r="D1089" s="490">
        <v>100</v>
      </c>
      <c r="E1089" s="348">
        <v>210</v>
      </c>
      <c r="F1089" s="2">
        <v>188.7</v>
      </c>
      <c r="G1089" s="2">
        <v>4.05</v>
      </c>
      <c r="H1089" s="20"/>
      <c r="I1089" s="20"/>
      <c r="J1089" s="20"/>
      <c r="K1089" s="72"/>
      <c r="L1089" s="829"/>
      <c r="M1089" s="20"/>
      <c r="N1089" s="20"/>
      <c r="O1089" s="20"/>
      <c r="P1089" s="20"/>
      <c r="Q1089" s="21"/>
      <c r="R1089" s="22"/>
      <c r="S1089" s="22"/>
      <c r="T1089" s="20"/>
      <c r="U1089" s="22">
        <v>0</v>
      </c>
      <c r="V1089" s="20" t="str">
        <f t="shared" si="100"/>
        <v>SU-203,2x210x100</v>
      </c>
    </row>
    <row r="1090" spans="1:22">
      <c r="A1090" s="340" t="s">
        <v>1861</v>
      </c>
      <c r="B1090" s="2" t="s">
        <v>2148</v>
      </c>
      <c r="C1090" s="491">
        <v>203.2</v>
      </c>
      <c r="D1090" s="490">
        <v>76.2</v>
      </c>
      <c r="E1090" s="348">
        <v>210</v>
      </c>
      <c r="F1090" s="2">
        <v>188.7</v>
      </c>
      <c r="G1090" s="2">
        <v>3.09</v>
      </c>
      <c r="H1090" s="20"/>
      <c r="I1090" s="20"/>
      <c r="J1090" s="20"/>
      <c r="K1090" s="72"/>
      <c r="L1090" s="829"/>
      <c r="M1090" s="20"/>
      <c r="N1090" s="20"/>
      <c r="O1090" s="20"/>
      <c r="P1090" s="20"/>
      <c r="Q1090" s="21"/>
      <c r="R1090" s="22"/>
      <c r="S1090" s="22"/>
      <c r="T1090" s="20"/>
      <c r="U1090" s="22">
        <v>0</v>
      </c>
      <c r="V1090" s="20" t="str">
        <f t="shared" si="100"/>
        <v>SU-203,2x210x76,2</v>
      </c>
    </row>
    <row r="1091" spans="1:22">
      <c r="A1091" t="s">
        <v>1836</v>
      </c>
      <c r="B1091" s="2" t="s">
        <v>2148</v>
      </c>
      <c r="C1091" s="491">
        <v>228.6</v>
      </c>
      <c r="D1091" s="490">
        <v>100</v>
      </c>
      <c r="E1091" s="348">
        <v>210</v>
      </c>
      <c r="F1091" s="2">
        <v>178.1</v>
      </c>
      <c r="G1091" s="2">
        <v>4.4400000000000004</v>
      </c>
      <c r="H1091" s="20"/>
      <c r="I1091" s="20"/>
      <c r="J1091" s="20"/>
      <c r="K1091" s="72"/>
      <c r="L1091" s="829"/>
      <c r="M1091" s="20"/>
      <c r="N1091" s="20"/>
      <c r="O1091" s="20"/>
      <c r="P1091" s="20"/>
      <c r="Q1091" s="21"/>
      <c r="R1091" s="22"/>
      <c r="S1091" s="22"/>
      <c r="T1091" s="20"/>
      <c r="U1091" s="22">
        <v>0</v>
      </c>
      <c r="V1091" s="20" t="str">
        <f t="shared" si="100"/>
        <v>SU-228,6x210x100</v>
      </c>
    </row>
    <row r="1092" spans="1:22">
      <c r="A1092" t="s">
        <v>1849</v>
      </c>
      <c r="B1092" s="2" t="s">
        <v>2148</v>
      </c>
      <c r="C1092" s="491">
        <v>228.6</v>
      </c>
      <c r="D1092" s="490">
        <v>76.2</v>
      </c>
      <c r="E1092" s="348">
        <v>210</v>
      </c>
      <c r="F1092" s="2">
        <v>178.1</v>
      </c>
      <c r="G1092" s="2">
        <v>3.38</v>
      </c>
      <c r="H1092" s="20"/>
      <c r="I1092" s="20"/>
      <c r="J1092" s="20"/>
      <c r="K1092" s="72"/>
      <c r="L1092" s="829"/>
      <c r="M1092" s="20"/>
      <c r="N1092" s="20"/>
      <c r="O1092" s="20"/>
      <c r="P1092" s="20"/>
      <c r="Q1092" s="21"/>
      <c r="R1092" s="22"/>
      <c r="S1092" s="22"/>
      <c r="T1092" s="20"/>
      <c r="U1092" s="22">
        <v>0</v>
      </c>
      <c r="V1092" s="20" t="str">
        <f t="shared" si="100"/>
        <v>SU-228,6x210x76,2</v>
      </c>
    </row>
    <row r="1093" spans="1:22">
      <c r="A1093" t="s">
        <v>1837</v>
      </c>
      <c r="B1093" s="2" t="s">
        <v>2148</v>
      </c>
      <c r="C1093" s="491">
        <v>228.6</v>
      </c>
      <c r="D1093" s="490">
        <v>100</v>
      </c>
      <c r="E1093" s="348">
        <v>210</v>
      </c>
      <c r="F1093" s="2">
        <v>186</v>
      </c>
      <c r="G1093" s="2">
        <v>4.53</v>
      </c>
      <c r="H1093" s="20"/>
      <c r="I1093" s="20"/>
      <c r="J1093" s="20"/>
      <c r="K1093" s="72"/>
      <c r="L1093" s="829"/>
      <c r="M1093" s="20"/>
      <c r="N1093" s="20"/>
      <c r="O1093" s="20"/>
      <c r="P1093" s="20"/>
      <c r="Q1093" s="21"/>
      <c r="R1093" s="22"/>
      <c r="S1093" s="22"/>
      <c r="T1093" s="20"/>
      <c r="U1093" s="22">
        <v>0</v>
      </c>
      <c r="V1093" s="20" t="str">
        <f t="shared" si="100"/>
        <v>SU-228,6x210x100</v>
      </c>
    </row>
    <row r="1094" spans="1:22">
      <c r="A1094" s="340" t="s">
        <v>1862</v>
      </c>
      <c r="B1094" s="2" t="s">
        <v>2148</v>
      </c>
      <c r="C1094" s="491">
        <v>228.6</v>
      </c>
      <c r="D1094" s="490">
        <v>76.2</v>
      </c>
      <c r="E1094" s="348">
        <v>210</v>
      </c>
      <c r="F1094" s="2">
        <v>186</v>
      </c>
      <c r="G1094" s="2">
        <v>3.44</v>
      </c>
      <c r="H1094" s="20"/>
      <c r="I1094" s="20"/>
      <c r="J1094" s="20"/>
      <c r="K1094" s="72"/>
      <c r="L1094" s="829"/>
      <c r="M1094" s="20"/>
      <c r="N1094" s="20"/>
      <c r="O1094" s="20"/>
      <c r="P1094" s="20"/>
      <c r="Q1094" s="21"/>
      <c r="R1094" s="22"/>
      <c r="S1094" s="22"/>
      <c r="T1094" s="20"/>
      <c r="U1094" s="22">
        <v>0</v>
      </c>
      <c r="V1094" s="20" t="str">
        <f t="shared" si="100"/>
        <v>SU-228,6x210x76,2</v>
      </c>
    </row>
    <row r="1095" spans="1:22" ht="13.8" thickBot="1">
      <c r="A1095" s="73"/>
      <c r="G1095" s="21"/>
      <c r="H1095" s="20"/>
      <c r="I1095" s="20"/>
      <c r="J1095" s="20"/>
      <c r="K1095" s="72"/>
      <c r="L1095" s="829"/>
      <c r="M1095" s="20"/>
      <c r="N1095" s="20"/>
      <c r="O1095" s="20"/>
      <c r="P1095" s="20"/>
      <c r="Q1095" s="21"/>
      <c r="R1095" s="22"/>
      <c r="S1095" s="22"/>
      <c r="T1095" s="20"/>
      <c r="U1095" s="22"/>
      <c r="V1095" s="20"/>
    </row>
    <row r="1096" spans="1:22" ht="25.2" thickBot="1">
      <c r="A1096" s="61" t="s">
        <v>640</v>
      </c>
      <c r="B1096" s="69"/>
      <c r="C1096" s="69"/>
      <c r="D1096" s="69"/>
      <c r="E1096" s="69"/>
      <c r="F1096" s="69"/>
      <c r="G1096" s="99"/>
      <c r="H1096" s="69"/>
      <c r="I1096" s="69"/>
      <c r="J1096" s="69"/>
      <c r="K1096" s="69"/>
      <c r="L1096" s="71"/>
      <c r="M1096" s="20"/>
      <c r="N1096" s="20"/>
      <c r="O1096" s="20"/>
      <c r="P1096" s="20"/>
      <c r="Q1096" s="21"/>
      <c r="R1096" s="22"/>
      <c r="S1096" s="22"/>
      <c r="T1096" s="20"/>
      <c r="U1096" s="22"/>
      <c r="V1096" s="20"/>
    </row>
    <row r="1097" spans="1:22" ht="14.4">
      <c r="A1097" s="382" t="s">
        <v>1588</v>
      </c>
      <c r="B1097" s="74" t="s">
        <v>78</v>
      </c>
      <c r="C1097" s="392">
        <v>160</v>
      </c>
      <c r="D1097" s="406">
        <v>198</v>
      </c>
      <c r="E1097" s="392">
        <v>78</v>
      </c>
      <c r="F1097" s="392">
        <v>65</v>
      </c>
      <c r="G1097" s="21">
        <f t="shared" ref="G1097:G1160" si="101">IF(B1097="","",AVERAGE(E1097:F1097)*D1097*C1097/10^6)</f>
        <v>2.26512</v>
      </c>
      <c r="H1097" s="75">
        <f t="shared" ref="H1097:H1128" si="102">ROUND(C1097*D1097*E1097/10^6,3)</f>
        <v>2.4710000000000001</v>
      </c>
      <c r="I1097" s="75">
        <f t="shared" ref="I1097:I1128" si="103">IF(F1097="","-",ROUND((E1097+F1097)*C1097/2*D1097/10^6,3))</f>
        <v>2.2650000000000001</v>
      </c>
      <c r="J1097" s="75">
        <f t="shared" ref="J1097:J1128" si="104">IF(F1097="","-",ROUND((D1097+E1097)*C1097/2*F1097/10^6,3))</f>
        <v>1.4350000000000001</v>
      </c>
      <c r="K1097" s="76"/>
      <c r="L1097" s="826"/>
      <c r="M1097" s="20"/>
      <c r="N1097" s="20"/>
      <c r="O1097" s="20"/>
      <c r="P1097" s="20"/>
      <c r="Q1097" s="21"/>
      <c r="R1097" s="22" t="s">
        <v>16</v>
      </c>
      <c r="S1097" s="22" t="s">
        <v>16</v>
      </c>
      <c r="T1097" s="753">
        <f t="shared" ref="T1097:T1160" si="105">IF(E1097=F1097,"-",(E1097/(E1097-F1097))*SQRT((C1097^2)+((E1097-F1097)/2)^2))</f>
        <v>960.79186091473525</v>
      </c>
      <c r="U1097" s="22">
        <f>U1096</f>
        <v>0</v>
      </c>
      <c r="V1097" s="20"/>
    </row>
    <row r="1098" spans="1:22" ht="14.4">
      <c r="A1098" s="388" t="s">
        <v>1589</v>
      </c>
      <c r="B1098" s="2" t="s">
        <v>78</v>
      </c>
      <c r="C1098" s="393">
        <v>160</v>
      </c>
      <c r="D1098" s="405">
        <v>198</v>
      </c>
      <c r="E1098" s="393">
        <v>76</v>
      </c>
      <c r="F1098" s="393">
        <v>67</v>
      </c>
      <c r="G1098" s="21">
        <f t="shared" si="101"/>
        <v>2.26512</v>
      </c>
      <c r="H1098" s="20">
        <f t="shared" si="102"/>
        <v>2.4079999999999999</v>
      </c>
      <c r="I1098" s="20">
        <f t="shared" si="103"/>
        <v>2.2650000000000001</v>
      </c>
      <c r="J1098" s="20">
        <f t="shared" si="104"/>
        <v>1.4690000000000001</v>
      </c>
      <c r="K1098" s="72"/>
      <c r="L1098" s="826"/>
      <c r="M1098" s="20"/>
      <c r="N1098" s="20"/>
      <c r="O1098" s="20"/>
      <c r="P1098" s="20"/>
      <c r="Q1098" s="21"/>
      <c r="R1098" s="22" t="s">
        <v>16</v>
      </c>
      <c r="S1098" s="22" t="s">
        <v>16</v>
      </c>
      <c r="T1098" s="753">
        <f t="shared" si="105"/>
        <v>1351.645380478142</v>
      </c>
      <c r="U1098" s="22">
        <f t="shared" ref="U1098:U1161" si="106">U1097</f>
        <v>0</v>
      </c>
      <c r="V1098" s="20"/>
    </row>
    <row r="1099" spans="1:22" ht="14.4">
      <c r="A1099" s="388" t="s">
        <v>1590</v>
      </c>
      <c r="B1099" s="2" t="s">
        <v>78</v>
      </c>
      <c r="C1099" s="393">
        <v>160</v>
      </c>
      <c r="D1099" s="405">
        <v>198</v>
      </c>
      <c r="E1099" s="393">
        <v>75</v>
      </c>
      <c r="F1099" s="393">
        <v>68</v>
      </c>
      <c r="G1099" s="21">
        <f t="shared" si="101"/>
        <v>2.26512</v>
      </c>
      <c r="H1099" s="20">
        <f t="shared" si="102"/>
        <v>2.3759999999999999</v>
      </c>
      <c r="I1099" s="20">
        <f t="shared" si="103"/>
        <v>2.2650000000000001</v>
      </c>
      <c r="J1099" s="20">
        <f t="shared" si="104"/>
        <v>1.4850000000000001</v>
      </c>
      <c r="K1099" s="72"/>
      <c r="L1099" s="826"/>
      <c r="M1099" s="20"/>
      <c r="N1099" s="20"/>
      <c r="O1099" s="20"/>
      <c r="P1099" s="20"/>
      <c r="Q1099" s="21"/>
      <c r="R1099" s="22" t="s">
        <v>16</v>
      </c>
      <c r="S1099" s="22" t="s">
        <v>16</v>
      </c>
      <c r="T1099" s="753">
        <f t="shared" si="105"/>
        <v>1714.6958214809067</v>
      </c>
      <c r="U1099" s="22">
        <f t="shared" si="106"/>
        <v>0</v>
      </c>
      <c r="V1099" s="20"/>
    </row>
    <row r="1100" spans="1:22" ht="14.4">
      <c r="A1100" s="383" t="s">
        <v>1591</v>
      </c>
      <c r="B1100" s="2" t="s">
        <v>78</v>
      </c>
      <c r="C1100" s="394">
        <v>160</v>
      </c>
      <c r="D1100" s="400">
        <v>198</v>
      </c>
      <c r="E1100" s="394">
        <v>74</v>
      </c>
      <c r="F1100" s="394">
        <v>69</v>
      </c>
      <c r="G1100" s="21">
        <f t="shared" si="101"/>
        <v>2.26512</v>
      </c>
      <c r="H1100" s="20">
        <f t="shared" si="102"/>
        <v>2.3439999999999999</v>
      </c>
      <c r="I1100" s="20">
        <f t="shared" si="103"/>
        <v>2.2650000000000001</v>
      </c>
      <c r="J1100" s="20">
        <f t="shared" si="104"/>
        <v>1.5009999999999999</v>
      </c>
      <c r="K1100" s="72"/>
      <c r="L1100" s="826"/>
      <c r="M1100" s="20"/>
      <c r="N1100" s="20"/>
      <c r="O1100" s="20"/>
      <c r="P1100" s="20"/>
      <c r="Q1100" s="21"/>
      <c r="R1100" s="22" t="s">
        <v>16</v>
      </c>
      <c r="S1100" s="22" t="s">
        <v>16</v>
      </c>
      <c r="T1100" s="753">
        <f t="shared" si="105"/>
        <v>2368.2890448591784</v>
      </c>
      <c r="U1100" s="22">
        <f t="shared" si="106"/>
        <v>0</v>
      </c>
      <c r="V1100" s="20"/>
    </row>
    <row r="1101" spans="1:22" ht="14.4">
      <c r="A1101" s="383" t="s">
        <v>1592</v>
      </c>
      <c r="B1101" s="2" t="s">
        <v>78</v>
      </c>
      <c r="C1101" s="394">
        <v>160</v>
      </c>
      <c r="D1101" s="400">
        <v>198</v>
      </c>
      <c r="E1101" s="394">
        <v>73</v>
      </c>
      <c r="F1101" s="394">
        <v>70</v>
      </c>
      <c r="G1101" s="21">
        <f t="shared" si="101"/>
        <v>2.26512</v>
      </c>
      <c r="H1101" s="20">
        <f t="shared" si="102"/>
        <v>2.3130000000000002</v>
      </c>
      <c r="I1101" s="20">
        <f t="shared" si="103"/>
        <v>2.2650000000000001</v>
      </c>
      <c r="J1101" s="20">
        <f t="shared" si="104"/>
        <v>1.518</v>
      </c>
      <c r="K1101" s="72"/>
      <c r="L1101" s="826"/>
      <c r="M1101" s="20"/>
      <c r="N1101" s="20"/>
      <c r="O1101" s="20"/>
      <c r="P1101" s="20"/>
      <c r="Q1101" s="21"/>
      <c r="R1101" s="22" t="s">
        <v>16</v>
      </c>
      <c r="S1101" s="22" t="s">
        <v>16</v>
      </c>
      <c r="T1101" s="753">
        <f t="shared" si="105"/>
        <v>3893.5044233241138</v>
      </c>
      <c r="U1101" s="22">
        <f t="shared" si="106"/>
        <v>0</v>
      </c>
      <c r="V1101" s="20"/>
    </row>
    <row r="1102" spans="1:22" ht="14.4">
      <c r="A1102" s="381" t="s">
        <v>79</v>
      </c>
      <c r="B1102" s="2" t="s">
        <v>78</v>
      </c>
      <c r="C1102" s="390">
        <v>180</v>
      </c>
      <c r="D1102" s="399">
        <v>198</v>
      </c>
      <c r="E1102" s="390">
        <v>78</v>
      </c>
      <c r="F1102" s="390">
        <v>65</v>
      </c>
      <c r="G1102" s="21">
        <f t="shared" si="101"/>
        <v>2.54826</v>
      </c>
      <c r="H1102" s="20">
        <f t="shared" si="102"/>
        <v>2.78</v>
      </c>
      <c r="I1102" s="20">
        <f t="shared" si="103"/>
        <v>2.548</v>
      </c>
      <c r="J1102" s="20">
        <f t="shared" si="104"/>
        <v>1.615</v>
      </c>
      <c r="K1102" s="72"/>
      <c r="L1102" s="826"/>
      <c r="M1102" s="20"/>
      <c r="N1102" s="20"/>
      <c r="O1102" s="20"/>
      <c r="P1102" s="20"/>
      <c r="Q1102" s="21"/>
      <c r="R1102" s="22" t="s">
        <v>16</v>
      </c>
      <c r="S1102" s="22" t="s">
        <v>16</v>
      </c>
      <c r="T1102" s="753">
        <f t="shared" si="105"/>
        <v>1080.7039372557131</v>
      </c>
      <c r="U1102" s="22">
        <f t="shared" si="106"/>
        <v>0</v>
      </c>
      <c r="V1102" s="20"/>
    </row>
    <row r="1103" spans="1:22" ht="14.4">
      <c r="A1103" s="381" t="s">
        <v>80</v>
      </c>
      <c r="B1103" s="2" t="s">
        <v>78</v>
      </c>
      <c r="C1103" s="390">
        <v>180</v>
      </c>
      <c r="D1103" s="399">
        <v>198</v>
      </c>
      <c r="E1103" s="390">
        <v>76.5</v>
      </c>
      <c r="F1103" s="390">
        <v>66.5</v>
      </c>
      <c r="G1103" s="21">
        <f t="shared" si="101"/>
        <v>2.54826</v>
      </c>
      <c r="H1103" s="20">
        <f t="shared" si="102"/>
        <v>2.726</v>
      </c>
      <c r="I1103" s="20">
        <f t="shared" si="103"/>
        <v>2.548</v>
      </c>
      <c r="J1103" s="20">
        <f t="shared" si="104"/>
        <v>1.643</v>
      </c>
      <c r="K1103" s="72"/>
      <c r="L1103" s="826"/>
      <c r="M1103" s="20"/>
      <c r="N1103" s="20"/>
      <c r="O1103" s="20"/>
      <c r="P1103" s="20"/>
      <c r="Q1103" s="21"/>
      <c r="R1103" s="22" t="s">
        <v>16</v>
      </c>
      <c r="S1103" s="22" t="s">
        <v>16</v>
      </c>
      <c r="T1103" s="753">
        <f t="shared" si="105"/>
        <v>1377.5311475607366</v>
      </c>
      <c r="U1103" s="22">
        <f t="shared" si="106"/>
        <v>0</v>
      </c>
      <c r="V1103" s="20"/>
    </row>
    <row r="1104" spans="1:22" ht="14.4">
      <c r="A1104" s="381" t="s">
        <v>81</v>
      </c>
      <c r="B1104" s="2" t="s">
        <v>78</v>
      </c>
      <c r="C1104" s="390">
        <v>180</v>
      </c>
      <c r="D1104" s="399">
        <v>198</v>
      </c>
      <c r="E1104" s="390">
        <v>75</v>
      </c>
      <c r="F1104" s="390">
        <v>68</v>
      </c>
      <c r="G1104" s="21">
        <f t="shared" si="101"/>
        <v>2.54826</v>
      </c>
      <c r="H1104" s="20">
        <f t="shared" si="102"/>
        <v>2.673</v>
      </c>
      <c r="I1104" s="20">
        <f t="shared" si="103"/>
        <v>2.548</v>
      </c>
      <c r="J1104" s="20">
        <f t="shared" si="104"/>
        <v>1.671</v>
      </c>
      <c r="K1104" s="72"/>
      <c r="L1104" s="826"/>
      <c r="M1104" s="20"/>
      <c r="N1104" s="20"/>
      <c r="O1104" s="20"/>
      <c r="P1104" s="20"/>
      <c r="Q1104" s="21"/>
      <c r="R1104" s="22" t="s">
        <v>16</v>
      </c>
      <c r="S1104" s="22" t="s">
        <v>16</v>
      </c>
      <c r="T1104" s="753">
        <f t="shared" si="105"/>
        <v>1928.9359774502732</v>
      </c>
      <c r="U1104" s="22">
        <f t="shared" si="106"/>
        <v>0</v>
      </c>
      <c r="V1104" s="20"/>
    </row>
    <row r="1105" spans="1:22" ht="14.4">
      <c r="A1105" s="381" t="s">
        <v>1593</v>
      </c>
      <c r="B1105" s="2" t="s">
        <v>78</v>
      </c>
      <c r="C1105" s="390">
        <v>180</v>
      </c>
      <c r="D1105" s="399">
        <v>198</v>
      </c>
      <c r="E1105" s="390">
        <v>74.5</v>
      </c>
      <c r="F1105" s="390">
        <v>68.5</v>
      </c>
      <c r="G1105" s="21">
        <f t="shared" si="101"/>
        <v>2.54826</v>
      </c>
      <c r="H1105" s="20">
        <f t="shared" si="102"/>
        <v>2.6549999999999998</v>
      </c>
      <c r="I1105" s="20">
        <f t="shared" si="103"/>
        <v>2.548</v>
      </c>
      <c r="J1105" s="20">
        <f t="shared" si="104"/>
        <v>1.68</v>
      </c>
      <c r="K1105" s="72"/>
      <c r="L1105" s="826"/>
      <c r="M1105" s="20"/>
      <c r="N1105" s="20"/>
      <c r="O1105" s="20"/>
      <c r="P1105" s="20"/>
      <c r="Q1105" s="21"/>
      <c r="R1105" s="22" t="s">
        <v>16</v>
      </c>
      <c r="S1105" s="22" t="s">
        <v>16</v>
      </c>
      <c r="T1105" s="753">
        <f t="shared" si="105"/>
        <v>2235.3103951129469</v>
      </c>
      <c r="U1105" s="22">
        <f t="shared" si="106"/>
        <v>0</v>
      </c>
      <c r="V1105" s="20"/>
    </row>
    <row r="1106" spans="1:22" ht="14.4">
      <c r="A1106" s="381" t="s">
        <v>82</v>
      </c>
      <c r="B1106" s="2" t="s">
        <v>78</v>
      </c>
      <c r="C1106" s="390">
        <v>180</v>
      </c>
      <c r="D1106" s="399">
        <v>198</v>
      </c>
      <c r="E1106" s="390">
        <v>74</v>
      </c>
      <c r="F1106" s="390">
        <v>69</v>
      </c>
      <c r="G1106" s="21">
        <f t="shared" si="101"/>
        <v>2.54826</v>
      </c>
      <c r="H1106" s="20">
        <f t="shared" si="102"/>
        <v>2.637</v>
      </c>
      <c r="I1106" s="20">
        <f t="shared" si="103"/>
        <v>2.548</v>
      </c>
      <c r="J1106" s="20">
        <f t="shared" si="104"/>
        <v>1.6890000000000001</v>
      </c>
      <c r="K1106" s="72"/>
      <c r="L1106" s="826"/>
      <c r="M1106" s="20"/>
      <c r="N1106" s="20"/>
      <c r="O1106" s="20"/>
      <c r="P1106" s="20"/>
      <c r="Q1106" s="21"/>
      <c r="R1106" s="22" t="s">
        <v>16</v>
      </c>
      <c r="S1106" s="22" t="s">
        <v>16</v>
      </c>
      <c r="T1106" s="753">
        <f t="shared" si="105"/>
        <v>2664.2569320544144</v>
      </c>
      <c r="U1106" s="22">
        <f t="shared" si="106"/>
        <v>0</v>
      </c>
      <c r="V1106" s="20"/>
    </row>
    <row r="1107" spans="1:22" ht="14.4">
      <c r="A1107" s="385" t="s">
        <v>83</v>
      </c>
      <c r="B1107" s="2" t="s">
        <v>78</v>
      </c>
      <c r="C1107" s="391">
        <v>200</v>
      </c>
      <c r="D1107" s="401">
        <v>198</v>
      </c>
      <c r="E1107" s="391">
        <v>78</v>
      </c>
      <c r="F1107" s="391">
        <v>65</v>
      </c>
      <c r="G1107" s="21">
        <f t="shared" si="101"/>
        <v>2.8313999999999999</v>
      </c>
      <c r="H1107" s="20">
        <f t="shared" si="102"/>
        <v>3.089</v>
      </c>
      <c r="I1107" s="20">
        <f t="shared" si="103"/>
        <v>2.831</v>
      </c>
      <c r="J1107" s="20">
        <f t="shared" si="104"/>
        <v>1.794</v>
      </c>
      <c r="K1107" s="72"/>
      <c r="L1107" s="826"/>
      <c r="M1107" s="20"/>
      <c r="N1107" s="20"/>
      <c r="O1107" s="20"/>
      <c r="P1107" s="20"/>
      <c r="Q1107" s="21"/>
      <c r="R1107" s="22" t="s">
        <v>16</v>
      </c>
      <c r="S1107" s="22" t="s">
        <v>16</v>
      </c>
      <c r="T1107" s="753">
        <f t="shared" si="105"/>
        <v>1200.6335827387138</v>
      </c>
      <c r="U1107" s="22">
        <f t="shared" si="106"/>
        <v>0</v>
      </c>
      <c r="V1107" s="20"/>
    </row>
    <row r="1108" spans="1:22" ht="14.4">
      <c r="A1108" s="385" t="s">
        <v>84</v>
      </c>
      <c r="B1108" s="2" t="s">
        <v>78</v>
      </c>
      <c r="C1108" s="391">
        <v>200</v>
      </c>
      <c r="D1108" s="401">
        <v>198</v>
      </c>
      <c r="E1108" s="391">
        <v>76.5</v>
      </c>
      <c r="F1108" s="391">
        <v>66.5</v>
      </c>
      <c r="G1108" s="21">
        <f t="shared" si="101"/>
        <v>2.8313999999999999</v>
      </c>
      <c r="H1108" s="20">
        <f t="shared" si="102"/>
        <v>3.0289999999999999</v>
      </c>
      <c r="I1108" s="20">
        <f t="shared" si="103"/>
        <v>2.831</v>
      </c>
      <c r="J1108" s="20">
        <f t="shared" si="104"/>
        <v>1.825</v>
      </c>
      <c r="K1108" s="72"/>
      <c r="L1108" s="826"/>
      <c r="M1108" s="20"/>
      <c r="N1108" s="20"/>
      <c r="O1108" s="20"/>
      <c r="P1108" s="20"/>
      <c r="Q1108" s="21"/>
      <c r="R1108" s="22" t="s">
        <v>16</v>
      </c>
      <c r="S1108" s="22" t="s">
        <v>16</v>
      </c>
      <c r="T1108" s="753">
        <f t="shared" si="105"/>
        <v>1530.4780503163058</v>
      </c>
      <c r="U1108" s="22">
        <f t="shared" si="106"/>
        <v>0</v>
      </c>
      <c r="V1108" s="20"/>
    </row>
    <row r="1109" spans="1:22" ht="14.4">
      <c r="A1109" s="385" t="s">
        <v>85</v>
      </c>
      <c r="B1109" s="2" t="s">
        <v>78</v>
      </c>
      <c r="C1109" s="391">
        <v>200</v>
      </c>
      <c r="D1109" s="401">
        <v>198</v>
      </c>
      <c r="E1109" s="391">
        <v>75</v>
      </c>
      <c r="F1109" s="391">
        <v>68</v>
      </c>
      <c r="G1109" s="21">
        <f t="shared" si="101"/>
        <v>2.8313999999999999</v>
      </c>
      <c r="H1109" s="20">
        <f t="shared" si="102"/>
        <v>2.97</v>
      </c>
      <c r="I1109" s="20">
        <f t="shared" si="103"/>
        <v>2.831</v>
      </c>
      <c r="J1109" s="20">
        <f t="shared" si="104"/>
        <v>1.8560000000000001</v>
      </c>
      <c r="K1109" s="72"/>
      <c r="L1109" s="826"/>
      <c r="M1109" s="20"/>
      <c r="N1109" s="20"/>
      <c r="O1109" s="20"/>
      <c r="P1109" s="20"/>
      <c r="Q1109" s="21"/>
      <c r="R1109" s="22" t="s">
        <v>16</v>
      </c>
      <c r="S1109" s="22" t="s">
        <v>16</v>
      </c>
      <c r="T1109" s="753">
        <f t="shared" si="105"/>
        <v>2143.1852427389185</v>
      </c>
      <c r="U1109" s="22">
        <f t="shared" si="106"/>
        <v>0</v>
      </c>
      <c r="V1109" s="20"/>
    </row>
    <row r="1110" spans="1:22" ht="14.4">
      <c r="A1110" s="385" t="s">
        <v>1594</v>
      </c>
      <c r="B1110" s="2" t="s">
        <v>78</v>
      </c>
      <c r="C1110" s="391">
        <v>200</v>
      </c>
      <c r="D1110" s="401">
        <v>198</v>
      </c>
      <c r="E1110" s="391">
        <v>74.5</v>
      </c>
      <c r="F1110" s="391">
        <v>68.5</v>
      </c>
      <c r="G1110" s="21">
        <f t="shared" si="101"/>
        <v>2.8313999999999999</v>
      </c>
      <c r="H1110" s="20">
        <f t="shared" si="102"/>
        <v>2.95</v>
      </c>
      <c r="I1110" s="20">
        <f t="shared" si="103"/>
        <v>2.831</v>
      </c>
      <c r="J1110" s="20">
        <f t="shared" si="104"/>
        <v>1.867</v>
      </c>
      <c r="K1110" s="72"/>
      <c r="L1110" s="826"/>
      <c r="M1110" s="20"/>
      <c r="N1110" s="20"/>
      <c r="O1110" s="20"/>
      <c r="P1110" s="20"/>
      <c r="Q1110" s="21"/>
      <c r="R1110" s="22" t="s">
        <v>16</v>
      </c>
      <c r="S1110" s="22" t="s">
        <v>16</v>
      </c>
      <c r="T1110" s="753">
        <f t="shared" si="105"/>
        <v>2483.6126926202573</v>
      </c>
      <c r="U1110" s="22">
        <f t="shared" si="106"/>
        <v>0</v>
      </c>
      <c r="V1110" s="20"/>
    </row>
    <row r="1111" spans="1:22" ht="14.4">
      <c r="A1111" s="385" t="s">
        <v>86</v>
      </c>
      <c r="B1111" s="2" t="s">
        <v>78</v>
      </c>
      <c r="C1111" s="391">
        <v>200</v>
      </c>
      <c r="D1111" s="401">
        <v>198</v>
      </c>
      <c r="E1111" s="391">
        <v>74</v>
      </c>
      <c r="F1111" s="391">
        <v>69</v>
      </c>
      <c r="G1111" s="21">
        <f t="shared" si="101"/>
        <v>2.8313999999999999</v>
      </c>
      <c r="H1111" s="20">
        <f t="shared" si="102"/>
        <v>2.93</v>
      </c>
      <c r="I1111" s="20">
        <f t="shared" si="103"/>
        <v>2.831</v>
      </c>
      <c r="J1111" s="20">
        <f t="shared" si="104"/>
        <v>1.877</v>
      </c>
      <c r="K1111" s="72"/>
      <c r="L1111" s="826"/>
      <c r="M1111" s="20"/>
      <c r="N1111" s="20"/>
      <c r="O1111" s="20"/>
      <c r="P1111" s="20"/>
      <c r="Q1111" s="21"/>
      <c r="R1111" s="22" t="s">
        <v>16</v>
      </c>
      <c r="S1111" s="22" t="s">
        <v>16</v>
      </c>
      <c r="T1111" s="753">
        <f t="shared" si="105"/>
        <v>2960.2312409675028</v>
      </c>
      <c r="U1111" s="22">
        <f t="shared" si="106"/>
        <v>0</v>
      </c>
      <c r="V1111" s="20"/>
    </row>
    <row r="1112" spans="1:22" ht="14.4">
      <c r="A1112" s="385" t="s">
        <v>1595</v>
      </c>
      <c r="B1112" s="2" t="s">
        <v>78</v>
      </c>
      <c r="C1112" s="391">
        <v>200</v>
      </c>
      <c r="D1112" s="401">
        <v>198</v>
      </c>
      <c r="E1112" s="391">
        <v>73.5</v>
      </c>
      <c r="F1112" s="391">
        <v>69.5</v>
      </c>
      <c r="G1112" s="21">
        <f t="shared" si="101"/>
        <v>2.8313999999999999</v>
      </c>
      <c r="H1112" s="20">
        <f t="shared" si="102"/>
        <v>2.911</v>
      </c>
      <c r="I1112" s="20">
        <f t="shared" si="103"/>
        <v>2.831</v>
      </c>
      <c r="J1112" s="20">
        <f t="shared" si="104"/>
        <v>1.887</v>
      </c>
      <c r="K1112" s="72"/>
      <c r="L1112" s="826"/>
      <c r="M1112" s="20"/>
      <c r="N1112" s="20"/>
      <c r="O1112" s="20"/>
      <c r="P1112" s="20"/>
      <c r="Q1112" s="21"/>
      <c r="R1112" s="22" t="s">
        <v>16</v>
      </c>
      <c r="S1112" s="22" t="s">
        <v>16</v>
      </c>
      <c r="T1112" s="753">
        <f t="shared" si="105"/>
        <v>3675.1837454064798</v>
      </c>
      <c r="U1112" s="22">
        <f t="shared" si="106"/>
        <v>0</v>
      </c>
      <c r="V1112" s="20"/>
    </row>
    <row r="1113" spans="1:22" ht="14.4">
      <c r="A1113" s="384" t="s">
        <v>87</v>
      </c>
      <c r="B1113" s="2" t="s">
        <v>78</v>
      </c>
      <c r="C1113" s="395">
        <v>220</v>
      </c>
      <c r="D1113" s="402">
        <v>198</v>
      </c>
      <c r="E1113" s="395">
        <v>78</v>
      </c>
      <c r="F1113" s="395">
        <v>65</v>
      </c>
      <c r="G1113" s="21">
        <f t="shared" si="101"/>
        <v>3.1145399999999999</v>
      </c>
      <c r="H1113" s="20">
        <f t="shared" si="102"/>
        <v>3.3980000000000001</v>
      </c>
      <c r="I1113" s="20">
        <f t="shared" si="103"/>
        <v>3.1150000000000002</v>
      </c>
      <c r="J1113" s="20">
        <f t="shared" si="104"/>
        <v>1.9730000000000001</v>
      </c>
      <c r="K1113" s="72"/>
      <c r="L1113" s="826"/>
      <c r="M1113" s="20"/>
      <c r="N1113" s="20"/>
      <c r="O1113" s="20"/>
      <c r="P1113" s="20"/>
      <c r="Q1113" s="21"/>
      <c r="R1113" s="22" t="s">
        <v>16</v>
      </c>
      <c r="S1113" s="22" t="s">
        <v>16</v>
      </c>
      <c r="T1113" s="753">
        <f t="shared" si="105"/>
        <v>1320.576010686246</v>
      </c>
      <c r="U1113" s="22">
        <f t="shared" si="106"/>
        <v>0</v>
      </c>
      <c r="V1113" s="20"/>
    </row>
    <row r="1114" spans="1:22" ht="14.4">
      <c r="A1114" s="384" t="s">
        <v>88</v>
      </c>
      <c r="B1114" s="2" t="s">
        <v>78</v>
      </c>
      <c r="C1114" s="395">
        <v>220</v>
      </c>
      <c r="D1114" s="402">
        <v>198</v>
      </c>
      <c r="E1114" s="395">
        <v>76.5</v>
      </c>
      <c r="F1114" s="395">
        <v>66.5</v>
      </c>
      <c r="G1114" s="21">
        <f t="shared" si="101"/>
        <v>3.1145399999999999</v>
      </c>
      <c r="H1114" s="20">
        <f t="shared" si="102"/>
        <v>3.3319999999999999</v>
      </c>
      <c r="I1114" s="20">
        <f t="shared" si="103"/>
        <v>3.1150000000000002</v>
      </c>
      <c r="J1114" s="20">
        <f t="shared" si="104"/>
        <v>2.008</v>
      </c>
      <c r="K1114" s="72"/>
      <c r="L1114" s="826"/>
      <c r="M1114" s="20"/>
      <c r="N1114" s="20"/>
      <c r="O1114" s="20"/>
      <c r="P1114" s="20"/>
      <c r="Q1114" s="21"/>
      <c r="R1114" s="22" t="s">
        <v>16</v>
      </c>
      <c r="S1114" s="22" t="s">
        <v>16</v>
      </c>
      <c r="T1114" s="753">
        <f t="shared" si="105"/>
        <v>1683.4346029769022</v>
      </c>
      <c r="U1114" s="22">
        <f t="shared" si="106"/>
        <v>0</v>
      </c>
      <c r="V1114" s="20"/>
    </row>
    <row r="1115" spans="1:22" ht="14.4">
      <c r="A1115" s="384" t="s">
        <v>89</v>
      </c>
      <c r="B1115" s="2" t="s">
        <v>78</v>
      </c>
      <c r="C1115" s="395">
        <v>220</v>
      </c>
      <c r="D1115" s="402">
        <v>198</v>
      </c>
      <c r="E1115" s="395">
        <v>75</v>
      </c>
      <c r="F1115" s="395">
        <v>68</v>
      </c>
      <c r="G1115" s="21">
        <f t="shared" si="101"/>
        <v>3.1145399999999999</v>
      </c>
      <c r="H1115" s="20">
        <f t="shared" si="102"/>
        <v>3.2669999999999999</v>
      </c>
      <c r="I1115" s="20">
        <f t="shared" si="103"/>
        <v>3.1150000000000002</v>
      </c>
      <c r="J1115" s="20">
        <f t="shared" si="104"/>
        <v>2.0419999999999998</v>
      </c>
      <c r="K1115" s="72"/>
      <c r="L1115" s="826"/>
      <c r="M1115" s="20"/>
      <c r="N1115" s="20"/>
      <c r="O1115" s="20"/>
      <c r="P1115" s="20"/>
      <c r="Q1115" s="21"/>
      <c r="R1115" s="22" t="s">
        <v>16</v>
      </c>
      <c r="S1115" s="22" t="s">
        <v>16</v>
      </c>
      <c r="T1115" s="753">
        <f t="shared" si="105"/>
        <v>2357.4411337252072</v>
      </c>
      <c r="U1115" s="22">
        <f t="shared" si="106"/>
        <v>0</v>
      </c>
      <c r="V1115" s="20"/>
    </row>
    <row r="1116" spans="1:22" ht="14.4">
      <c r="A1116" s="384" t="s">
        <v>1596</v>
      </c>
      <c r="B1116" s="2" t="s">
        <v>78</v>
      </c>
      <c r="C1116" s="395">
        <v>220</v>
      </c>
      <c r="D1116" s="402">
        <v>198</v>
      </c>
      <c r="E1116" s="395">
        <v>74.5</v>
      </c>
      <c r="F1116" s="395">
        <v>68.5</v>
      </c>
      <c r="G1116" s="21">
        <f t="shared" si="101"/>
        <v>3.1145399999999999</v>
      </c>
      <c r="H1116" s="20">
        <f t="shared" si="102"/>
        <v>3.2450000000000001</v>
      </c>
      <c r="I1116" s="20">
        <f t="shared" si="103"/>
        <v>3.1150000000000002</v>
      </c>
      <c r="J1116" s="20">
        <f t="shared" si="104"/>
        <v>2.0529999999999999</v>
      </c>
      <c r="K1116" s="72"/>
      <c r="L1116" s="826"/>
      <c r="M1116" s="20"/>
      <c r="N1116" s="20"/>
      <c r="O1116" s="20"/>
      <c r="P1116" s="20"/>
      <c r="Q1116" s="21"/>
      <c r="R1116" s="22" t="s">
        <v>16</v>
      </c>
      <c r="S1116" s="22" t="s">
        <v>16</v>
      </c>
      <c r="T1116" s="753">
        <f t="shared" si="105"/>
        <v>2731.9206321336969</v>
      </c>
      <c r="U1116" s="22">
        <f t="shared" si="106"/>
        <v>0</v>
      </c>
      <c r="V1116" s="20"/>
    </row>
    <row r="1117" spans="1:22" ht="14.4">
      <c r="A1117" s="384" t="s">
        <v>90</v>
      </c>
      <c r="B1117" s="2" t="s">
        <v>78</v>
      </c>
      <c r="C1117" s="395">
        <v>220</v>
      </c>
      <c r="D1117" s="402">
        <v>198</v>
      </c>
      <c r="E1117" s="395">
        <v>74</v>
      </c>
      <c r="F1117" s="395">
        <v>69</v>
      </c>
      <c r="G1117" s="21">
        <f t="shared" si="101"/>
        <v>3.1145399999999999</v>
      </c>
      <c r="H1117" s="20">
        <f t="shared" si="102"/>
        <v>3.2229999999999999</v>
      </c>
      <c r="I1117" s="20">
        <f t="shared" si="103"/>
        <v>3.1150000000000002</v>
      </c>
      <c r="J1117" s="20">
        <f t="shared" si="104"/>
        <v>2.0640000000000001</v>
      </c>
      <c r="K1117" s="72"/>
      <c r="L1117" s="826"/>
      <c r="M1117" s="20"/>
      <c r="N1117" s="20"/>
      <c r="O1117" s="20"/>
      <c r="P1117" s="20"/>
      <c r="Q1117" s="21"/>
      <c r="R1117" s="22" t="s">
        <v>16</v>
      </c>
      <c r="S1117" s="22" t="s">
        <v>16</v>
      </c>
      <c r="T1117" s="753">
        <f t="shared" si="105"/>
        <v>3256.2102204863863</v>
      </c>
      <c r="U1117" s="22">
        <f t="shared" si="106"/>
        <v>0</v>
      </c>
      <c r="V1117" s="20"/>
    </row>
    <row r="1118" spans="1:22" ht="14.4">
      <c r="A1118" s="384" t="s">
        <v>1597</v>
      </c>
      <c r="B1118" s="2" t="s">
        <v>78</v>
      </c>
      <c r="C1118" s="395">
        <v>220</v>
      </c>
      <c r="D1118" s="402">
        <v>198</v>
      </c>
      <c r="E1118" s="395">
        <v>73.5</v>
      </c>
      <c r="F1118" s="395">
        <v>69.5</v>
      </c>
      <c r="G1118" s="21">
        <f t="shared" si="101"/>
        <v>3.1145399999999999</v>
      </c>
      <c r="H1118" s="20">
        <f t="shared" si="102"/>
        <v>3.202</v>
      </c>
      <c r="I1118" s="20">
        <f t="shared" si="103"/>
        <v>3.1150000000000002</v>
      </c>
      <c r="J1118" s="20">
        <f t="shared" si="104"/>
        <v>2.0760000000000001</v>
      </c>
      <c r="K1118" s="72"/>
      <c r="L1118" s="826"/>
      <c r="M1118" s="20"/>
      <c r="N1118" s="20"/>
      <c r="O1118" s="20"/>
      <c r="P1118" s="20"/>
      <c r="Q1118" s="21"/>
      <c r="R1118" s="22" t="s">
        <v>16</v>
      </c>
      <c r="S1118" s="22" t="s">
        <v>16</v>
      </c>
      <c r="T1118" s="753">
        <f t="shared" si="105"/>
        <v>4042.6670420033356</v>
      </c>
      <c r="U1118" s="22">
        <f t="shared" si="106"/>
        <v>0</v>
      </c>
      <c r="V1118" s="20"/>
    </row>
    <row r="1119" spans="1:22" ht="14.4">
      <c r="A1119" s="386" t="s">
        <v>1598</v>
      </c>
      <c r="B1119" s="2" t="s">
        <v>78</v>
      </c>
      <c r="C1119" s="396">
        <v>250</v>
      </c>
      <c r="D1119" s="404">
        <v>198</v>
      </c>
      <c r="E1119" s="396">
        <v>82</v>
      </c>
      <c r="F1119" s="396">
        <v>61</v>
      </c>
      <c r="G1119" s="21">
        <f t="shared" si="101"/>
        <v>3.53925</v>
      </c>
      <c r="H1119" s="20">
        <f t="shared" si="102"/>
        <v>4.0590000000000002</v>
      </c>
      <c r="I1119" s="20">
        <f t="shared" si="103"/>
        <v>3.5390000000000001</v>
      </c>
      <c r="J1119" s="20">
        <f t="shared" si="104"/>
        <v>2.1349999999999998</v>
      </c>
      <c r="K1119" s="72"/>
      <c r="L1119" s="826"/>
      <c r="M1119" s="20"/>
      <c r="N1119" s="20"/>
      <c r="O1119" s="20"/>
      <c r="P1119" s="20"/>
      <c r="Q1119" s="21"/>
      <c r="R1119" s="22" t="s">
        <v>16</v>
      </c>
      <c r="S1119" s="22" t="s">
        <v>16</v>
      </c>
      <c r="T1119" s="753">
        <f t="shared" si="105"/>
        <v>977.05109682400371</v>
      </c>
      <c r="U1119" s="22">
        <f t="shared" si="106"/>
        <v>0</v>
      </c>
      <c r="V1119" s="20"/>
    </row>
    <row r="1120" spans="1:22" ht="14.4">
      <c r="A1120" s="386" t="s">
        <v>91</v>
      </c>
      <c r="B1120" s="2" t="s">
        <v>78</v>
      </c>
      <c r="C1120" s="396">
        <v>250</v>
      </c>
      <c r="D1120" s="404">
        <v>198</v>
      </c>
      <c r="E1120" s="396">
        <v>78</v>
      </c>
      <c r="F1120" s="396">
        <v>65</v>
      </c>
      <c r="G1120" s="21">
        <f t="shared" si="101"/>
        <v>3.53925</v>
      </c>
      <c r="H1120" s="20">
        <f t="shared" si="102"/>
        <v>3.8610000000000002</v>
      </c>
      <c r="I1120" s="20">
        <f t="shared" si="103"/>
        <v>3.5390000000000001</v>
      </c>
      <c r="J1120" s="20">
        <f t="shared" si="104"/>
        <v>2.2429999999999999</v>
      </c>
      <c r="K1120" s="72"/>
      <c r="L1120" s="826"/>
      <c r="M1120" s="20"/>
      <c r="N1120" s="20"/>
      <c r="O1120" s="20"/>
      <c r="P1120" s="20"/>
      <c r="Q1120" s="21"/>
      <c r="R1120" s="22" t="s">
        <v>16</v>
      </c>
      <c r="S1120" s="22" t="s">
        <v>16</v>
      </c>
      <c r="T1120" s="753">
        <f t="shared" si="105"/>
        <v>1500.5069143459486</v>
      </c>
      <c r="U1120" s="22">
        <f t="shared" si="106"/>
        <v>0</v>
      </c>
      <c r="V1120" s="20"/>
    </row>
    <row r="1121" spans="1:22" ht="14.4">
      <c r="A1121" s="386" t="s">
        <v>92</v>
      </c>
      <c r="B1121" s="2" t="s">
        <v>78</v>
      </c>
      <c r="C1121" s="396">
        <v>250</v>
      </c>
      <c r="D1121" s="404">
        <v>198</v>
      </c>
      <c r="E1121" s="396">
        <v>76.5</v>
      </c>
      <c r="F1121" s="396">
        <v>66.5</v>
      </c>
      <c r="G1121" s="21">
        <f t="shared" si="101"/>
        <v>3.53925</v>
      </c>
      <c r="H1121" s="20">
        <f t="shared" si="102"/>
        <v>3.7869999999999999</v>
      </c>
      <c r="I1121" s="20">
        <f t="shared" si="103"/>
        <v>3.5390000000000001</v>
      </c>
      <c r="J1121" s="20">
        <f t="shared" si="104"/>
        <v>2.282</v>
      </c>
      <c r="K1121" s="72"/>
      <c r="L1121" s="826"/>
      <c r="M1121" s="20"/>
      <c r="N1121" s="20"/>
      <c r="O1121" s="20"/>
      <c r="P1121" s="20"/>
      <c r="Q1121" s="21"/>
      <c r="R1121" s="22" t="s">
        <v>16</v>
      </c>
      <c r="S1121" s="22" t="s">
        <v>16</v>
      </c>
      <c r="T1121" s="753">
        <f t="shared" si="105"/>
        <v>1912.8824617576483</v>
      </c>
      <c r="U1121" s="22">
        <f t="shared" si="106"/>
        <v>0</v>
      </c>
      <c r="V1121" s="20"/>
    </row>
    <row r="1122" spans="1:22" ht="14.4">
      <c r="A1122" s="386" t="s">
        <v>93</v>
      </c>
      <c r="B1122" s="2" t="s">
        <v>78</v>
      </c>
      <c r="C1122" s="396">
        <v>250</v>
      </c>
      <c r="D1122" s="404">
        <v>198</v>
      </c>
      <c r="E1122" s="396">
        <v>75</v>
      </c>
      <c r="F1122" s="396">
        <v>68</v>
      </c>
      <c r="G1122" s="21">
        <f t="shared" si="101"/>
        <v>3.53925</v>
      </c>
      <c r="H1122" s="20">
        <f t="shared" si="102"/>
        <v>3.7130000000000001</v>
      </c>
      <c r="I1122" s="20">
        <f t="shared" si="103"/>
        <v>3.5390000000000001</v>
      </c>
      <c r="J1122" s="20">
        <f t="shared" si="104"/>
        <v>2.3210000000000002</v>
      </c>
      <c r="K1122" s="72"/>
      <c r="L1122" s="826"/>
      <c r="M1122" s="20"/>
      <c r="N1122" s="20"/>
      <c r="O1122" s="20"/>
      <c r="P1122" s="20"/>
      <c r="Q1122" s="21"/>
      <c r="R1122" s="22" t="s">
        <v>16</v>
      </c>
      <c r="S1122" s="22" t="s">
        <v>16</v>
      </c>
      <c r="T1122" s="753">
        <f t="shared" si="105"/>
        <v>2678.8339157101891</v>
      </c>
      <c r="U1122" s="22">
        <f t="shared" si="106"/>
        <v>0</v>
      </c>
      <c r="V1122" s="20"/>
    </row>
    <row r="1123" spans="1:22" ht="14.4">
      <c r="A1123" s="386" t="s">
        <v>94</v>
      </c>
      <c r="B1123" s="2" t="s">
        <v>78</v>
      </c>
      <c r="C1123" s="396">
        <v>250</v>
      </c>
      <c r="D1123" s="404">
        <v>198</v>
      </c>
      <c r="E1123" s="396">
        <v>74.5</v>
      </c>
      <c r="F1123" s="396">
        <v>68.5</v>
      </c>
      <c r="G1123" s="21">
        <f t="shared" si="101"/>
        <v>3.53925</v>
      </c>
      <c r="H1123" s="20">
        <f t="shared" si="102"/>
        <v>3.6880000000000002</v>
      </c>
      <c r="I1123" s="20">
        <f t="shared" si="103"/>
        <v>3.5390000000000001</v>
      </c>
      <c r="J1123" s="20">
        <f t="shared" si="104"/>
        <v>2.3330000000000002</v>
      </c>
      <c r="K1123" s="72"/>
      <c r="L1123" s="826"/>
      <c r="M1123" s="20"/>
      <c r="N1123" s="20"/>
      <c r="O1123" s="20"/>
      <c r="P1123" s="20"/>
      <c r="Q1123" s="21"/>
      <c r="R1123" s="22" t="s">
        <v>16</v>
      </c>
      <c r="S1123" s="22" t="s">
        <v>16</v>
      </c>
      <c r="T1123" s="753">
        <f t="shared" si="105"/>
        <v>3104.3901586212455</v>
      </c>
      <c r="U1123" s="22">
        <f t="shared" si="106"/>
        <v>0</v>
      </c>
      <c r="V1123" s="20"/>
    </row>
    <row r="1124" spans="1:22" ht="14.4">
      <c r="A1124" s="386" t="s">
        <v>19</v>
      </c>
      <c r="B1124" s="2" t="s">
        <v>78</v>
      </c>
      <c r="C1124" s="396">
        <v>250</v>
      </c>
      <c r="D1124" s="404">
        <v>198</v>
      </c>
      <c r="E1124" s="396">
        <v>74</v>
      </c>
      <c r="F1124" s="396">
        <v>69</v>
      </c>
      <c r="G1124" s="21">
        <f t="shared" si="101"/>
        <v>3.53925</v>
      </c>
      <c r="H1124" s="20">
        <f t="shared" si="102"/>
        <v>3.6629999999999998</v>
      </c>
      <c r="I1124" s="20">
        <f t="shared" si="103"/>
        <v>3.5390000000000001</v>
      </c>
      <c r="J1124" s="20">
        <f t="shared" si="104"/>
        <v>2.3460000000000001</v>
      </c>
      <c r="K1124" s="72"/>
      <c r="L1124" s="826"/>
      <c r="M1124" s="20"/>
      <c r="N1124" s="20"/>
      <c r="O1124" s="20"/>
      <c r="P1124" s="20"/>
      <c r="Q1124" s="21"/>
      <c r="R1124" s="22" t="s">
        <v>16</v>
      </c>
      <c r="S1124" s="22" t="s">
        <v>16</v>
      </c>
      <c r="T1124" s="753">
        <f t="shared" si="105"/>
        <v>3700.1849953752317</v>
      </c>
      <c r="U1124" s="22">
        <f t="shared" si="106"/>
        <v>0</v>
      </c>
      <c r="V1124" s="20"/>
    </row>
    <row r="1125" spans="1:22" ht="14.4">
      <c r="A1125" s="386" t="s">
        <v>18</v>
      </c>
      <c r="B1125" s="2" t="s">
        <v>78</v>
      </c>
      <c r="C1125" s="396">
        <v>250</v>
      </c>
      <c r="D1125" s="404">
        <v>198</v>
      </c>
      <c r="E1125" s="396">
        <v>73.5</v>
      </c>
      <c r="F1125" s="396">
        <v>69.5</v>
      </c>
      <c r="G1125" s="21">
        <f t="shared" si="101"/>
        <v>3.53925</v>
      </c>
      <c r="H1125" s="20">
        <f t="shared" si="102"/>
        <v>3.6379999999999999</v>
      </c>
      <c r="I1125" s="20">
        <f t="shared" si="103"/>
        <v>3.5390000000000001</v>
      </c>
      <c r="J1125" s="20">
        <f t="shared" si="104"/>
        <v>2.359</v>
      </c>
      <c r="K1125" s="72"/>
      <c r="L1125" s="826"/>
      <c r="M1125" s="20"/>
      <c r="N1125" s="20"/>
      <c r="O1125" s="20"/>
      <c r="P1125" s="20"/>
      <c r="Q1125" s="21"/>
      <c r="R1125" s="22" t="s">
        <v>16</v>
      </c>
      <c r="S1125" s="22" t="s">
        <v>16</v>
      </c>
      <c r="T1125" s="753">
        <f t="shared" si="105"/>
        <v>4593.8969976480748</v>
      </c>
      <c r="U1125" s="22">
        <f t="shared" si="106"/>
        <v>0</v>
      </c>
      <c r="V1125" s="20"/>
    </row>
    <row r="1126" spans="1:22" ht="14.4">
      <c r="A1126" s="387" t="s">
        <v>1599</v>
      </c>
      <c r="B1126" s="2" t="s">
        <v>78</v>
      </c>
      <c r="C1126" s="397">
        <v>300</v>
      </c>
      <c r="D1126" s="403">
        <v>198</v>
      </c>
      <c r="E1126" s="397">
        <v>81</v>
      </c>
      <c r="F1126" s="397">
        <v>62</v>
      </c>
      <c r="G1126" s="21">
        <f t="shared" si="101"/>
        <v>4.2470999999999997</v>
      </c>
      <c r="H1126" s="20">
        <f t="shared" si="102"/>
        <v>4.8109999999999999</v>
      </c>
      <c r="I1126" s="20">
        <f t="shared" si="103"/>
        <v>4.2469999999999999</v>
      </c>
      <c r="J1126" s="20">
        <f t="shared" si="104"/>
        <v>2.5950000000000002</v>
      </c>
      <c r="K1126" s="72"/>
      <c r="L1126" s="826"/>
      <c r="M1126" s="20"/>
      <c r="N1126" s="20"/>
      <c r="O1126" s="20"/>
      <c r="P1126" s="20"/>
      <c r="Q1126" s="21"/>
      <c r="R1126" s="22" t="s">
        <v>16</v>
      </c>
      <c r="S1126" s="22" t="s">
        <v>16</v>
      </c>
      <c r="T1126" s="753">
        <f t="shared" si="105"/>
        <v>1279.5884577437921</v>
      </c>
      <c r="U1126" s="22">
        <f t="shared" si="106"/>
        <v>0</v>
      </c>
      <c r="V1126" s="20"/>
    </row>
    <row r="1127" spans="1:22" ht="14.4">
      <c r="A1127" s="387" t="s">
        <v>1600</v>
      </c>
      <c r="B1127" s="2" t="s">
        <v>78</v>
      </c>
      <c r="C1127" s="397">
        <v>300</v>
      </c>
      <c r="D1127" s="403">
        <v>198</v>
      </c>
      <c r="E1127" s="397">
        <v>77</v>
      </c>
      <c r="F1127" s="397">
        <v>66</v>
      </c>
      <c r="G1127" s="21">
        <f t="shared" si="101"/>
        <v>4.2470999999999997</v>
      </c>
      <c r="H1127" s="20">
        <f t="shared" si="102"/>
        <v>4.5739999999999998</v>
      </c>
      <c r="I1127" s="20">
        <f t="shared" si="103"/>
        <v>4.2469999999999999</v>
      </c>
      <c r="J1127" s="20">
        <f t="shared" si="104"/>
        <v>2.7229999999999999</v>
      </c>
      <c r="K1127" s="72"/>
      <c r="L1127" s="826"/>
      <c r="M1127" s="20"/>
      <c r="N1127" s="20"/>
      <c r="O1127" s="20"/>
      <c r="P1127" s="20"/>
      <c r="Q1127" s="21"/>
      <c r="R1127" s="22" t="s">
        <v>16</v>
      </c>
      <c r="S1127" s="22" t="s">
        <v>16</v>
      </c>
      <c r="T1127" s="753">
        <f t="shared" si="105"/>
        <v>2100.3528870168457</v>
      </c>
      <c r="U1127" s="22">
        <f t="shared" si="106"/>
        <v>0</v>
      </c>
      <c r="V1127" s="20"/>
    </row>
    <row r="1128" spans="1:22" ht="15" thickBot="1">
      <c r="A1128" s="389" t="s">
        <v>1601</v>
      </c>
      <c r="B1128" s="2" t="s">
        <v>78</v>
      </c>
      <c r="C1128" s="398">
        <v>300</v>
      </c>
      <c r="D1128" s="407">
        <v>198</v>
      </c>
      <c r="E1128" s="398">
        <v>74.5</v>
      </c>
      <c r="F1128" s="398">
        <v>68.5</v>
      </c>
      <c r="G1128" s="21">
        <f t="shared" si="101"/>
        <v>4.2470999999999997</v>
      </c>
      <c r="H1128" s="20">
        <f t="shared" si="102"/>
        <v>4.4249999999999998</v>
      </c>
      <c r="I1128" s="20">
        <f t="shared" si="103"/>
        <v>4.2469999999999999</v>
      </c>
      <c r="J1128" s="20">
        <f t="shared" si="104"/>
        <v>2.8</v>
      </c>
      <c r="K1128" s="72"/>
      <c r="L1128" s="826"/>
      <c r="M1128" s="20"/>
      <c r="N1128" s="20"/>
      <c r="O1128" s="20"/>
      <c r="P1128" s="20"/>
      <c r="Q1128" s="21"/>
      <c r="R1128" s="22" t="s">
        <v>16</v>
      </c>
      <c r="S1128" s="22" t="s">
        <v>16</v>
      </c>
      <c r="T1128" s="753">
        <f t="shared" si="105"/>
        <v>3725.1862453439826</v>
      </c>
      <c r="U1128" s="22">
        <f t="shared" si="106"/>
        <v>0</v>
      </c>
      <c r="V1128" s="20"/>
    </row>
    <row r="1129" spans="1:22">
      <c r="A1129" s="73"/>
      <c r="B1129" s="2" t="s">
        <v>78</v>
      </c>
      <c r="G1129" s="21" t="str">
        <f t="shared" ref="G1129:G1152" si="107">IF(B1129="","",IF(OR(B1129="PA",B1129="PL"),H1129,IF(OR(B1129="VDZ",B1129="ISO",B1129="A1",B1129="A2",B1129="A3",B1129="AE",B1129="A2/3",B1129="A3/4",B1129="C1",B1129="C2",B1129="C3",B1129="CE",B1129="C2/3",B1129="C3/4"),I1129,J1129)))</f>
        <v>-</v>
      </c>
      <c r="H1129" s="20">
        <f t="shared" ref="H1129:H1162" si="108">ROUND(C1129*D1129*E1129/10^6,3)</f>
        <v>0</v>
      </c>
      <c r="I1129" s="20" t="str">
        <f t="shared" ref="I1129:I1162" si="109">IF(F1129="","-",ROUND((E1129+F1129)*C1129/2*D1129/10^6,3))</f>
        <v>-</v>
      </c>
      <c r="J1129" s="20" t="str">
        <f t="shared" ref="J1129:J1162" si="110">IF(F1129="","-",ROUND((D1129+E1129)*C1129/2*F1129/10^6,3))</f>
        <v>-</v>
      </c>
      <c r="K1129" s="72"/>
      <c r="L1129" s="826"/>
      <c r="M1129" s="20"/>
      <c r="N1129" s="20"/>
      <c r="O1129" s="20"/>
      <c r="P1129" s="20"/>
      <c r="Q1129" s="21"/>
      <c r="R1129" s="22" t="s">
        <v>16</v>
      </c>
      <c r="S1129" s="22" t="s">
        <v>16</v>
      </c>
      <c r="T1129" s="20"/>
      <c r="U1129" s="22">
        <f t="shared" si="106"/>
        <v>0</v>
      </c>
      <c r="V1129" s="20"/>
    </row>
    <row r="1130" spans="1:22" ht="14.4">
      <c r="A1130" s="381" t="s">
        <v>1602</v>
      </c>
      <c r="B1130" s="2" t="s">
        <v>78</v>
      </c>
      <c r="C1130" s="390">
        <v>180</v>
      </c>
      <c r="D1130" s="399">
        <v>300</v>
      </c>
      <c r="E1130" s="390">
        <v>78</v>
      </c>
      <c r="F1130" s="390">
        <v>65</v>
      </c>
      <c r="G1130" s="21">
        <f t="shared" si="101"/>
        <v>3.8610000000000002</v>
      </c>
      <c r="H1130" s="20">
        <f t="shared" si="108"/>
        <v>4.2119999999999997</v>
      </c>
      <c r="I1130" s="20">
        <f t="shared" si="109"/>
        <v>3.8610000000000002</v>
      </c>
      <c r="J1130" s="20">
        <f t="shared" si="110"/>
        <v>2.2109999999999999</v>
      </c>
      <c r="K1130" s="72"/>
      <c r="L1130" s="826"/>
      <c r="M1130" s="20"/>
      <c r="N1130" s="20"/>
      <c r="O1130" s="20"/>
      <c r="P1130" s="20"/>
      <c r="Q1130" s="21"/>
      <c r="R1130" s="22" t="s">
        <v>16</v>
      </c>
      <c r="S1130" s="22" t="s">
        <v>16</v>
      </c>
      <c r="T1130" s="753">
        <f t="shared" si="105"/>
        <v>1080.7039372557131</v>
      </c>
      <c r="U1130" s="22">
        <f t="shared" si="106"/>
        <v>0</v>
      </c>
      <c r="V1130" s="20"/>
    </row>
    <row r="1131" spans="1:22" ht="14.4">
      <c r="A1131" s="381" t="s">
        <v>1603</v>
      </c>
      <c r="B1131" s="2" t="s">
        <v>78</v>
      </c>
      <c r="C1131" s="390">
        <v>180</v>
      </c>
      <c r="D1131" s="399">
        <v>300</v>
      </c>
      <c r="E1131" s="390">
        <v>76.5</v>
      </c>
      <c r="F1131" s="390">
        <v>66.5</v>
      </c>
      <c r="G1131" s="21">
        <f t="shared" si="101"/>
        <v>3.8610000000000002</v>
      </c>
      <c r="H1131" s="20">
        <f t="shared" si="108"/>
        <v>4.1310000000000002</v>
      </c>
      <c r="I1131" s="20">
        <f t="shared" si="109"/>
        <v>3.8610000000000002</v>
      </c>
      <c r="J1131" s="20">
        <f t="shared" si="110"/>
        <v>2.2530000000000001</v>
      </c>
      <c r="K1131" s="72"/>
      <c r="L1131" s="826"/>
      <c r="M1131" s="20"/>
      <c r="N1131" s="20"/>
      <c r="O1131" s="20"/>
      <c r="P1131" s="20"/>
      <c r="Q1131" s="21"/>
      <c r="R1131" s="22" t="s">
        <v>16</v>
      </c>
      <c r="S1131" s="22" t="s">
        <v>16</v>
      </c>
      <c r="T1131" s="753">
        <f t="shared" si="105"/>
        <v>1377.5311475607366</v>
      </c>
      <c r="U1131" s="22">
        <f t="shared" si="106"/>
        <v>0</v>
      </c>
      <c r="V1131" s="20"/>
    </row>
    <row r="1132" spans="1:22" ht="14.4">
      <c r="A1132" s="381" t="s">
        <v>1604</v>
      </c>
      <c r="B1132" s="2" t="s">
        <v>78</v>
      </c>
      <c r="C1132" s="390">
        <v>180</v>
      </c>
      <c r="D1132" s="399">
        <v>300</v>
      </c>
      <c r="E1132" s="390">
        <v>75</v>
      </c>
      <c r="F1132" s="390">
        <v>68</v>
      </c>
      <c r="G1132" s="21">
        <f t="shared" si="101"/>
        <v>3.8610000000000002</v>
      </c>
      <c r="H1132" s="20">
        <f t="shared" si="108"/>
        <v>4.05</v>
      </c>
      <c r="I1132" s="20">
        <f t="shared" si="109"/>
        <v>3.8610000000000002</v>
      </c>
      <c r="J1132" s="20">
        <f t="shared" si="110"/>
        <v>2.2949999999999999</v>
      </c>
      <c r="K1132" s="72"/>
      <c r="L1132" s="826"/>
      <c r="M1132" s="20"/>
      <c r="N1132" s="20"/>
      <c r="O1132" s="20"/>
      <c r="P1132" s="20"/>
      <c r="Q1132" s="21"/>
      <c r="R1132" s="22" t="s">
        <v>16</v>
      </c>
      <c r="S1132" s="22" t="s">
        <v>16</v>
      </c>
      <c r="T1132" s="753">
        <f t="shared" si="105"/>
        <v>1928.9359774502732</v>
      </c>
      <c r="U1132" s="22">
        <f t="shared" si="106"/>
        <v>0</v>
      </c>
      <c r="V1132" s="20"/>
    </row>
    <row r="1133" spans="1:22" ht="14.4">
      <c r="A1133" s="381" t="s">
        <v>1605</v>
      </c>
      <c r="B1133" s="2" t="s">
        <v>78</v>
      </c>
      <c r="C1133" s="390">
        <v>180</v>
      </c>
      <c r="D1133" s="399">
        <v>300</v>
      </c>
      <c r="E1133" s="390">
        <v>74</v>
      </c>
      <c r="F1133" s="390">
        <v>69</v>
      </c>
      <c r="G1133" s="21">
        <f t="shared" si="101"/>
        <v>3.8610000000000002</v>
      </c>
      <c r="H1133" s="20">
        <f t="shared" si="108"/>
        <v>3.996</v>
      </c>
      <c r="I1133" s="20">
        <f t="shared" si="109"/>
        <v>3.8610000000000002</v>
      </c>
      <c r="J1133" s="20">
        <f t="shared" si="110"/>
        <v>2.323</v>
      </c>
      <c r="K1133" s="72"/>
      <c r="L1133" s="826"/>
      <c r="M1133" s="20"/>
      <c r="N1133" s="20"/>
      <c r="O1133" s="20"/>
      <c r="P1133" s="20"/>
      <c r="Q1133" s="21"/>
      <c r="R1133" s="22" t="s">
        <v>16</v>
      </c>
      <c r="S1133" s="22" t="s">
        <v>16</v>
      </c>
      <c r="T1133" s="753">
        <f t="shared" si="105"/>
        <v>2664.2569320544144</v>
      </c>
      <c r="U1133" s="22">
        <f t="shared" si="106"/>
        <v>0</v>
      </c>
      <c r="V1133" s="20"/>
    </row>
    <row r="1134" spans="1:22" ht="14.4">
      <c r="A1134" s="385" t="s">
        <v>1606</v>
      </c>
      <c r="B1134" s="2" t="s">
        <v>78</v>
      </c>
      <c r="C1134" s="391">
        <v>200</v>
      </c>
      <c r="D1134" s="401">
        <v>300</v>
      </c>
      <c r="E1134" s="391">
        <v>78</v>
      </c>
      <c r="F1134" s="391">
        <v>65</v>
      </c>
      <c r="G1134" s="21">
        <f t="shared" si="101"/>
        <v>4.29</v>
      </c>
      <c r="H1134" s="20">
        <f t="shared" si="108"/>
        <v>4.68</v>
      </c>
      <c r="I1134" s="20">
        <f t="shared" si="109"/>
        <v>4.29</v>
      </c>
      <c r="J1134" s="20">
        <f t="shared" si="110"/>
        <v>2.4569999999999999</v>
      </c>
      <c r="K1134" s="72"/>
      <c r="L1134" s="826"/>
      <c r="M1134" s="20"/>
      <c r="N1134" s="20"/>
      <c r="O1134" s="20"/>
      <c r="P1134" s="20"/>
      <c r="Q1134" s="21"/>
      <c r="R1134" s="22" t="s">
        <v>16</v>
      </c>
      <c r="S1134" s="22" t="s">
        <v>16</v>
      </c>
      <c r="T1134" s="753">
        <f t="shared" si="105"/>
        <v>1200.6335827387138</v>
      </c>
      <c r="U1134" s="22">
        <f t="shared" si="106"/>
        <v>0</v>
      </c>
      <c r="V1134" s="20"/>
    </row>
    <row r="1135" spans="1:22" ht="14.4">
      <c r="A1135" s="385" t="s">
        <v>1607</v>
      </c>
      <c r="B1135" s="2" t="s">
        <v>78</v>
      </c>
      <c r="C1135" s="391">
        <v>200</v>
      </c>
      <c r="D1135" s="401">
        <v>300</v>
      </c>
      <c r="E1135" s="391">
        <v>76.5</v>
      </c>
      <c r="F1135" s="391">
        <v>66.5</v>
      </c>
      <c r="G1135" s="21">
        <f t="shared" si="101"/>
        <v>4.29</v>
      </c>
      <c r="H1135" s="20">
        <f t="shared" si="108"/>
        <v>4.59</v>
      </c>
      <c r="I1135" s="20">
        <f t="shared" si="109"/>
        <v>4.29</v>
      </c>
      <c r="J1135" s="20">
        <f t="shared" si="110"/>
        <v>2.504</v>
      </c>
      <c r="K1135" s="72"/>
      <c r="L1135" s="826"/>
      <c r="M1135" s="20"/>
      <c r="N1135" s="20"/>
      <c r="O1135" s="20"/>
      <c r="P1135" s="20"/>
      <c r="Q1135" s="21"/>
      <c r="R1135" s="22" t="s">
        <v>16</v>
      </c>
      <c r="S1135" s="22" t="s">
        <v>16</v>
      </c>
      <c r="T1135" s="753">
        <f t="shared" si="105"/>
        <v>1530.4780503163058</v>
      </c>
      <c r="U1135" s="22">
        <f t="shared" si="106"/>
        <v>0</v>
      </c>
      <c r="V1135" s="20"/>
    </row>
    <row r="1136" spans="1:22" ht="14.4">
      <c r="A1136" s="385" t="s">
        <v>1608</v>
      </c>
      <c r="B1136" s="2" t="s">
        <v>78</v>
      </c>
      <c r="C1136" s="391">
        <v>200</v>
      </c>
      <c r="D1136" s="401">
        <v>300</v>
      </c>
      <c r="E1136" s="391">
        <v>75</v>
      </c>
      <c r="F1136" s="391">
        <v>68</v>
      </c>
      <c r="G1136" s="21">
        <f t="shared" si="101"/>
        <v>4.29</v>
      </c>
      <c r="H1136" s="20">
        <f t="shared" si="108"/>
        <v>4.5</v>
      </c>
      <c r="I1136" s="20">
        <f t="shared" si="109"/>
        <v>4.29</v>
      </c>
      <c r="J1136" s="20">
        <f t="shared" si="110"/>
        <v>2.5499999999999998</v>
      </c>
      <c r="K1136" s="72"/>
      <c r="L1136" s="826"/>
      <c r="M1136" s="20"/>
      <c r="N1136" s="20"/>
      <c r="O1136" s="20"/>
      <c r="P1136" s="20"/>
      <c r="Q1136" s="21"/>
      <c r="R1136" s="22" t="s">
        <v>16</v>
      </c>
      <c r="S1136" s="22" t="s">
        <v>16</v>
      </c>
      <c r="T1136" s="753">
        <f t="shared" si="105"/>
        <v>2143.1852427389185</v>
      </c>
      <c r="U1136" s="22">
        <f t="shared" si="106"/>
        <v>0</v>
      </c>
      <c r="V1136" s="20"/>
    </row>
    <row r="1137" spans="1:22" ht="14.4">
      <c r="A1137" s="385" t="s">
        <v>1609</v>
      </c>
      <c r="B1137" s="2" t="s">
        <v>78</v>
      </c>
      <c r="C1137" s="391">
        <v>200</v>
      </c>
      <c r="D1137" s="401">
        <v>300</v>
      </c>
      <c r="E1137" s="391">
        <v>74.5</v>
      </c>
      <c r="F1137" s="391">
        <v>68.5</v>
      </c>
      <c r="G1137" s="21">
        <f t="shared" si="101"/>
        <v>4.29</v>
      </c>
      <c r="H1137" s="20">
        <f t="shared" si="108"/>
        <v>4.47</v>
      </c>
      <c r="I1137" s="20">
        <f t="shared" si="109"/>
        <v>4.29</v>
      </c>
      <c r="J1137" s="20">
        <f t="shared" si="110"/>
        <v>2.5649999999999999</v>
      </c>
      <c r="K1137" s="72"/>
      <c r="L1137" s="826"/>
      <c r="M1137" s="20"/>
      <c r="N1137" s="20"/>
      <c r="O1137" s="20"/>
      <c r="P1137" s="20"/>
      <c r="Q1137" s="21"/>
      <c r="R1137" s="22" t="s">
        <v>16</v>
      </c>
      <c r="S1137" s="22" t="s">
        <v>16</v>
      </c>
      <c r="T1137" s="753">
        <f t="shared" si="105"/>
        <v>2483.6126926202573</v>
      </c>
      <c r="U1137" s="22">
        <f t="shared" si="106"/>
        <v>0</v>
      </c>
      <c r="V1137" s="20"/>
    </row>
    <row r="1138" spans="1:22" ht="14.4">
      <c r="A1138" s="385" t="s">
        <v>1610</v>
      </c>
      <c r="B1138" s="2" t="s">
        <v>78</v>
      </c>
      <c r="C1138" s="391">
        <v>200</v>
      </c>
      <c r="D1138" s="401">
        <v>300</v>
      </c>
      <c r="E1138" s="391">
        <v>74</v>
      </c>
      <c r="F1138" s="391">
        <v>69</v>
      </c>
      <c r="G1138" s="21">
        <f t="shared" si="101"/>
        <v>4.29</v>
      </c>
      <c r="H1138" s="20">
        <f t="shared" si="108"/>
        <v>4.4400000000000004</v>
      </c>
      <c r="I1138" s="20">
        <f t="shared" si="109"/>
        <v>4.29</v>
      </c>
      <c r="J1138" s="20">
        <f t="shared" si="110"/>
        <v>2.581</v>
      </c>
      <c r="K1138" s="72"/>
      <c r="L1138" s="826"/>
      <c r="M1138" s="20"/>
      <c r="N1138" s="20"/>
      <c r="O1138" s="20"/>
      <c r="P1138" s="20"/>
      <c r="Q1138" s="21"/>
      <c r="R1138" s="22" t="s">
        <v>16</v>
      </c>
      <c r="S1138" s="22" t="s">
        <v>16</v>
      </c>
      <c r="T1138" s="753">
        <f t="shared" si="105"/>
        <v>2960.2312409675028</v>
      </c>
      <c r="U1138" s="22">
        <f t="shared" si="106"/>
        <v>0</v>
      </c>
      <c r="V1138" s="20"/>
    </row>
    <row r="1139" spans="1:22" ht="14.4">
      <c r="A1139" s="385" t="s">
        <v>1611</v>
      </c>
      <c r="B1139" s="2" t="s">
        <v>78</v>
      </c>
      <c r="C1139" s="391">
        <v>200</v>
      </c>
      <c r="D1139" s="401">
        <v>300</v>
      </c>
      <c r="E1139" s="391">
        <v>73.5</v>
      </c>
      <c r="F1139" s="391">
        <v>69.5</v>
      </c>
      <c r="G1139" s="21">
        <f t="shared" si="101"/>
        <v>4.29</v>
      </c>
      <c r="H1139" s="20">
        <f t="shared" si="108"/>
        <v>4.41</v>
      </c>
      <c r="I1139" s="20">
        <f t="shared" si="109"/>
        <v>4.29</v>
      </c>
      <c r="J1139" s="20">
        <f t="shared" si="110"/>
        <v>2.5960000000000001</v>
      </c>
      <c r="K1139" s="72"/>
      <c r="L1139" s="826"/>
      <c r="M1139" s="20"/>
      <c r="N1139" s="20"/>
      <c r="O1139" s="20"/>
      <c r="P1139" s="20"/>
      <c r="Q1139" s="21"/>
      <c r="R1139" s="22" t="s">
        <v>16</v>
      </c>
      <c r="S1139" s="22" t="s">
        <v>16</v>
      </c>
      <c r="T1139" s="753">
        <f t="shared" si="105"/>
        <v>3675.1837454064798</v>
      </c>
      <c r="U1139" s="22">
        <f t="shared" si="106"/>
        <v>0</v>
      </c>
      <c r="V1139" s="20"/>
    </row>
    <row r="1140" spans="1:22" ht="14.4">
      <c r="A1140" s="384" t="s">
        <v>1612</v>
      </c>
      <c r="B1140" s="2" t="s">
        <v>78</v>
      </c>
      <c r="C1140" s="395">
        <v>220</v>
      </c>
      <c r="D1140" s="402">
        <v>300</v>
      </c>
      <c r="E1140" s="395">
        <v>78</v>
      </c>
      <c r="F1140" s="395">
        <v>65</v>
      </c>
      <c r="G1140" s="21">
        <f t="shared" si="101"/>
        <v>4.7190000000000003</v>
      </c>
      <c r="H1140" s="20">
        <f t="shared" si="108"/>
        <v>5.1479999999999997</v>
      </c>
      <c r="I1140" s="20">
        <f t="shared" si="109"/>
        <v>4.7190000000000003</v>
      </c>
      <c r="J1140" s="20">
        <f t="shared" si="110"/>
        <v>2.7029999999999998</v>
      </c>
      <c r="K1140" s="72"/>
      <c r="L1140" s="826"/>
      <c r="M1140" s="20"/>
      <c r="N1140" s="20"/>
      <c r="O1140" s="20"/>
      <c r="P1140" s="20"/>
      <c r="Q1140" s="21"/>
      <c r="R1140" s="22" t="s">
        <v>16</v>
      </c>
      <c r="S1140" s="22" t="s">
        <v>16</v>
      </c>
      <c r="T1140" s="753">
        <f t="shared" si="105"/>
        <v>1320.576010686246</v>
      </c>
      <c r="U1140" s="22">
        <f t="shared" si="106"/>
        <v>0</v>
      </c>
      <c r="V1140" s="20"/>
    </row>
    <row r="1141" spans="1:22" ht="14.4">
      <c r="A1141" s="384" t="s">
        <v>1613</v>
      </c>
      <c r="B1141" s="2" t="s">
        <v>78</v>
      </c>
      <c r="C1141" s="395">
        <v>220</v>
      </c>
      <c r="D1141" s="402">
        <v>300</v>
      </c>
      <c r="E1141" s="395">
        <v>76.5</v>
      </c>
      <c r="F1141" s="395">
        <v>66.5</v>
      </c>
      <c r="G1141" s="21">
        <f t="shared" si="101"/>
        <v>4.7190000000000003</v>
      </c>
      <c r="H1141" s="20">
        <f t="shared" si="108"/>
        <v>5.0490000000000004</v>
      </c>
      <c r="I1141" s="20">
        <f t="shared" si="109"/>
        <v>4.7190000000000003</v>
      </c>
      <c r="J1141" s="20">
        <f t="shared" si="110"/>
        <v>2.754</v>
      </c>
      <c r="K1141" s="72"/>
      <c r="L1141" s="826"/>
      <c r="M1141" s="20"/>
      <c r="N1141" s="20"/>
      <c r="O1141" s="20"/>
      <c r="P1141" s="20"/>
      <c r="Q1141" s="21"/>
      <c r="R1141" s="22" t="s">
        <v>16</v>
      </c>
      <c r="S1141" s="22" t="s">
        <v>16</v>
      </c>
      <c r="T1141" s="753">
        <f t="shared" si="105"/>
        <v>1683.4346029769022</v>
      </c>
      <c r="U1141" s="22">
        <f t="shared" si="106"/>
        <v>0</v>
      </c>
      <c r="V1141" s="20"/>
    </row>
    <row r="1142" spans="1:22" ht="14.4">
      <c r="A1142" s="384" t="s">
        <v>1614</v>
      </c>
      <c r="B1142" s="2" t="s">
        <v>78</v>
      </c>
      <c r="C1142" s="395">
        <v>220</v>
      </c>
      <c r="D1142" s="402">
        <v>300</v>
      </c>
      <c r="E1142" s="395">
        <v>75</v>
      </c>
      <c r="F1142" s="395">
        <v>68</v>
      </c>
      <c r="G1142" s="21">
        <f t="shared" si="101"/>
        <v>4.7190000000000003</v>
      </c>
      <c r="H1142" s="20">
        <f t="shared" si="108"/>
        <v>4.95</v>
      </c>
      <c r="I1142" s="20">
        <f t="shared" si="109"/>
        <v>4.7190000000000003</v>
      </c>
      <c r="J1142" s="20">
        <f t="shared" si="110"/>
        <v>2.8050000000000002</v>
      </c>
      <c r="K1142" s="72"/>
      <c r="L1142" s="826"/>
      <c r="M1142" s="20"/>
      <c r="N1142" s="20"/>
      <c r="O1142" s="20"/>
      <c r="P1142" s="20"/>
      <c r="Q1142" s="21"/>
      <c r="R1142" s="22" t="s">
        <v>16</v>
      </c>
      <c r="S1142" s="22" t="s">
        <v>16</v>
      </c>
      <c r="T1142" s="753">
        <f t="shared" si="105"/>
        <v>2357.4411337252072</v>
      </c>
      <c r="U1142" s="22">
        <f t="shared" si="106"/>
        <v>0</v>
      </c>
      <c r="V1142" s="20"/>
    </row>
    <row r="1143" spans="1:22" ht="14.4">
      <c r="A1143" s="384" t="s">
        <v>1615</v>
      </c>
      <c r="B1143" s="2" t="s">
        <v>78</v>
      </c>
      <c r="C1143" s="395">
        <v>220</v>
      </c>
      <c r="D1143" s="402">
        <v>300</v>
      </c>
      <c r="E1143" s="395">
        <v>74.5</v>
      </c>
      <c r="F1143" s="395">
        <v>68.5</v>
      </c>
      <c r="G1143" s="21">
        <f t="shared" si="101"/>
        <v>4.7190000000000003</v>
      </c>
      <c r="H1143" s="20">
        <f t="shared" si="108"/>
        <v>4.9169999999999998</v>
      </c>
      <c r="I1143" s="20">
        <f t="shared" si="109"/>
        <v>4.7190000000000003</v>
      </c>
      <c r="J1143" s="20">
        <f t="shared" si="110"/>
        <v>2.8220000000000001</v>
      </c>
      <c r="K1143" s="72"/>
      <c r="L1143" s="826"/>
      <c r="M1143" s="20"/>
      <c r="N1143" s="20"/>
      <c r="O1143" s="20"/>
      <c r="P1143" s="20"/>
      <c r="Q1143" s="21"/>
      <c r="R1143" s="22" t="s">
        <v>16</v>
      </c>
      <c r="S1143" s="22" t="s">
        <v>16</v>
      </c>
      <c r="T1143" s="753">
        <f t="shared" si="105"/>
        <v>2731.9206321336969</v>
      </c>
      <c r="U1143" s="22">
        <f t="shared" si="106"/>
        <v>0</v>
      </c>
      <c r="V1143" s="20"/>
    </row>
    <row r="1144" spans="1:22" ht="14.4">
      <c r="A1144" s="384" t="s">
        <v>1616</v>
      </c>
      <c r="B1144" s="2" t="s">
        <v>78</v>
      </c>
      <c r="C1144" s="395">
        <v>220</v>
      </c>
      <c r="D1144" s="402">
        <v>300</v>
      </c>
      <c r="E1144" s="395">
        <v>74</v>
      </c>
      <c r="F1144" s="395">
        <v>69</v>
      </c>
      <c r="G1144" s="21">
        <f t="shared" si="101"/>
        <v>4.7190000000000003</v>
      </c>
      <c r="H1144" s="20">
        <f t="shared" si="108"/>
        <v>4.8840000000000003</v>
      </c>
      <c r="I1144" s="20">
        <f t="shared" si="109"/>
        <v>4.7190000000000003</v>
      </c>
      <c r="J1144" s="20">
        <f t="shared" si="110"/>
        <v>2.839</v>
      </c>
      <c r="K1144" s="72"/>
      <c r="L1144" s="826"/>
      <c r="M1144" s="20"/>
      <c r="N1144" s="20"/>
      <c r="O1144" s="20"/>
      <c r="P1144" s="20"/>
      <c r="Q1144" s="21"/>
      <c r="R1144" s="22" t="s">
        <v>16</v>
      </c>
      <c r="S1144" s="22" t="s">
        <v>16</v>
      </c>
      <c r="T1144" s="753">
        <f t="shared" si="105"/>
        <v>3256.2102204863863</v>
      </c>
      <c r="U1144" s="22">
        <f t="shared" si="106"/>
        <v>0</v>
      </c>
      <c r="V1144" s="20"/>
    </row>
    <row r="1145" spans="1:22" ht="14.4">
      <c r="A1145" s="384" t="s">
        <v>1617</v>
      </c>
      <c r="B1145" s="2" t="s">
        <v>78</v>
      </c>
      <c r="C1145" s="395">
        <v>220</v>
      </c>
      <c r="D1145" s="402">
        <v>300</v>
      </c>
      <c r="E1145" s="395">
        <v>73.5</v>
      </c>
      <c r="F1145" s="395">
        <v>69.5</v>
      </c>
      <c r="G1145" s="21">
        <f t="shared" si="101"/>
        <v>4.7190000000000003</v>
      </c>
      <c r="H1145" s="20">
        <f t="shared" si="108"/>
        <v>4.851</v>
      </c>
      <c r="I1145" s="20">
        <f t="shared" si="109"/>
        <v>4.7190000000000003</v>
      </c>
      <c r="J1145" s="20">
        <f t="shared" si="110"/>
        <v>2.855</v>
      </c>
      <c r="K1145" s="72"/>
      <c r="L1145" s="826"/>
      <c r="M1145" s="20"/>
      <c r="N1145" s="20"/>
      <c r="O1145" s="20"/>
      <c r="P1145" s="20"/>
      <c r="Q1145" s="21"/>
      <c r="R1145" s="22" t="s">
        <v>16</v>
      </c>
      <c r="S1145" s="22" t="s">
        <v>16</v>
      </c>
      <c r="T1145" s="753">
        <f t="shared" si="105"/>
        <v>4042.6670420033356</v>
      </c>
      <c r="U1145" s="22">
        <f t="shared" si="106"/>
        <v>0</v>
      </c>
      <c r="V1145" s="20"/>
    </row>
    <row r="1146" spans="1:22" ht="14.4">
      <c r="A1146" s="386" t="s">
        <v>1618</v>
      </c>
      <c r="B1146" s="2" t="s">
        <v>78</v>
      </c>
      <c r="C1146" s="396">
        <v>250</v>
      </c>
      <c r="D1146" s="404">
        <v>300</v>
      </c>
      <c r="E1146" s="396">
        <v>82</v>
      </c>
      <c r="F1146" s="396">
        <v>61</v>
      </c>
      <c r="G1146" s="21">
        <f t="shared" si="101"/>
        <v>5.3624999999999998</v>
      </c>
      <c r="H1146" s="20">
        <f t="shared" si="108"/>
        <v>6.15</v>
      </c>
      <c r="I1146" s="20">
        <f t="shared" si="109"/>
        <v>5.3630000000000004</v>
      </c>
      <c r="J1146" s="20">
        <f t="shared" si="110"/>
        <v>2.9129999999999998</v>
      </c>
      <c r="K1146" s="72"/>
      <c r="L1146" s="826"/>
      <c r="M1146" s="20"/>
      <c r="N1146" s="20"/>
      <c r="O1146" s="20"/>
      <c r="P1146" s="20"/>
      <c r="Q1146" s="21"/>
      <c r="R1146" s="22" t="s">
        <v>16</v>
      </c>
      <c r="S1146" s="22" t="s">
        <v>16</v>
      </c>
      <c r="T1146" s="753">
        <f t="shared" si="105"/>
        <v>977.05109682400371</v>
      </c>
      <c r="U1146" s="22">
        <f t="shared" si="106"/>
        <v>0</v>
      </c>
      <c r="V1146" s="20"/>
    </row>
    <row r="1147" spans="1:22" ht="14.4">
      <c r="A1147" s="386" t="s">
        <v>1619</v>
      </c>
      <c r="B1147" s="2" t="s">
        <v>78</v>
      </c>
      <c r="C1147" s="396">
        <v>250</v>
      </c>
      <c r="D1147" s="404">
        <v>300</v>
      </c>
      <c r="E1147" s="396">
        <v>78</v>
      </c>
      <c r="F1147" s="396">
        <v>65</v>
      </c>
      <c r="G1147" s="21">
        <f t="shared" si="101"/>
        <v>5.3624999999999998</v>
      </c>
      <c r="H1147" s="20">
        <f t="shared" si="108"/>
        <v>5.85</v>
      </c>
      <c r="I1147" s="20">
        <f t="shared" si="109"/>
        <v>5.3630000000000004</v>
      </c>
      <c r="J1147" s="20">
        <f t="shared" si="110"/>
        <v>3.0710000000000002</v>
      </c>
      <c r="K1147" s="72"/>
      <c r="L1147" s="826"/>
      <c r="M1147" s="20"/>
      <c r="N1147" s="20"/>
      <c r="O1147" s="20"/>
      <c r="P1147" s="20"/>
      <c r="Q1147" s="21"/>
      <c r="R1147" s="22" t="s">
        <v>16</v>
      </c>
      <c r="S1147" s="22" t="s">
        <v>16</v>
      </c>
      <c r="T1147" s="753">
        <f t="shared" si="105"/>
        <v>1500.5069143459486</v>
      </c>
      <c r="U1147" s="22">
        <f t="shared" si="106"/>
        <v>0</v>
      </c>
      <c r="V1147" s="20"/>
    </row>
    <row r="1148" spans="1:22" ht="14.4">
      <c r="A1148" s="386" t="s">
        <v>1620</v>
      </c>
      <c r="B1148" s="2" t="s">
        <v>78</v>
      </c>
      <c r="C1148" s="396">
        <v>250</v>
      </c>
      <c r="D1148" s="404">
        <v>300</v>
      </c>
      <c r="E1148" s="396">
        <v>76.5</v>
      </c>
      <c r="F1148" s="396">
        <v>66.5</v>
      </c>
      <c r="G1148" s="21">
        <f t="shared" si="101"/>
        <v>5.3624999999999998</v>
      </c>
      <c r="H1148" s="20">
        <f t="shared" si="108"/>
        <v>5.7380000000000004</v>
      </c>
      <c r="I1148" s="20">
        <f t="shared" si="109"/>
        <v>5.3630000000000004</v>
      </c>
      <c r="J1148" s="20">
        <f t="shared" si="110"/>
        <v>3.13</v>
      </c>
      <c r="K1148" s="72"/>
      <c r="L1148" s="826"/>
      <c r="M1148" s="20"/>
      <c r="N1148" s="20"/>
      <c r="O1148" s="20"/>
      <c r="P1148" s="20"/>
      <c r="Q1148" s="21"/>
      <c r="R1148" s="22" t="s">
        <v>16</v>
      </c>
      <c r="S1148" s="22" t="s">
        <v>16</v>
      </c>
      <c r="T1148" s="753">
        <f t="shared" si="105"/>
        <v>1912.8824617576483</v>
      </c>
      <c r="U1148" s="22">
        <f t="shared" si="106"/>
        <v>0</v>
      </c>
      <c r="V1148" s="20"/>
    </row>
    <row r="1149" spans="1:22" ht="14.4">
      <c r="A1149" s="386" t="s">
        <v>1621</v>
      </c>
      <c r="B1149" s="2" t="s">
        <v>78</v>
      </c>
      <c r="C1149" s="396">
        <v>250</v>
      </c>
      <c r="D1149" s="404">
        <v>300</v>
      </c>
      <c r="E1149" s="396">
        <v>74.5</v>
      </c>
      <c r="F1149" s="396">
        <v>68.5</v>
      </c>
      <c r="G1149" s="21">
        <f t="shared" si="101"/>
        <v>5.3624999999999998</v>
      </c>
      <c r="H1149" s="20">
        <f t="shared" si="108"/>
        <v>5.5880000000000001</v>
      </c>
      <c r="I1149" s="20">
        <f t="shared" si="109"/>
        <v>5.3630000000000004</v>
      </c>
      <c r="J1149" s="20">
        <f t="shared" si="110"/>
        <v>3.2069999999999999</v>
      </c>
      <c r="K1149" s="72"/>
      <c r="L1149" s="826"/>
      <c r="M1149" s="20"/>
      <c r="N1149" s="20"/>
      <c r="O1149" s="20"/>
      <c r="P1149" s="20"/>
      <c r="Q1149" s="21"/>
      <c r="R1149" s="22" t="s">
        <v>16</v>
      </c>
      <c r="S1149" s="22" t="s">
        <v>16</v>
      </c>
      <c r="T1149" s="753">
        <f t="shared" si="105"/>
        <v>3104.3901586212455</v>
      </c>
      <c r="U1149" s="22">
        <f t="shared" si="106"/>
        <v>0</v>
      </c>
      <c r="V1149" s="20"/>
    </row>
    <row r="1150" spans="1:22" ht="14.4">
      <c r="A1150" s="386" t="s">
        <v>1622</v>
      </c>
      <c r="B1150" s="2" t="s">
        <v>78</v>
      </c>
      <c r="C1150" s="396">
        <v>250</v>
      </c>
      <c r="D1150" s="404">
        <v>300</v>
      </c>
      <c r="E1150" s="396">
        <v>74</v>
      </c>
      <c r="F1150" s="396">
        <v>69</v>
      </c>
      <c r="G1150" s="21">
        <f t="shared" si="101"/>
        <v>5.3624999999999998</v>
      </c>
      <c r="H1150" s="20">
        <f t="shared" si="108"/>
        <v>5.55</v>
      </c>
      <c r="I1150" s="20">
        <f t="shared" si="109"/>
        <v>5.3630000000000004</v>
      </c>
      <c r="J1150" s="20">
        <f t="shared" si="110"/>
        <v>3.226</v>
      </c>
      <c r="K1150" s="72"/>
      <c r="L1150" s="826"/>
      <c r="M1150" s="20"/>
      <c r="N1150" s="20"/>
      <c r="O1150" s="20"/>
      <c r="P1150" s="20"/>
      <c r="Q1150" s="21"/>
      <c r="R1150" s="22" t="s">
        <v>16</v>
      </c>
      <c r="S1150" s="22" t="s">
        <v>16</v>
      </c>
      <c r="T1150" s="753">
        <f t="shared" si="105"/>
        <v>3700.1849953752317</v>
      </c>
      <c r="U1150" s="22">
        <f t="shared" si="106"/>
        <v>0</v>
      </c>
      <c r="V1150" s="20"/>
    </row>
    <row r="1151" spans="1:22" ht="14.4">
      <c r="A1151" s="386" t="s">
        <v>1623</v>
      </c>
      <c r="B1151" s="2" t="s">
        <v>78</v>
      </c>
      <c r="C1151" s="396">
        <v>250</v>
      </c>
      <c r="D1151" s="404">
        <v>300</v>
      </c>
      <c r="E1151" s="396">
        <v>73.5</v>
      </c>
      <c r="F1151" s="396">
        <v>69.5</v>
      </c>
      <c r="G1151" s="21">
        <f t="shared" si="101"/>
        <v>5.3624999999999998</v>
      </c>
      <c r="H1151" s="20">
        <f t="shared" si="108"/>
        <v>5.5129999999999999</v>
      </c>
      <c r="I1151" s="20">
        <f t="shared" si="109"/>
        <v>5.3630000000000004</v>
      </c>
      <c r="J1151" s="20">
        <f t="shared" si="110"/>
        <v>3.2450000000000001</v>
      </c>
      <c r="K1151" s="72"/>
      <c r="L1151" s="826"/>
      <c r="M1151" s="20"/>
      <c r="N1151" s="20"/>
      <c r="O1151" s="20"/>
      <c r="P1151" s="20"/>
      <c r="Q1151" s="21"/>
      <c r="R1151" s="22" t="s">
        <v>16</v>
      </c>
      <c r="S1151" s="22" t="s">
        <v>16</v>
      </c>
      <c r="T1151" s="753">
        <f t="shared" si="105"/>
        <v>4593.8969976480748</v>
      </c>
      <c r="U1151" s="22">
        <f t="shared" si="106"/>
        <v>0</v>
      </c>
      <c r="V1151" s="20"/>
    </row>
    <row r="1152" spans="1:22">
      <c r="A1152" s="73"/>
      <c r="B1152" s="2" t="s">
        <v>78</v>
      </c>
      <c r="G1152" s="21" t="str">
        <f t="shared" si="107"/>
        <v>-</v>
      </c>
      <c r="H1152" s="20">
        <f t="shared" si="108"/>
        <v>0</v>
      </c>
      <c r="I1152" s="20" t="str">
        <f t="shared" si="109"/>
        <v>-</v>
      </c>
      <c r="J1152" s="20" t="str">
        <f t="shared" si="110"/>
        <v>-</v>
      </c>
      <c r="K1152" s="72"/>
      <c r="L1152" s="826"/>
      <c r="M1152" s="20"/>
      <c r="N1152" s="20"/>
      <c r="O1152" s="20"/>
      <c r="P1152" s="20"/>
      <c r="Q1152" s="21"/>
      <c r="R1152" s="22" t="s">
        <v>16</v>
      </c>
      <c r="S1152" s="22" t="s">
        <v>16</v>
      </c>
      <c r="T1152" s="20"/>
      <c r="U1152" s="22">
        <f t="shared" si="106"/>
        <v>0</v>
      </c>
      <c r="V1152" s="20"/>
    </row>
    <row r="1153" spans="1:22" ht="14.4">
      <c r="A1153" s="385" t="s">
        <v>1624</v>
      </c>
      <c r="B1153" s="2" t="s">
        <v>78</v>
      </c>
      <c r="C1153" s="391">
        <v>200</v>
      </c>
      <c r="D1153" s="401">
        <v>250</v>
      </c>
      <c r="E1153" s="391">
        <v>78</v>
      </c>
      <c r="F1153" s="391">
        <v>65</v>
      </c>
      <c r="G1153" s="21">
        <f t="shared" si="101"/>
        <v>3.5750000000000002</v>
      </c>
      <c r="H1153" s="20">
        <f t="shared" si="108"/>
        <v>3.9</v>
      </c>
      <c r="I1153" s="20">
        <f t="shared" si="109"/>
        <v>3.5750000000000002</v>
      </c>
      <c r="J1153" s="20">
        <f t="shared" si="110"/>
        <v>2.1320000000000001</v>
      </c>
      <c r="K1153" s="72"/>
      <c r="L1153" s="826"/>
      <c r="M1153" s="20"/>
      <c r="N1153" s="20"/>
      <c r="O1153" s="20"/>
      <c r="P1153" s="20"/>
      <c r="Q1153" s="21"/>
      <c r="R1153" s="22" t="s">
        <v>16</v>
      </c>
      <c r="S1153" s="22" t="s">
        <v>16</v>
      </c>
      <c r="T1153" s="753">
        <f t="shared" si="105"/>
        <v>1200.6335827387138</v>
      </c>
      <c r="U1153" s="22">
        <f t="shared" si="106"/>
        <v>0</v>
      </c>
      <c r="V1153" s="20"/>
    </row>
    <row r="1154" spans="1:22" ht="14.4">
      <c r="A1154" s="385" t="s">
        <v>1625</v>
      </c>
      <c r="B1154" s="2" t="s">
        <v>78</v>
      </c>
      <c r="C1154" s="391">
        <v>200</v>
      </c>
      <c r="D1154" s="401">
        <v>250</v>
      </c>
      <c r="E1154" s="391">
        <v>76.5</v>
      </c>
      <c r="F1154" s="391">
        <v>66.5</v>
      </c>
      <c r="G1154" s="21">
        <f t="shared" si="101"/>
        <v>3.5750000000000002</v>
      </c>
      <c r="H1154" s="20">
        <f t="shared" si="108"/>
        <v>3.8250000000000002</v>
      </c>
      <c r="I1154" s="20">
        <f t="shared" si="109"/>
        <v>3.5750000000000002</v>
      </c>
      <c r="J1154" s="20">
        <f t="shared" si="110"/>
        <v>2.1709999999999998</v>
      </c>
      <c r="K1154" s="72"/>
      <c r="L1154" s="826"/>
      <c r="M1154" s="20"/>
      <c r="N1154" s="20"/>
      <c r="O1154" s="20"/>
      <c r="P1154" s="20"/>
      <c r="Q1154" s="21"/>
      <c r="R1154" s="22" t="s">
        <v>16</v>
      </c>
      <c r="S1154" s="22" t="s">
        <v>16</v>
      </c>
      <c r="T1154" s="753">
        <f t="shared" si="105"/>
        <v>1530.4780503163058</v>
      </c>
      <c r="U1154" s="22">
        <f t="shared" si="106"/>
        <v>0</v>
      </c>
      <c r="V1154" s="20"/>
    </row>
    <row r="1155" spans="1:22" ht="14.4">
      <c r="A1155" s="385" t="s">
        <v>1626</v>
      </c>
      <c r="B1155" s="2" t="s">
        <v>78</v>
      </c>
      <c r="C1155" s="391">
        <v>200</v>
      </c>
      <c r="D1155" s="401">
        <v>250</v>
      </c>
      <c r="E1155" s="391">
        <v>75</v>
      </c>
      <c r="F1155" s="391">
        <v>68</v>
      </c>
      <c r="G1155" s="21">
        <f t="shared" si="101"/>
        <v>3.5750000000000002</v>
      </c>
      <c r="H1155" s="20">
        <f t="shared" si="108"/>
        <v>3.75</v>
      </c>
      <c r="I1155" s="20">
        <f t="shared" si="109"/>
        <v>3.5750000000000002</v>
      </c>
      <c r="J1155" s="20">
        <f t="shared" si="110"/>
        <v>2.21</v>
      </c>
      <c r="K1155" s="72"/>
      <c r="L1155" s="826"/>
      <c r="M1155" s="20"/>
      <c r="N1155" s="20"/>
      <c r="O1155" s="20"/>
      <c r="P1155" s="20"/>
      <c r="Q1155" s="21"/>
      <c r="R1155" s="22" t="s">
        <v>16</v>
      </c>
      <c r="S1155" s="22" t="s">
        <v>16</v>
      </c>
      <c r="T1155" s="753">
        <f t="shared" si="105"/>
        <v>2143.1852427389185</v>
      </c>
      <c r="U1155" s="22">
        <f t="shared" si="106"/>
        <v>0</v>
      </c>
      <c r="V1155" s="20"/>
    </row>
    <row r="1156" spans="1:22" ht="14.4">
      <c r="A1156" s="385" t="s">
        <v>1627</v>
      </c>
      <c r="B1156" s="2" t="s">
        <v>78</v>
      </c>
      <c r="C1156" s="391">
        <v>200</v>
      </c>
      <c r="D1156" s="401">
        <v>250</v>
      </c>
      <c r="E1156" s="391">
        <v>74</v>
      </c>
      <c r="F1156" s="391">
        <v>69</v>
      </c>
      <c r="G1156" s="21">
        <f t="shared" si="101"/>
        <v>3.5750000000000002</v>
      </c>
      <c r="H1156" s="20">
        <f t="shared" si="108"/>
        <v>3.7</v>
      </c>
      <c r="I1156" s="20">
        <f t="shared" si="109"/>
        <v>3.5750000000000002</v>
      </c>
      <c r="J1156" s="20">
        <f t="shared" si="110"/>
        <v>2.2360000000000002</v>
      </c>
      <c r="K1156" s="72"/>
      <c r="L1156" s="826"/>
      <c r="M1156" s="20"/>
      <c r="N1156" s="20"/>
      <c r="O1156" s="20"/>
      <c r="P1156" s="20"/>
      <c r="Q1156" s="21"/>
      <c r="R1156" s="22" t="s">
        <v>16</v>
      </c>
      <c r="S1156" s="22" t="s">
        <v>16</v>
      </c>
      <c r="T1156" s="753">
        <f t="shared" si="105"/>
        <v>2960.2312409675028</v>
      </c>
      <c r="U1156" s="22">
        <f t="shared" si="106"/>
        <v>0</v>
      </c>
      <c r="V1156" s="20"/>
    </row>
    <row r="1157" spans="1:22" ht="14.4">
      <c r="A1157" s="384" t="s">
        <v>1628</v>
      </c>
      <c r="B1157" s="2" t="s">
        <v>78</v>
      </c>
      <c r="C1157" s="395">
        <v>220</v>
      </c>
      <c r="D1157" s="402">
        <v>250</v>
      </c>
      <c r="E1157" s="395">
        <v>78</v>
      </c>
      <c r="F1157" s="395">
        <v>65</v>
      </c>
      <c r="G1157" s="21">
        <f t="shared" si="101"/>
        <v>3.9325000000000001</v>
      </c>
      <c r="H1157" s="20">
        <f t="shared" si="108"/>
        <v>4.29</v>
      </c>
      <c r="I1157" s="20">
        <f t="shared" si="109"/>
        <v>3.9329999999999998</v>
      </c>
      <c r="J1157" s="20">
        <f t="shared" si="110"/>
        <v>2.3450000000000002</v>
      </c>
      <c r="K1157" s="72"/>
      <c r="L1157" s="826"/>
      <c r="M1157" s="20"/>
      <c r="N1157" s="20"/>
      <c r="O1157" s="20"/>
      <c r="P1157" s="20"/>
      <c r="Q1157" s="21"/>
      <c r="R1157" s="22" t="s">
        <v>16</v>
      </c>
      <c r="S1157" s="22" t="s">
        <v>16</v>
      </c>
      <c r="T1157" s="753">
        <f t="shared" si="105"/>
        <v>1320.576010686246</v>
      </c>
      <c r="U1157" s="22">
        <f t="shared" si="106"/>
        <v>0</v>
      </c>
      <c r="V1157" s="20"/>
    </row>
    <row r="1158" spans="1:22" ht="14.4">
      <c r="A1158" s="384" t="s">
        <v>1629</v>
      </c>
      <c r="B1158" s="2" t="s">
        <v>78</v>
      </c>
      <c r="C1158" s="395">
        <v>220</v>
      </c>
      <c r="D1158" s="402">
        <v>250</v>
      </c>
      <c r="E1158" s="395">
        <v>76.5</v>
      </c>
      <c r="F1158" s="395">
        <v>66.5</v>
      </c>
      <c r="G1158" s="21">
        <f t="shared" si="101"/>
        <v>3.9325000000000001</v>
      </c>
      <c r="H1158" s="20">
        <f t="shared" si="108"/>
        <v>4.2080000000000002</v>
      </c>
      <c r="I1158" s="20">
        <f t="shared" si="109"/>
        <v>3.9329999999999998</v>
      </c>
      <c r="J1158" s="20">
        <f t="shared" si="110"/>
        <v>2.3879999999999999</v>
      </c>
      <c r="K1158" s="72"/>
      <c r="L1158" s="826"/>
      <c r="M1158" s="20"/>
      <c r="N1158" s="20"/>
      <c r="O1158" s="20"/>
      <c r="P1158" s="20"/>
      <c r="Q1158" s="21"/>
      <c r="R1158" s="22" t="s">
        <v>16</v>
      </c>
      <c r="S1158" s="22" t="s">
        <v>16</v>
      </c>
      <c r="T1158" s="753">
        <f t="shared" si="105"/>
        <v>1683.4346029769022</v>
      </c>
      <c r="U1158" s="22">
        <f t="shared" si="106"/>
        <v>0</v>
      </c>
      <c r="V1158" s="20"/>
    </row>
    <row r="1159" spans="1:22" ht="14.4">
      <c r="A1159" s="384" t="s">
        <v>1630</v>
      </c>
      <c r="B1159" s="2" t="s">
        <v>78</v>
      </c>
      <c r="C1159" s="395">
        <v>220</v>
      </c>
      <c r="D1159" s="402">
        <v>250</v>
      </c>
      <c r="E1159" s="395">
        <v>75</v>
      </c>
      <c r="F1159" s="395">
        <v>68</v>
      </c>
      <c r="G1159" s="21">
        <f t="shared" si="101"/>
        <v>3.9325000000000001</v>
      </c>
      <c r="H1159" s="20">
        <f t="shared" si="108"/>
        <v>4.125</v>
      </c>
      <c r="I1159" s="20">
        <f t="shared" si="109"/>
        <v>3.9329999999999998</v>
      </c>
      <c r="J1159" s="20">
        <f t="shared" si="110"/>
        <v>2.431</v>
      </c>
      <c r="K1159" s="72"/>
      <c r="L1159" s="826"/>
      <c r="M1159" s="20"/>
      <c r="N1159" s="20"/>
      <c r="O1159" s="20"/>
      <c r="P1159" s="20"/>
      <c r="Q1159" s="21"/>
      <c r="R1159" s="22" t="s">
        <v>16</v>
      </c>
      <c r="S1159" s="22" t="s">
        <v>16</v>
      </c>
      <c r="T1159" s="753">
        <f t="shared" si="105"/>
        <v>2357.4411337252072</v>
      </c>
      <c r="U1159" s="22">
        <f t="shared" si="106"/>
        <v>0</v>
      </c>
      <c r="V1159" s="20"/>
    </row>
    <row r="1160" spans="1:22" ht="14.4">
      <c r="A1160" s="384" t="s">
        <v>1631</v>
      </c>
      <c r="B1160" s="2" t="s">
        <v>78</v>
      </c>
      <c r="C1160" s="395">
        <v>220</v>
      </c>
      <c r="D1160" s="402">
        <v>250</v>
      </c>
      <c r="E1160" s="395">
        <v>74</v>
      </c>
      <c r="F1160" s="395">
        <v>69</v>
      </c>
      <c r="G1160" s="21">
        <f t="shared" si="101"/>
        <v>3.9325000000000001</v>
      </c>
      <c r="H1160" s="20">
        <f t="shared" si="108"/>
        <v>4.07</v>
      </c>
      <c r="I1160" s="20">
        <f t="shared" si="109"/>
        <v>3.9329999999999998</v>
      </c>
      <c r="J1160" s="20">
        <f t="shared" si="110"/>
        <v>2.4590000000000001</v>
      </c>
      <c r="K1160" s="72"/>
      <c r="L1160" s="826"/>
      <c r="M1160" s="20"/>
      <c r="N1160" s="20"/>
      <c r="O1160" s="20"/>
      <c r="P1160" s="20"/>
      <c r="Q1160" s="21"/>
      <c r="R1160" s="22" t="s">
        <v>16</v>
      </c>
      <c r="S1160" s="22" t="s">
        <v>16</v>
      </c>
      <c r="T1160" s="753">
        <f t="shared" si="105"/>
        <v>3256.2102204863863</v>
      </c>
      <c r="U1160" s="22">
        <f t="shared" si="106"/>
        <v>0</v>
      </c>
      <c r="V1160" s="20"/>
    </row>
    <row r="1161" spans="1:22" ht="14.4">
      <c r="A1161" s="384" t="s">
        <v>1632</v>
      </c>
      <c r="B1161" s="2" t="s">
        <v>78</v>
      </c>
      <c r="C1161" s="395">
        <v>220</v>
      </c>
      <c r="D1161" s="402">
        <v>250</v>
      </c>
      <c r="E1161" s="395">
        <v>73.5</v>
      </c>
      <c r="F1161" s="395">
        <v>69.5</v>
      </c>
      <c r="G1161" s="21">
        <f t="shared" ref="G1161:G1162" si="111">IF(B1161="","",AVERAGE(E1161:F1161)*D1161*C1161/10^6)</f>
        <v>3.9325000000000001</v>
      </c>
      <c r="H1161" s="20">
        <f t="shared" si="108"/>
        <v>4.0430000000000001</v>
      </c>
      <c r="I1161" s="20">
        <f t="shared" si="109"/>
        <v>3.9329999999999998</v>
      </c>
      <c r="J1161" s="20">
        <f t="shared" si="110"/>
        <v>2.4729999999999999</v>
      </c>
      <c r="K1161" s="72"/>
      <c r="L1161" s="826"/>
      <c r="M1161" s="20"/>
      <c r="N1161" s="20"/>
      <c r="O1161" s="20"/>
      <c r="P1161" s="20"/>
      <c r="Q1161" s="21"/>
      <c r="R1161" s="22" t="s">
        <v>16</v>
      </c>
      <c r="S1161" s="22" t="s">
        <v>16</v>
      </c>
      <c r="T1161" s="753">
        <f t="shared" ref="T1161:T1206" si="112">IF(E1161=F1161,"-",(E1161/(E1161-F1161))*SQRT((C1161^2)+((E1161-F1161)/2)^2))</f>
        <v>4042.6670420033356</v>
      </c>
      <c r="U1161" s="22">
        <f t="shared" si="106"/>
        <v>0</v>
      </c>
      <c r="V1161" s="20"/>
    </row>
    <row r="1162" spans="1:22" ht="14.4">
      <c r="A1162" s="386" t="s">
        <v>1633</v>
      </c>
      <c r="B1162" s="2" t="s">
        <v>78</v>
      </c>
      <c r="C1162" s="396">
        <v>250</v>
      </c>
      <c r="D1162" s="404">
        <v>250</v>
      </c>
      <c r="E1162" s="396">
        <v>76.5</v>
      </c>
      <c r="F1162" s="396">
        <v>66.5</v>
      </c>
      <c r="G1162" s="21">
        <f t="shared" si="111"/>
        <v>4.46875</v>
      </c>
      <c r="H1162" s="20">
        <f t="shared" si="108"/>
        <v>4.7809999999999997</v>
      </c>
      <c r="I1162" s="20">
        <f t="shared" si="109"/>
        <v>4.4690000000000003</v>
      </c>
      <c r="J1162" s="20">
        <f t="shared" si="110"/>
        <v>2.714</v>
      </c>
      <c r="K1162" s="72"/>
      <c r="L1162" s="826"/>
      <c r="M1162" s="20"/>
      <c r="N1162" s="20"/>
      <c r="O1162" s="20"/>
      <c r="P1162" s="20"/>
      <c r="Q1162" s="21"/>
      <c r="R1162" s="22" t="s">
        <v>16</v>
      </c>
      <c r="S1162" s="22" t="s">
        <v>16</v>
      </c>
      <c r="T1162" s="753">
        <f t="shared" si="112"/>
        <v>1912.8824617576483</v>
      </c>
      <c r="U1162" s="22">
        <f t="shared" ref="U1162:U1208" si="113">U1161</f>
        <v>0</v>
      </c>
      <c r="V1162" s="20"/>
    </row>
    <row r="1163" spans="1:22" ht="13.8" thickBot="1">
      <c r="A1163" s="73"/>
      <c r="E1163" s="3"/>
      <c r="F1163" s="3"/>
      <c r="G1163" s="21"/>
      <c r="H1163" s="20"/>
      <c r="I1163" s="20"/>
      <c r="J1163" s="20"/>
      <c r="K1163" s="72"/>
      <c r="L1163" s="826"/>
      <c r="M1163" s="20"/>
      <c r="N1163" s="20"/>
      <c r="O1163" s="20"/>
      <c r="P1163" s="20"/>
      <c r="Q1163" s="21"/>
      <c r="R1163" s="22" t="s">
        <v>16</v>
      </c>
      <c r="S1163" s="22" t="s">
        <v>16</v>
      </c>
      <c r="T1163" s="753"/>
      <c r="U1163" s="22">
        <f t="shared" si="113"/>
        <v>0</v>
      </c>
      <c r="V1163" s="20"/>
    </row>
    <row r="1164" spans="1:22" ht="25.2" thickBot="1">
      <c r="A1164" s="61" t="s">
        <v>1634</v>
      </c>
      <c r="B1164" s="69"/>
      <c r="C1164" s="69"/>
      <c r="D1164" s="69"/>
      <c r="E1164" s="69"/>
      <c r="F1164" s="69"/>
      <c r="G1164" s="99"/>
      <c r="H1164" s="69"/>
      <c r="I1164" s="69"/>
      <c r="J1164" s="69"/>
      <c r="K1164" s="69"/>
      <c r="L1164" s="826"/>
      <c r="M1164" s="20"/>
      <c r="N1164" s="20"/>
      <c r="O1164" s="20"/>
      <c r="P1164" s="20"/>
      <c r="Q1164" s="21"/>
      <c r="R1164" s="22" t="s">
        <v>16</v>
      </c>
      <c r="S1164" s="22" t="s">
        <v>16</v>
      </c>
      <c r="T1164" s="20"/>
      <c r="U1164" s="22">
        <f t="shared" si="113"/>
        <v>0</v>
      </c>
      <c r="V1164" s="20"/>
    </row>
    <row r="1165" spans="1:22" ht="14.4">
      <c r="A1165" s="382" t="s">
        <v>1635</v>
      </c>
      <c r="B1165" s="2" t="s">
        <v>78</v>
      </c>
      <c r="C1165" s="392">
        <v>160</v>
      </c>
      <c r="D1165" s="406">
        <v>198</v>
      </c>
      <c r="E1165" s="392">
        <v>85</v>
      </c>
      <c r="F1165" s="392">
        <v>77</v>
      </c>
      <c r="G1165" s="21">
        <f t="shared" ref="G1165:G1206" si="114">IF(B1165="","",AVERAGE(E1165:F1165)*D1165*C1165/10^6)</f>
        <v>2.5660799999999999</v>
      </c>
      <c r="H1165" s="20">
        <f t="shared" ref="H1165:H1206" si="115">ROUND(C1165*D1165*E1165/10^6,3)</f>
        <v>2.6930000000000001</v>
      </c>
      <c r="I1165" s="20">
        <f t="shared" ref="I1165:I1206" si="116">IF(F1165="","-",ROUND((E1165+F1165)*C1165/2*D1165/10^6,3))</f>
        <v>2.5659999999999998</v>
      </c>
      <c r="J1165" s="20">
        <f t="shared" ref="J1165:J1206" si="117">IF(F1165="","-",ROUND((D1165+E1165)*C1165/2*F1165/10^6,3))</f>
        <v>1.7430000000000001</v>
      </c>
      <c r="K1165" s="72"/>
      <c r="L1165" s="826"/>
      <c r="M1165" s="20"/>
      <c r="N1165" s="20"/>
      <c r="O1165" s="20"/>
      <c r="P1165" s="20"/>
      <c r="Q1165" s="21"/>
      <c r="R1165" s="22" t="s">
        <v>16</v>
      </c>
      <c r="S1165" s="22" t="s">
        <v>16</v>
      </c>
      <c r="T1165" s="753">
        <f t="shared" si="112"/>
        <v>1700.5311670181172</v>
      </c>
      <c r="U1165" s="22">
        <f t="shared" si="113"/>
        <v>0</v>
      </c>
      <c r="V1165" s="20"/>
    </row>
    <row r="1166" spans="1:22" ht="14.4">
      <c r="A1166" s="388" t="s">
        <v>1636</v>
      </c>
      <c r="B1166" s="2" t="s">
        <v>78</v>
      </c>
      <c r="C1166" s="393">
        <v>160</v>
      </c>
      <c r="D1166" s="405">
        <v>198</v>
      </c>
      <c r="E1166" s="393">
        <v>65</v>
      </c>
      <c r="F1166" s="393">
        <v>60</v>
      </c>
      <c r="G1166" s="21">
        <f t="shared" si="114"/>
        <v>1.98</v>
      </c>
      <c r="H1166" s="20">
        <f t="shared" si="115"/>
        <v>2.0590000000000002</v>
      </c>
      <c r="I1166" s="20">
        <f t="shared" si="116"/>
        <v>1.98</v>
      </c>
      <c r="J1166" s="20">
        <f t="shared" si="117"/>
        <v>1.262</v>
      </c>
      <c r="K1166" s="72"/>
      <c r="L1166" s="826"/>
      <c r="M1166" s="20"/>
      <c r="N1166" s="20"/>
      <c r="O1166" s="20"/>
      <c r="P1166" s="20"/>
      <c r="Q1166" s="21"/>
      <c r="R1166" s="22" t="s">
        <v>16</v>
      </c>
      <c r="S1166" s="22" t="s">
        <v>16</v>
      </c>
      <c r="T1166" s="753">
        <f t="shared" si="112"/>
        <v>2080.2538907546837</v>
      </c>
      <c r="U1166" s="22">
        <f t="shared" si="113"/>
        <v>0</v>
      </c>
      <c r="V1166" s="20"/>
    </row>
    <row r="1167" spans="1:22" ht="14.4">
      <c r="A1167" s="381" t="s">
        <v>1637</v>
      </c>
      <c r="B1167" s="2" t="s">
        <v>78</v>
      </c>
      <c r="C1167" s="390">
        <v>180</v>
      </c>
      <c r="D1167" s="399">
        <v>198</v>
      </c>
      <c r="E1167" s="390">
        <v>85</v>
      </c>
      <c r="F1167" s="390">
        <v>77</v>
      </c>
      <c r="G1167" s="21">
        <f t="shared" si="114"/>
        <v>2.8868399999999999</v>
      </c>
      <c r="H1167" s="20">
        <f t="shared" si="115"/>
        <v>3.0289999999999999</v>
      </c>
      <c r="I1167" s="20">
        <f t="shared" si="116"/>
        <v>2.887</v>
      </c>
      <c r="J1167" s="20">
        <f t="shared" si="117"/>
        <v>1.9610000000000001</v>
      </c>
      <c r="K1167" s="72"/>
      <c r="L1167" s="826"/>
      <c r="M1167" s="20"/>
      <c r="N1167" s="20"/>
      <c r="O1167" s="20"/>
      <c r="P1167" s="20"/>
      <c r="Q1167" s="21"/>
      <c r="R1167" s="22" t="s">
        <v>16</v>
      </c>
      <c r="S1167" s="22" t="s">
        <v>16</v>
      </c>
      <c r="T1167" s="753">
        <f t="shared" si="112"/>
        <v>1912.972163937573</v>
      </c>
      <c r="U1167" s="22">
        <f t="shared" si="113"/>
        <v>0</v>
      </c>
      <c r="V1167" s="20"/>
    </row>
    <row r="1168" spans="1:22" ht="14.4">
      <c r="A1168" s="381" t="s">
        <v>1638</v>
      </c>
      <c r="B1168" s="2" t="s">
        <v>78</v>
      </c>
      <c r="C1168" s="390">
        <v>180</v>
      </c>
      <c r="D1168" s="399">
        <v>198</v>
      </c>
      <c r="E1168" s="390">
        <v>65</v>
      </c>
      <c r="F1168" s="390">
        <v>60</v>
      </c>
      <c r="G1168" s="21">
        <f t="shared" si="114"/>
        <v>2.2275</v>
      </c>
      <c r="H1168" s="20">
        <f t="shared" si="115"/>
        <v>2.3170000000000002</v>
      </c>
      <c r="I1168" s="20">
        <f t="shared" si="116"/>
        <v>2.2280000000000002</v>
      </c>
      <c r="J1168" s="20">
        <f t="shared" si="117"/>
        <v>1.42</v>
      </c>
      <c r="K1168" s="72"/>
      <c r="L1168" s="826"/>
      <c r="M1168" s="20"/>
      <c r="N1168" s="20"/>
      <c r="O1168" s="20"/>
      <c r="P1168" s="20"/>
      <c r="Q1168" s="21"/>
      <c r="R1168" s="22" t="s">
        <v>16</v>
      </c>
      <c r="S1168" s="22" t="s">
        <v>16</v>
      </c>
      <c r="T1168" s="753">
        <f t="shared" si="112"/>
        <v>2340.2256835613098</v>
      </c>
      <c r="U1168" s="22">
        <f t="shared" si="113"/>
        <v>0</v>
      </c>
      <c r="V1168" s="20"/>
    </row>
    <row r="1169" spans="1:22" ht="14.4">
      <c r="A1169" s="408" t="s">
        <v>1639</v>
      </c>
      <c r="B1169" s="2" t="s">
        <v>78</v>
      </c>
      <c r="C1169" s="409">
        <v>180</v>
      </c>
      <c r="D1169" s="410">
        <v>198</v>
      </c>
      <c r="E1169" s="409">
        <v>95</v>
      </c>
      <c r="F1169" s="409">
        <v>87</v>
      </c>
      <c r="G1169" s="21">
        <f t="shared" si="114"/>
        <v>3.2432400000000001</v>
      </c>
      <c r="H1169" s="20">
        <f t="shared" si="115"/>
        <v>3.3860000000000001</v>
      </c>
      <c r="I1169" s="20">
        <f t="shared" si="116"/>
        <v>3.2429999999999999</v>
      </c>
      <c r="J1169" s="20">
        <f t="shared" si="117"/>
        <v>2.294</v>
      </c>
      <c r="K1169" s="72"/>
      <c r="L1169" s="826"/>
      <c r="M1169" s="20"/>
      <c r="N1169" s="20"/>
      <c r="O1169" s="20"/>
      <c r="P1169" s="20"/>
      <c r="Q1169" s="21"/>
      <c r="R1169" s="22" t="s">
        <v>16</v>
      </c>
      <c r="S1169" s="22" t="s">
        <v>16</v>
      </c>
      <c r="T1169" s="753">
        <f t="shared" si="112"/>
        <v>2138.0277126361111</v>
      </c>
      <c r="U1169" s="22">
        <f t="shared" si="113"/>
        <v>0</v>
      </c>
      <c r="V1169" s="20"/>
    </row>
    <row r="1170" spans="1:22" ht="14.4">
      <c r="A1170" s="385" t="s">
        <v>1640</v>
      </c>
      <c r="B1170" s="2" t="s">
        <v>78</v>
      </c>
      <c r="C1170" s="391">
        <v>200</v>
      </c>
      <c r="D1170" s="401">
        <v>198</v>
      </c>
      <c r="E1170" s="391">
        <v>85</v>
      </c>
      <c r="F1170" s="391">
        <v>77</v>
      </c>
      <c r="G1170" s="21">
        <f t="shared" si="114"/>
        <v>3.2075999999999998</v>
      </c>
      <c r="H1170" s="20">
        <f t="shared" si="115"/>
        <v>3.3660000000000001</v>
      </c>
      <c r="I1170" s="20">
        <f t="shared" si="116"/>
        <v>3.2080000000000002</v>
      </c>
      <c r="J1170" s="20">
        <f t="shared" si="117"/>
        <v>2.1789999999999998</v>
      </c>
      <c r="K1170" s="72"/>
      <c r="L1170" s="826"/>
      <c r="M1170" s="20"/>
      <c r="N1170" s="20"/>
      <c r="O1170" s="20"/>
      <c r="P1170" s="20"/>
      <c r="Q1170" s="21"/>
      <c r="R1170" s="22" t="s">
        <v>16</v>
      </c>
      <c r="S1170" s="22" t="s">
        <v>16</v>
      </c>
      <c r="T1170" s="753">
        <f t="shared" si="112"/>
        <v>2125.4249575084978</v>
      </c>
      <c r="U1170" s="22">
        <f t="shared" si="113"/>
        <v>0</v>
      </c>
      <c r="V1170" s="20"/>
    </row>
    <row r="1171" spans="1:22" ht="14.4">
      <c r="A1171" s="385" t="s">
        <v>1641</v>
      </c>
      <c r="B1171" s="2" t="s">
        <v>78</v>
      </c>
      <c r="C1171" s="391">
        <v>200</v>
      </c>
      <c r="D1171" s="401">
        <v>198</v>
      </c>
      <c r="E1171" s="391">
        <v>65</v>
      </c>
      <c r="F1171" s="391">
        <v>60</v>
      </c>
      <c r="G1171" s="21">
        <f t="shared" si="114"/>
        <v>2.4750000000000001</v>
      </c>
      <c r="H1171" s="20">
        <f t="shared" si="115"/>
        <v>2.5739999999999998</v>
      </c>
      <c r="I1171" s="20">
        <f t="shared" si="116"/>
        <v>2.4750000000000001</v>
      </c>
      <c r="J1171" s="20">
        <f t="shared" si="117"/>
        <v>1.5780000000000001</v>
      </c>
      <c r="K1171" s="72"/>
      <c r="L1171" s="826"/>
      <c r="M1171" s="20"/>
      <c r="N1171" s="20"/>
      <c r="O1171" s="20"/>
      <c r="P1171" s="20"/>
      <c r="Q1171" s="21"/>
      <c r="R1171" s="22" t="s">
        <v>16</v>
      </c>
      <c r="S1171" s="22" t="s">
        <v>16</v>
      </c>
      <c r="T1171" s="753">
        <f t="shared" si="112"/>
        <v>2600.2031170660493</v>
      </c>
      <c r="U1171" s="22">
        <f t="shared" si="113"/>
        <v>0</v>
      </c>
      <c r="V1171" s="20"/>
    </row>
    <row r="1172" spans="1:22" ht="14.4">
      <c r="A1172" s="408" t="s">
        <v>1642</v>
      </c>
      <c r="B1172" s="2" t="s">
        <v>78</v>
      </c>
      <c r="C1172" s="409">
        <v>200</v>
      </c>
      <c r="D1172" s="410">
        <v>198</v>
      </c>
      <c r="E1172" s="409">
        <v>95</v>
      </c>
      <c r="F1172" s="409">
        <v>87</v>
      </c>
      <c r="G1172" s="21">
        <f t="shared" si="114"/>
        <v>3.6036000000000001</v>
      </c>
      <c r="H1172" s="20">
        <f t="shared" si="115"/>
        <v>3.762</v>
      </c>
      <c r="I1172" s="20">
        <f t="shared" si="116"/>
        <v>3.6040000000000001</v>
      </c>
      <c r="J1172" s="20">
        <f t="shared" si="117"/>
        <v>2.5489999999999999</v>
      </c>
      <c r="K1172" s="72"/>
      <c r="L1172" s="826"/>
      <c r="M1172" s="20"/>
      <c r="N1172" s="20"/>
      <c r="O1172" s="20"/>
      <c r="P1172" s="20"/>
      <c r="Q1172" s="21"/>
      <c r="R1172" s="22" t="s">
        <v>16</v>
      </c>
      <c r="S1172" s="22" t="s">
        <v>16</v>
      </c>
      <c r="T1172" s="753">
        <f t="shared" si="112"/>
        <v>2375.4749525094976</v>
      </c>
      <c r="U1172" s="22">
        <f t="shared" si="113"/>
        <v>0</v>
      </c>
      <c r="V1172" s="20"/>
    </row>
    <row r="1173" spans="1:22" ht="14.4">
      <c r="A1173" s="384" t="s">
        <v>1643</v>
      </c>
      <c r="B1173" s="2" t="s">
        <v>78</v>
      </c>
      <c r="C1173" s="395">
        <v>220</v>
      </c>
      <c r="D1173" s="402">
        <v>198</v>
      </c>
      <c r="E1173" s="395">
        <v>85</v>
      </c>
      <c r="F1173" s="395">
        <v>77</v>
      </c>
      <c r="G1173" s="21">
        <f t="shared" si="114"/>
        <v>3.5283600000000002</v>
      </c>
      <c r="H1173" s="20">
        <f t="shared" si="115"/>
        <v>3.7029999999999998</v>
      </c>
      <c r="I1173" s="20">
        <f t="shared" si="116"/>
        <v>3.528</v>
      </c>
      <c r="J1173" s="20">
        <f t="shared" si="117"/>
        <v>2.3969999999999998</v>
      </c>
      <c r="K1173" s="72"/>
      <c r="L1173" s="826"/>
      <c r="M1173" s="20"/>
      <c r="N1173" s="20"/>
      <c r="O1173" s="20"/>
      <c r="P1173" s="20"/>
      <c r="Q1173" s="21"/>
      <c r="R1173" s="22" t="s">
        <v>16</v>
      </c>
      <c r="S1173" s="22" t="s">
        <v>16</v>
      </c>
      <c r="T1173" s="753">
        <f t="shared" si="112"/>
        <v>2337.8863317107612</v>
      </c>
      <c r="U1173" s="22">
        <f t="shared" si="113"/>
        <v>0</v>
      </c>
      <c r="V1173" s="20"/>
    </row>
    <row r="1174" spans="1:22" ht="14.4">
      <c r="A1174" s="384" t="s">
        <v>1644</v>
      </c>
      <c r="B1174" s="2" t="s">
        <v>78</v>
      </c>
      <c r="C1174" s="395">
        <v>220</v>
      </c>
      <c r="D1174" s="402">
        <v>198</v>
      </c>
      <c r="E1174" s="395">
        <v>65</v>
      </c>
      <c r="F1174" s="395">
        <v>60</v>
      </c>
      <c r="G1174" s="21">
        <f t="shared" si="114"/>
        <v>2.7225000000000001</v>
      </c>
      <c r="H1174" s="20">
        <f t="shared" si="115"/>
        <v>2.831</v>
      </c>
      <c r="I1174" s="20">
        <f t="shared" si="116"/>
        <v>2.7229999999999999</v>
      </c>
      <c r="J1174" s="20">
        <f t="shared" si="117"/>
        <v>1.736</v>
      </c>
      <c r="K1174" s="72"/>
      <c r="L1174" s="826"/>
      <c r="M1174" s="20"/>
      <c r="N1174" s="20"/>
      <c r="O1174" s="20"/>
      <c r="P1174" s="20"/>
      <c r="Q1174" s="21"/>
      <c r="R1174" s="22" t="s">
        <v>16</v>
      </c>
      <c r="S1174" s="22" t="s">
        <v>16</v>
      </c>
      <c r="T1174" s="753">
        <f t="shared" si="112"/>
        <v>2860.1846531299338</v>
      </c>
      <c r="U1174" s="22">
        <f t="shared" si="113"/>
        <v>0</v>
      </c>
      <c r="V1174" s="20"/>
    </row>
    <row r="1175" spans="1:22" ht="14.4">
      <c r="A1175" s="408" t="s">
        <v>1645</v>
      </c>
      <c r="B1175" s="2" t="s">
        <v>78</v>
      </c>
      <c r="C1175" s="409">
        <v>220</v>
      </c>
      <c r="D1175" s="410">
        <v>198</v>
      </c>
      <c r="E1175" s="409">
        <v>95</v>
      </c>
      <c r="F1175" s="409">
        <v>87</v>
      </c>
      <c r="G1175" s="21">
        <f t="shared" si="114"/>
        <v>3.9639600000000002</v>
      </c>
      <c r="H1175" s="20">
        <f t="shared" si="115"/>
        <v>4.1379999999999999</v>
      </c>
      <c r="I1175" s="20">
        <f t="shared" si="116"/>
        <v>3.964</v>
      </c>
      <c r="J1175" s="20">
        <f t="shared" si="117"/>
        <v>2.8039999999999998</v>
      </c>
      <c r="K1175" s="72"/>
      <c r="L1175" s="826"/>
      <c r="M1175" s="20"/>
      <c r="N1175" s="20"/>
      <c r="O1175" s="20"/>
      <c r="P1175" s="20"/>
      <c r="Q1175" s="21"/>
      <c r="R1175" s="22" t="s">
        <v>16</v>
      </c>
      <c r="S1175" s="22" t="s">
        <v>16</v>
      </c>
      <c r="T1175" s="753">
        <f t="shared" si="112"/>
        <v>2612.9317825002627</v>
      </c>
      <c r="U1175" s="22">
        <f t="shared" si="113"/>
        <v>0</v>
      </c>
      <c r="V1175" s="20"/>
    </row>
    <row r="1176" spans="1:22" ht="14.4">
      <c r="A1176" s="386" t="s">
        <v>1646</v>
      </c>
      <c r="B1176" s="2" t="s">
        <v>78</v>
      </c>
      <c r="C1176" s="396">
        <v>250</v>
      </c>
      <c r="D1176" s="404">
        <v>198</v>
      </c>
      <c r="E1176" s="396">
        <v>85</v>
      </c>
      <c r="F1176" s="396">
        <v>77</v>
      </c>
      <c r="G1176" s="21">
        <f t="shared" si="114"/>
        <v>4.0095000000000001</v>
      </c>
      <c r="H1176" s="20">
        <f t="shared" si="115"/>
        <v>4.2080000000000002</v>
      </c>
      <c r="I1176" s="20">
        <f t="shared" si="116"/>
        <v>4.01</v>
      </c>
      <c r="J1176" s="20">
        <f t="shared" si="117"/>
        <v>2.7240000000000002</v>
      </c>
      <c r="K1176" s="72"/>
      <c r="L1176" s="826"/>
      <c r="M1176" s="20"/>
      <c r="N1176" s="20"/>
      <c r="O1176" s="20"/>
      <c r="P1176" s="20"/>
      <c r="Q1176" s="21"/>
      <c r="R1176" s="22" t="s">
        <v>16</v>
      </c>
      <c r="S1176" s="22" t="s">
        <v>16</v>
      </c>
      <c r="T1176" s="753">
        <f t="shared" si="112"/>
        <v>2656.5899782427846</v>
      </c>
      <c r="U1176" s="22">
        <f t="shared" si="113"/>
        <v>0</v>
      </c>
      <c r="V1176" s="20"/>
    </row>
    <row r="1177" spans="1:22" ht="14.4">
      <c r="A1177" s="386" t="s">
        <v>1647</v>
      </c>
      <c r="B1177" s="2" t="s">
        <v>78</v>
      </c>
      <c r="C1177" s="396">
        <v>250</v>
      </c>
      <c r="D1177" s="404">
        <v>198</v>
      </c>
      <c r="E1177" s="396">
        <v>65</v>
      </c>
      <c r="F1177" s="396">
        <v>60</v>
      </c>
      <c r="G1177" s="21">
        <f t="shared" si="114"/>
        <v>3.09375</v>
      </c>
      <c r="H1177" s="20">
        <f t="shared" si="115"/>
        <v>3.218</v>
      </c>
      <c r="I1177" s="20">
        <f t="shared" si="116"/>
        <v>3.0939999999999999</v>
      </c>
      <c r="J1177" s="20">
        <f t="shared" si="117"/>
        <v>1.9730000000000001</v>
      </c>
      <c r="K1177" s="72"/>
      <c r="L1177" s="826"/>
      <c r="M1177" s="20"/>
      <c r="N1177" s="20"/>
      <c r="O1177" s="20"/>
      <c r="P1177" s="20"/>
      <c r="Q1177" s="21"/>
      <c r="R1177" s="22" t="s">
        <v>16</v>
      </c>
      <c r="S1177" s="22" t="s">
        <v>16</v>
      </c>
      <c r="T1177" s="753">
        <f t="shared" si="112"/>
        <v>3250.1624959377032</v>
      </c>
      <c r="U1177" s="22">
        <f t="shared" si="113"/>
        <v>0</v>
      </c>
      <c r="V1177" s="20"/>
    </row>
    <row r="1178" spans="1:22" ht="14.4">
      <c r="A1178" s="408" t="s">
        <v>1648</v>
      </c>
      <c r="B1178" s="2" t="s">
        <v>78</v>
      </c>
      <c r="C1178" s="409">
        <v>250</v>
      </c>
      <c r="D1178" s="410">
        <v>198</v>
      </c>
      <c r="E1178" s="409">
        <v>95</v>
      </c>
      <c r="F1178" s="409">
        <v>87</v>
      </c>
      <c r="G1178" s="21">
        <f t="shared" si="114"/>
        <v>4.5045000000000002</v>
      </c>
      <c r="H1178" s="20">
        <f t="shared" si="115"/>
        <v>4.7030000000000003</v>
      </c>
      <c r="I1178" s="20">
        <f t="shared" si="116"/>
        <v>4.5049999999999999</v>
      </c>
      <c r="J1178" s="20">
        <f t="shared" si="117"/>
        <v>3.1859999999999999</v>
      </c>
      <c r="K1178" s="72"/>
      <c r="L1178" s="826"/>
      <c r="M1178" s="20"/>
      <c r="N1178" s="20"/>
      <c r="O1178" s="20"/>
      <c r="P1178" s="20"/>
      <c r="Q1178" s="21"/>
      <c r="R1178" s="22" t="s">
        <v>16</v>
      </c>
      <c r="S1178" s="22" t="s">
        <v>16</v>
      </c>
      <c r="T1178" s="753">
        <f t="shared" si="112"/>
        <v>2969.1299756831122</v>
      </c>
      <c r="U1178" s="22">
        <f t="shared" si="113"/>
        <v>0</v>
      </c>
      <c r="V1178" s="20"/>
    </row>
    <row r="1179" spans="1:22" ht="14.4">
      <c r="A1179" s="387" t="s">
        <v>1649</v>
      </c>
      <c r="B1179" s="2" t="s">
        <v>78</v>
      </c>
      <c r="C1179" s="397">
        <v>300</v>
      </c>
      <c r="D1179" s="403">
        <v>198</v>
      </c>
      <c r="E1179" s="397">
        <v>85</v>
      </c>
      <c r="F1179" s="397">
        <v>77</v>
      </c>
      <c r="G1179" s="21">
        <f t="shared" si="114"/>
        <v>4.8113999999999999</v>
      </c>
      <c r="H1179" s="20">
        <f t="shared" si="115"/>
        <v>5.0490000000000004</v>
      </c>
      <c r="I1179" s="20">
        <f t="shared" si="116"/>
        <v>4.8109999999999999</v>
      </c>
      <c r="J1179" s="20">
        <f t="shared" si="117"/>
        <v>3.2690000000000001</v>
      </c>
      <c r="K1179" s="72"/>
      <c r="L1179" s="826"/>
      <c r="M1179" s="20"/>
      <c r="N1179" s="20"/>
      <c r="O1179" s="20"/>
      <c r="P1179" s="20"/>
      <c r="Q1179" s="21"/>
      <c r="R1179" s="22" t="s">
        <v>16</v>
      </c>
      <c r="S1179" s="22" t="s">
        <v>16</v>
      </c>
      <c r="T1179" s="753">
        <f t="shared" si="112"/>
        <v>3187.7833207418598</v>
      </c>
      <c r="U1179" s="22">
        <f t="shared" si="113"/>
        <v>0</v>
      </c>
      <c r="V1179" s="20"/>
    </row>
    <row r="1180" spans="1:22" ht="15" thickBot="1">
      <c r="A1180" s="389" t="s">
        <v>1650</v>
      </c>
      <c r="B1180" s="2" t="s">
        <v>78</v>
      </c>
      <c r="C1180" s="398">
        <v>300</v>
      </c>
      <c r="D1180" s="407">
        <v>198</v>
      </c>
      <c r="E1180" s="398">
        <v>65</v>
      </c>
      <c r="F1180" s="398">
        <v>60</v>
      </c>
      <c r="G1180" s="21">
        <f t="shared" si="114"/>
        <v>3.7124999999999999</v>
      </c>
      <c r="H1180" s="20">
        <f t="shared" si="115"/>
        <v>3.8610000000000002</v>
      </c>
      <c r="I1180" s="20">
        <f t="shared" si="116"/>
        <v>3.7130000000000001</v>
      </c>
      <c r="J1180" s="20">
        <f t="shared" si="117"/>
        <v>2.367</v>
      </c>
      <c r="K1180" s="72"/>
      <c r="L1180" s="826"/>
      <c r="M1180" s="20"/>
      <c r="N1180" s="20"/>
      <c r="O1180" s="20"/>
      <c r="P1180" s="20"/>
      <c r="Q1180" s="21"/>
      <c r="R1180" s="22" t="s">
        <v>16</v>
      </c>
      <c r="S1180" s="22" t="s">
        <v>16</v>
      </c>
      <c r="T1180" s="753">
        <f t="shared" si="112"/>
        <v>3900.1354143157646</v>
      </c>
      <c r="U1180" s="22">
        <f t="shared" si="113"/>
        <v>0</v>
      </c>
      <c r="V1180" s="20"/>
    </row>
    <row r="1181" spans="1:22" ht="13.8" thickBot="1">
      <c r="A1181" s="73"/>
      <c r="B1181" s="2" t="s">
        <v>78</v>
      </c>
      <c r="G1181" s="21" t="str">
        <f t="shared" ref="G1181:G1194" si="118">IF(B1181="","",IF(OR(B1181="PA",B1181="PL"),H1181,IF(OR(B1181="VDZ",B1181="ISO",B1181="A1",B1181="A2",B1181="A3",B1181="AE",B1181="A2/3",B1181="A3/4",B1181="C1",B1181="C2",B1181="C3",B1181="CE",B1181="C2/3",B1181="C3/4"),I1181,J1181)))</f>
        <v>-</v>
      </c>
      <c r="H1181" s="20">
        <f t="shared" si="115"/>
        <v>0</v>
      </c>
      <c r="I1181" s="20" t="str">
        <f t="shared" si="116"/>
        <v>-</v>
      </c>
      <c r="J1181" s="20" t="str">
        <f t="shared" si="117"/>
        <v>-</v>
      </c>
      <c r="K1181" s="72"/>
      <c r="L1181" s="826"/>
      <c r="M1181" s="20"/>
      <c r="N1181" s="20"/>
      <c r="O1181" s="20"/>
      <c r="P1181" s="20"/>
      <c r="Q1181" s="21"/>
      <c r="R1181" s="22" t="s">
        <v>16</v>
      </c>
      <c r="S1181" s="22" t="s">
        <v>16</v>
      </c>
      <c r="T1181" s="20"/>
      <c r="U1181" s="22">
        <f t="shared" si="113"/>
        <v>0</v>
      </c>
      <c r="V1181" s="20"/>
    </row>
    <row r="1182" spans="1:22" ht="14.4">
      <c r="A1182" s="382" t="s">
        <v>1651</v>
      </c>
      <c r="B1182" s="2" t="s">
        <v>78</v>
      </c>
      <c r="C1182" s="392">
        <v>160</v>
      </c>
      <c r="D1182" s="411">
        <v>300</v>
      </c>
      <c r="E1182" s="392">
        <v>85</v>
      </c>
      <c r="F1182" s="392">
        <v>77</v>
      </c>
      <c r="G1182" s="21">
        <f t="shared" si="114"/>
        <v>3.8879999999999999</v>
      </c>
      <c r="H1182" s="20">
        <f t="shared" si="115"/>
        <v>4.08</v>
      </c>
      <c r="I1182" s="20">
        <f t="shared" si="116"/>
        <v>3.8879999999999999</v>
      </c>
      <c r="J1182" s="20">
        <f t="shared" si="117"/>
        <v>2.3719999999999999</v>
      </c>
      <c r="K1182" s="72"/>
      <c r="L1182" s="826"/>
      <c r="M1182" s="20"/>
      <c r="N1182" s="20"/>
      <c r="O1182" s="20"/>
      <c r="P1182" s="20"/>
      <c r="Q1182" s="21"/>
      <c r="R1182" s="22" t="s">
        <v>16</v>
      </c>
      <c r="S1182" s="22" t="s">
        <v>16</v>
      </c>
      <c r="T1182" s="753">
        <f t="shared" si="112"/>
        <v>1700.5311670181172</v>
      </c>
      <c r="U1182" s="22">
        <f t="shared" si="113"/>
        <v>0</v>
      </c>
      <c r="V1182" s="20"/>
    </row>
    <row r="1183" spans="1:22" ht="14.4">
      <c r="A1183" s="388" t="s">
        <v>1652</v>
      </c>
      <c r="B1183" s="2" t="s">
        <v>78</v>
      </c>
      <c r="C1183" s="393">
        <v>160</v>
      </c>
      <c r="D1183" s="400">
        <v>300</v>
      </c>
      <c r="E1183" s="393">
        <v>65</v>
      </c>
      <c r="F1183" s="393">
        <v>60</v>
      </c>
      <c r="G1183" s="21">
        <f t="shared" si="114"/>
        <v>3</v>
      </c>
      <c r="H1183" s="20">
        <f t="shared" si="115"/>
        <v>3.12</v>
      </c>
      <c r="I1183" s="20">
        <f t="shared" si="116"/>
        <v>3</v>
      </c>
      <c r="J1183" s="20">
        <f t="shared" si="117"/>
        <v>1.752</v>
      </c>
      <c r="K1183" s="72"/>
      <c r="L1183" s="826"/>
      <c r="M1183" s="20"/>
      <c r="N1183" s="20"/>
      <c r="O1183" s="20"/>
      <c r="P1183" s="20"/>
      <c r="Q1183" s="21"/>
      <c r="R1183" s="22" t="s">
        <v>16</v>
      </c>
      <c r="S1183" s="22" t="s">
        <v>16</v>
      </c>
      <c r="T1183" s="753">
        <f t="shared" si="112"/>
        <v>2080.2538907546837</v>
      </c>
      <c r="U1183" s="22">
        <f t="shared" si="113"/>
        <v>0</v>
      </c>
      <c r="V1183" s="20"/>
    </row>
    <row r="1184" spans="1:22" ht="14.4">
      <c r="A1184" s="381" t="s">
        <v>1653</v>
      </c>
      <c r="B1184" s="2" t="s">
        <v>78</v>
      </c>
      <c r="C1184" s="390">
        <v>180</v>
      </c>
      <c r="D1184" s="399">
        <v>300</v>
      </c>
      <c r="E1184" s="390">
        <v>85</v>
      </c>
      <c r="F1184" s="390">
        <v>77</v>
      </c>
      <c r="G1184" s="21">
        <f t="shared" si="114"/>
        <v>4.3739999999999997</v>
      </c>
      <c r="H1184" s="20">
        <f t="shared" si="115"/>
        <v>4.59</v>
      </c>
      <c r="I1184" s="20">
        <f t="shared" si="116"/>
        <v>4.3739999999999997</v>
      </c>
      <c r="J1184" s="20">
        <f t="shared" si="117"/>
        <v>2.6680000000000001</v>
      </c>
      <c r="K1184" s="72"/>
      <c r="L1184" s="826"/>
      <c r="M1184" s="20"/>
      <c r="N1184" s="20"/>
      <c r="O1184" s="20"/>
      <c r="P1184" s="20"/>
      <c r="Q1184" s="21"/>
      <c r="R1184" s="22" t="s">
        <v>16</v>
      </c>
      <c r="S1184" s="22" t="s">
        <v>16</v>
      </c>
      <c r="T1184" s="753">
        <f t="shared" si="112"/>
        <v>1912.972163937573</v>
      </c>
      <c r="U1184" s="22">
        <f t="shared" si="113"/>
        <v>0</v>
      </c>
      <c r="V1184" s="20"/>
    </row>
    <row r="1185" spans="1:22" ht="14.4">
      <c r="A1185" s="381" t="s">
        <v>1654</v>
      </c>
      <c r="B1185" s="2" t="s">
        <v>78</v>
      </c>
      <c r="C1185" s="390">
        <v>180</v>
      </c>
      <c r="D1185" s="399">
        <v>300</v>
      </c>
      <c r="E1185" s="390">
        <v>65</v>
      </c>
      <c r="F1185" s="390">
        <v>60</v>
      </c>
      <c r="G1185" s="21">
        <f t="shared" si="114"/>
        <v>3.375</v>
      </c>
      <c r="H1185" s="20">
        <f t="shared" si="115"/>
        <v>3.51</v>
      </c>
      <c r="I1185" s="20">
        <f t="shared" si="116"/>
        <v>3.375</v>
      </c>
      <c r="J1185" s="20">
        <f t="shared" si="117"/>
        <v>1.9710000000000001</v>
      </c>
      <c r="K1185" s="72"/>
      <c r="L1185" s="826"/>
      <c r="M1185" s="20"/>
      <c r="N1185" s="20"/>
      <c r="O1185" s="20"/>
      <c r="P1185" s="20"/>
      <c r="Q1185" s="21"/>
      <c r="R1185" s="22" t="s">
        <v>16</v>
      </c>
      <c r="S1185" s="22" t="s">
        <v>16</v>
      </c>
      <c r="T1185" s="753">
        <f t="shared" si="112"/>
        <v>2340.2256835613098</v>
      </c>
      <c r="U1185" s="22">
        <f t="shared" si="113"/>
        <v>0</v>
      </c>
      <c r="V1185" s="20"/>
    </row>
    <row r="1186" spans="1:22" ht="14.4">
      <c r="A1186" s="385" t="s">
        <v>1655</v>
      </c>
      <c r="B1186" s="2" t="s">
        <v>78</v>
      </c>
      <c r="C1186" s="391">
        <v>200</v>
      </c>
      <c r="D1186" s="401">
        <v>300</v>
      </c>
      <c r="E1186" s="391">
        <v>85</v>
      </c>
      <c r="F1186" s="391">
        <v>77</v>
      </c>
      <c r="G1186" s="21">
        <f t="shared" si="114"/>
        <v>4.8600000000000003</v>
      </c>
      <c r="H1186" s="20">
        <f t="shared" si="115"/>
        <v>5.0999999999999996</v>
      </c>
      <c r="I1186" s="20">
        <f t="shared" si="116"/>
        <v>4.8600000000000003</v>
      </c>
      <c r="J1186" s="20">
        <f t="shared" si="117"/>
        <v>2.9649999999999999</v>
      </c>
      <c r="K1186" s="72"/>
      <c r="L1186" s="826"/>
      <c r="M1186" s="20"/>
      <c r="N1186" s="20"/>
      <c r="O1186" s="20"/>
      <c r="P1186" s="20"/>
      <c r="Q1186" s="21"/>
      <c r="R1186" s="22" t="s">
        <v>16</v>
      </c>
      <c r="S1186" s="22" t="s">
        <v>16</v>
      </c>
      <c r="T1186" s="753">
        <f t="shared" si="112"/>
        <v>2125.4249575084978</v>
      </c>
      <c r="U1186" s="22">
        <f t="shared" si="113"/>
        <v>0</v>
      </c>
      <c r="V1186" s="20"/>
    </row>
    <row r="1187" spans="1:22" ht="14.4">
      <c r="A1187" s="385" t="s">
        <v>1656</v>
      </c>
      <c r="B1187" s="2" t="s">
        <v>78</v>
      </c>
      <c r="C1187" s="391">
        <v>200</v>
      </c>
      <c r="D1187" s="401">
        <v>300</v>
      </c>
      <c r="E1187" s="391">
        <v>65</v>
      </c>
      <c r="F1187" s="391">
        <v>60</v>
      </c>
      <c r="G1187" s="21">
        <f t="shared" si="114"/>
        <v>3.75</v>
      </c>
      <c r="H1187" s="20">
        <f t="shared" si="115"/>
        <v>3.9</v>
      </c>
      <c r="I1187" s="20">
        <f t="shared" si="116"/>
        <v>3.75</v>
      </c>
      <c r="J1187" s="20">
        <f t="shared" si="117"/>
        <v>2.19</v>
      </c>
      <c r="K1187" s="72"/>
      <c r="L1187" s="826"/>
      <c r="M1187" s="20"/>
      <c r="N1187" s="20"/>
      <c r="O1187" s="20"/>
      <c r="P1187" s="20"/>
      <c r="Q1187" s="21"/>
      <c r="R1187" s="22" t="s">
        <v>16</v>
      </c>
      <c r="S1187" s="22" t="s">
        <v>16</v>
      </c>
      <c r="T1187" s="753">
        <f t="shared" si="112"/>
        <v>2600.2031170660493</v>
      </c>
      <c r="U1187" s="22">
        <f t="shared" si="113"/>
        <v>0</v>
      </c>
      <c r="V1187" s="20"/>
    </row>
    <row r="1188" spans="1:22" ht="14.4">
      <c r="A1188" s="384" t="s">
        <v>1657</v>
      </c>
      <c r="B1188" s="2" t="s">
        <v>78</v>
      </c>
      <c r="C1188" s="395">
        <v>220</v>
      </c>
      <c r="D1188" s="402">
        <v>300</v>
      </c>
      <c r="E1188" s="395">
        <v>85</v>
      </c>
      <c r="F1188" s="395">
        <v>77</v>
      </c>
      <c r="G1188" s="21">
        <f t="shared" si="114"/>
        <v>5.3460000000000001</v>
      </c>
      <c r="H1188" s="20">
        <f t="shared" si="115"/>
        <v>5.61</v>
      </c>
      <c r="I1188" s="20">
        <f t="shared" si="116"/>
        <v>5.3460000000000001</v>
      </c>
      <c r="J1188" s="20">
        <f t="shared" si="117"/>
        <v>3.2610000000000001</v>
      </c>
      <c r="K1188" s="72"/>
      <c r="L1188" s="826"/>
      <c r="M1188" s="20"/>
      <c r="N1188" s="20"/>
      <c r="O1188" s="20"/>
      <c r="P1188" s="20"/>
      <c r="Q1188" s="21"/>
      <c r="R1188" s="22" t="s">
        <v>16</v>
      </c>
      <c r="S1188" s="22" t="s">
        <v>16</v>
      </c>
      <c r="T1188" s="753">
        <f t="shared" si="112"/>
        <v>2337.8863317107612</v>
      </c>
      <c r="U1188" s="22">
        <f t="shared" si="113"/>
        <v>0</v>
      </c>
      <c r="V1188" s="20"/>
    </row>
    <row r="1189" spans="1:22" ht="14.4">
      <c r="A1189" s="384" t="s">
        <v>1658</v>
      </c>
      <c r="B1189" s="2" t="s">
        <v>78</v>
      </c>
      <c r="C1189" s="395">
        <v>220</v>
      </c>
      <c r="D1189" s="402">
        <v>300</v>
      </c>
      <c r="E1189" s="395">
        <v>65</v>
      </c>
      <c r="F1189" s="395">
        <v>60</v>
      </c>
      <c r="G1189" s="21">
        <f t="shared" si="114"/>
        <v>4.125</v>
      </c>
      <c r="H1189" s="20">
        <f t="shared" si="115"/>
        <v>4.29</v>
      </c>
      <c r="I1189" s="20">
        <f t="shared" si="116"/>
        <v>4.125</v>
      </c>
      <c r="J1189" s="20">
        <f t="shared" si="117"/>
        <v>2.4089999999999998</v>
      </c>
      <c r="K1189" s="72"/>
      <c r="L1189" s="826"/>
      <c r="M1189" s="20"/>
      <c r="N1189" s="20"/>
      <c r="O1189" s="20"/>
      <c r="P1189" s="20"/>
      <c r="Q1189" s="21"/>
      <c r="R1189" s="22" t="s">
        <v>16</v>
      </c>
      <c r="S1189" s="22" t="s">
        <v>16</v>
      </c>
      <c r="T1189" s="753">
        <f t="shared" si="112"/>
        <v>2860.1846531299338</v>
      </c>
      <c r="U1189" s="22">
        <f t="shared" si="113"/>
        <v>0</v>
      </c>
      <c r="V1189" s="20"/>
    </row>
    <row r="1190" spans="1:22" ht="14.4">
      <c r="A1190" s="386" t="s">
        <v>1659</v>
      </c>
      <c r="B1190" s="2" t="s">
        <v>78</v>
      </c>
      <c r="C1190" s="396">
        <v>250</v>
      </c>
      <c r="D1190" s="404">
        <v>300</v>
      </c>
      <c r="E1190" s="396">
        <v>85</v>
      </c>
      <c r="F1190" s="396">
        <v>77</v>
      </c>
      <c r="G1190" s="21">
        <f t="shared" si="114"/>
        <v>6.0750000000000002</v>
      </c>
      <c r="H1190" s="20">
        <f t="shared" si="115"/>
        <v>6.375</v>
      </c>
      <c r="I1190" s="20">
        <f t="shared" si="116"/>
        <v>6.0750000000000002</v>
      </c>
      <c r="J1190" s="20">
        <f t="shared" si="117"/>
        <v>3.706</v>
      </c>
      <c r="K1190" s="72"/>
      <c r="L1190" s="826"/>
      <c r="M1190" s="20"/>
      <c r="N1190" s="20"/>
      <c r="O1190" s="20"/>
      <c r="P1190" s="20"/>
      <c r="Q1190" s="21"/>
      <c r="R1190" s="22" t="s">
        <v>16</v>
      </c>
      <c r="S1190" s="22" t="s">
        <v>16</v>
      </c>
      <c r="T1190" s="753">
        <f t="shared" si="112"/>
        <v>2656.5899782427846</v>
      </c>
      <c r="U1190" s="22">
        <f t="shared" si="113"/>
        <v>0</v>
      </c>
      <c r="V1190" s="20"/>
    </row>
    <row r="1191" spans="1:22" ht="14.4">
      <c r="A1191" s="386" t="s">
        <v>1660</v>
      </c>
      <c r="B1191" s="2" t="s">
        <v>78</v>
      </c>
      <c r="C1191" s="396">
        <v>250</v>
      </c>
      <c r="D1191" s="404">
        <v>300</v>
      </c>
      <c r="E1191" s="396">
        <v>65</v>
      </c>
      <c r="F1191" s="396">
        <v>60</v>
      </c>
      <c r="G1191" s="21">
        <f t="shared" si="114"/>
        <v>4.6875</v>
      </c>
      <c r="H1191" s="20">
        <f t="shared" si="115"/>
        <v>4.875</v>
      </c>
      <c r="I1191" s="20">
        <f t="shared" si="116"/>
        <v>4.6879999999999997</v>
      </c>
      <c r="J1191" s="20">
        <f t="shared" si="117"/>
        <v>2.738</v>
      </c>
      <c r="K1191" s="72"/>
      <c r="L1191" s="826"/>
      <c r="M1191" s="20"/>
      <c r="N1191" s="20"/>
      <c r="O1191" s="20"/>
      <c r="P1191" s="20"/>
      <c r="Q1191" s="21"/>
      <c r="R1191" s="22" t="s">
        <v>16</v>
      </c>
      <c r="S1191" s="22" t="s">
        <v>16</v>
      </c>
      <c r="T1191" s="753">
        <f t="shared" si="112"/>
        <v>3250.1624959377032</v>
      </c>
      <c r="U1191" s="22">
        <f t="shared" si="113"/>
        <v>0</v>
      </c>
      <c r="V1191" s="20"/>
    </row>
    <row r="1192" spans="1:22" ht="14.4">
      <c r="A1192" s="387" t="s">
        <v>1661</v>
      </c>
      <c r="B1192" s="2" t="s">
        <v>78</v>
      </c>
      <c r="C1192" s="397">
        <v>300</v>
      </c>
      <c r="D1192" s="403">
        <v>300</v>
      </c>
      <c r="E1192" s="397">
        <v>85</v>
      </c>
      <c r="F1192" s="397">
        <v>77</v>
      </c>
      <c r="G1192" s="21">
        <f t="shared" si="114"/>
        <v>7.29</v>
      </c>
      <c r="H1192" s="20">
        <f t="shared" si="115"/>
        <v>7.65</v>
      </c>
      <c r="I1192" s="20">
        <f t="shared" si="116"/>
        <v>7.29</v>
      </c>
      <c r="J1192" s="20">
        <f t="shared" si="117"/>
        <v>4.4470000000000001</v>
      </c>
      <c r="K1192" s="72"/>
      <c r="L1192" s="826"/>
      <c r="M1192" s="20"/>
      <c r="N1192" s="20"/>
      <c r="O1192" s="20"/>
      <c r="P1192" s="20"/>
      <c r="Q1192" s="21"/>
      <c r="R1192" s="22" t="s">
        <v>16</v>
      </c>
      <c r="S1192" s="22" t="s">
        <v>16</v>
      </c>
      <c r="T1192" s="753">
        <f t="shared" si="112"/>
        <v>3187.7833207418598</v>
      </c>
      <c r="U1192" s="22">
        <f t="shared" si="113"/>
        <v>0</v>
      </c>
      <c r="V1192" s="20"/>
    </row>
    <row r="1193" spans="1:22" ht="15" thickBot="1">
      <c r="A1193" s="389" t="s">
        <v>1662</v>
      </c>
      <c r="B1193" s="2" t="s">
        <v>78</v>
      </c>
      <c r="C1193" s="398">
        <v>300</v>
      </c>
      <c r="D1193" s="407">
        <v>300</v>
      </c>
      <c r="E1193" s="398">
        <v>65</v>
      </c>
      <c r="F1193" s="398">
        <v>60</v>
      </c>
      <c r="G1193" s="21">
        <f t="shared" si="114"/>
        <v>5.625</v>
      </c>
      <c r="H1193" s="20">
        <f t="shared" si="115"/>
        <v>5.85</v>
      </c>
      <c r="I1193" s="20">
        <f t="shared" si="116"/>
        <v>5.625</v>
      </c>
      <c r="J1193" s="20">
        <f t="shared" si="117"/>
        <v>3.2850000000000001</v>
      </c>
      <c r="K1193" s="72"/>
      <c r="L1193" s="826"/>
      <c r="M1193" s="20"/>
      <c r="N1193" s="20"/>
      <c r="O1193" s="20"/>
      <c r="P1193" s="20"/>
      <c r="Q1193" s="21"/>
      <c r="R1193" s="22" t="s">
        <v>16</v>
      </c>
      <c r="S1193" s="22" t="s">
        <v>16</v>
      </c>
      <c r="T1193" s="753">
        <f t="shared" si="112"/>
        <v>3900.1354143157646</v>
      </c>
      <c r="U1193" s="22">
        <f t="shared" si="113"/>
        <v>0</v>
      </c>
      <c r="V1193" s="20"/>
    </row>
    <row r="1194" spans="1:22" ht="13.8" thickBot="1">
      <c r="A1194" s="289"/>
      <c r="B1194" s="2" t="s">
        <v>78</v>
      </c>
      <c r="G1194" s="21" t="str">
        <f t="shared" si="118"/>
        <v>-</v>
      </c>
      <c r="H1194" s="20">
        <f t="shared" si="115"/>
        <v>0</v>
      </c>
      <c r="I1194" s="20" t="str">
        <f t="shared" si="116"/>
        <v>-</v>
      </c>
      <c r="J1194" s="20" t="str">
        <f t="shared" si="117"/>
        <v>-</v>
      </c>
      <c r="K1194" s="72"/>
      <c r="L1194" s="826"/>
      <c r="M1194" s="20"/>
      <c r="N1194" s="20"/>
      <c r="O1194" s="20"/>
      <c r="P1194" s="20"/>
      <c r="Q1194" s="21"/>
      <c r="R1194" s="22" t="s">
        <v>16</v>
      </c>
      <c r="S1194" s="22" t="s">
        <v>16</v>
      </c>
      <c r="T1194" s="20"/>
      <c r="U1194" s="22">
        <f t="shared" si="113"/>
        <v>0</v>
      </c>
      <c r="V1194" s="20"/>
    </row>
    <row r="1195" spans="1:22" ht="14.4">
      <c r="A1195" s="382" t="s">
        <v>1663</v>
      </c>
      <c r="B1195" s="2" t="s">
        <v>78</v>
      </c>
      <c r="C1195" s="392">
        <v>160</v>
      </c>
      <c r="D1195" s="411">
        <v>250</v>
      </c>
      <c r="E1195" s="392">
        <v>85</v>
      </c>
      <c r="F1195" s="392">
        <v>77</v>
      </c>
      <c r="G1195" s="21">
        <f t="shared" si="114"/>
        <v>3.24</v>
      </c>
      <c r="H1195" s="20">
        <f t="shared" si="115"/>
        <v>3.4</v>
      </c>
      <c r="I1195" s="20">
        <f t="shared" si="116"/>
        <v>3.24</v>
      </c>
      <c r="J1195" s="20">
        <f t="shared" si="117"/>
        <v>2.0640000000000001</v>
      </c>
      <c r="K1195" s="72"/>
      <c r="L1195" s="826"/>
      <c r="M1195" s="20"/>
      <c r="N1195" s="20"/>
      <c r="O1195" s="20"/>
      <c r="P1195" s="20"/>
      <c r="Q1195" s="21"/>
      <c r="R1195" s="22" t="s">
        <v>16</v>
      </c>
      <c r="S1195" s="22" t="s">
        <v>16</v>
      </c>
      <c r="T1195" s="753">
        <f t="shared" si="112"/>
        <v>1700.5311670181172</v>
      </c>
      <c r="U1195" s="22">
        <f t="shared" si="113"/>
        <v>0</v>
      </c>
      <c r="V1195" s="20"/>
    </row>
    <row r="1196" spans="1:22" ht="14.4">
      <c r="A1196" s="388" t="s">
        <v>1664</v>
      </c>
      <c r="B1196" s="2" t="s">
        <v>78</v>
      </c>
      <c r="C1196" s="393">
        <v>160</v>
      </c>
      <c r="D1196" s="400">
        <v>250</v>
      </c>
      <c r="E1196" s="393">
        <v>65</v>
      </c>
      <c r="F1196" s="393">
        <v>60</v>
      </c>
      <c r="G1196" s="21">
        <f t="shared" si="114"/>
        <v>2.5</v>
      </c>
      <c r="H1196" s="20">
        <f t="shared" si="115"/>
        <v>2.6</v>
      </c>
      <c r="I1196" s="20">
        <f t="shared" si="116"/>
        <v>2.5</v>
      </c>
      <c r="J1196" s="20">
        <f t="shared" si="117"/>
        <v>1.512</v>
      </c>
      <c r="K1196" s="72"/>
      <c r="L1196" s="826"/>
      <c r="M1196" s="20"/>
      <c r="N1196" s="20"/>
      <c r="O1196" s="20"/>
      <c r="P1196" s="20"/>
      <c r="Q1196" s="21"/>
      <c r="R1196" s="22" t="s">
        <v>16</v>
      </c>
      <c r="S1196" s="22" t="s">
        <v>16</v>
      </c>
      <c r="T1196" s="753">
        <f t="shared" si="112"/>
        <v>2080.2538907546837</v>
      </c>
      <c r="U1196" s="22">
        <f t="shared" si="113"/>
        <v>0</v>
      </c>
      <c r="V1196" s="20"/>
    </row>
    <row r="1197" spans="1:22" ht="14.4">
      <c r="A1197" s="381" t="s">
        <v>1665</v>
      </c>
      <c r="B1197" s="2" t="s">
        <v>78</v>
      </c>
      <c r="C1197" s="390">
        <v>180</v>
      </c>
      <c r="D1197" s="399">
        <v>250</v>
      </c>
      <c r="E1197" s="390">
        <v>85</v>
      </c>
      <c r="F1197" s="390">
        <v>77</v>
      </c>
      <c r="G1197" s="21">
        <f t="shared" si="114"/>
        <v>3.645</v>
      </c>
      <c r="H1197" s="20">
        <f t="shared" si="115"/>
        <v>3.8250000000000002</v>
      </c>
      <c r="I1197" s="20">
        <f t="shared" si="116"/>
        <v>3.645</v>
      </c>
      <c r="J1197" s="20">
        <f t="shared" si="117"/>
        <v>2.3220000000000001</v>
      </c>
      <c r="K1197" s="72"/>
      <c r="L1197" s="826"/>
      <c r="M1197" s="20"/>
      <c r="N1197" s="20"/>
      <c r="O1197" s="20"/>
      <c r="P1197" s="20"/>
      <c r="Q1197" s="21"/>
      <c r="R1197" s="22" t="s">
        <v>16</v>
      </c>
      <c r="S1197" s="22" t="s">
        <v>16</v>
      </c>
      <c r="T1197" s="753">
        <f t="shared" si="112"/>
        <v>1912.972163937573</v>
      </c>
      <c r="U1197" s="22">
        <f t="shared" si="113"/>
        <v>0</v>
      </c>
      <c r="V1197" s="20"/>
    </row>
    <row r="1198" spans="1:22" ht="14.4">
      <c r="A1198" s="381" t="s">
        <v>1666</v>
      </c>
      <c r="B1198" s="2" t="s">
        <v>78</v>
      </c>
      <c r="C1198" s="390">
        <v>180</v>
      </c>
      <c r="D1198" s="399">
        <v>250</v>
      </c>
      <c r="E1198" s="390">
        <v>65</v>
      </c>
      <c r="F1198" s="390">
        <v>60</v>
      </c>
      <c r="G1198" s="21">
        <f t="shared" si="114"/>
        <v>2.8125</v>
      </c>
      <c r="H1198" s="20">
        <f t="shared" si="115"/>
        <v>2.9249999999999998</v>
      </c>
      <c r="I1198" s="20">
        <f t="shared" si="116"/>
        <v>2.8130000000000002</v>
      </c>
      <c r="J1198" s="20">
        <f t="shared" si="117"/>
        <v>1.7010000000000001</v>
      </c>
      <c r="K1198" s="72"/>
      <c r="L1198" s="826"/>
      <c r="M1198" s="20"/>
      <c r="N1198" s="20"/>
      <c r="O1198" s="20"/>
      <c r="P1198" s="20"/>
      <c r="Q1198" s="21"/>
      <c r="R1198" s="22" t="s">
        <v>16</v>
      </c>
      <c r="S1198" s="22" t="s">
        <v>16</v>
      </c>
      <c r="T1198" s="753">
        <f t="shared" si="112"/>
        <v>2340.2256835613098</v>
      </c>
      <c r="U1198" s="22">
        <f t="shared" si="113"/>
        <v>0</v>
      </c>
      <c r="V1198" s="20"/>
    </row>
    <row r="1199" spans="1:22" ht="14.4">
      <c r="A1199" s="385" t="s">
        <v>1667</v>
      </c>
      <c r="B1199" s="2" t="s">
        <v>78</v>
      </c>
      <c r="C1199" s="391">
        <v>200</v>
      </c>
      <c r="D1199" s="401">
        <v>250</v>
      </c>
      <c r="E1199" s="391">
        <v>85</v>
      </c>
      <c r="F1199" s="391">
        <v>77</v>
      </c>
      <c r="G1199" s="21">
        <f t="shared" si="114"/>
        <v>4.05</v>
      </c>
      <c r="H1199" s="20">
        <f t="shared" si="115"/>
        <v>4.25</v>
      </c>
      <c r="I1199" s="20">
        <f t="shared" si="116"/>
        <v>4.05</v>
      </c>
      <c r="J1199" s="20">
        <f t="shared" si="117"/>
        <v>2.58</v>
      </c>
      <c r="K1199" s="72"/>
      <c r="L1199" s="826"/>
      <c r="M1199" s="20"/>
      <c r="N1199" s="20"/>
      <c r="O1199" s="20"/>
      <c r="P1199" s="20"/>
      <c r="Q1199" s="21"/>
      <c r="R1199" s="22" t="s">
        <v>16</v>
      </c>
      <c r="S1199" s="22" t="s">
        <v>16</v>
      </c>
      <c r="T1199" s="753">
        <f t="shared" si="112"/>
        <v>2125.4249575084978</v>
      </c>
      <c r="U1199" s="22">
        <f t="shared" si="113"/>
        <v>0</v>
      </c>
      <c r="V1199" s="20"/>
    </row>
    <row r="1200" spans="1:22" ht="14.4">
      <c r="A1200" s="385" t="s">
        <v>1668</v>
      </c>
      <c r="B1200" s="2" t="s">
        <v>78</v>
      </c>
      <c r="C1200" s="391">
        <v>200</v>
      </c>
      <c r="D1200" s="401">
        <v>250</v>
      </c>
      <c r="E1200" s="391">
        <v>65</v>
      </c>
      <c r="F1200" s="391">
        <v>60</v>
      </c>
      <c r="G1200" s="21">
        <f t="shared" si="114"/>
        <v>3.125</v>
      </c>
      <c r="H1200" s="20">
        <f t="shared" si="115"/>
        <v>3.25</v>
      </c>
      <c r="I1200" s="20">
        <f t="shared" si="116"/>
        <v>3.125</v>
      </c>
      <c r="J1200" s="20">
        <f t="shared" si="117"/>
        <v>1.89</v>
      </c>
      <c r="K1200" s="72"/>
      <c r="L1200" s="826"/>
      <c r="M1200" s="20"/>
      <c r="N1200" s="20"/>
      <c r="O1200" s="20"/>
      <c r="P1200" s="20"/>
      <c r="Q1200" s="21"/>
      <c r="R1200" s="22" t="s">
        <v>16</v>
      </c>
      <c r="S1200" s="22" t="s">
        <v>16</v>
      </c>
      <c r="T1200" s="753">
        <f t="shared" si="112"/>
        <v>2600.2031170660493</v>
      </c>
      <c r="U1200" s="22">
        <f t="shared" si="113"/>
        <v>0</v>
      </c>
      <c r="V1200" s="20"/>
    </row>
    <row r="1201" spans="1:22" ht="14.4">
      <c r="A1201" s="384" t="s">
        <v>1669</v>
      </c>
      <c r="B1201" s="2" t="s">
        <v>78</v>
      </c>
      <c r="C1201" s="395">
        <v>220</v>
      </c>
      <c r="D1201" s="402">
        <v>250</v>
      </c>
      <c r="E1201" s="395">
        <v>85</v>
      </c>
      <c r="F1201" s="395">
        <v>77</v>
      </c>
      <c r="G1201" s="21">
        <f t="shared" si="114"/>
        <v>4.4550000000000001</v>
      </c>
      <c r="H1201" s="20">
        <f t="shared" si="115"/>
        <v>4.6749999999999998</v>
      </c>
      <c r="I1201" s="20">
        <f t="shared" si="116"/>
        <v>4.4550000000000001</v>
      </c>
      <c r="J1201" s="20">
        <f t="shared" si="117"/>
        <v>2.8370000000000002</v>
      </c>
      <c r="K1201" s="72"/>
      <c r="L1201" s="826"/>
      <c r="M1201" s="20"/>
      <c r="N1201" s="20"/>
      <c r="O1201" s="20"/>
      <c r="P1201" s="20"/>
      <c r="Q1201" s="21"/>
      <c r="R1201" s="22" t="s">
        <v>16</v>
      </c>
      <c r="S1201" s="22" t="s">
        <v>16</v>
      </c>
      <c r="T1201" s="753">
        <f t="shared" si="112"/>
        <v>2337.8863317107612</v>
      </c>
      <c r="U1201" s="22">
        <f t="shared" si="113"/>
        <v>0</v>
      </c>
      <c r="V1201" s="20"/>
    </row>
    <row r="1202" spans="1:22" ht="14.4">
      <c r="A1202" s="384" t="s">
        <v>1670</v>
      </c>
      <c r="B1202" s="2" t="s">
        <v>78</v>
      </c>
      <c r="C1202" s="395">
        <v>220</v>
      </c>
      <c r="D1202" s="402">
        <v>250</v>
      </c>
      <c r="E1202" s="395">
        <v>65</v>
      </c>
      <c r="F1202" s="395">
        <v>60</v>
      </c>
      <c r="G1202" s="21">
        <f t="shared" si="114"/>
        <v>3.4375</v>
      </c>
      <c r="H1202" s="20">
        <f t="shared" si="115"/>
        <v>3.5750000000000002</v>
      </c>
      <c r="I1202" s="20">
        <f t="shared" si="116"/>
        <v>3.4380000000000002</v>
      </c>
      <c r="J1202" s="20">
        <f t="shared" si="117"/>
        <v>2.0790000000000002</v>
      </c>
      <c r="K1202" s="72"/>
      <c r="L1202" s="826"/>
      <c r="M1202" s="20"/>
      <c r="N1202" s="20"/>
      <c r="O1202" s="20"/>
      <c r="P1202" s="20"/>
      <c r="Q1202" s="21"/>
      <c r="R1202" s="22" t="s">
        <v>16</v>
      </c>
      <c r="S1202" s="22" t="s">
        <v>16</v>
      </c>
      <c r="T1202" s="753">
        <f t="shared" si="112"/>
        <v>2860.1846531299338</v>
      </c>
      <c r="U1202" s="22">
        <f t="shared" si="113"/>
        <v>0</v>
      </c>
      <c r="V1202" s="20"/>
    </row>
    <row r="1203" spans="1:22" ht="14.4">
      <c r="A1203" s="386" t="s">
        <v>1671</v>
      </c>
      <c r="B1203" s="2" t="s">
        <v>78</v>
      </c>
      <c r="C1203" s="396">
        <v>250</v>
      </c>
      <c r="D1203" s="404">
        <v>250</v>
      </c>
      <c r="E1203" s="396">
        <v>85</v>
      </c>
      <c r="F1203" s="396">
        <v>77</v>
      </c>
      <c r="G1203" s="21">
        <f t="shared" si="114"/>
        <v>5.0625</v>
      </c>
      <c r="H1203" s="20">
        <f t="shared" si="115"/>
        <v>5.3129999999999997</v>
      </c>
      <c r="I1203" s="20">
        <f t="shared" si="116"/>
        <v>5.0629999999999997</v>
      </c>
      <c r="J1203" s="20">
        <f t="shared" si="117"/>
        <v>3.2240000000000002</v>
      </c>
      <c r="K1203" s="72"/>
      <c r="L1203" s="826"/>
      <c r="M1203" s="20"/>
      <c r="N1203" s="20"/>
      <c r="O1203" s="20"/>
      <c r="P1203" s="20"/>
      <c r="Q1203" s="21"/>
      <c r="R1203" s="22" t="s">
        <v>16</v>
      </c>
      <c r="S1203" s="22" t="s">
        <v>16</v>
      </c>
      <c r="T1203" s="753">
        <f t="shared" si="112"/>
        <v>2656.5899782427846</v>
      </c>
      <c r="U1203" s="22">
        <f t="shared" si="113"/>
        <v>0</v>
      </c>
      <c r="V1203" s="20"/>
    </row>
    <row r="1204" spans="1:22" ht="14.4">
      <c r="A1204" s="386" t="s">
        <v>1672</v>
      </c>
      <c r="B1204" s="2" t="s">
        <v>78</v>
      </c>
      <c r="C1204" s="396">
        <v>250</v>
      </c>
      <c r="D1204" s="404">
        <v>250</v>
      </c>
      <c r="E1204" s="396">
        <v>65</v>
      </c>
      <c r="F1204" s="396">
        <v>60</v>
      </c>
      <c r="G1204" s="21">
        <f t="shared" si="114"/>
        <v>3.90625</v>
      </c>
      <c r="H1204" s="20">
        <f t="shared" si="115"/>
        <v>4.0629999999999997</v>
      </c>
      <c r="I1204" s="20">
        <f t="shared" si="116"/>
        <v>3.9060000000000001</v>
      </c>
      <c r="J1204" s="20">
        <f t="shared" si="117"/>
        <v>2.363</v>
      </c>
      <c r="K1204" s="72"/>
      <c r="L1204" s="826"/>
      <c r="M1204" s="20"/>
      <c r="N1204" s="20"/>
      <c r="O1204" s="20"/>
      <c r="P1204" s="20"/>
      <c r="Q1204" s="21"/>
      <c r="R1204" s="22" t="s">
        <v>16</v>
      </c>
      <c r="S1204" s="22" t="s">
        <v>16</v>
      </c>
      <c r="T1204" s="753">
        <f t="shared" si="112"/>
        <v>3250.1624959377032</v>
      </c>
      <c r="U1204" s="22">
        <f t="shared" si="113"/>
        <v>0</v>
      </c>
      <c r="V1204" s="20"/>
    </row>
    <row r="1205" spans="1:22" ht="14.4">
      <c r="A1205" s="387" t="s">
        <v>1673</v>
      </c>
      <c r="B1205" s="2" t="s">
        <v>78</v>
      </c>
      <c r="C1205" s="397">
        <v>300</v>
      </c>
      <c r="D1205" s="403">
        <v>250</v>
      </c>
      <c r="E1205" s="397">
        <v>85</v>
      </c>
      <c r="F1205" s="397">
        <v>77</v>
      </c>
      <c r="G1205" s="21">
        <f t="shared" si="114"/>
        <v>6.0750000000000002</v>
      </c>
      <c r="H1205" s="20">
        <f t="shared" si="115"/>
        <v>6.375</v>
      </c>
      <c r="I1205" s="20">
        <f t="shared" si="116"/>
        <v>6.0750000000000002</v>
      </c>
      <c r="J1205" s="20">
        <f t="shared" si="117"/>
        <v>3.8690000000000002</v>
      </c>
      <c r="K1205" s="72"/>
      <c r="L1205" s="826"/>
      <c r="M1205" s="20"/>
      <c r="N1205" s="20"/>
      <c r="O1205" s="20"/>
      <c r="P1205" s="20"/>
      <c r="Q1205" s="21"/>
      <c r="R1205" s="22" t="s">
        <v>16</v>
      </c>
      <c r="S1205" s="22" t="s">
        <v>16</v>
      </c>
      <c r="T1205" s="753">
        <f t="shared" si="112"/>
        <v>3187.7833207418598</v>
      </c>
      <c r="U1205" s="22">
        <f t="shared" si="113"/>
        <v>0</v>
      </c>
      <c r="V1205" s="20"/>
    </row>
    <row r="1206" spans="1:22" ht="15" thickBot="1">
      <c r="A1206" s="389" t="s">
        <v>1674</v>
      </c>
      <c r="B1206" s="2" t="s">
        <v>78</v>
      </c>
      <c r="C1206" s="398">
        <v>300</v>
      </c>
      <c r="D1206" s="407">
        <v>250</v>
      </c>
      <c r="E1206" s="398">
        <v>65</v>
      </c>
      <c r="F1206" s="398">
        <v>60</v>
      </c>
      <c r="G1206" s="21">
        <f t="shared" si="114"/>
        <v>4.6875</v>
      </c>
      <c r="H1206" s="20">
        <f t="shared" si="115"/>
        <v>4.875</v>
      </c>
      <c r="I1206" s="20">
        <f t="shared" si="116"/>
        <v>4.6879999999999997</v>
      </c>
      <c r="J1206" s="20">
        <f t="shared" si="117"/>
        <v>2.835</v>
      </c>
      <c r="K1206" s="72"/>
      <c r="L1206" s="826"/>
      <c r="M1206" s="20"/>
      <c r="N1206" s="20"/>
      <c r="O1206" s="20"/>
      <c r="P1206" s="20"/>
      <c r="Q1206" s="21"/>
      <c r="R1206" s="22" t="s">
        <v>16</v>
      </c>
      <c r="S1206" s="22" t="s">
        <v>16</v>
      </c>
      <c r="T1206" s="753">
        <f t="shared" si="112"/>
        <v>3900.1354143157646</v>
      </c>
      <c r="U1206" s="22">
        <f t="shared" si="113"/>
        <v>0</v>
      </c>
      <c r="V1206" s="20"/>
    </row>
    <row r="1207" spans="1:22">
      <c r="A1207" s="73"/>
      <c r="G1207" s="21"/>
      <c r="H1207" s="20"/>
      <c r="I1207" s="20"/>
      <c r="J1207" s="20"/>
      <c r="K1207" s="72"/>
      <c r="L1207" s="826"/>
      <c r="M1207" s="20"/>
      <c r="N1207" s="20"/>
      <c r="O1207" s="20"/>
      <c r="P1207" s="20"/>
      <c r="Q1207" s="21"/>
      <c r="R1207" s="22" t="s">
        <v>16</v>
      </c>
      <c r="S1207" s="22" t="s">
        <v>16</v>
      </c>
      <c r="T1207" s="20"/>
      <c r="U1207" s="22">
        <f t="shared" si="113"/>
        <v>0</v>
      </c>
      <c r="V1207" s="20"/>
    </row>
    <row r="1208" spans="1:22" ht="13.8" thickBot="1">
      <c r="A1208" s="73"/>
      <c r="G1208" s="21"/>
      <c r="H1208" s="20"/>
      <c r="I1208" s="20"/>
      <c r="J1208" s="20"/>
      <c r="K1208" s="72"/>
      <c r="L1208" s="826"/>
      <c r="M1208" s="20"/>
      <c r="N1208" s="20"/>
      <c r="O1208" s="20"/>
      <c r="P1208" s="20"/>
      <c r="Q1208" s="21"/>
      <c r="R1208" s="22" t="s">
        <v>16</v>
      </c>
      <c r="S1208" s="22" t="s">
        <v>16</v>
      </c>
      <c r="T1208" s="20"/>
      <c r="U1208" s="22">
        <f t="shared" si="113"/>
        <v>0</v>
      </c>
      <c r="V1208" s="20"/>
    </row>
    <row r="1209" spans="1:22" ht="25.2" thickBot="1">
      <c r="A1209" s="61" t="s">
        <v>1587</v>
      </c>
      <c r="B1209" s="89"/>
      <c r="C1209" s="67"/>
      <c r="D1209" s="67"/>
      <c r="E1209" s="67"/>
      <c r="F1209" s="67"/>
      <c r="G1209" s="102"/>
      <c r="H1209" s="68"/>
      <c r="I1209" s="68"/>
      <c r="J1209" s="68"/>
      <c r="K1209" s="68"/>
      <c r="L1209" s="826"/>
      <c r="M1209" s="20"/>
      <c r="N1209" s="20"/>
      <c r="O1209" s="20"/>
      <c r="P1209" s="20"/>
      <c r="Q1209" s="21"/>
      <c r="R1209" s="22"/>
      <c r="S1209" s="22"/>
      <c r="T1209" s="30"/>
      <c r="U1209" s="22"/>
      <c r="V1209" s="20"/>
    </row>
    <row r="1210" spans="1:22" s="290" customFormat="1" ht="14.4">
      <c r="A1210" s="541">
        <v>1510</v>
      </c>
      <c r="B1210" s="2" t="s">
        <v>77</v>
      </c>
      <c r="C1210" s="542">
        <v>100</v>
      </c>
      <c r="D1210" s="543">
        <v>198</v>
      </c>
      <c r="E1210" s="542">
        <v>103</v>
      </c>
      <c r="F1210" s="542">
        <v>89.2</v>
      </c>
      <c r="G1210" s="21">
        <f t="shared" ref="G1210:G1273" si="119">IF(B1210="","",AVERAGE(E1210:F1210)*D1210*C1210/10^6)</f>
        <v>1.9027799999999999</v>
      </c>
      <c r="H1210" s="20">
        <f t="shared" ref="H1210:H1273" si="120">ROUND(C1210*D1210*E1210/10^6,3)</f>
        <v>2.0390000000000001</v>
      </c>
      <c r="I1210" s="20">
        <f t="shared" ref="I1210:I1273" si="121">IF(F1210="","-",ROUND((E1210+F1210)*C1210/2*D1210/10^6,3))</f>
        <v>1.903</v>
      </c>
      <c r="J1210" s="20">
        <f t="shared" ref="J1210:J1273" si="122">IF(F1210="","-",ROUND((D1210+E1210)*C1210/2*F1210/10^6,3))</f>
        <v>1.3420000000000001</v>
      </c>
      <c r="K1210" s="72"/>
      <c r="L1210" s="826"/>
      <c r="M1210" s="20"/>
      <c r="N1210" s="20"/>
      <c r="O1210" s="20"/>
      <c r="P1210" s="20"/>
      <c r="Q1210" s="21"/>
      <c r="R1210" s="22" t="s">
        <v>16</v>
      </c>
      <c r="S1210" s="22" t="s">
        <v>16</v>
      </c>
      <c r="T1210" s="753">
        <f t="shared" ref="T1210:T1273" si="123">IF(E1210=F1210,"-",(E1210/(E1210-F1210))*SQRT((C1210^2)+((E1210-F1210)/2)^2))</f>
        <v>748.15145183681125</v>
      </c>
      <c r="U1210" s="22">
        <f t="shared" ref="U1210:U1273" si="124">U1209</f>
        <v>0</v>
      </c>
      <c r="V1210" s="20"/>
    </row>
    <row r="1211" spans="1:22" s="290" customFormat="1" ht="14.4">
      <c r="A1211" s="541">
        <v>210</v>
      </c>
      <c r="B1211" s="2" t="s">
        <v>77</v>
      </c>
      <c r="C1211" s="542">
        <v>100</v>
      </c>
      <c r="D1211" s="543">
        <v>198</v>
      </c>
      <c r="E1211" s="542">
        <v>103</v>
      </c>
      <c r="F1211" s="542">
        <v>92.5</v>
      </c>
      <c r="G1211" s="21">
        <f t="shared" si="119"/>
        <v>1.9354499999999999</v>
      </c>
      <c r="H1211" s="20">
        <f t="shared" si="120"/>
        <v>2.0390000000000001</v>
      </c>
      <c r="I1211" s="20">
        <f t="shared" si="121"/>
        <v>1.9350000000000001</v>
      </c>
      <c r="J1211" s="20">
        <f t="shared" si="122"/>
        <v>1.3919999999999999</v>
      </c>
      <c r="K1211" s="72"/>
      <c r="L1211" s="826"/>
      <c r="M1211" s="20"/>
      <c r="N1211" s="20"/>
      <c r="O1211" s="20"/>
      <c r="P1211" s="20"/>
      <c r="Q1211" s="21"/>
      <c r="R1211" s="22" t="s">
        <v>16</v>
      </c>
      <c r="S1211" s="22" t="s">
        <v>16</v>
      </c>
      <c r="T1211" s="753">
        <f t="shared" si="123"/>
        <v>982.30332570756639</v>
      </c>
      <c r="U1211" s="22">
        <f t="shared" si="124"/>
        <v>0</v>
      </c>
      <c r="V1211" s="20"/>
    </row>
    <row r="1212" spans="1:22" s="290" customFormat="1" ht="14.4">
      <c r="A1212" s="541">
        <v>310</v>
      </c>
      <c r="B1212" s="2" t="s">
        <v>77</v>
      </c>
      <c r="C1212" s="542">
        <v>100</v>
      </c>
      <c r="D1212" s="543">
        <v>198</v>
      </c>
      <c r="E1212" s="542">
        <v>103</v>
      </c>
      <c r="F1212" s="542">
        <v>96</v>
      </c>
      <c r="G1212" s="21">
        <f t="shared" si="119"/>
        <v>1.9701</v>
      </c>
      <c r="H1212" s="20">
        <f t="shared" si="120"/>
        <v>2.0390000000000001</v>
      </c>
      <c r="I1212" s="20">
        <f t="shared" si="121"/>
        <v>1.97</v>
      </c>
      <c r="J1212" s="20">
        <f t="shared" si="122"/>
        <v>1.4450000000000001</v>
      </c>
      <c r="K1212" s="72"/>
      <c r="L1212" s="826"/>
      <c r="M1212" s="20"/>
      <c r="N1212" s="20"/>
      <c r="O1212" s="20"/>
      <c r="P1212" s="20"/>
      <c r="Q1212" s="21"/>
      <c r="R1212" s="22" t="s">
        <v>16</v>
      </c>
      <c r="S1212" s="22" t="s">
        <v>16</v>
      </c>
      <c r="T1212" s="753">
        <f t="shared" si="123"/>
        <v>1472.3295455896844</v>
      </c>
      <c r="U1212" s="22">
        <f t="shared" si="124"/>
        <v>0</v>
      </c>
      <c r="V1212" s="20"/>
    </row>
    <row r="1213" spans="1:22" s="290" customFormat="1" ht="14.4">
      <c r="A1213" s="544" t="s">
        <v>2105</v>
      </c>
      <c r="B1213" s="2" t="s">
        <v>77</v>
      </c>
      <c r="C1213" s="542">
        <v>100</v>
      </c>
      <c r="D1213" s="543">
        <v>198</v>
      </c>
      <c r="E1213" s="542">
        <v>71</v>
      </c>
      <c r="F1213" s="542">
        <v>64</v>
      </c>
      <c r="G1213" s="21">
        <f t="shared" si="119"/>
        <v>1.3365</v>
      </c>
      <c r="H1213" s="20">
        <f t="shared" si="120"/>
        <v>1.4059999999999999</v>
      </c>
      <c r="I1213" s="20">
        <f t="shared" si="121"/>
        <v>1.337</v>
      </c>
      <c r="J1213" s="20">
        <f t="shared" si="122"/>
        <v>0.86099999999999999</v>
      </c>
      <c r="K1213" s="72"/>
      <c r="L1213" s="826"/>
      <c r="M1213" s="20"/>
      <c r="N1213" s="20"/>
      <c r="O1213" s="20"/>
      <c r="P1213" s="20"/>
      <c r="Q1213" s="21"/>
      <c r="R1213" s="22" t="s">
        <v>16</v>
      </c>
      <c r="S1213" s="22" t="s">
        <v>16</v>
      </c>
      <c r="T1213" s="753">
        <f t="shared" si="123"/>
        <v>1014.9067741443455</v>
      </c>
      <c r="U1213" s="22">
        <f t="shared" si="124"/>
        <v>0</v>
      </c>
      <c r="V1213" s="20"/>
    </row>
    <row r="1214" spans="1:22" s="290" customFormat="1" ht="14.4">
      <c r="A1214" s="544" t="s">
        <v>2106</v>
      </c>
      <c r="B1214" s="2" t="s">
        <v>77</v>
      </c>
      <c r="C1214" s="542">
        <v>100</v>
      </c>
      <c r="D1214" s="543">
        <v>198</v>
      </c>
      <c r="E1214" s="542">
        <v>78</v>
      </c>
      <c r="F1214" s="542">
        <v>71</v>
      </c>
      <c r="G1214" s="21">
        <f t="shared" si="119"/>
        <v>1.4751000000000001</v>
      </c>
      <c r="H1214" s="20">
        <f t="shared" si="120"/>
        <v>1.544</v>
      </c>
      <c r="I1214" s="20">
        <f t="shared" si="121"/>
        <v>1.4750000000000001</v>
      </c>
      <c r="J1214" s="20">
        <f t="shared" si="122"/>
        <v>0.98</v>
      </c>
      <c r="K1214" s="72"/>
      <c r="L1214" s="826"/>
      <c r="M1214" s="20"/>
      <c r="N1214" s="20"/>
      <c r="O1214" s="20"/>
      <c r="P1214" s="20"/>
      <c r="Q1214" s="21"/>
      <c r="R1214" s="22" t="s">
        <v>16</v>
      </c>
      <c r="S1214" s="22" t="s">
        <v>16</v>
      </c>
      <c r="T1214" s="753">
        <f t="shared" si="123"/>
        <v>1114.9680053980132</v>
      </c>
      <c r="U1214" s="22">
        <f t="shared" si="124"/>
        <v>0</v>
      </c>
      <c r="V1214" s="20"/>
    </row>
    <row r="1215" spans="1:22" s="290" customFormat="1" ht="14.4">
      <c r="A1215" s="545">
        <v>111</v>
      </c>
      <c r="B1215" s="2" t="s">
        <v>77</v>
      </c>
      <c r="C1215" s="546">
        <v>114</v>
      </c>
      <c r="D1215" s="547">
        <v>198</v>
      </c>
      <c r="E1215" s="546">
        <v>103</v>
      </c>
      <c r="F1215" s="546">
        <v>79.5</v>
      </c>
      <c r="G1215" s="21">
        <f t="shared" si="119"/>
        <v>2.0596950000000001</v>
      </c>
      <c r="H1215" s="20">
        <f t="shared" si="120"/>
        <v>2.3250000000000002</v>
      </c>
      <c r="I1215" s="20">
        <f t="shared" si="121"/>
        <v>2.06</v>
      </c>
      <c r="J1215" s="20">
        <f t="shared" si="122"/>
        <v>1.3640000000000001</v>
      </c>
      <c r="K1215" s="72"/>
      <c r="L1215" s="826"/>
      <c r="M1215" s="20"/>
      <c r="N1215" s="20"/>
      <c r="O1215" s="20"/>
      <c r="P1215" s="20"/>
      <c r="Q1215" s="21"/>
      <c r="R1215" s="22" t="s">
        <v>16</v>
      </c>
      <c r="S1215" s="22" t="s">
        <v>16</v>
      </c>
      <c r="T1215" s="753">
        <f t="shared" si="123"/>
        <v>502.30661986243808</v>
      </c>
      <c r="U1215" s="22">
        <f t="shared" si="124"/>
        <v>0</v>
      </c>
      <c r="V1215" s="20"/>
    </row>
    <row r="1216" spans="1:22" s="290" customFormat="1" ht="14.4">
      <c r="A1216" s="545">
        <v>1511</v>
      </c>
      <c r="B1216" s="2" t="s">
        <v>77</v>
      </c>
      <c r="C1216" s="546">
        <v>114</v>
      </c>
      <c r="D1216" s="547">
        <v>198</v>
      </c>
      <c r="E1216" s="546">
        <v>103</v>
      </c>
      <c r="F1216" s="546">
        <v>87</v>
      </c>
      <c r="G1216" s="21">
        <f t="shared" si="119"/>
        <v>2.1443400000000001</v>
      </c>
      <c r="H1216" s="20">
        <f t="shared" si="120"/>
        <v>2.3250000000000002</v>
      </c>
      <c r="I1216" s="20">
        <f t="shared" si="121"/>
        <v>2.1440000000000001</v>
      </c>
      <c r="J1216" s="20">
        <f t="shared" si="122"/>
        <v>1.4930000000000001</v>
      </c>
      <c r="K1216" s="72"/>
      <c r="L1216" s="826"/>
      <c r="M1216" s="20"/>
      <c r="N1216" s="20"/>
      <c r="O1216" s="20"/>
      <c r="P1216" s="20"/>
      <c r="Q1216" s="21"/>
      <c r="R1216" s="22" t="s">
        <v>16</v>
      </c>
      <c r="S1216" s="22" t="s">
        <v>16</v>
      </c>
      <c r="T1216" s="753">
        <f t="shared" si="123"/>
        <v>735.67979829882518</v>
      </c>
      <c r="U1216" s="22">
        <f t="shared" si="124"/>
        <v>0</v>
      </c>
      <c r="V1216" s="20"/>
    </row>
    <row r="1217" spans="1:22" s="290" customFormat="1" ht="14.4">
      <c r="A1217" s="545">
        <v>211</v>
      </c>
      <c r="B1217" s="2" t="s">
        <v>77</v>
      </c>
      <c r="C1217" s="546">
        <v>114</v>
      </c>
      <c r="D1217" s="547">
        <v>198</v>
      </c>
      <c r="E1217" s="546">
        <v>103</v>
      </c>
      <c r="F1217" s="546">
        <v>91</v>
      </c>
      <c r="G1217" s="21">
        <f t="shared" si="119"/>
        <v>2.1894840000000002</v>
      </c>
      <c r="H1217" s="20">
        <f t="shared" si="120"/>
        <v>2.3250000000000002</v>
      </c>
      <c r="I1217" s="20">
        <f t="shared" si="121"/>
        <v>2.1890000000000001</v>
      </c>
      <c r="J1217" s="20">
        <f t="shared" si="122"/>
        <v>1.5609999999999999</v>
      </c>
      <c r="K1217" s="72"/>
      <c r="L1217" s="826"/>
      <c r="M1217" s="20"/>
      <c r="N1217" s="20"/>
      <c r="O1217" s="20"/>
      <c r="P1217" s="20"/>
      <c r="Q1217" s="21"/>
      <c r="R1217" s="22" t="s">
        <v>16</v>
      </c>
      <c r="S1217" s="22" t="s">
        <v>16</v>
      </c>
      <c r="T1217" s="753">
        <f t="shared" si="123"/>
        <v>979.85432590768312</v>
      </c>
      <c r="U1217" s="22">
        <f t="shared" si="124"/>
        <v>0</v>
      </c>
      <c r="V1217" s="20"/>
    </row>
    <row r="1218" spans="1:22" s="290" customFormat="1" ht="14.4">
      <c r="A1218" s="548">
        <v>311</v>
      </c>
      <c r="B1218" s="2" t="s">
        <v>77</v>
      </c>
      <c r="C1218" s="549">
        <v>114</v>
      </c>
      <c r="D1218" s="550">
        <v>198</v>
      </c>
      <c r="E1218" s="549">
        <v>103</v>
      </c>
      <c r="F1218" s="549">
        <v>95</v>
      </c>
      <c r="G1218" s="21">
        <f t="shared" si="119"/>
        <v>2.2346279999999998</v>
      </c>
      <c r="H1218" s="20">
        <f t="shared" si="120"/>
        <v>2.3250000000000002</v>
      </c>
      <c r="I1218" s="20">
        <f t="shared" si="121"/>
        <v>2.2349999999999999</v>
      </c>
      <c r="J1218" s="20">
        <f t="shared" si="122"/>
        <v>1.63</v>
      </c>
      <c r="K1218" s="72"/>
      <c r="L1218" s="826"/>
      <c r="M1218" s="20"/>
      <c r="N1218" s="20"/>
      <c r="O1218" s="20"/>
      <c r="P1218" s="20"/>
      <c r="Q1218" s="21"/>
      <c r="R1218" s="22" t="s">
        <v>16</v>
      </c>
      <c r="S1218" s="22" t="s">
        <v>16</v>
      </c>
      <c r="T1218" s="753">
        <f t="shared" si="123"/>
        <v>1468.6532308547175</v>
      </c>
      <c r="U1218" s="22">
        <f t="shared" si="124"/>
        <v>0</v>
      </c>
      <c r="V1218" s="20"/>
    </row>
    <row r="1219" spans="1:22" s="290" customFormat="1" ht="14.4">
      <c r="A1219" s="548">
        <v>411</v>
      </c>
      <c r="B1219" s="2" t="s">
        <v>77</v>
      </c>
      <c r="C1219" s="549">
        <v>114</v>
      </c>
      <c r="D1219" s="550">
        <v>198</v>
      </c>
      <c r="E1219" s="549">
        <v>103</v>
      </c>
      <c r="F1219" s="549">
        <v>97</v>
      </c>
      <c r="G1219" s="21">
        <f t="shared" si="119"/>
        <v>2.2572000000000001</v>
      </c>
      <c r="H1219" s="20">
        <f t="shared" si="120"/>
        <v>2.3250000000000002</v>
      </c>
      <c r="I1219" s="20">
        <f t="shared" si="121"/>
        <v>2.2570000000000001</v>
      </c>
      <c r="J1219" s="20">
        <f t="shared" si="122"/>
        <v>1.6639999999999999</v>
      </c>
      <c r="K1219" s="72"/>
      <c r="L1219" s="826"/>
      <c r="M1219" s="20"/>
      <c r="N1219" s="20"/>
      <c r="O1219" s="20"/>
      <c r="P1219" s="20"/>
      <c r="Q1219" s="21"/>
      <c r="R1219" s="22" t="s">
        <v>16</v>
      </c>
      <c r="S1219" s="22" t="s">
        <v>16</v>
      </c>
      <c r="T1219" s="753">
        <f t="shared" si="123"/>
        <v>1957.6775143010659</v>
      </c>
      <c r="U1219" s="22">
        <f t="shared" si="124"/>
        <v>0</v>
      </c>
      <c r="V1219" s="20"/>
    </row>
    <row r="1220" spans="1:22" s="290" customFormat="1" ht="14.4">
      <c r="A1220" s="548">
        <v>511</v>
      </c>
      <c r="B1220" s="2" t="s">
        <v>77</v>
      </c>
      <c r="C1220" s="549">
        <v>114</v>
      </c>
      <c r="D1220" s="550">
        <v>198</v>
      </c>
      <c r="E1220" s="549">
        <v>103</v>
      </c>
      <c r="F1220" s="549">
        <v>98</v>
      </c>
      <c r="G1220" s="21">
        <f t="shared" si="119"/>
        <v>2.2684859999999998</v>
      </c>
      <c r="H1220" s="20">
        <f t="shared" si="120"/>
        <v>2.3250000000000002</v>
      </c>
      <c r="I1220" s="20">
        <f t="shared" si="121"/>
        <v>2.2679999999999998</v>
      </c>
      <c r="J1220" s="20">
        <f t="shared" si="122"/>
        <v>1.681</v>
      </c>
      <c r="K1220" s="72"/>
      <c r="L1220" s="826"/>
      <c r="M1220" s="20"/>
      <c r="N1220" s="20"/>
      <c r="O1220" s="20"/>
      <c r="P1220" s="20"/>
      <c r="Q1220" s="21"/>
      <c r="R1220" s="22" t="s">
        <v>16</v>
      </c>
      <c r="S1220" s="22" t="s">
        <v>16</v>
      </c>
      <c r="T1220" s="753">
        <f t="shared" si="123"/>
        <v>2348.964625106134</v>
      </c>
      <c r="U1220" s="22">
        <f t="shared" si="124"/>
        <v>0</v>
      </c>
      <c r="V1220" s="20"/>
    </row>
    <row r="1221" spans="1:22" s="290" customFormat="1" ht="14.4">
      <c r="A1221" s="548">
        <v>611</v>
      </c>
      <c r="B1221" s="2" t="s">
        <v>77</v>
      </c>
      <c r="C1221" s="549">
        <v>114</v>
      </c>
      <c r="D1221" s="550">
        <v>198</v>
      </c>
      <c r="E1221" s="549">
        <v>103</v>
      </c>
      <c r="F1221" s="549">
        <v>99</v>
      </c>
      <c r="G1221" s="21">
        <f t="shared" si="119"/>
        <v>2.2797719999999999</v>
      </c>
      <c r="H1221" s="20">
        <f t="shared" si="120"/>
        <v>2.3250000000000002</v>
      </c>
      <c r="I1221" s="20">
        <f t="shared" si="121"/>
        <v>2.2799999999999998</v>
      </c>
      <c r="J1221" s="20">
        <f t="shared" si="122"/>
        <v>1.6990000000000001</v>
      </c>
      <c r="K1221" s="72"/>
      <c r="L1221" s="826"/>
      <c r="M1221" s="20"/>
      <c r="N1221" s="20"/>
      <c r="O1221" s="20"/>
      <c r="P1221" s="20"/>
      <c r="Q1221" s="21"/>
      <c r="R1221" s="22" t="s">
        <v>16</v>
      </c>
      <c r="S1221" s="22" t="s">
        <v>16</v>
      </c>
      <c r="T1221" s="753">
        <f t="shared" si="123"/>
        <v>2935.9517196302804</v>
      </c>
      <c r="U1221" s="22">
        <f t="shared" si="124"/>
        <v>0</v>
      </c>
      <c r="V1221" s="20"/>
    </row>
    <row r="1222" spans="1:22" s="290" customFormat="1" ht="14.4">
      <c r="A1222" s="548">
        <v>811</v>
      </c>
      <c r="B1222" s="2" t="s">
        <v>77</v>
      </c>
      <c r="C1222" s="549">
        <v>114</v>
      </c>
      <c r="D1222" s="550">
        <v>198</v>
      </c>
      <c r="E1222" s="549">
        <v>103</v>
      </c>
      <c r="F1222" s="549">
        <v>100</v>
      </c>
      <c r="G1222" s="21">
        <f t="shared" si="119"/>
        <v>2.291058</v>
      </c>
      <c r="H1222" s="20">
        <f t="shared" si="120"/>
        <v>2.3250000000000002</v>
      </c>
      <c r="I1222" s="20">
        <f t="shared" si="121"/>
        <v>2.2909999999999999</v>
      </c>
      <c r="J1222" s="20">
        <f t="shared" si="122"/>
        <v>1.716</v>
      </c>
      <c r="K1222" s="72"/>
      <c r="L1222" s="826"/>
      <c r="M1222" s="20"/>
      <c r="N1222" s="20"/>
      <c r="O1222" s="20"/>
      <c r="P1222" s="20"/>
      <c r="Q1222" s="21"/>
      <c r="R1222" s="22" t="s">
        <v>16</v>
      </c>
      <c r="S1222" s="22" t="s">
        <v>16</v>
      </c>
      <c r="T1222" s="753">
        <f t="shared" si="123"/>
        <v>3914.3388011259326</v>
      </c>
      <c r="U1222" s="22">
        <f t="shared" si="124"/>
        <v>0</v>
      </c>
      <c r="V1222" s="20"/>
    </row>
    <row r="1223" spans="1:22" s="290" customFormat="1" ht="14.4">
      <c r="A1223" s="551">
        <v>1512</v>
      </c>
      <c r="B1223" s="2" t="s">
        <v>77</v>
      </c>
      <c r="C1223" s="552">
        <v>120</v>
      </c>
      <c r="D1223" s="553">
        <v>198</v>
      </c>
      <c r="E1223" s="552">
        <v>103</v>
      </c>
      <c r="F1223" s="552">
        <v>86.5</v>
      </c>
      <c r="G1223" s="21">
        <f t="shared" si="119"/>
        <v>2.2512599999999998</v>
      </c>
      <c r="H1223" s="20">
        <f t="shared" si="120"/>
        <v>2.4470000000000001</v>
      </c>
      <c r="I1223" s="20">
        <f t="shared" si="121"/>
        <v>2.2509999999999999</v>
      </c>
      <c r="J1223" s="20">
        <f t="shared" si="122"/>
        <v>1.5620000000000001</v>
      </c>
      <c r="K1223" s="72"/>
      <c r="L1223" s="826"/>
      <c r="M1223" s="20"/>
      <c r="N1223" s="20"/>
      <c r="O1223" s="20"/>
      <c r="P1223" s="20"/>
      <c r="Q1223" s="21"/>
      <c r="R1223" s="22" t="s">
        <v>16</v>
      </c>
      <c r="S1223" s="22" t="s">
        <v>16</v>
      </c>
      <c r="T1223" s="753">
        <f t="shared" si="123"/>
        <v>750.85913464686871</v>
      </c>
      <c r="U1223" s="22">
        <f t="shared" si="124"/>
        <v>0</v>
      </c>
      <c r="V1223" s="20"/>
    </row>
    <row r="1224" spans="1:22" s="290" customFormat="1" ht="14.4">
      <c r="A1224" s="551">
        <v>212</v>
      </c>
      <c r="B1224" s="2" t="s">
        <v>77</v>
      </c>
      <c r="C1224" s="552">
        <v>120</v>
      </c>
      <c r="D1224" s="553">
        <v>198</v>
      </c>
      <c r="E1224" s="552">
        <v>103</v>
      </c>
      <c r="F1224" s="552">
        <v>90.3</v>
      </c>
      <c r="G1224" s="21">
        <f t="shared" si="119"/>
        <v>2.2964039999999999</v>
      </c>
      <c r="H1224" s="20">
        <f t="shared" si="120"/>
        <v>2.4470000000000001</v>
      </c>
      <c r="I1224" s="20">
        <f t="shared" si="121"/>
        <v>2.2959999999999998</v>
      </c>
      <c r="J1224" s="20">
        <f t="shared" si="122"/>
        <v>1.631</v>
      </c>
      <c r="K1224" s="72"/>
      <c r="L1224" s="826"/>
      <c r="M1224" s="20"/>
      <c r="N1224" s="20"/>
      <c r="O1224" s="20"/>
      <c r="P1224" s="20"/>
      <c r="Q1224" s="21"/>
      <c r="R1224" s="22" t="s">
        <v>16</v>
      </c>
      <c r="S1224" s="22" t="s">
        <v>16</v>
      </c>
      <c r="T1224" s="753">
        <f t="shared" si="123"/>
        <v>974.58999807448686</v>
      </c>
      <c r="U1224" s="22">
        <f t="shared" si="124"/>
        <v>0</v>
      </c>
      <c r="V1224" s="20"/>
    </row>
    <row r="1225" spans="1:22" s="290" customFormat="1" ht="14.4">
      <c r="A1225" s="554">
        <v>312</v>
      </c>
      <c r="B1225" s="2" t="s">
        <v>77</v>
      </c>
      <c r="C1225" s="555">
        <v>120</v>
      </c>
      <c r="D1225" s="556">
        <v>198</v>
      </c>
      <c r="E1225" s="555">
        <v>103</v>
      </c>
      <c r="F1225" s="555">
        <v>94.7</v>
      </c>
      <c r="G1225" s="21">
        <f t="shared" si="119"/>
        <v>2.3486760000000002</v>
      </c>
      <c r="H1225" s="20">
        <f t="shared" si="120"/>
        <v>2.4470000000000001</v>
      </c>
      <c r="I1225" s="20">
        <f t="shared" si="121"/>
        <v>2.3490000000000002</v>
      </c>
      <c r="J1225" s="20">
        <f t="shared" si="122"/>
        <v>1.71</v>
      </c>
      <c r="K1225" s="72"/>
      <c r="L1225" s="826"/>
      <c r="M1225" s="20"/>
      <c r="N1225" s="20"/>
      <c r="O1225" s="20"/>
      <c r="P1225" s="20"/>
      <c r="Q1225" s="21"/>
      <c r="R1225" s="22" t="s">
        <v>16</v>
      </c>
      <c r="S1225" s="22" t="s">
        <v>16</v>
      </c>
      <c r="T1225" s="753">
        <f t="shared" si="123"/>
        <v>1490.0468812311926</v>
      </c>
      <c r="U1225" s="22">
        <f t="shared" si="124"/>
        <v>0</v>
      </c>
      <c r="V1225" s="20"/>
    </row>
    <row r="1226" spans="1:22" s="290" customFormat="1" ht="14.4">
      <c r="A1226" s="557" t="s">
        <v>2107</v>
      </c>
      <c r="B1226" s="2" t="s">
        <v>77</v>
      </c>
      <c r="C1226" s="555">
        <v>120</v>
      </c>
      <c r="D1226" s="556">
        <v>198</v>
      </c>
      <c r="E1226" s="555">
        <v>71</v>
      </c>
      <c r="F1226" s="555">
        <v>63</v>
      </c>
      <c r="G1226" s="21">
        <f t="shared" si="119"/>
        <v>1.59192</v>
      </c>
      <c r="H1226" s="20">
        <f t="shared" si="120"/>
        <v>1.6870000000000001</v>
      </c>
      <c r="I1226" s="20">
        <f t="shared" si="121"/>
        <v>1.5920000000000001</v>
      </c>
      <c r="J1226" s="20">
        <f t="shared" si="122"/>
        <v>1.0169999999999999</v>
      </c>
      <c r="K1226" s="72"/>
      <c r="L1226" s="826"/>
      <c r="M1226" s="20"/>
      <c r="N1226" s="20"/>
      <c r="O1226" s="20"/>
      <c r="P1226" s="20"/>
      <c r="Q1226" s="21"/>
      <c r="R1226" s="22" t="s">
        <v>16</v>
      </c>
      <c r="S1226" s="22" t="s">
        <v>16</v>
      </c>
      <c r="T1226" s="753">
        <f t="shared" si="123"/>
        <v>1065.591502406058</v>
      </c>
      <c r="U1226" s="22">
        <f t="shared" si="124"/>
        <v>0</v>
      </c>
      <c r="V1226" s="20"/>
    </row>
    <row r="1227" spans="1:22" s="290" customFormat="1" ht="14.4">
      <c r="A1227" s="557" t="s">
        <v>2108</v>
      </c>
      <c r="B1227" s="2" t="s">
        <v>77</v>
      </c>
      <c r="C1227" s="555">
        <v>120</v>
      </c>
      <c r="D1227" s="556">
        <v>198</v>
      </c>
      <c r="E1227" s="555">
        <v>78</v>
      </c>
      <c r="F1227" s="555">
        <v>70</v>
      </c>
      <c r="G1227" s="21">
        <f t="shared" si="119"/>
        <v>1.75824</v>
      </c>
      <c r="H1227" s="20">
        <f t="shared" si="120"/>
        <v>1.853</v>
      </c>
      <c r="I1227" s="20">
        <f t="shared" si="121"/>
        <v>1.758</v>
      </c>
      <c r="J1227" s="20">
        <f t="shared" si="122"/>
        <v>1.159</v>
      </c>
      <c r="K1227" s="72"/>
      <c r="L1227" s="826"/>
      <c r="M1227" s="20"/>
      <c r="N1227" s="20"/>
      <c r="O1227" s="20"/>
      <c r="P1227" s="20"/>
      <c r="Q1227" s="21"/>
      <c r="R1227" s="22" t="s">
        <v>16</v>
      </c>
      <c r="S1227" s="22" t="s">
        <v>16</v>
      </c>
      <c r="T1227" s="753">
        <f t="shared" si="123"/>
        <v>1170.6498195446834</v>
      </c>
      <c r="U1227" s="22">
        <f t="shared" si="124"/>
        <v>0</v>
      </c>
      <c r="V1227" s="20"/>
    </row>
    <row r="1228" spans="1:22" s="290" customFormat="1" ht="14.4">
      <c r="A1228" s="383">
        <v>1516</v>
      </c>
      <c r="B1228" s="2" t="s">
        <v>77</v>
      </c>
      <c r="C1228" s="394">
        <v>160</v>
      </c>
      <c r="D1228" s="400">
        <v>198</v>
      </c>
      <c r="E1228" s="394">
        <v>103</v>
      </c>
      <c r="F1228" s="394">
        <v>81</v>
      </c>
      <c r="G1228" s="21">
        <f t="shared" si="119"/>
        <v>2.9145599999999998</v>
      </c>
      <c r="H1228" s="20">
        <f t="shared" si="120"/>
        <v>3.2629999999999999</v>
      </c>
      <c r="I1228" s="20">
        <f t="shared" si="121"/>
        <v>2.915</v>
      </c>
      <c r="J1228" s="20">
        <f t="shared" si="122"/>
        <v>1.95</v>
      </c>
      <c r="K1228" s="72"/>
      <c r="L1228" s="826"/>
      <c r="M1228" s="20"/>
      <c r="N1228" s="20"/>
      <c r="O1228" s="20"/>
      <c r="P1228" s="20"/>
      <c r="Q1228" s="21"/>
      <c r="R1228" s="22" t="s">
        <v>16</v>
      </c>
      <c r="S1228" s="22" t="s">
        <v>16</v>
      </c>
      <c r="T1228" s="753">
        <f t="shared" si="123"/>
        <v>750.85913464686871</v>
      </c>
      <c r="U1228" s="22">
        <f t="shared" si="124"/>
        <v>0</v>
      </c>
      <c r="V1228" s="20"/>
    </row>
    <row r="1229" spans="1:22" s="290" customFormat="1" ht="14.4">
      <c r="A1229" s="383">
        <v>216</v>
      </c>
      <c r="B1229" s="2" t="s">
        <v>77</v>
      </c>
      <c r="C1229" s="394">
        <v>160</v>
      </c>
      <c r="D1229" s="400">
        <v>198</v>
      </c>
      <c r="E1229" s="394">
        <v>103</v>
      </c>
      <c r="F1229" s="394">
        <v>86</v>
      </c>
      <c r="G1229" s="21">
        <f t="shared" si="119"/>
        <v>2.99376</v>
      </c>
      <c r="H1229" s="20">
        <f t="shared" si="120"/>
        <v>3.2629999999999999</v>
      </c>
      <c r="I1229" s="20">
        <f t="shared" si="121"/>
        <v>2.9940000000000002</v>
      </c>
      <c r="J1229" s="20">
        <f t="shared" si="122"/>
        <v>2.0710000000000002</v>
      </c>
      <c r="K1229" s="72"/>
      <c r="L1229" s="826"/>
      <c r="M1229" s="20"/>
      <c r="N1229" s="20"/>
      <c r="O1229" s="20"/>
      <c r="P1229" s="20"/>
      <c r="Q1229" s="21"/>
      <c r="R1229" s="22" t="s">
        <v>16</v>
      </c>
      <c r="S1229" s="22" t="s">
        <v>16</v>
      </c>
      <c r="T1229" s="753">
        <f t="shared" si="123"/>
        <v>970.778769622705</v>
      </c>
      <c r="U1229" s="22">
        <f t="shared" si="124"/>
        <v>0</v>
      </c>
      <c r="V1229" s="20"/>
    </row>
    <row r="1230" spans="1:22" s="290" customFormat="1" ht="14.4">
      <c r="A1230" s="383">
        <v>316</v>
      </c>
      <c r="B1230" s="2" t="s">
        <v>77</v>
      </c>
      <c r="C1230" s="394">
        <v>160</v>
      </c>
      <c r="D1230" s="400">
        <v>198</v>
      </c>
      <c r="E1230" s="394">
        <v>103</v>
      </c>
      <c r="F1230" s="394">
        <v>92</v>
      </c>
      <c r="G1230" s="21">
        <f t="shared" si="119"/>
        <v>3.0888</v>
      </c>
      <c r="H1230" s="20">
        <f t="shared" si="120"/>
        <v>3.2629999999999999</v>
      </c>
      <c r="I1230" s="20">
        <f t="shared" si="121"/>
        <v>3.089</v>
      </c>
      <c r="J1230" s="20">
        <f t="shared" si="122"/>
        <v>2.2149999999999999</v>
      </c>
      <c r="K1230" s="72"/>
      <c r="L1230" s="826"/>
      <c r="M1230" s="20"/>
      <c r="N1230" s="20"/>
      <c r="O1230" s="20"/>
      <c r="P1230" s="20"/>
      <c r="Q1230" s="21"/>
      <c r="R1230" s="22" t="s">
        <v>16</v>
      </c>
      <c r="S1230" s="22" t="s">
        <v>16</v>
      </c>
      <c r="T1230" s="753">
        <f t="shared" si="123"/>
        <v>1499.066713102048</v>
      </c>
      <c r="U1230" s="22">
        <f t="shared" si="124"/>
        <v>0</v>
      </c>
      <c r="V1230" s="20"/>
    </row>
    <row r="1231" spans="1:22" s="290" customFormat="1" ht="14.4">
      <c r="A1231" s="383">
        <v>416</v>
      </c>
      <c r="B1231" s="2" t="s">
        <v>77</v>
      </c>
      <c r="C1231" s="394">
        <v>160</v>
      </c>
      <c r="D1231" s="400">
        <v>198</v>
      </c>
      <c r="E1231" s="394">
        <v>103</v>
      </c>
      <c r="F1231" s="394">
        <v>94.5</v>
      </c>
      <c r="G1231" s="21">
        <f t="shared" si="119"/>
        <v>3.1284000000000001</v>
      </c>
      <c r="H1231" s="20">
        <f t="shared" si="120"/>
        <v>3.2629999999999999</v>
      </c>
      <c r="I1231" s="20">
        <f t="shared" si="121"/>
        <v>3.1280000000000001</v>
      </c>
      <c r="J1231" s="20">
        <f t="shared" si="122"/>
        <v>2.2759999999999998</v>
      </c>
      <c r="K1231" s="72"/>
      <c r="L1231" s="826"/>
      <c r="M1231" s="20"/>
      <c r="N1231" s="20"/>
      <c r="O1231" s="20"/>
      <c r="P1231" s="20"/>
      <c r="Q1231" s="21"/>
      <c r="R1231" s="22" t="s">
        <v>16</v>
      </c>
      <c r="S1231" s="22" t="s">
        <v>16</v>
      </c>
      <c r="T1231" s="753">
        <f t="shared" si="123"/>
        <v>1939.5073931802096</v>
      </c>
      <c r="U1231" s="22">
        <f t="shared" si="124"/>
        <v>0</v>
      </c>
      <c r="V1231" s="20"/>
    </row>
    <row r="1232" spans="1:22" s="290" customFormat="1" ht="14.4">
      <c r="A1232" s="383">
        <v>516</v>
      </c>
      <c r="B1232" s="2" t="s">
        <v>77</v>
      </c>
      <c r="C1232" s="394">
        <v>160</v>
      </c>
      <c r="D1232" s="400">
        <v>198</v>
      </c>
      <c r="E1232" s="394">
        <v>103</v>
      </c>
      <c r="F1232" s="394">
        <v>96.5</v>
      </c>
      <c r="G1232" s="21">
        <f t="shared" si="119"/>
        <v>3.1600799999999998</v>
      </c>
      <c r="H1232" s="20">
        <f t="shared" si="120"/>
        <v>3.2629999999999999</v>
      </c>
      <c r="I1232" s="20">
        <f t="shared" si="121"/>
        <v>3.16</v>
      </c>
      <c r="J1232" s="20">
        <f t="shared" si="122"/>
        <v>2.3239999999999998</v>
      </c>
      <c r="K1232" s="72"/>
      <c r="L1232" s="826"/>
      <c r="M1232" s="20"/>
      <c r="N1232" s="20"/>
      <c r="O1232" s="20"/>
      <c r="P1232" s="20"/>
      <c r="Q1232" s="21"/>
      <c r="R1232" s="22" t="s">
        <v>16</v>
      </c>
      <c r="S1232" s="22" t="s">
        <v>16</v>
      </c>
      <c r="T1232" s="753">
        <f t="shared" si="123"/>
        <v>2535.9076083187642</v>
      </c>
      <c r="U1232" s="22">
        <f t="shared" si="124"/>
        <v>0</v>
      </c>
      <c r="V1232" s="20"/>
    </row>
    <row r="1233" spans="1:22" s="290" customFormat="1" ht="14.4">
      <c r="A1233" s="383">
        <v>616</v>
      </c>
      <c r="B1233" s="2" t="s">
        <v>77</v>
      </c>
      <c r="C1233" s="394">
        <v>160</v>
      </c>
      <c r="D1233" s="400">
        <v>198</v>
      </c>
      <c r="E1233" s="394">
        <v>103</v>
      </c>
      <c r="F1233" s="394">
        <v>97.5</v>
      </c>
      <c r="G1233" s="21">
        <f t="shared" si="119"/>
        <v>3.1759200000000001</v>
      </c>
      <c r="H1233" s="20">
        <f t="shared" si="120"/>
        <v>3.2629999999999999</v>
      </c>
      <c r="I1233" s="20">
        <f t="shared" si="121"/>
        <v>3.1760000000000002</v>
      </c>
      <c r="J1233" s="20">
        <f t="shared" si="122"/>
        <v>2.3479999999999999</v>
      </c>
      <c r="K1233" s="72"/>
      <c r="L1233" s="826"/>
      <c r="M1233" s="20"/>
      <c r="N1233" s="20"/>
      <c r="O1233" s="20"/>
      <c r="P1233" s="20"/>
      <c r="Q1233" s="21"/>
      <c r="R1233" s="22" t="s">
        <v>16</v>
      </c>
      <c r="S1233" s="22" t="s">
        <v>16</v>
      </c>
      <c r="T1233" s="753">
        <f t="shared" si="123"/>
        <v>2996.8061818079445</v>
      </c>
      <c r="U1233" s="22">
        <f t="shared" si="124"/>
        <v>0</v>
      </c>
      <c r="V1233" s="20"/>
    </row>
    <row r="1234" spans="1:22" s="290" customFormat="1" ht="14.4">
      <c r="A1234" s="383">
        <v>716</v>
      </c>
      <c r="B1234" s="2" t="s">
        <v>77</v>
      </c>
      <c r="C1234" s="394">
        <v>160</v>
      </c>
      <c r="D1234" s="400">
        <v>198</v>
      </c>
      <c r="E1234" s="394">
        <v>103</v>
      </c>
      <c r="F1234" s="394">
        <v>98.2</v>
      </c>
      <c r="G1234" s="21">
        <f t="shared" si="119"/>
        <v>3.1870080000000001</v>
      </c>
      <c r="H1234" s="20">
        <f t="shared" si="120"/>
        <v>3.2629999999999999</v>
      </c>
      <c r="I1234" s="20">
        <f t="shared" si="121"/>
        <v>3.1869999999999998</v>
      </c>
      <c r="J1234" s="20">
        <f t="shared" si="122"/>
        <v>2.3650000000000002</v>
      </c>
      <c r="K1234" s="72"/>
      <c r="L1234" s="826"/>
      <c r="M1234" s="20"/>
      <c r="N1234" s="20"/>
      <c r="O1234" s="20"/>
      <c r="P1234" s="20"/>
      <c r="Q1234" s="21"/>
      <c r="R1234" s="22" t="s">
        <v>16</v>
      </c>
      <c r="S1234" s="22" t="s">
        <v>16</v>
      </c>
      <c r="T1234" s="753">
        <f t="shared" si="123"/>
        <v>3433.7195616092167</v>
      </c>
      <c r="U1234" s="22">
        <f t="shared" si="124"/>
        <v>0</v>
      </c>
      <c r="V1234" s="20"/>
    </row>
    <row r="1235" spans="1:22" s="290" customFormat="1" ht="14.4">
      <c r="A1235" s="383">
        <v>816</v>
      </c>
      <c r="B1235" s="2" t="s">
        <v>77</v>
      </c>
      <c r="C1235" s="394">
        <v>160</v>
      </c>
      <c r="D1235" s="400">
        <v>198</v>
      </c>
      <c r="E1235" s="394">
        <v>103</v>
      </c>
      <c r="F1235" s="394">
        <v>98.5</v>
      </c>
      <c r="G1235" s="21">
        <f t="shared" si="119"/>
        <v>3.1917599999999999</v>
      </c>
      <c r="H1235" s="20">
        <f t="shared" si="120"/>
        <v>3.2629999999999999</v>
      </c>
      <c r="I1235" s="20">
        <f t="shared" si="121"/>
        <v>3.1920000000000002</v>
      </c>
      <c r="J1235" s="20">
        <f t="shared" si="122"/>
        <v>2.3719999999999999</v>
      </c>
      <c r="K1235" s="72"/>
      <c r="L1235" s="826"/>
      <c r="M1235" s="20"/>
      <c r="N1235" s="20"/>
      <c r="O1235" s="20"/>
      <c r="P1235" s="20"/>
      <c r="Q1235" s="21"/>
      <c r="R1235" s="22" t="s">
        <v>16</v>
      </c>
      <c r="S1235" s="22" t="s">
        <v>16</v>
      </c>
      <c r="T1235" s="753">
        <f t="shared" si="123"/>
        <v>3662.5843136968565</v>
      </c>
      <c r="U1235" s="22">
        <f t="shared" si="124"/>
        <v>0</v>
      </c>
      <c r="V1235" s="20"/>
    </row>
    <row r="1236" spans="1:22" s="290" customFormat="1" ht="14.4">
      <c r="A1236" s="383">
        <v>916</v>
      </c>
      <c r="B1236" s="2" t="s">
        <v>77</v>
      </c>
      <c r="C1236" s="394">
        <v>160</v>
      </c>
      <c r="D1236" s="400">
        <v>198</v>
      </c>
      <c r="E1236" s="394">
        <v>103</v>
      </c>
      <c r="F1236" s="394">
        <v>100</v>
      </c>
      <c r="G1236" s="21">
        <f t="shared" si="119"/>
        <v>3.2155200000000002</v>
      </c>
      <c r="H1236" s="20">
        <f t="shared" si="120"/>
        <v>3.2629999999999999</v>
      </c>
      <c r="I1236" s="20">
        <f t="shared" si="121"/>
        <v>3.2160000000000002</v>
      </c>
      <c r="J1236" s="20">
        <f t="shared" si="122"/>
        <v>2.4079999999999999</v>
      </c>
      <c r="K1236" s="72"/>
      <c r="L1236" s="826"/>
      <c r="M1236" s="20"/>
      <c r="N1236" s="20"/>
      <c r="O1236" s="20"/>
      <c r="P1236" s="20"/>
      <c r="Q1236" s="21"/>
      <c r="R1236" s="22" t="s">
        <v>16</v>
      </c>
      <c r="S1236" s="22" t="s">
        <v>16</v>
      </c>
      <c r="T1236" s="753">
        <f t="shared" si="123"/>
        <v>5493.5747342792301</v>
      </c>
      <c r="U1236" s="22">
        <f t="shared" si="124"/>
        <v>0</v>
      </c>
      <c r="V1236" s="20"/>
    </row>
    <row r="1237" spans="1:22" s="290" customFormat="1" ht="14.4">
      <c r="A1237" s="558" t="s">
        <v>2109</v>
      </c>
      <c r="B1237" s="2" t="s">
        <v>77</v>
      </c>
      <c r="C1237" s="394">
        <v>160</v>
      </c>
      <c r="D1237" s="400">
        <v>198</v>
      </c>
      <c r="E1237" s="394">
        <v>71</v>
      </c>
      <c r="F1237" s="394">
        <v>63</v>
      </c>
      <c r="G1237" s="21">
        <f t="shared" si="119"/>
        <v>2.12256</v>
      </c>
      <c r="H1237" s="20">
        <f t="shared" si="120"/>
        <v>2.2490000000000001</v>
      </c>
      <c r="I1237" s="20">
        <f t="shared" si="121"/>
        <v>2.1230000000000002</v>
      </c>
      <c r="J1237" s="20">
        <f t="shared" si="122"/>
        <v>1.3560000000000001</v>
      </c>
      <c r="K1237" s="72"/>
      <c r="L1237" s="826"/>
      <c r="M1237" s="20"/>
      <c r="N1237" s="20"/>
      <c r="O1237" s="20"/>
      <c r="P1237" s="20"/>
      <c r="Q1237" s="21"/>
      <c r="R1237" s="22" t="s">
        <v>16</v>
      </c>
      <c r="S1237" s="22" t="s">
        <v>16</v>
      </c>
      <c r="T1237" s="753">
        <f t="shared" si="123"/>
        <v>1420.4436806857213</v>
      </c>
      <c r="U1237" s="22">
        <f t="shared" si="124"/>
        <v>0</v>
      </c>
      <c r="V1237" s="20"/>
    </row>
    <row r="1238" spans="1:22" s="290" customFormat="1" ht="14.4">
      <c r="A1238" s="558" t="s">
        <v>2110</v>
      </c>
      <c r="B1238" s="2" t="s">
        <v>77</v>
      </c>
      <c r="C1238" s="394">
        <v>160</v>
      </c>
      <c r="D1238" s="400">
        <v>198</v>
      </c>
      <c r="E1238" s="394">
        <v>78</v>
      </c>
      <c r="F1238" s="394">
        <v>70</v>
      </c>
      <c r="G1238" s="21">
        <f t="shared" si="119"/>
        <v>2.3443200000000002</v>
      </c>
      <c r="H1238" s="20">
        <f t="shared" si="120"/>
        <v>2.4710000000000001</v>
      </c>
      <c r="I1238" s="20">
        <f t="shared" si="121"/>
        <v>2.3439999999999999</v>
      </c>
      <c r="J1238" s="20">
        <f t="shared" si="122"/>
        <v>1.546</v>
      </c>
      <c r="K1238" s="72"/>
      <c r="L1238" s="826"/>
      <c r="M1238" s="20"/>
      <c r="N1238" s="20"/>
      <c r="O1238" s="20"/>
      <c r="P1238" s="20"/>
      <c r="Q1238" s="21"/>
      <c r="R1238" s="22" t="s">
        <v>16</v>
      </c>
      <c r="S1238" s="22" t="s">
        <v>16</v>
      </c>
      <c r="T1238" s="753">
        <f t="shared" si="123"/>
        <v>1560.4874238519192</v>
      </c>
      <c r="U1238" s="22">
        <f t="shared" si="124"/>
        <v>0</v>
      </c>
      <c r="V1238" s="20"/>
    </row>
    <row r="1239" spans="1:22" s="290" customFormat="1" ht="14.4">
      <c r="A1239" s="381">
        <v>1518</v>
      </c>
      <c r="B1239" s="2" t="s">
        <v>77</v>
      </c>
      <c r="C1239" s="390">
        <v>180</v>
      </c>
      <c r="D1239" s="399">
        <v>198</v>
      </c>
      <c r="E1239" s="390">
        <v>103</v>
      </c>
      <c r="F1239" s="390">
        <v>78</v>
      </c>
      <c r="G1239" s="21">
        <f t="shared" si="119"/>
        <v>3.2254200000000002</v>
      </c>
      <c r="H1239" s="20">
        <f t="shared" si="120"/>
        <v>3.6709999999999998</v>
      </c>
      <c r="I1239" s="20">
        <f t="shared" si="121"/>
        <v>3.2250000000000001</v>
      </c>
      <c r="J1239" s="20">
        <f t="shared" si="122"/>
        <v>2.113</v>
      </c>
      <c r="K1239" s="72"/>
      <c r="L1239" s="826"/>
      <c r="M1239" s="20"/>
      <c r="N1239" s="20"/>
      <c r="O1239" s="20"/>
      <c r="P1239" s="20"/>
      <c r="Q1239" s="21"/>
      <c r="R1239" s="22" t="s">
        <v>16</v>
      </c>
      <c r="S1239" s="22" t="s">
        <v>16</v>
      </c>
      <c r="T1239" s="753">
        <f t="shared" si="123"/>
        <v>743.38604372156465</v>
      </c>
      <c r="U1239" s="22">
        <f t="shared" si="124"/>
        <v>0</v>
      </c>
      <c r="V1239" s="20"/>
    </row>
    <row r="1240" spans="1:22" s="290" customFormat="1" ht="14.4">
      <c r="A1240" s="381">
        <v>218</v>
      </c>
      <c r="B1240" s="2" t="s">
        <v>77</v>
      </c>
      <c r="C1240" s="390">
        <v>180</v>
      </c>
      <c r="D1240" s="399">
        <v>198</v>
      </c>
      <c r="E1240" s="390">
        <v>103</v>
      </c>
      <c r="F1240" s="390">
        <v>84</v>
      </c>
      <c r="G1240" s="21">
        <f t="shared" si="119"/>
        <v>3.3323399999999999</v>
      </c>
      <c r="H1240" s="20">
        <f t="shared" si="120"/>
        <v>3.6709999999999998</v>
      </c>
      <c r="I1240" s="20">
        <f t="shared" si="121"/>
        <v>3.3319999999999999</v>
      </c>
      <c r="J1240" s="20">
        <f t="shared" si="122"/>
        <v>2.2759999999999998</v>
      </c>
      <c r="K1240" s="72"/>
      <c r="L1240" s="826"/>
      <c r="M1240" s="20"/>
      <c r="N1240" s="20"/>
      <c r="O1240" s="20"/>
      <c r="P1240" s="20"/>
      <c r="Q1240" s="21"/>
      <c r="R1240" s="22" t="s">
        <v>16</v>
      </c>
      <c r="S1240" s="22" t="s">
        <v>16</v>
      </c>
      <c r="T1240" s="753">
        <f t="shared" si="123"/>
        <v>977.14755638690963</v>
      </c>
      <c r="U1240" s="22">
        <f t="shared" si="124"/>
        <v>0</v>
      </c>
      <c r="V1240" s="20"/>
    </row>
    <row r="1241" spans="1:22" s="290" customFormat="1" ht="14.4">
      <c r="A1241" s="381">
        <v>318</v>
      </c>
      <c r="B1241" s="2" t="s">
        <v>77</v>
      </c>
      <c r="C1241" s="390">
        <v>180</v>
      </c>
      <c r="D1241" s="399">
        <v>198</v>
      </c>
      <c r="E1241" s="390">
        <v>103</v>
      </c>
      <c r="F1241" s="390">
        <v>90.5</v>
      </c>
      <c r="G1241" s="21">
        <f t="shared" si="119"/>
        <v>3.4481700000000002</v>
      </c>
      <c r="H1241" s="20">
        <f t="shared" si="120"/>
        <v>3.6709999999999998</v>
      </c>
      <c r="I1241" s="20">
        <f t="shared" si="121"/>
        <v>3.448</v>
      </c>
      <c r="J1241" s="20">
        <f t="shared" si="122"/>
        <v>2.452</v>
      </c>
      <c r="K1241" s="72"/>
      <c r="L1241" s="826"/>
      <c r="M1241" s="20"/>
      <c r="N1241" s="20"/>
      <c r="O1241" s="20"/>
      <c r="P1241" s="20"/>
      <c r="Q1241" s="21"/>
      <c r="R1241" s="22" t="s">
        <v>16</v>
      </c>
      <c r="S1241" s="22" t="s">
        <v>16</v>
      </c>
      <c r="T1241" s="753">
        <f t="shared" si="123"/>
        <v>1484.0938278963363</v>
      </c>
      <c r="U1241" s="22">
        <f t="shared" si="124"/>
        <v>0</v>
      </c>
      <c r="V1241" s="20"/>
    </row>
    <row r="1242" spans="1:22" s="290" customFormat="1" ht="14.4">
      <c r="A1242" s="381">
        <v>418</v>
      </c>
      <c r="B1242" s="2" t="s">
        <v>77</v>
      </c>
      <c r="C1242" s="390">
        <v>180</v>
      </c>
      <c r="D1242" s="399">
        <v>198</v>
      </c>
      <c r="E1242" s="390">
        <v>103</v>
      </c>
      <c r="F1242" s="390">
        <v>93.5</v>
      </c>
      <c r="G1242" s="21">
        <f t="shared" si="119"/>
        <v>3.50163</v>
      </c>
      <c r="H1242" s="20">
        <f t="shared" si="120"/>
        <v>3.6709999999999998</v>
      </c>
      <c r="I1242" s="20">
        <f t="shared" si="121"/>
        <v>3.5019999999999998</v>
      </c>
      <c r="J1242" s="20">
        <f t="shared" si="122"/>
        <v>2.5329999999999999</v>
      </c>
      <c r="K1242" s="72"/>
      <c r="L1242" s="826"/>
      <c r="M1242" s="20"/>
      <c r="N1242" s="20"/>
      <c r="O1242" s="20"/>
      <c r="P1242" s="20"/>
      <c r="Q1242" s="21"/>
      <c r="R1242" s="22" t="s">
        <v>16</v>
      </c>
      <c r="S1242" s="22" t="s">
        <v>16</v>
      </c>
      <c r="T1242" s="753">
        <f t="shared" si="123"/>
        <v>1952.2583429996232</v>
      </c>
      <c r="U1242" s="22">
        <f t="shared" si="124"/>
        <v>0</v>
      </c>
      <c r="V1242" s="20"/>
    </row>
    <row r="1243" spans="1:22" s="290" customFormat="1" ht="14.4">
      <c r="A1243" s="381">
        <v>518</v>
      </c>
      <c r="B1243" s="2" t="s">
        <v>77</v>
      </c>
      <c r="C1243" s="390">
        <v>180</v>
      </c>
      <c r="D1243" s="399">
        <v>198</v>
      </c>
      <c r="E1243" s="390">
        <v>103</v>
      </c>
      <c r="F1243" s="390">
        <v>95.5</v>
      </c>
      <c r="G1243" s="21">
        <f t="shared" si="119"/>
        <v>3.5372699999999999</v>
      </c>
      <c r="H1243" s="20">
        <f t="shared" si="120"/>
        <v>3.6709999999999998</v>
      </c>
      <c r="I1243" s="20">
        <f t="shared" si="121"/>
        <v>3.5369999999999999</v>
      </c>
      <c r="J1243" s="20">
        <f t="shared" si="122"/>
        <v>2.5870000000000002</v>
      </c>
      <c r="K1243" s="72"/>
      <c r="L1243" s="826"/>
      <c r="M1243" s="20"/>
      <c r="N1243" s="20"/>
      <c r="O1243" s="20"/>
      <c r="P1243" s="20"/>
      <c r="Q1243" s="21"/>
      <c r="R1243" s="22" t="s">
        <v>16</v>
      </c>
      <c r="S1243" s="22" t="s">
        <v>16</v>
      </c>
      <c r="T1243" s="753">
        <f t="shared" si="123"/>
        <v>2472.5364001365074</v>
      </c>
      <c r="U1243" s="22">
        <f t="shared" si="124"/>
        <v>0</v>
      </c>
      <c r="V1243" s="20"/>
    </row>
    <row r="1244" spans="1:22" s="290" customFormat="1" ht="14.4">
      <c r="A1244" s="381">
        <v>618</v>
      </c>
      <c r="B1244" s="2" t="s">
        <v>77</v>
      </c>
      <c r="C1244" s="390">
        <v>180</v>
      </c>
      <c r="D1244" s="399">
        <v>198</v>
      </c>
      <c r="E1244" s="390">
        <v>103</v>
      </c>
      <c r="F1244" s="390">
        <v>97</v>
      </c>
      <c r="G1244" s="21">
        <f t="shared" si="119"/>
        <v>3.5640000000000001</v>
      </c>
      <c r="H1244" s="20">
        <f t="shared" si="120"/>
        <v>3.6709999999999998</v>
      </c>
      <c r="I1244" s="20">
        <f t="shared" si="121"/>
        <v>3.5640000000000001</v>
      </c>
      <c r="J1244" s="20">
        <f t="shared" si="122"/>
        <v>2.6280000000000001</v>
      </c>
      <c r="K1244" s="72"/>
      <c r="L1244" s="826"/>
      <c r="M1244" s="20"/>
      <c r="N1244" s="20"/>
      <c r="O1244" s="20"/>
      <c r="P1244" s="20"/>
      <c r="Q1244" s="21"/>
      <c r="R1244" s="22" t="s">
        <v>16</v>
      </c>
      <c r="S1244" s="22" t="s">
        <v>16</v>
      </c>
      <c r="T1244" s="753">
        <f t="shared" si="123"/>
        <v>3090.4291368675649</v>
      </c>
      <c r="U1244" s="22">
        <f t="shared" si="124"/>
        <v>0</v>
      </c>
      <c r="V1244" s="20"/>
    </row>
    <row r="1245" spans="1:22" s="290" customFormat="1" ht="14.4">
      <c r="A1245" s="381">
        <v>718</v>
      </c>
      <c r="B1245" s="2" t="s">
        <v>77</v>
      </c>
      <c r="C1245" s="390">
        <v>180</v>
      </c>
      <c r="D1245" s="399">
        <v>198</v>
      </c>
      <c r="E1245" s="390">
        <v>103</v>
      </c>
      <c r="F1245" s="390">
        <v>97.7</v>
      </c>
      <c r="G1245" s="21">
        <f t="shared" si="119"/>
        <v>3.5764740000000002</v>
      </c>
      <c r="H1245" s="20">
        <f t="shared" si="120"/>
        <v>3.6709999999999998</v>
      </c>
      <c r="I1245" s="20">
        <f t="shared" si="121"/>
        <v>3.5760000000000001</v>
      </c>
      <c r="J1245" s="20">
        <f t="shared" si="122"/>
        <v>2.6469999999999998</v>
      </c>
      <c r="K1245" s="72"/>
      <c r="L1245" s="826"/>
      <c r="M1245" s="20"/>
      <c r="N1245" s="20"/>
      <c r="O1245" s="20"/>
      <c r="P1245" s="20"/>
      <c r="Q1245" s="21"/>
      <c r="R1245" s="22" t="s">
        <v>16</v>
      </c>
      <c r="S1245" s="22" t="s">
        <v>16</v>
      </c>
      <c r="T1245" s="753">
        <f t="shared" si="123"/>
        <v>3498.4922842298738</v>
      </c>
      <c r="U1245" s="22">
        <f t="shared" si="124"/>
        <v>0</v>
      </c>
      <c r="V1245" s="20"/>
    </row>
    <row r="1246" spans="1:22" s="290" customFormat="1" ht="14.4">
      <c r="A1246" s="381">
        <v>818</v>
      </c>
      <c r="B1246" s="2" t="s">
        <v>77</v>
      </c>
      <c r="C1246" s="390">
        <v>180</v>
      </c>
      <c r="D1246" s="399">
        <v>198</v>
      </c>
      <c r="E1246" s="390">
        <v>103</v>
      </c>
      <c r="F1246" s="390">
        <v>98.5</v>
      </c>
      <c r="G1246" s="21">
        <f t="shared" si="119"/>
        <v>3.5907300000000002</v>
      </c>
      <c r="H1246" s="20">
        <f t="shared" si="120"/>
        <v>3.6709999999999998</v>
      </c>
      <c r="I1246" s="20">
        <f t="shared" si="121"/>
        <v>3.5910000000000002</v>
      </c>
      <c r="J1246" s="20">
        <f t="shared" si="122"/>
        <v>2.6680000000000001</v>
      </c>
      <c r="K1246" s="72"/>
      <c r="L1246" s="826"/>
      <c r="M1246" s="20"/>
      <c r="N1246" s="20"/>
      <c r="O1246" s="20"/>
      <c r="P1246" s="20"/>
      <c r="Q1246" s="21"/>
      <c r="R1246" s="22" t="s">
        <v>16</v>
      </c>
      <c r="S1246" s="22" t="s">
        <v>16</v>
      </c>
      <c r="T1246" s="753">
        <f t="shared" si="123"/>
        <v>4120.3218624277397</v>
      </c>
      <c r="U1246" s="22">
        <f t="shared" si="124"/>
        <v>0</v>
      </c>
      <c r="V1246" s="20"/>
    </row>
    <row r="1247" spans="1:22" s="290" customFormat="1" ht="14.4">
      <c r="A1247" s="559" t="s">
        <v>2111</v>
      </c>
      <c r="B1247" s="2" t="s">
        <v>77</v>
      </c>
      <c r="C1247" s="390">
        <v>180</v>
      </c>
      <c r="D1247" s="399">
        <v>198</v>
      </c>
      <c r="E1247" s="390">
        <v>71</v>
      </c>
      <c r="F1247" s="390">
        <v>65</v>
      </c>
      <c r="G1247" s="21">
        <f t="shared" si="119"/>
        <v>2.4235199999999999</v>
      </c>
      <c r="H1247" s="20">
        <f t="shared" si="120"/>
        <v>2.5299999999999998</v>
      </c>
      <c r="I1247" s="20">
        <f t="shared" si="121"/>
        <v>2.4239999999999999</v>
      </c>
      <c r="J1247" s="20">
        <f t="shared" si="122"/>
        <v>1.5740000000000001</v>
      </c>
      <c r="K1247" s="72"/>
      <c r="L1247" s="826"/>
      <c r="M1247" s="20"/>
      <c r="N1247" s="20"/>
      <c r="O1247" s="20"/>
      <c r="P1247" s="20"/>
      <c r="Q1247" s="21"/>
      <c r="R1247" s="22" t="s">
        <v>16</v>
      </c>
      <c r="S1247" s="22" t="s">
        <v>16</v>
      </c>
      <c r="T1247" s="753">
        <f t="shared" si="123"/>
        <v>2130.2958127922047</v>
      </c>
      <c r="U1247" s="22">
        <f t="shared" si="124"/>
        <v>0</v>
      </c>
      <c r="V1247" s="20"/>
    </row>
    <row r="1248" spans="1:22" s="290" customFormat="1" ht="14.4">
      <c r="A1248" s="559" t="s">
        <v>2112</v>
      </c>
      <c r="B1248" s="2" t="s">
        <v>77</v>
      </c>
      <c r="C1248" s="390">
        <v>180</v>
      </c>
      <c r="D1248" s="399">
        <v>198</v>
      </c>
      <c r="E1248" s="390">
        <v>78</v>
      </c>
      <c r="F1248" s="390">
        <v>71</v>
      </c>
      <c r="G1248" s="21">
        <f t="shared" si="119"/>
        <v>2.6551800000000001</v>
      </c>
      <c r="H1248" s="20">
        <f t="shared" si="120"/>
        <v>2.78</v>
      </c>
      <c r="I1248" s="20">
        <f t="shared" si="121"/>
        <v>2.6549999999999998</v>
      </c>
      <c r="J1248" s="20">
        <f t="shared" si="122"/>
        <v>1.764</v>
      </c>
      <c r="K1248" s="72"/>
      <c r="L1248" s="826"/>
      <c r="M1248" s="20"/>
      <c r="N1248" s="20"/>
      <c r="O1248" s="20"/>
      <c r="P1248" s="20"/>
      <c r="Q1248" s="21"/>
      <c r="R1248" s="22" t="s">
        <v>16</v>
      </c>
      <c r="S1248" s="22" t="s">
        <v>16</v>
      </c>
      <c r="T1248" s="753">
        <f t="shared" si="123"/>
        <v>2006.093416548284</v>
      </c>
      <c r="U1248" s="22">
        <f t="shared" si="124"/>
        <v>0</v>
      </c>
      <c r="V1248" s="20"/>
    </row>
    <row r="1249" spans="1:22" s="290" customFormat="1" ht="14.4">
      <c r="A1249" s="385">
        <v>1520</v>
      </c>
      <c r="B1249" s="2" t="s">
        <v>77</v>
      </c>
      <c r="C1249" s="391">
        <v>200</v>
      </c>
      <c r="D1249" s="401">
        <v>198</v>
      </c>
      <c r="E1249" s="391">
        <v>103</v>
      </c>
      <c r="F1249" s="391">
        <v>75.5</v>
      </c>
      <c r="G1249" s="21">
        <f t="shared" si="119"/>
        <v>3.5343</v>
      </c>
      <c r="H1249" s="20">
        <f t="shared" si="120"/>
        <v>4.0789999999999997</v>
      </c>
      <c r="I1249" s="20">
        <f t="shared" si="121"/>
        <v>3.5339999999999998</v>
      </c>
      <c r="J1249" s="20">
        <f t="shared" si="122"/>
        <v>2.2730000000000001</v>
      </c>
      <c r="K1249" s="72"/>
      <c r="L1249" s="826"/>
      <c r="M1249" s="20"/>
      <c r="N1249" s="20"/>
      <c r="O1249" s="20"/>
      <c r="P1249" s="20"/>
      <c r="Q1249" s="21"/>
      <c r="R1249" s="22" t="s">
        <v>16</v>
      </c>
      <c r="S1249" s="22" t="s">
        <v>16</v>
      </c>
      <c r="T1249" s="753">
        <f t="shared" si="123"/>
        <v>750.85913464686882</v>
      </c>
      <c r="U1249" s="22">
        <f t="shared" si="124"/>
        <v>0</v>
      </c>
      <c r="V1249" s="20"/>
    </row>
    <row r="1250" spans="1:22" s="290" customFormat="1" ht="14.4">
      <c r="A1250" s="385">
        <v>220</v>
      </c>
      <c r="B1250" s="2" t="s">
        <v>77</v>
      </c>
      <c r="C1250" s="391">
        <v>200</v>
      </c>
      <c r="D1250" s="401">
        <v>198</v>
      </c>
      <c r="E1250" s="391">
        <v>103</v>
      </c>
      <c r="F1250" s="391">
        <v>82</v>
      </c>
      <c r="G1250" s="21">
        <f t="shared" si="119"/>
        <v>3.6629999999999998</v>
      </c>
      <c r="H1250" s="20">
        <f t="shared" si="120"/>
        <v>4.0789999999999997</v>
      </c>
      <c r="I1250" s="20">
        <f t="shared" si="121"/>
        <v>3.6629999999999998</v>
      </c>
      <c r="J1250" s="20">
        <f t="shared" si="122"/>
        <v>2.468</v>
      </c>
      <c r="K1250" s="72"/>
      <c r="L1250" s="826"/>
      <c r="M1250" s="20"/>
      <c r="N1250" s="20"/>
      <c r="O1250" s="20"/>
      <c r="P1250" s="20"/>
      <c r="Q1250" s="21"/>
      <c r="R1250" s="22" t="s">
        <v>16</v>
      </c>
      <c r="S1250" s="22" t="s">
        <v>16</v>
      </c>
      <c r="T1250" s="753">
        <f t="shared" si="123"/>
        <v>982.30332570756639</v>
      </c>
      <c r="U1250" s="22">
        <f t="shared" si="124"/>
        <v>0</v>
      </c>
      <c r="V1250" s="20"/>
    </row>
    <row r="1251" spans="1:22" s="290" customFormat="1" ht="14.4">
      <c r="A1251" s="385">
        <v>320</v>
      </c>
      <c r="B1251" s="2" t="s">
        <v>77</v>
      </c>
      <c r="C1251" s="391">
        <v>200</v>
      </c>
      <c r="D1251" s="401">
        <v>198</v>
      </c>
      <c r="E1251" s="391">
        <v>103</v>
      </c>
      <c r="F1251" s="391">
        <v>89</v>
      </c>
      <c r="G1251" s="21">
        <f t="shared" si="119"/>
        <v>3.8016000000000001</v>
      </c>
      <c r="H1251" s="20">
        <f t="shared" si="120"/>
        <v>4.0789999999999997</v>
      </c>
      <c r="I1251" s="20">
        <f t="shared" si="121"/>
        <v>3.802</v>
      </c>
      <c r="J1251" s="20">
        <f t="shared" si="122"/>
        <v>2.6789999999999998</v>
      </c>
      <c r="K1251" s="72"/>
      <c r="L1251" s="826"/>
      <c r="M1251" s="20"/>
      <c r="N1251" s="20"/>
      <c r="O1251" s="20"/>
      <c r="P1251" s="20"/>
      <c r="Q1251" s="21"/>
      <c r="R1251" s="22" t="s">
        <v>16</v>
      </c>
      <c r="S1251" s="22" t="s">
        <v>16</v>
      </c>
      <c r="T1251" s="753">
        <f t="shared" si="123"/>
        <v>1472.3295455896844</v>
      </c>
      <c r="U1251" s="22">
        <f t="shared" si="124"/>
        <v>0</v>
      </c>
      <c r="V1251" s="20"/>
    </row>
    <row r="1252" spans="1:22" s="290" customFormat="1" ht="14.4">
      <c r="A1252" s="385">
        <v>420</v>
      </c>
      <c r="B1252" s="2" t="s">
        <v>77</v>
      </c>
      <c r="C1252" s="391">
        <v>200</v>
      </c>
      <c r="D1252" s="401">
        <v>198</v>
      </c>
      <c r="E1252" s="391">
        <v>103</v>
      </c>
      <c r="F1252" s="391">
        <v>92.5</v>
      </c>
      <c r="G1252" s="21">
        <f t="shared" si="119"/>
        <v>3.8708999999999998</v>
      </c>
      <c r="H1252" s="20">
        <f t="shared" si="120"/>
        <v>4.0789999999999997</v>
      </c>
      <c r="I1252" s="20">
        <f t="shared" si="121"/>
        <v>3.871</v>
      </c>
      <c r="J1252" s="20">
        <f t="shared" si="122"/>
        <v>2.7839999999999998</v>
      </c>
      <c r="K1252" s="72"/>
      <c r="L1252" s="826"/>
      <c r="M1252" s="20"/>
      <c r="N1252" s="20"/>
      <c r="O1252" s="20"/>
      <c r="P1252" s="20"/>
      <c r="Q1252" s="21"/>
      <c r="R1252" s="22" t="s">
        <v>16</v>
      </c>
      <c r="S1252" s="22" t="s">
        <v>16</v>
      </c>
      <c r="T1252" s="753">
        <f t="shared" si="123"/>
        <v>1962.5805830040663</v>
      </c>
      <c r="U1252" s="22">
        <f t="shared" si="124"/>
        <v>0</v>
      </c>
      <c r="V1252" s="20"/>
    </row>
    <row r="1253" spans="1:22" s="290" customFormat="1" ht="14.4">
      <c r="A1253" s="385">
        <v>520</v>
      </c>
      <c r="B1253" s="2" t="s">
        <v>77</v>
      </c>
      <c r="C1253" s="391">
        <v>200</v>
      </c>
      <c r="D1253" s="401">
        <v>198</v>
      </c>
      <c r="E1253" s="391">
        <v>103</v>
      </c>
      <c r="F1253" s="391">
        <v>94.7</v>
      </c>
      <c r="G1253" s="21">
        <f t="shared" si="119"/>
        <v>3.9144600000000001</v>
      </c>
      <c r="H1253" s="20">
        <f t="shared" si="120"/>
        <v>4.0789999999999997</v>
      </c>
      <c r="I1253" s="20">
        <f t="shared" si="121"/>
        <v>3.9140000000000001</v>
      </c>
      <c r="J1253" s="20">
        <f t="shared" si="122"/>
        <v>2.85</v>
      </c>
      <c r="K1253" s="72"/>
      <c r="L1253" s="826"/>
      <c r="M1253" s="20"/>
      <c r="N1253" s="20"/>
      <c r="O1253" s="20"/>
      <c r="P1253" s="20"/>
      <c r="Q1253" s="21"/>
      <c r="R1253" s="22" t="s">
        <v>16</v>
      </c>
      <c r="S1253" s="22" t="s">
        <v>16</v>
      </c>
      <c r="T1253" s="753">
        <f t="shared" si="123"/>
        <v>2482.4619658420215</v>
      </c>
      <c r="U1253" s="22">
        <f t="shared" si="124"/>
        <v>0</v>
      </c>
      <c r="V1253" s="20"/>
    </row>
    <row r="1254" spans="1:22" s="290" customFormat="1" ht="14.4">
      <c r="A1254" s="385">
        <v>620</v>
      </c>
      <c r="B1254" s="2" t="s">
        <v>77</v>
      </c>
      <c r="C1254" s="391">
        <v>200</v>
      </c>
      <c r="D1254" s="401">
        <v>198</v>
      </c>
      <c r="E1254" s="391">
        <v>103</v>
      </c>
      <c r="F1254" s="391">
        <v>96.2</v>
      </c>
      <c r="G1254" s="21">
        <f t="shared" si="119"/>
        <v>3.9441600000000001</v>
      </c>
      <c r="H1254" s="20">
        <f t="shared" si="120"/>
        <v>4.0789999999999997</v>
      </c>
      <c r="I1254" s="20">
        <f t="shared" si="121"/>
        <v>3.944</v>
      </c>
      <c r="J1254" s="20">
        <f t="shared" si="122"/>
        <v>2.8959999999999999</v>
      </c>
      <c r="K1254" s="72"/>
      <c r="L1254" s="826"/>
      <c r="M1254" s="20"/>
      <c r="N1254" s="20"/>
      <c r="O1254" s="20"/>
      <c r="P1254" s="20"/>
      <c r="Q1254" s="21"/>
      <c r="R1254" s="22" t="s">
        <v>16</v>
      </c>
      <c r="S1254" s="22" t="s">
        <v>16</v>
      </c>
      <c r="T1254" s="753">
        <f t="shared" si="123"/>
        <v>3029.8494830830155</v>
      </c>
      <c r="U1254" s="22">
        <f t="shared" si="124"/>
        <v>0</v>
      </c>
      <c r="V1254" s="20"/>
    </row>
    <row r="1255" spans="1:22" s="290" customFormat="1" ht="14.4">
      <c r="A1255" s="385">
        <v>720</v>
      </c>
      <c r="B1255" s="2" t="s">
        <v>77</v>
      </c>
      <c r="C1255" s="391">
        <v>200</v>
      </c>
      <c r="D1255" s="401">
        <v>198</v>
      </c>
      <c r="E1255" s="391">
        <v>103</v>
      </c>
      <c r="F1255" s="391">
        <v>97</v>
      </c>
      <c r="G1255" s="21">
        <f t="shared" si="119"/>
        <v>3.96</v>
      </c>
      <c r="H1255" s="20">
        <f t="shared" si="120"/>
        <v>4.0789999999999997</v>
      </c>
      <c r="I1255" s="20">
        <f t="shared" si="121"/>
        <v>3.96</v>
      </c>
      <c r="J1255" s="20">
        <f t="shared" si="122"/>
        <v>2.92</v>
      </c>
      <c r="K1255" s="72"/>
      <c r="L1255" s="826"/>
      <c r="M1255" s="20"/>
      <c r="N1255" s="20"/>
      <c r="O1255" s="20"/>
      <c r="P1255" s="20"/>
      <c r="Q1255" s="21"/>
      <c r="R1255" s="22" t="s">
        <v>16</v>
      </c>
      <c r="S1255" s="22" t="s">
        <v>16</v>
      </c>
      <c r="T1255" s="753">
        <f t="shared" si="123"/>
        <v>3433.7195616092149</v>
      </c>
      <c r="U1255" s="22">
        <f t="shared" si="124"/>
        <v>0</v>
      </c>
      <c r="V1255" s="20"/>
    </row>
    <row r="1256" spans="1:22" s="290" customFormat="1" ht="14.4">
      <c r="A1256" s="385">
        <v>820</v>
      </c>
      <c r="B1256" s="2" t="s">
        <v>77</v>
      </c>
      <c r="C1256" s="391">
        <v>200</v>
      </c>
      <c r="D1256" s="401">
        <v>198</v>
      </c>
      <c r="E1256" s="391">
        <v>103</v>
      </c>
      <c r="F1256" s="391">
        <v>97.8</v>
      </c>
      <c r="G1256" s="21">
        <f t="shared" si="119"/>
        <v>3.9758399999999998</v>
      </c>
      <c r="H1256" s="20">
        <f t="shared" si="120"/>
        <v>4.0789999999999997</v>
      </c>
      <c r="I1256" s="20">
        <f t="shared" si="121"/>
        <v>3.976</v>
      </c>
      <c r="J1256" s="20">
        <f t="shared" si="122"/>
        <v>2.944</v>
      </c>
      <c r="K1256" s="72"/>
      <c r="L1256" s="826"/>
      <c r="M1256" s="20"/>
      <c r="N1256" s="20"/>
      <c r="O1256" s="20"/>
      <c r="P1256" s="20"/>
      <c r="Q1256" s="21"/>
      <c r="R1256" s="22" t="s">
        <v>16</v>
      </c>
      <c r="S1256" s="22" t="s">
        <v>16</v>
      </c>
      <c r="T1256" s="753">
        <f t="shared" si="123"/>
        <v>3961.8731973964668</v>
      </c>
      <c r="U1256" s="22">
        <f t="shared" si="124"/>
        <v>0</v>
      </c>
      <c r="V1256" s="20"/>
    </row>
    <row r="1257" spans="1:22" s="290" customFormat="1" ht="14.4">
      <c r="A1257" s="560" t="s">
        <v>2113</v>
      </c>
      <c r="B1257" s="2" t="s">
        <v>77</v>
      </c>
      <c r="C1257" s="391">
        <v>200</v>
      </c>
      <c r="D1257" s="401">
        <v>198</v>
      </c>
      <c r="E1257" s="391">
        <v>71</v>
      </c>
      <c r="F1257" s="391">
        <v>65</v>
      </c>
      <c r="G1257" s="21">
        <f t="shared" si="119"/>
        <v>2.6928000000000001</v>
      </c>
      <c r="H1257" s="20">
        <f t="shared" si="120"/>
        <v>2.8119999999999998</v>
      </c>
      <c r="I1257" s="20">
        <f t="shared" si="121"/>
        <v>2.6930000000000001</v>
      </c>
      <c r="J1257" s="20">
        <f t="shared" si="122"/>
        <v>1.7490000000000001</v>
      </c>
      <c r="K1257" s="72"/>
      <c r="L1257" s="826"/>
      <c r="M1257" s="20"/>
      <c r="N1257" s="20"/>
      <c r="O1257" s="20"/>
      <c r="P1257" s="20"/>
      <c r="Q1257" s="21"/>
      <c r="R1257" s="22" t="s">
        <v>16</v>
      </c>
      <c r="S1257" s="22" t="s">
        <v>16</v>
      </c>
      <c r="T1257" s="753">
        <f t="shared" si="123"/>
        <v>2366.9329016917891</v>
      </c>
      <c r="U1257" s="22">
        <f t="shared" si="124"/>
        <v>0</v>
      </c>
      <c r="V1257" s="20"/>
    </row>
    <row r="1258" spans="1:22" s="290" customFormat="1" ht="14.4">
      <c r="A1258" s="560" t="s">
        <v>2114</v>
      </c>
      <c r="B1258" s="2" t="s">
        <v>77</v>
      </c>
      <c r="C1258" s="391">
        <v>200</v>
      </c>
      <c r="D1258" s="401">
        <v>198</v>
      </c>
      <c r="E1258" s="391">
        <v>78</v>
      </c>
      <c r="F1258" s="391">
        <v>71</v>
      </c>
      <c r="G1258" s="21">
        <f t="shared" si="119"/>
        <v>2.9502000000000002</v>
      </c>
      <c r="H1258" s="20">
        <f t="shared" si="120"/>
        <v>3.089</v>
      </c>
      <c r="I1258" s="20">
        <f t="shared" si="121"/>
        <v>2.95</v>
      </c>
      <c r="J1258" s="20">
        <f t="shared" si="122"/>
        <v>1.96</v>
      </c>
      <c r="K1258" s="72"/>
      <c r="L1258" s="826"/>
      <c r="M1258" s="20"/>
      <c r="N1258" s="20"/>
      <c r="O1258" s="20"/>
      <c r="P1258" s="20"/>
      <c r="Q1258" s="21"/>
      <c r="R1258" s="22" t="s">
        <v>16</v>
      </c>
      <c r="S1258" s="22" t="s">
        <v>16</v>
      </c>
      <c r="T1258" s="753">
        <f t="shared" si="123"/>
        <v>2228.9126524484755</v>
      </c>
      <c r="U1258" s="22">
        <f t="shared" si="124"/>
        <v>0</v>
      </c>
      <c r="V1258" s="20"/>
    </row>
    <row r="1259" spans="1:22" s="290" customFormat="1" ht="14.4">
      <c r="A1259" s="384">
        <v>1522</v>
      </c>
      <c r="B1259" s="2" t="s">
        <v>77</v>
      </c>
      <c r="C1259" s="395">
        <v>220</v>
      </c>
      <c r="D1259" s="402">
        <v>198</v>
      </c>
      <c r="E1259" s="395">
        <v>103</v>
      </c>
      <c r="F1259" s="395">
        <v>72.5</v>
      </c>
      <c r="G1259" s="21">
        <f t="shared" si="119"/>
        <v>3.82239</v>
      </c>
      <c r="H1259" s="20">
        <f t="shared" si="120"/>
        <v>4.4870000000000001</v>
      </c>
      <c r="I1259" s="20">
        <f t="shared" si="121"/>
        <v>3.8220000000000001</v>
      </c>
      <c r="J1259" s="20">
        <f t="shared" si="122"/>
        <v>2.4</v>
      </c>
      <c r="K1259" s="72"/>
      <c r="L1259" s="826"/>
      <c r="M1259" s="20"/>
      <c r="N1259" s="20"/>
      <c r="O1259" s="20"/>
      <c r="P1259" s="20"/>
      <c r="Q1259" s="21"/>
      <c r="R1259" s="22" t="s">
        <v>16</v>
      </c>
      <c r="S1259" s="22" t="s">
        <v>16</v>
      </c>
      <c r="T1259" s="753">
        <f t="shared" si="123"/>
        <v>744.73362382229777</v>
      </c>
      <c r="U1259" s="22">
        <f t="shared" si="124"/>
        <v>0</v>
      </c>
      <c r="V1259" s="20"/>
    </row>
    <row r="1260" spans="1:22" s="290" customFormat="1" ht="14.4">
      <c r="A1260" s="384">
        <v>222</v>
      </c>
      <c r="B1260" s="2" t="s">
        <v>77</v>
      </c>
      <c r="C1260" s="395">
        <v>220</v>
      </c>
      <c r="D1260" s="402">
        <v>198</v>
      </c>
      <c r="E1260" s="395">
        <v>103</v>
      </c>
      <c r="F1260" s="395">
        <v>80</v>
      </c>
      <c r="G1260" s="21">
        <f t="shared" si="119"/>
        <v>3.9857399999999998</v>
      </c>
      <c r="H1260" s="20">
        <f t="shared" si="120"/>
        <v>4.4870000000000001</v>
      </c>
      <c r="I1260" s="20">
        <f t="shared" si="121"/>
        <v>3.9860000000000002</v>
      </c>
      <c r="J1260" s="20">
        <f t="shared" si="122"/>
        <v>2.649</v>
      </c>
      <c r="K1260" s="72"/>
      <c r="L1260" s="826"/>
      <c r="M1260" s="20"/>
      <c r="N1260" s="20"/>
      <c r="O1260" s="20"/>
      <c r="P1260" s="20"/>
      <c r="Q1260" s="21"/>
      <c r="R1260" s="22" t="s">
        <v>16</v>
      </c>
      <c r="S1260" s="22" t="s">
        <v>16</v>
      </c>
      <c r="T1260" s="753">
        <f t="shared" si="123"/>
        <v>986.5624958047739</v>
      </c>
      <c r="U1260" s="22">
        <f t="shared" si="124"/>
        <v>0</v>
      </c>
      <c r="V1260" s="20"/>
    </row>
    <row r="1261" spans="1:22" s="290" customFormat="1" ht="14.4">
      <c r="A1261" s="384">
        <v>322</v>
      </c>
      <c r="B1261" s="2" t="s">
        <v>77</v>
      </c>
      <c r="C1261" s="395">
        <v>220</v>
      </c>
      <c r="D1261" s="402">
        <v>198</v>
      </c>
      <c r="E1261" s="395">
        <v>103</v>
      </c>
      <c r="F1261" s="395">
        <v>88</v>
      </c>
      <c r="G1261" s="21">
        <f t="shared" si="119"/>
        <v>4.15998</v>
      </c>
      <c r="H1261" s="20">
        <f t="shared" si="120"/>
        <v>4.4870000000000001</v>
      </c>
      <c r="I1261" s="20">
        <f t="shared" si="121"/>
        <v>4.16</v>
      </c>
      <c r="J1261" s="20">
        <f t="shared" si="122"/>
        <v>2.9140000000000001</v>
      </c>
      <c r="K1261" s="72"/>
      <c r="L1261" s="826"/>
      <c r="M1261" s="20"/>
      <c r="N1261" s="20"/>
      <c r="O1261" s="20"/>
      <c r="P1261" s="20"/>
      <c r="Q1261" s="21"/>
      <c r="R1261" s="22" t="s">
        <v>16</v>
      </c>
      <c r="S1261" s="22" t="s">
        <v>16</v>
      </c>
      <c r="T1261" s="753">
        <f t="shared" si="123"/>
        <v>1511.5442526693612</v>
      </c>
      <c r="U1261" s="22">
        <f t="shared" si="124"/>
        <v>0</v>
      </c>
      <c r="V1261" s="20"/>
    </row>
    <row r="1262" spans="1:22" s="290" customFormat="1" ht="14.4">
      <c r="A1262" s="384">
        <v>422</v>
      </c>
      <c r="B1262" s="2" t="s">
        <v>77</v>
      </c>
      <c r="C1262" s="395">
        <v>220</v>
      </c>
      <c r="D1262" s="402">
        <v>198</v>
      </c>
      <c r="E1262" s="395">
        <v>103</v>
      </c>
      <c r="F1262" s="395">
        <v>91.5</v>
      </c>
      <c r="G1262" s="21">
        <f t="shared" si="119"/>
        <v>4.2362099999999998</v>
      </c>
      <c r="H1262" s="20">
        <f t="shared" si="120"/>
        <v>4.4870000000000001</v>
      </c>
      <c r="I1262" s="20">
        <f t="shared" si="121"/>
        <v>4.2359999999999998</v>
      </c>
      <c r="J1262" s="20">
        <f t="shared" si="122"/>
        <v>3.03</v>
      </c>
      <c r="K1262" s="72"/>
      <c r="L1262" s="826"/>
      <c r="M1262" s="20"/>
      <c r="N1262" s="20"/>
      <c r="O1262" s="20"/>
      <c r="P1262" s="20"/>
      <c r="Q1262" s="21"/>
      <c r="R1262" s="22" t="s">
        <v>16</v>
      </c>
      <c r="S1262" s="22" t="s">
        <v>16</v>
      </c>
      <c r="T1262" s="753">
        <f t="shared" si="123"/>
        <v>1971.1076790764573</v>
      </c>
      <c r="U1262" s="22">
        <f t="shared" si="124"/>
        <v>0</v>
      </c>
      <c r="V1262" s="20"/>
    </row>
    <row r="1263" spans="1:22" s="290" customFormat="1" ht="14.4">
      <c r="A1263" s="384">
        <v>522</v>
      </c>
      <c r="B1263" s="2" t="s">
        <v>77</v>
      </c>
      <c r="C1263" s="395">
        <v>220</v>
      </c>
      <c r="D1263" s="402">
        <v>198</v>
      </c>
      <c r="E1263" s="395">
        <v>103</v>
      </c>
      <c r="F1263" s="395">
        <v>94</v>
      </c>
      <c r="G1263" s="21">
        <f t="shared" si="119"/>
        <v>4.2906599999999999</v>
      </c>
      <c r="H1263" s="20">
        <f t="shared" si="120"/>
        <v>4.4870000000000001</v>
      </c>
      <c r="I1263" s="20">
        <f t="shared" si="121"/>
        <v>4.2910000000000004</v>
      </c>
      <c r="J1263" s="20">
        <f t="shared" si="122"/>
        <v>3.1120000000000001</v>
      </c>
      <c r="K1263" s="72"/>
      <c r="L1263" s="826"/>
      <c r="M1263" s="20"/>
      <c r="N1263" s="20"/>
      <c r="O1263" s="20"/>
      <c r="P1263" s="20"/>
      <c r="Q1263" s="21"/>
      <c r="R1263" s="22" t="s">
        <v>16</v>
      </c>
      <c r="S1263" s="22" t="s">
        <v>16</v>
      </c>
      <c r="T1263" s="753">
        <f t="shared" si="123"/>
        <v>2518.3044272429825</v>
      </c>
      <c r="U1263" s="22">
        <f t="shared" si="124"/>
        <v>0</v>
      </c>
      <c r="V1263" s="20"/>
    </row>
    <row r="1264" spans="1:22" s="290" customFormat="1" ht="14.4">
      <c r="A1264" s="384">
        <v>622</v>
      </c>
      <c r="B1264" s="2" t="s">
        <v>77</v>
      </c>
      <c r="C1264" s="395">
        <v>220</v>
      </c>
      <c r="D1264" s="402">
        <v>198</v>
      </c>
      <c r="E1264" s="395">
        <v>103</v>
      </c>
      <c r="F1264" s="395">
        <v>95.5</v>
      </c>
      <c r="G1264" s="21">
        <f t="shared" si="119"/>
        <v>4.3233300000000003</v>
      </c>
      <c r="H1264" s="20">
        <f t="shared" si="120"/>
        <v>4.4870000000000001</v>
      </c>
      <c r="I1264" s="20">
        <f t="shared" si="121"/>
        <v>4.3230000000000004</v>
      </c>
      <c r="J1264" s="20">
        <f t="shared" si="122"/>
        <v>3.1619999999999999</v>
      </c>
      <c r="K1264" s="72"/>
      <c r="L1264" s="826"/>
      <c r="M1264" s="20"/>
      <c r="N1264" s="20"/>
      <c r="O1264" s="20"/>
      <c r="P1264" s="20"/>
      <c r="Q1264" s="21"/>
      <c r="R1264" s="22" t="s">
        <v>16</v>
      </c>
      <c r="S1264" s="22" t="s">
        <v>16</v>
      </c>
      <c r="T1264" s="753">
        <f t="shared" si="123"/>
        <v>3021.7722219106968</v>
      </c>
      <c r="U1264" s="22">
        <f t="shared" si="124"/>
        <v>0</v>
      </c>
      <c r="V1264" s="20"/>
    </row>
    <row r="1265" spans="1:22" s="290" customFormat="1" ht="14.4">
      <c r="A1265" s="420">
        <v>722</v>
      </c>
      <c r="B1265" s="2" t="s">
        <v>77</v>
      </c>
      <c r="C1265" s="412">
        <v>220</v>
      </c>
      <c r="D1265" s="413">
        <v>198</v>
      </c>
      <c r="E1265" s="412">
        <v>103</v>
      </c>
      <c r="F1265" s="412">
        <v>96.5</v>
      </c>
      <c r="G1265" s="21">
        <f t="shared" si="119"/>
        <v>4.34511</v>
      </c>
      <c r="H1265" s="20">
        <f t="shared" si="120"/>
        <v>4.4870000000000001</v>
      </c>
      <c r="I1265" s="20">
        <f t="shared" si="121"/>
        <v>4.3449999999999998</v>
      </c>
      <c r="J1265" s="20">
        <f t="shared" si="122"/>
        <v>3.1949999999999998</v>
      </c>
      <c r="K1265" s="72"/>
      <c r="L1265" s="826"/>
      <c r="M1265" s="20"/>
      <c r="N1265" s="20"/>
      <c r="O1265" s="20"/>
      <c r="P1265" s="20"/>
      <c r="Q1265" s="21"/>
      <c r="R1265" s="22" t="s">
        <v>16</v>
      </c>
      <c r="S1265" s="22" t="s">
        <v>16</v>
      </c>
      <c r="T1265" s="753">
        <f t="shared" si="123"/>
        <v>3486.5342231295044</v>
      </c>
      <c r="U1265" s="22">
        <f t="shared" si="124"/>
        <v>0</v>
      </c>
      <c r="V1265" s="20"/>
    </row>
    <row r="1266" spans="1:22" s="290" customFormat="1" ht="14.4">
      <c r="A1266" s="384">
        <v>822</v>
      </c>
      <c r="B1266" s="2" t="s">
        <v>77</v>
      </c>
      <c r="C1266" s="395">
        <v>220</v>
      </c>
      <c r="D1266" s="402">
        <v>198</v>
      </c>
      <c r="E1266" s="395">
        <v>103</v>
      </c>
      <c r="F1266" s="395">
        <v>97.3</v>
      </c>
      <c r="G1266" s="21">
        <f t="shared" si="119"/>
        <v>4.3625340000000001</v>
      </c>
      <c r="H1266" s="20">
        <f>ROUND(C1266*D1266*E1266/10^6,3)</f>
        <v>4.4870000000000001</v>
      </c>
      <c r="I1266" s="20">
        <f>IF(F1266="","-",ROUND((E1266+F1266)*C1266/2*D1266/10^6,3))</f>
        <v>4.3630000000000004</v>
      </c>
      <c r="J1266" s="20">
        <f>IF(F1266="","-",ROUND((D1266+E1266)*C1266/2*F1266/10^6,3))</f>
        <v>3.222</v>
      </c>
      <c r="K1266" s="72"/>
      <c r="L1266" s="826"/>
      <c r="M1266" s="20"/>
      <c r="N1266" s="20"/>
      <c r="O1266" s="20"/>
      <c r="P1266" s="20"/>
      <c r="Q1266" s="21"/>
      <c r="R1266" s="22" t="s">
        <v>16</v>
      </c>
      <c r="S1266" s="22" t="s">
        <v>16</v>
      </c>
      <c r="T1266" s="753">
        <f t="shared" si="123"/>
        <v>3975.7721620425045</v>
      </c>
      <c r="U1266" s="22">
        <f t="shared" si="124"/>
        <v>0</v>
      </c>
      <c r="V1266" s="20"/>
    </row>
    <row r="1267" spans="1:22" s="290" customFormat="1" ht="14.4">
      <c r="A1267" s="561" t="s">
        <v>2115</v>
      </c>
      <c r="B1267" s="2" t="s">
        <v>77</v>
      </c>
      <c r="C1267" s="395">
        <v>220</v>
      </c>
      <c r="D1267" s="402">
        <v>198</v>
      </c>
      <c r="E1267" s="395">
        <v>71</v>
      </c>
      <c r="F1267" s="395">
        <v>65</v>
      </c>
      <c r="G1267" s="21">
        <f t="shared" si="119"/>
        <v>2.9620799999999998</v>
      </c>
      <c r="H1267" s="20">
        <f t="shared" si="120"/>
        <v>3.093</v>
      </c>
      <c r="I1267" s="20">
        <f t="shared" si="121"/>
        <v>2.9620000000000002</v>
      </c>
      <c r="J1267" s="20">
        <f t="shared" si="122"/>
        <v>1.923</v>
      </c>
      <c r="K1267" s="72"/>
      <c r="L1267" s="826"/>
      <c r="M1267" s="20"/>
      <c r="N1267" s="20"/>
      <c r="O1267" s="20"/>
      <c r="P1267" s="20"/>
      <c r="Q1267" s="21"/>
      <c r="R1267" s="22" t="s">
        <v>16</v>
      </c>
      <c r="S1267" s="22" t="s">
        <v>16</v>
      </c>
      <c r="T1267" s="753">
        <f t="shared" si="123"/>
        <v>2603.5753675368119</v>
      </c>
      <c r="U1267" s="22">
        <f t="shared" si="124"/>
        <v>0</v>
      </c>
      <c r="V1267" s="20"/>
    </row>
    <row r="1268" spans="1:22" s="290" customFormat="1" ht="14.4">
      <c r="A1268" s="561" t="s">
        <v>2116</v>
      </c>
      <c r="B1268" s="2" t="s">
        <v>77</v>
      </c>
      <c r="C1268" s="395">
        <v>220</v>
      </c>
      <c r="D1268" s="402">
        <v>198</v>
      </c>
      <c r="E1268" s="395">
        <v>78</v>
      </c>
      <c r="F1268" s="395">
        <v>71</v>
      </c>
      <c r="G1268" s="21">
        <f t="shared" si="119"/>
        <v>3.2452200000000002</v>
      </c>
      <c r="H1268" s="20">
        <f t="shared" si="120"/>
        <v>3.3980000000000001</v>
      </c>
      <c r="I1268" s="20">
        <f t="shared" si="121"/>
        <v>3.2450000000000001</v>
      </c>
      <c r="J1268" s="20">
        <f t="shared" si="122"/>
        <v>2.1560000000000001</v>
      </c>
      <c r="K1268" s="72"/>
      <c r="L1268" s="826"/>
      <c r="M1268" s="20"/>
      <c r="N1268" s="20"/>
      <c r="O1268" s="20"/>
      <c r="P1268" s="20"/>
      <c r="Q1268" s="21"/>
      <c r="R1268" s="22" t="s">
        <v>16</v>
      </c>
      <c r="S1268" s="22" t="s">
        <v>16</v>
      </c>
      <c r="T1268" s="753">
        <f t="shared" si="123"/>
        <v>2451.7387790742155</v>
      </c>
      <c r="U1268" s="22">
        <f t="shared" si="124"/>
        <v>0</v>
      </c>
      <c r="V1268" s="20"/>
    </row>
    <row r="1269" spans="1:22" s="290" customFormat="1" ht="14.4">
      <c r="A1269" s="421">
        <v>1523</v>
      </c>
      <c r="B1269" s="2" t="s">
        <v>77</v>
      </c>
      <c r="C1269" s="422">
        <v>230</v>
      </c>
      <c r="D1269" s="415">
        <v>198</v>
      </c>
      <c r="E1269" s="422">
        <v>103</v>
      </c>
      <c r="F1269" s="422">
        <v>71.5</v>
      </c>
      <c r="G1269" s="21">
        <f t="shared" si="119"/>
        <v>3.9733649999999998</v>
      </c>
      <c r="H1269" s="20">
        <f t="shared" si="120"/>
        <v>4.6909999999999998</v>
      </c>
      <c r="I1269" s="20">
        <f t="shared" si="121"/>
        <v>3.9729999999999999</v>
      </c>
      <c r="J1269" s="20">
        <f t="shared" si="122"/>
        <v>2.4750000000000001</v>
      </c>
      <c r="K1269" s="72"/>
      <c r="L1269" s="826"/>
      <c r="M1269" s="20"/>
      <c r="N1269" s="20"/>
      <c r="O1269" s="20"/>
      <c r="P1269" s="20"/>
      <c r="Q1269" s="21"/>
      <c r="R1269" s="22" t="s">
        <v>16</v>
      </c>
      <c r="S1269" s="22" t="s">
        <v>16</v>
      </c>
      <c r="T1269" s="753">
        <f t="shared" si="123"/>
        <v>753.82474494721532</v>
      </c>
      <c r="U1269" s="22">
        <f t="shared" si="124"/>
        <v>0</v>
      </c>
      <c r="V1269" s="20"/>
    </row>
    <row r="1270" spans="1:22" s="290" customFormat="1" ht="14.4">
      <c r="A1270" s="421">
        <v>223</v>
      </c>
      <c r="B1270" s="2" t="s">
        <v>77</v>
      </c>
      <c r="C1270" s="422">
        <v>230</v>
      </c>
      <c r="D1270" s="415">
        <v>198</v>
      </c>
      <c r="E1270" s="422">
        <v>103</v>
      </c>
      <c r="F1270" s="422">
        <v>79.5</v>
      </c>
      <c r="G1270" s="21">
        <f t="shared" si="119"/>
        <v>4.1555249999999999</v>
      </c>
      <c r="H1270" s="20">
        <f t="shared" si="120"/>
        <v>4.6909999999999998</v>
      </c>
      <c r="I1270" s="20">
        <f t="shared" si="121"/>
        <v>4.1559999999999997</v>
      </c>
      <c r="J1270" s="20">
        <f t="shared" si="122"/>
        <v>2.7519999999999998</v>
      </c>
      <c r="K1270" s="72"/>
      <c r="L1270" s="826"/>
      <c r="M1270" s="20"/>
      <c r="N1270" s="20"/>
      <c r="O1270" s="20"/>
      <c r="P1270" s="20"/>
      <c r="Q1270" s="21"/>
      <c r="R1270" s="22" t="s">
        <v>16</v>
      </c>
      <c r="S1270" s="22" t="s">
        <v>16</v>
      </c>
      <c r="T1270" s="753">
        <f t="shared" si="123"/>
        <v>1009.3997383153918</v>
      </c>
      <c r="U1270" s="22">
        <f t="shared" si="124"/>
        <v>0</v>
      </c>
      <c r="V1270" s="20"/>
    </row>
    <row r="1271" spans="1:22" s="290" customFormat="1" ht="14.4">
      <c r="A1271" s="421">
        <v>323</v>
      </c>
      <c r="B1271" s="2" t="s">
        <v>77</v>
      </c>
      <c r="C1271" s="422">
        <v>230</v>
      </c>
      <c r="D1271" s="415">
        <v>198</v>
      </c>
      <c r="E1271" s="422">
        <v>103</v>
      </c>
      <c r="F1271" s="422">
        <v>87</v>
      </c>
      <c r="G1271" s="21">
        <f t="shared" si="119"/>
        <v>4.3262999999999998</v>
      </c>
      <c r="H1271" s="20">
        <f t="shared" si="120"/>
        <v>4.6909999999999998</v>
      </c>
      <c r="I1271" s="20">
        <f t="shared" si="121"/>
        <v>4.3259999999999996</v>
      </c>
      <c r="J1271" s="20">
        <f t="shared" si="122"/>
        <v>3.012</v>
      </c>
      <c r="K1271" s="72"/>
      <c r="L1271" s="826"/>
      <c r="M1271" s="20"/>
      <c r="N1271" s="20"/>
      <c r="O1271" s="20"/>
      <c r="P1271" s="20"/>
      <c r="Q1271" s="21"/>
      <c r="R1271" s="22" t="s">
        <v>16</v>
      </c>
      <c r="S1271" s="22" t="s">
        <v>16</v>
      </c>
      <c r="T1271" s="753">
        <f t="shared" si="123"/>
        <v>1481.5203814409711</v>
      </c>
      <c r="U1271" s="22">
        <f t="shared" si="124"/>
        <v>0</v>
      </c>
      <c r="V1271" s="20"/>
    </row>
    <row r="1272" spans="1:22" s="290" customFormat="1" ht="14.4">
      <c r="A1272" s="421">
        <v>423</v>
      </c>
      <c r="B1272" s="2" t="s">
        <v>77</v>
      </c>
      <c r="C1272" s="422">
        <v>230</v>
      </c>
      <c r="D1272" s="415">
        <v>198</v>
      </c>
      <c r="E1272" s="422">
        <v>103</v>
      </c>
      <c r="F1272" s="422">
        <v>91</v>
      </c>
      <c r="G1272" s="21">
        <f t="shared" si="119"/>
        <v>4.4173799999999996</v>
      </c>
      <c r="H1272" s="20">
        <f t="shared" si="120"/>
        <v>4.6909999999999998</v>
      </c>
      <c r="I1272" s="20">
        <f t="shared" si="121"/>
        <v>4.4169999999999998</v>
      </c>
      <c r="J1272" s="20">
        <f t="shared" si="122"/>
        <v>3.15</v>
      </c>
      <c r="K1272" s="72"/>
      <c r="L1272" s="826"/>
      <c r="M1272" s="20"/>
      <c r="N1272" s="20"/>
      <c r="O1272" s="20"/>
      <c r="P1272" s="20"/>
      <c r="Q1272" s="21"/>
      <c r="R1272" s="22" t="s">
        <v>16</v>
      </c>
      <c r="S1272" s="22" t="s">
        <v>16</v>
      </c>
      <c r="T1272" s="753">
        <f t="shared" si="123"/>
        <v>1974.8382915514321</v>
      </c>
      <c r="U1272" s="22">
        <f t="shared" si="124"/>
        <v>0</v>
      </c>
      <c r="V1272" s="20"/>
    </row>
    <row r="1273" spans="1:22" s="290" customFormat="1" ht="14.4">
      <c r="A1273" s="421">
        <v>623</v>
      </c>
      <c r="B1273" s="2" t="s">
        <v>77</v>
      </c>
      <c r="C1273" s="422">
        <v>230</v>
      </c>
      <c r="D1273" s="415">
        <v>198</v>
      </c>
      <c r="E1273" s="422">
        <v>103</v>
      </c>
      <c r="F1273" s="422">
        <v>95</v>
      </c>
      <c r="G1273" s="21">
        <f t="shared" si="119"/>
        <v>4.5084600000000004</v>
      </c>
      <c r="H1273" s="20">
        <f t="shared" si="120"/>
        <v>4.6909999999999998</v>
      </c>
      <c r="I1273" s="20">
        <f t="shared" si="121"/>
        <v>4.508</v>
      </c>
      <c r="J1273" s="20">
        <f t="shared" si="122"/>
        <v>3.2879999999999998</v>
      </c>
      <c r="K1273" s="72"/>
      <c r="L1273" s="826"/>
      <c r="M1273" s="20"/>
      <c r="N1273" s="20"/>
      <c r="O1273" s="20"/>
      <c r="P1273" s="20"/>
      <c r="Q1273" s="21"/>
      <c r="R1273" s="22" t="s">
        <v>16</v>
      </c>
      <c r="S1273" s="22" t="s">
        <v>16</v>
      </c>
      <c r="T1273" s="753">
        <f t="shared" si="123"/>
        <v>2961.6977922299907</v>
      </c>
      <c r="U1273" s="22">
        <f t="shared" si="124"/>
        <v>0</v>
      </c>
      <c r="V1273" s="20"/>
    </row>
    <row r="1274" spans="1:22" s="290" customFormat="1" ht="14.4">
      <c r="A1274" s="421">
        <v>823</v>
      </c>
      <c r="B1274" s="2" t="s">
        <v>77</v>
      </c>
      <c r="C1274" s="422">
        <v>230</v>
      </c>
      <c r="D1274" s="415">
        <v>198</v>
      </c>
      <c r="E1274" s="422">
        <v>103</v>
      </c>
      <c r="F1274" s="422">
        <v>97</v>
      </c>
      <c r="G1274" s="21">
        <f t="shared" ref="G1274:G1337" si="125">IF(B1274="","",AVERAGE(E1274:F1274)*D1274*C1274/10^6)</f>
        <v>4.5540000000000003</v>
      </c>
      <c r="H1274" s="20">
        <f t="shared" ref="H1274:H1276" si="126">ROUND(C1274*D1274*E1274/10^6,3)</f>
        <v>4.6909999999999998</v>
      </c>
      <c r="I1274" s="20">
        <f t="shared" ref="I1274:I1276" si="127">IF(F1274="","-",ROUND((E1274+F1274)*C1274/2*D1274/10^6,3))</f>
        <v>4.5540000000000003</v>
      </c>
      <c r="J1274" s="20">
        <f t="shared" ref="J1274:J1276" si="128">IF(F1274="","-",ROUND((D1274+E1274)*C1274/2*F1274/10^6,3))</f>
        <v>3.3580000000000001</v>
      </c>
      <c r="K1274" s="72"/>
      <c r="L1274" s="826"/>
      <c r="M1274" s="20"/>
      <c r="N1274" s="20"/>
      <c r="O1274" s="20"/>
      <c r="P1274" s="20"/>
      <c r="Q1274" s="21"/>
      <c r="R1274" s="22" t="s">
        <v>16</v>
      </c>
      <c r="S1274" s="22" t="s">
        <v>16</v>
      </c>
      <c r="T1274" s="753">
        <f t="shared" ref="T1274:T1337" si="129">IF(E1274=F1274,"-",(E1274/(E1274-F1274))*SQRT((C1274^2)+((E1274-F1274)/2)^2))</f>
        <v>3948.6691886141984</v>
      </c>
      <c r="U1274" s="22">
        <f t="shared" ref="U1274:U1337" si="130">U1273</f>
        <v>0</v>
      </c>
      <c r="V1274" s="20"/>
    </row>
    <row r="1275" spans="1:22" s="290" customFormat="1" ht="14.4">
      <c r="A1275" s="562" t="s">
        <v>2117</v>
      </c>
      <c r="B1275" s="2" t="s">
        <v>77</v>
      </c>
      <c r="C1275" s="422">
        <v>230</v>
      </c>
      <c r="D1275" s="415">
        <v>198</v>
      </c>
      <c r="E1275" s="422">
        <v>71</v>
      </c>
      <c r="F1275" s="422">
        <v>65</v>
      </c>
      <c r="G1275" s="21">
        <f t="shared" si="125"/>
        <v>3.0967199999999999</v>
      </c>
      <c r="H1275" s="20">
        <f t="shared" si="126"/>
        <v>3.2330000000000001</v>
      </c>
      <c r="I1275" s="20">
        <f t="shared" si="127"/>
        <v>3.097</v>
      </c>
      <c r="J1275" s="20">
        <f t="shared" si="128"/>
        <v>2.0110000000000001</v>
      </c>
      <c r="K1275" s="72"/>
      <c r="L1275" s="826"/>
      <c r="M1275" s="20"/>
      <c r="N1275" s="20"/>
      <c r="O1275" s="20"/>
      <c r="P1275" s="20"/>
      <c r="Q1275" s="21"/>
      <c r="R1275" s="22" t="s">
        <v>16</v>
      </c>
      <c r="S1275" s="22" t="s">
        <v>16</v>
      </c>
      <c r="T1275" s="753">
        <f t="shared" si="129"/>
        <v>2721.8981785593019</v>
      </c>
      <c r="U1275" s="22">
        <f t="shared" si="130"/>
        <v>0</v>
      </c>
      <c r="V1275" s="20"/>
    </row>
    <row r="1276" spans="1:22" s="290" customFormat="1" ht="14.4">
      <c r="A1276" s="562" t="s">
        <v>2118</v>
      </c>
      <c r="B1276" s="2" t="s">
        <v>77</v>
      </c>
      <c r="C1276" s="422">
        <v>230</v>
      </c>
      <c r="D1276" s="415">
        <v>198</v>
      </c>
      <c r="E1276" s="422">
        <v>78</v>
      </c>
      <c r="F1276" s="422">
        <v>71</v>
      </c>
      <c r="G1276" s="21">
        <f t="shared" si="125"/>
        <v>3.3927299999999998</v>
      </c>
      <c r="H1276" s="20">
        <f t="shared" si="126"/>
        <v>3.552</v>
      </c>
      <c r="I1276" s="20">
        <f t="shared" si="127"/>
        <v>3.3929999999999998</v>
      </c>
      <c r="J1276" s="20">
        <f t="shared" si="128"/>
        <v>2.254</v>
      </c>
      <c r="K1276" s="72"/>
      <c r="L1276" s="826"/>
      <c r="M1276" s="20"/>
      <c r="N1276" s="20"/>
      <c r="O1276" s="20"/>
      <c r="P1276" s="20"/>
      <c r="Q1276" s="21"/>
      <c r="R1276" s="22" t="s">
        <v>16</v>
      </c>
      <c r="S1276" s="22" t="s">
        <v>16</v>
      </c>
      <c r="T1276" s="753">
        <f t="shared" si="129"/>
        <v>2563.1538648106707</v>
      </c>
      <c r="U1276" s="22">
        <f t="shared" si="130"/>
        <v>0</v>
      </c>
      <c r="V1276" s="20"/>
    </row>
    <row r="1277" spans="1:22" s="290" customFormat="1" ht="14.4">
      <c r="A1277" s="425">
        <v>1525</v>
      </c>
      <c r="B1277" s="2" t="s">
        <v>77</v>
      </c>
      <c r="C1277" s="426">
        <v>250</v>
      </c>
      <c r="D1277" s="414">
        <v>198</v>
      </c>
      <c r="E1277" s="426">
        <v>103</v>
      </c>
      <c r="F1277" s="426">
        <v>68.5</v>
      </c>
      <c r="G1277" s="21">
        <f t="shared" si="125"/>
        <v>4.2446250000000001</v>
      </c>
      <c r="H1277" s="20">
        <f>ROUND(C1277*D1277*E1277/10^6,3)</f>
        <v>5.0990000000000002</v>
      </c>
      <c r="I1277" s="20">
        <f>IF(F1277="","-",ROUND((E1277+F1277)*C1277/2*D1277/10^6,3))</f>
        <v>4.2450000000000001</v>
      </c>
      <c r="J1277" s="20">
        <f>IF(F1277="","-",ROUND((D1277+E1277)*C1277/2*F1277/10^6,3))</f>
        <v>2.577</v>
      </c>
      <c r="K1277" s="72"/>
      <c r="L1277" s="826"/>
      <c r="M1277" s="20"/>
      <c r="N1277" s="20"/>
      <c r="O1277" s="20"/>
      <c r="P1277" s="20"/>
      <c r="Q1277" s="21"/>
      <c r="R1277" s="22" t="s">
        <v>16</v>
      </c>
      <c r="S1277" s="22" t="s">
        <v>16</v>
      </c>
      <c r="T1277" s="753">
        <f t="shared" si="129"/>
        <v>748.15145183681102</v>
      </c>
      <c r="U1277" s="22">
        <f t="shared" si="130"/>
        <v>0</v>
      </c>
      <c r="V1277" s="20"/>
    </row>
    <row r="1278" spans="1:22" s="290" customFormat="1" ht="14.4">
      <c r="A1278" s="425">
        <v>225</v>
      </c>
      <c r="B1278" s="2" t="s">
        <v>77</v>
      </c>
      <c r="C1278" s="426">
        <v>250</v>
      </c>
      <c r="D1278" s="414">
        <v>198</v>
      </c>
      <c r="E1278" s="426">
        <v>103</v>
      </c>
      <c r="F1278" s="426">
        <v>77</v>
      </c>
      <c r="G1278" s="21">
        <f t="shared" si="125"/>
        <v>4.4550000000000001</v>
      </c>
      <c r="H1278" s="20">
        <f t="shared" ref="H1278:H1339" si="131">ROUND(C1278*D1278*E1278/10^6,3)</f>
        <v>5.0990000000000002</v>
      </c>
      <c r="I1278" s="20">
        <f t="shared" ref="I1278:I1339" si="132">IF(F1278="","-",ROUND((E1278+F1278)*C1278/2*D1278/10^6,3))</f>
        <v>4.4550000000000001</v>
      </c>
      <c r="J1278" s="20">
        <f t="shared" ref="J1278:J1339" si="133">IF(F1278="","-",ROUND((D1278+E1278)*C1278/2*F1278/10^6,3))</f>
        <v>2.8969999999999998</v>
      </c>
      <c r="K1278" s="72"/>
      <c r="L1278" s="826"/>
      <c r="M1278" s="20"/>
      <c r="N1278" s="20"/>
      <c r="O1278" s="20"/>
      <c r="P1278" s="20"/>
      <c r="Q1278" s="21"/>
      <c r="R1278" s="22" t="s">
        <v>16</v>
      </c>
      <c r="S1278" s="22" t="s">
        <v>16</v>
      </c>
      <c r="T1278" s="753">
        <f t="shared" si="129"/>
        <v>991.72271144233287</v>
      </c>
      <c r="U1278" s="22">
        <f t="shared" si="130"/>
        <v>0</v>
      </c>
      <c r="V1278" s="20"/>
    </row>
    <row r="1279" spans="1:22" s="290" customFormat="1" ht="14.4">
      <c r="A1279" s="425">
        <v>325</v>
      </c>
      <c r="B1279" s="2" t="s">
        <v>77</v>
      </c>
      <c r="C1279" s="426">
        <v>250</v>
      </c>
      <c r="D1279" s="414">
        <v>198</v>
      </c>
      <c r="E1279" s="426">
        <v>103</v>
      </c>
      <c r="F1279" s="426">
        <v>85.5</v>
      </c>
      <c r="G1279" s="21">
        <f t="shared" si="125"/>
        <v>4.665375</v>
      </c>
      <c r="H1279" s="20">
        <f t="shared" si="131"/>
        <v>5.0990000000000002</v>
      </c>
      <c r="I1279" s="20">
        <f t="shared" si="132"/>
        <v>4.665</v>
      </c>
      <c r="J1279" s="20">
        <f t="shared" si="133"/>
        <v>3.2170000000000001</v>
      </c>
      <c r="K1279" s="72"/>
      <c r="L1279" s="826"/>
      <c r="M1279" s="20"/>
      <c r="N1279" s="20"/>
      <c r="O1279" s="20"/>
      <c r="P1279" s="20"/>
      <c r="Q1279" s="21"/>
      <c r="R1279" s="22" t="s">
        <v>16</v>
      </c>
      <c r="S1279" s="22" t="s">
        <v>16</v>
      </c>
      <c r="T1279" s="753">
        <f t="shared" si="129"/>
        <v>1472.3295455896846</v>
      </c>
      <c r="U1279" s="22">
        <f t="shared" si="130"/>
        <v>0</v>
      </c>
      <c r="V1279" s="20"/>
    </row>
    <row r="1280" spans="1:22" s="290" customFormat="1" ht="14.4">
      <c r="A1280" s="425">
        <v>425</v>
      </c>
      <c r="B1280" s="2" t="s">
        <v>77</v>
      </c>
      <c r="C1280" s="426">
        <v>250</v>
      </c>
      <c r="D1280" s="414">
        <v>198</v>
      </c>
      <c r="E1280" s="426">
        <v>103</v>
      </c>
      <c r="F1280" s="426">
        <v>90</v>
      </c>
      <c r="G1280" s="21">
        <f t="shared" si="125"/>
        <v>4.7767499999999998</v>
      </c>
      <c r="H1280" s="20">
        <f t="shared" si="131"/>
        <v>5.0990000000000002</v>
      </c>
      <c r="I1280" s="20">
        <f t="shared" si="132"/>
        <v>4.7770000000000001</v>
      </c>
      <c r="J1280" s="20">
        <f t="shared" si="133"/>
        <v>3.3860000000000001</v>
      </c>
      <c r="K1280" s="72"/>
      <c r="L1280" s="826"/>
      <c r="M1280" s="20"/>
      <c r="N1280" s="20"/>
      <c r="O1280" s="20"/>
      <c r="P1280" s="20"/>
      <c r="Q1280" s="21"/>
      <c r="R1280" s="22" t="s">
        <v>16</v>
      </c>
      <c r="S1280" s="22" t="s">
        <v>16</v>
      </c>
      <c r="T1280" s="753">
        <f t="shared" si="129"/>
        <v>1981.4386176619578</v>
      </c>
      <c r="U1280" s="22">
        <f t="shared" si="130"/>
        <v>0</v>
      </c>
      <c r="V1280" s="20"/>
    </row>
    <row r="1281" spans="1:22" s="290" customFormat="1" ht="14.4">
      <c r="A1281" s="425">
        <v>525</v>
      </c>
      <c r="B1281" s="2" t="s">
        <v>77</v>
      </c>
      <c r="C1281" s="426">
        <v>250</v>
      </c>
      <c r="D1281" s="414">
        <v>198</v>
      </c>
      <c r="E1281" s="426">
        <v>103</v>
      </c>
      <c r="F1281" s="426">
        <v>92.7</v>
      </c>
      <c r="G1281" s="21">
        <f t="shared" si="125"/>
        <v>4.8435750000000004</v>
      </c>
      <c r="H1281" s="20">
        <f t="shared" si="131"/>
        <v>5.0990000000000002</v>
      </c>
      <c r="I1281" s="20">
        <f t="shared" si="132"/>
        <v>4.8440000000000003</v>
      </c>
      <c r="J1281" s="20">
        <f t="shared" si="133"/>
        <v>3.488</v>
      </c>
      <c r="K1281" s="72"/>
      <c r="L1281" s="826"/>
      <c r="M1281" s="20"/>
      <c r="N1281" s="20"/>
      <c r="O1281" s="20"/>
      <c r="P1281" s="20"/>
      <c r="Q1281" s="21"/>
      <c r="R1281" s="22" t="s">
        <v>16</v>
      </c>
      <c r="S1281" s="22" t="s">
        <v>16</v>
      </c>
      <c r="T1281" s="753">
        <f t="shared" si="129"/>
        <v>2500.5303937364979</v>
      </c>
      <c r="U1281" s="22">
        <f t="shared" si="130"/>
        <v>0</v>
      </c>
      <c r="V1281" s="20"/>
    </row>
    <row r="1282" spans="1:22" s="290" customFormat="1" ht="14.4">
      <c r="A1282" s="425">
        <v>625</v>
      </c>
      <c r="B1282" s="2" t="s">
        <v>77</v>
      </c>
      <c r="C1282" s="426">
        <v>250</v>
      </c>
      <c r="D1282" s="414">
        <v>198</v>
      </c>
      <c r="E1282" s="426">
        <v>103</v>
      </c>
      <c r="F1282" s="426">
        <v>94.5</v>
      </c>
      <c r="G1282" s="21">
        <f t="shared" si="125"/>
        <v>4.8881249999999996</v>
      </c>
      <c r="H1282" s="20">
        <f t="shared" si="131"/>
        <v>5.0990000000000002</v>
      </c>
      <c r="I1282" s="20">
        <f t="shared" si="132"/>
        <v>4.8879999999999999</v>
      </c>
      <c r="J1282" s="20">
        <f t="shared" si="133"/>
        <v>3.556</v>
      </c>
      <c r="K1282" s="72"/>
      <c r="L1282" s="826"/>
      <c r="M1282" s="20"/>
      <c r="N1282" s="20"/>
      <c r="O1282" s="20"/>
      <c r="P1282" s="20"/>
      <c r="Q1282" s="21"/>
      <c r="R1282" s="22" t="s">
        <v>16</v>
      </c>
      <c r="S1282" s="22" t="s">
        <v>16</v>
      </c>
      <c r="T1282" s="753">
        <f t="shared" si="129"/>
        <v>3029.8494830830141</v>
      </c>
      <c r="U1282" s="22">
        <f t="shared" si="130"/>
        <v>0</v>
      </c>
      <c r="V1282" s="20"/>
    </row>
    <row r="1283" spans="1:22" s="290" customFormat="1" ht="14.4">
      <c r="A1283" s="425">
        <v>725</v>
      </c>
      <c r="B1283" s="2" t="s">
        <v>77</v>
      </c>
      <c r="C1283" s="426">
        <v>250</v>
      </c>
      <c r="D1283" s="414">
        <v>198</v>
      </c>
      <c r="E1283" s="426">
        <v>103</v>
      </c>
      <c r="F1283" s="426">
        <v>95.5</v>
      </c>
      <c r="G1283" s="21">
        <f t="shared" si="125"/>
        <v>4.9128749999999997</v>
      </c>
      <c r="H1283" s="20">
        <f t="shared" si="131"/>
        <v>5.0990000000000002</v>
      </c>
      <c r="I1283" s="20">
        <f t="shared" si="132"/>
        <v>4.9130000000000003</v>
      </c>
      <c r="J1283" s="20">
        <f t="shared" si="133"/>
        <v>3.593</v>
      </c>
      <c r="K1283" s="72"/>
      <c r="L1283" s="826"/>
      <c r="M1283" s="20"/>
      <c r="N1283" s="20"/>
      <c r="O1283" s="20"/>
      <c r="P1283" s="20"/>
      <c r="Q1283" s="21"/>
      <c r="R1283" s="22" t="s">
        <v>16</v>
      </c>
      <c r="S1283" s="22" t="s">
        <v>16</v>
      </c>
      <c r="T1283" s="753">
        <f t="shared" si="129"/>
        <v>3433.7195616092145</v>
      </c>
      <c r="U1283" s="22">
        <f t="shared" si="130"/>
        <v>0</v>
      </c>
      <c r="V1283" s="20"/>
    </row>
    <row r="1284" spans="1:22" s="290" customFormat="1" ht="14.4">
      <c r="A1284" s="425">
        <v>825</v>
      </c>
      <c r="B1284" s="2" t="s">
        <v>77</v>
      </c>
      <c r="C1284" s="563">
        <v>250</v>
      </c>
      <c r="D1284" s="564">
        <v>198</v>
      </c>
      <c r="E1284" s="563">
        <v>103</v>
      </c>
      <c r="F1284" s="563">
        <v>96.5</v>
      </c>
      <c r="G1284" s="21">
        <f t="shared" si="125"/>
        <v>4.9376249999999997</v>
      </c>
      <c r="H1284" s="20">
        <f t="shared" si="131"/>
        <v>5.0990000000000002</v>
      </c>
      <c r="I1284" s="20">
        <f t="shared" si="132"/>
        <v>4.9379999999999997</v>
      </c>
      <c r="J1284" s="20">
        <f t="shared" si="133"/>
        <v>3.6309999999999998</v>
      </c>
      <c r="K1284" s="72"/>
      <c r="L1284" s="826"/>
      <c r="M1284" s="20"/>
      <c r="N1284" s="20"/>
      <c r="O1284" s="20"/>
      <c r="P1284" s="20"/>
      <c r="Q1284" s="21"/>
      <c r="R1284" s="22" t="s">
        <v>16</v>
      </c>
      <c r="S1284" s="22" t="s">
        <v>16</v>
      </c>
      <c r="T1284" s="753">
        <f t="shared" si="129"/>
        <v>3961.8731973964691</v>
      </c>
      <c r="U1284" s="22">
        <f t="shared" si="130"/>
        <v>0</v>
      </c>
      <c r="V1284" s="20"/>
    </row>
    <row r="1285" spans="1:22" s="290" customFormat="1" ht="14.4">
      <c r="A1285" s="565" t="s">
        <v>2119</v>
      </c>
      <c r="B1285" s="2" t="s">
        <v>77</v>
      </c>
      <c r="C1285" s="563">
        <v>250</v>
      </c>
      <c r="D1285" s="564">
        <v>198</v>
      </c>
      <c r="E1285" s="563">
        <v>71</v>
      </c>
      <c r="F1285" s="563">
        <v>65</v>
      </c>
      <c r="G1285" s="21">
        <f t="shared" si="125"/>
        <v>3.3660000000000001</v>
      </c>
      <c r="H1285" s="20">
        <f t="shared" si="131"/>
        <v>3.5150000000000001</v>
      </c>
      <c r="I1285" s="20">
        <f t="shared" si="132"/>
        <v>3.3660000000000001</v>
      </c>
      <c r="J1285" s="20">
        <f t="shared" si="133"/>
        <v>2.1859999999999999</v>
      </c>
      <c r="K1285" s="72"/>
      <c r="L1285" s="826"/>
      <c r="M1285" s="20"/>
      <c r="N1285" s="20"/>
      <c r="O1285" s="20"/>
      <c r="P1285" s="20"/>
      <c r="Q1285" s="21"/>
      <c r="R1285" s="22" t="s">
        <v>16</v>
      </c>
      <c r="S1285" s="22" t="s">
        <v>16</v>
      </c>
      <c r="T1285" s="753">
        <f t="shared" si="129"/>
        <v>2958.5463256658854</v>
      </c>
      <c r="U1285" s="22">
        <f t="shared" si="130"/>
        <v>0</v>
      </c>
      <c r="V1285" s="20"/>
    </row>
    <row r="1286" spans="1:22" s="290" customFormat="1" ht="14.4">
      <c r="A1286" s="565" t="s">
        <v>2120</v>
      </c>
      <c r="B1286" s="2" t="s">
        <v>77</v>
      </c>
      <c r="C1286" s="563">
        <v>250</v>
      </c>
      <c r="D1286" s="564">
        <v>198</v>
      </c>
      <c r="E1286" s="563">
        <v>78</v>
      </c>
      <c r="F1286" s="563">
        <v>71</v>
      </c>
      <c r="G1286" s="21">
        <f t="shared" si="125"/>
        <v>3.6877499999999999</v>
      </c>
      <c r="H1286" s="20">
        <f t="shared" si="131"/>
        <v>3.8610000000000002</v>
      </c>
      <c r="I1286" s="20">
        <f t="shared" si="132"/>
        <v>3.6880000000000002</v>
      </c>
      <c r="J1286" s="20">
        <f t="shared" si="133"/>
        <v>2.4500000000000002</v>
      </c>
      <c r="K1286" s="72"/>
      <c r="L1286" s="826"/>
      <c r="M1286" s="20"/>
      <c r="N1286" s="20"/>
      <c r="O1286" s="20"/>
      <c r="P1286" s="20"/>
      <c r="Q1286" s="21"/>
      <c r="R1286" s="22" t="s">
        <v>16</v>
      </c>
      <c r="S1286" s="22" t="s">
        <v>16</v>
      </c>
      <c r="T1286" s="753">
        <f t="shared" si="129"/>
        <v>2785.9872723385965</v>
      </c>
      <c r="U1286" s="22">
        <f t="shared" si="130"/>
        <v>0</v>
      </c>
      <c r="V1286" s="20"/>
    </row>
    <row r="1287" spans="1:22" s="290" customFormat="1" ht="14.4">
      <c r="A1287" s="421">
        <v>230</v>
      </c>
      <c r="B1287" s="2" t="s">
        <v>77</v>
      </c>
      <c r="C1287" s="422">
        <v>300</v>
      </c>
      <c r="D1287" s="415">
        <v>198</v>
      </c>
      <c r="E1287" s="422">
        <v>103</v>
      </c>
      <c r="F1287" s="422">
        <v>71.599999999999994</v>
      </c>
      <c r="G1287" s="21">
        <f t="shared" si="125"/>
        <v>5.1856199999999992</v>
      </c>
      <c r="H1287" s="20">
        <f t="shared" si="131"/>
        <v>6.1180000000000003</v>
      </c>
      <c r="I1287" s="20">
        <f t="shared" si="132"/>
        <v>5.1859999999999999</v>
      </c>
      <c r="J1287" s="20">
        <f t="shared" si="133"/>
        <v>3.2330000000000001</v>
      </c>
      <c r="K1287" s="72"/>
      <c r="L1287" s="826"/>
      <c r="M1287" s="20"/>
      <c r="N1287" s="20"/>
      <c r="O1287" s="20"/>
      <c r="P1287" s="20"/>
      <c r="Q1287" s="21"/>
      <c r="R1287" s="22" t="s">
        <v>16</v>
      </c>
      <c r="S1287" s="22" t="s">
        <v>16</v>
      </c>
      <c r="T1287" s="753">
        <f t="shared" si="129"/>
        <v>985.42309503288345</v>
      </c>
      <c r="U1287" s="22">
        <f t="shared" si="130"/>
        <v>0</v>
      </c>
      <c r="V1287" s="20"/>
    </row>
    <row r="1288" spans="1:22" s="290" customFormat="1" ht="14.4">
      <c r="A1288" s="421">
        <v>330</v>
      </c>
      <c r="B1288" s="2" t="s">
        <v>77</v>
      </c>
      <c r="C1288" s="422">
        <v>300</v>
      </c>
      <c r="D1288" s="415">
        <v>198</v>
      </c>
      <c r="E1288" s="422">
        <v>103</v>
      </c>
      <c r="F1288" s="422">
        <v>82</v>
      </c>
      <c r="G1288" s="21">
        <f t="shared" si="125"/>
        <v>5.4945000000000004</v>
      </c>
      <c r="H1288" s="20">
        <f t="shared" si="131"/>
        <v>6.1180000000000003</v>
      </c>
      <c r="I1288" s="20">
        <f t="shared" si="132"/>
        <v>5.4950000000000001</v>
      </c>
      <c r="J1288" s="20">
        <f t="shared" si="133"/>
        <v>3.702</v>
      </c>
      <c r="K1288" s="72"/>
      <c r="L1288" s="826"/>
      <c r="M1288" s="20"/>
      <c r="N1288" s="20"/>
      <c r="O1288" s="20"/>
      <c r="P1288" s="20"/>
      <c r="Q1288" s="21"/>
      <c r="R1288" s="22" t="s">
        <v>16</v>
      </c>
      <c r="S1288" s="22" t="s">
        <v>16</v>
      </c>
      <c r="T1288" s="753">
        <f t="shared" si="129"/>
        <v>1472.3295455896846</v>
      </c>
      <c r="U1288" s="22">
        <f t="shared" si="130"/>
        <v>0</v>
      </c>
      <c r="V1288" s="20"/>
    </row>
    <row r="1289" spans="1:22" s="290" customFormat="1" ht="14.4">
      <c r="A1289" s="421">
        <v>430</v>
      </c>
      <c r="B1289" s="2" t="s">
        <v>77</v>
      </c>
      <c r="C1289" s="422">
        <v>300</v>
      </c>
      <c r="D1289" s="415">
        <v>198</v>
      </c>
      <c r="E1289" s="422">
        <v>103</v>
      </c>
      <c r="F1289" s="422">
        <v>87.3</v>
      </c>
      <c r="G1289" s="21">
        <f t="shared" si="125"/>
        <v>5.65191</v>
      </c>
      <c r="H1289" s="20">
        <f t="shared" si="131"/>
        <v>6.1180000000000003</v>
      </c>
      <c r="I1289" s="20">
        <f t="shared" si="132"/>
        <v>5.6520000000000001</v>
      </c>
      <c r="J1289" s="20">
        <f t="shared" si="133"/>
        <v>3.9420000000000002</v>
      </c>
      <c r="K1289" s="72"/>
      <c r="L1289" s="826"/>
      <c r="M1289" s="20"/>
      <c r="N1289" s="20"/>
      <c r="O1289" s="20"/>
      <c r="P1289" s="20"/>
      <c r="Q1289" s="21"/>
      <c r="R1289" s="22" t="s">
        <v>16</v>
      </c>
      <c r="S1289" s="22" t="s">
        <v>16</v>
      </c>
      <c r="T1289" s="753">
        <f t="shared" si="129"/>
        <v>1968.8265426128198</v>
      </c>
      <c r="U1289" s="22">
        <f t="shared" si="130"/>
        <v>0</v>
      </c>
      <c r="V1289" s="20"/>
    </row>
    <row r="1290" spans="1:22" s="290" customFormat="1" ht="14.4">
      <c r="A1290" s="421">
        <v>630</v>
      </c>
      <c r="B1290" s="2" t="s">
        <v>77</v>
      </c>
      <c r="C1290" s="422">
        <v>300</v>
      </c>
      <c r="D1290" s="415">
        <v>198</v>
      </c>
      <c r="E1290" s="422">
        <v>103</v>
      </c>
      <c r="F1290" s="422">
        <v>92.5</v>
      </c>
      <c r="G1290" s="21">
        <f t="shared" si="125"/>
        <v>5.8063500000000001</v>
      </c>
      <c r="H1290" s="20">
        <f t="shared" si="131"/>
        <v>6.1180000000000003</v>
      </c>
      <c r="I1290" s="20">
        <f t="shared" si="132"/>
        <v>5.806</v>
      </c>
      <c r="J1290" s="20">
        <f t="shared" si="133"/>
        <v>4.1760000000000002</v>
      </c>
      <c r="K1290" s="72"/>
      <c r="L1290" s="826"/>
      <c r="M1290" s="20"/>
      <c r="N1290" s="20"/>
      <c r="O1290" s="20"/>
      <c r="P1290" s="20"/>
      <c r="Q1290" s="21"/>
      <c r="R1290" s="22" t="s">
        <v>16</v>
      </c>
      <c r="S1290" s="22" t="s">
        <v>16</v>
      </c>
      <c r="T1290" s="753">
        <f t="shared" si="129"/>
        <v>2943.3077333614483</v>
      </c>
      <c r="U1290" s="22">
        <f t="shared" si="130"/>
        <v>0</v>
      </c>
      <c r="V1290" s="20"/>
    </row>
    <row r="1291" spans="1:22" s="290" customFormat="1" ht="14.4">
      <c r="A1291" s="421">
        <v>830</v>
      </c>
      <c r="B1291" s="2" t="s">
        <v>77</v>
      </c>
      <c r="C1291" s="422">
        <v>300</v>
      </c>
      <c r="D1291" s="415">
        <v>198</v>
      </c>
      <c r="E1291" s="422">
        <v>103</v>
      </c>
      <c r="F1291" s="422">
        <v>95</v>
      </c>
      <c r="G1291" s="21">
        <f t="shared" si="125"/>
        <v>5.8806000000000003</v>
      </c>
      <c r="H1291" s="20">
        <f t="shared" si="131"/>
        <v>6.1180000000000003</v>
      </c>
      <c r="I1291" s="20">
        <f t="shared" si="132"/>
        <v>5.8810000000000002</v>
      </c>
      <c r="J1291" s="20">
        <f t="shared" si="133"/>
        <v>4.2889999999999997</v>
      </c>
      <c r="K1291" s="72"/>
      <c r="L1291" s="826"/>
      <c r="M1291" s="20"/>
      <c r="N1291" s="20"/>
      <c r="O1291" s="20"/>
      <c r="P1291" s="20"/>
      <c r="Q1291" s="21"/>
      <c r="R1291" s="22" t="s">
        <v>16</v>
      </c>
      <c r="S1291" s="22" t="s">
        <v>16</v>
      </c>
      <c r="T1291" s="753">
        <f t="shared" si="129"/>
        <v>3862.84331807543</v>
      </c>
      <c r="U1291" s="22">
        <f t="shared" si="130"/>
        <v>0</v>
      </c>
      <c r="V1291" s="20"/>
    </row>
    <row r="1292" spans="1:22" s="290" customFormat="1" ht="14.4">
      <c r="A1292" s="562" t="s">
        <v>2121</v>
      </c>
      <c r="B1292" s="2" t="s">
        <v>77</v>
      </c>
      <c r="C1292" s="422">
        <v>300</v>
      </c>
      <c r="D1292" s="415">
        <v>198</v>
      </c>
      <c r="E1292" s="422">
        <v>71</v>
      </c>
      <c r="F1292" s="422">
        <v>62</v>
      </c>
      <c r="G1292" s="21">
        <f t="shared" si="125"/>
        <v>3.9500999999999999</v>
      </c>
      <c r="H1292" s="20">
        <f t="shared" si="131"/>
        <v>4.2169999999999996</v>
      </c>
      <c r="I1292" s="20">
        <f t="shared" si="132"/>
        <v>3.95</v>
      </c>
      <c r="J1292" s="20">
        <f t="shared" si="133"/>
        <v>2.5019999999999998</v>
      </c>
      <c r="K1292" s="72"/>
      <c r="L1292" s="826"/>
      <c r="M1292" s="20"/>
      <c r="N1292" s="20"/>
      <c r="O1292" s="20"/>
      <c r="P1292" s="20"/>
      <c r="Q1292" s="21"/>
      <c r="R1292" s="22" t="s">
        <v>16</v>
      </c>
      <c r="S1292" s="22" t="s">
        <v>16</v>
      </c>
      <c r="T1292" s="753">
        <f t="shared" si="129"/>
        <v>2366.9329016917891</v>
      </c>
      <c r="U1292" s="22">
        <f t="shared" si="130"/>
        <v>0</v>
      </c>
      <c r="V1292" s="20"/>
    </row>
    <row r="1293" spans="1:22" s="290" customFormat="1" ht="14.4">
      <c r="A1293" s="562" t="s">
        <v>2122</v>
      </c>
      <c r="B1293" s="2" t="s">
        <v>77</v>
      </c>
      <c r="C1293" s="422">
        <v>300</v>
      </c>
      <c r="D1293" s="415">
        <v>198</v>
      </c>
      <c r="E1293" s="422">
        <v>78</v>
      </c>
      <c r="F1293" s="422">
        <v>70</v>
      </c>
      <c r="G1293" s="21">
        <f t="shared" si="125"/>
        <v>4.3956</v>
      </c>
      <c r="H1293" s="20">
        <f t="shared" si="131"/>
        <v>4.633</v>
      </c>
      <c r="I1293" s="20">
        <f t="shared" si="132"/>
        <v>4.3959999999999999</v>
      </c>
      <c r="J1293" s="20">
        <f t="shared" si="133"/>
        <v>2.8980000000000001</v>
      </c>
      <c r="K1293" s="72"/>
      <c r="L1293" s="826"/>
      <c r="M1293" s="20"/>
      <c r="N1293" s="20"/>
      <c r="O1293" s="20"/>
      <c r="P1293" s="20"/>
      <c r="Q1293" s="21"/>
      <c r="R1293" s="22" t="s">
        <v>16</v>
      </c>
      <c r="S1293" s="22" t="s">
        <v>16</v>
      </c>
      <c r="T1293" s="753">
        <f t="shared" si="129"/>
        <v>2925.2599884454712</v>
      </c>
      <c r="U1293" s="22">
        <f t="shared" si="130"/>
        <v>0</v>
      </c>
      <c r="V1293" s="20"/>
    </row>
    <row r="1294" spans="1:22" s="290" customFormat="1" ht="14.4">
      <c r="A1294" s="566">
        <v>235</v>
      </c>
      <c r="B1294" s="2" t="s">
        <v>77</v>
      </c>
      <c r="C1294" s="567">
        <v>350</v>
      </c>
      <c r="D1294" s="568">
        <v>198</v>
      </c>
      <c r="E1294" s="567">
        <v>103</v>
      </c>
      <c r="F1294" s="567">
        <v>66</v>
      </c>
      <c r="G1294" s="21">
        <f t="shared" si="125"/>
        <v>5.8558500000000002</v>
      </c>
      <c r="H1294" s="20">
        <f t="shared" si="131"/>
        <v>7.1379999999999999</v>
      </c>
      <c r="I1294" s="20">
        <f t="shared" si="132"/>
        <v>5.8559999999999999</v>
      </c>
      <c r="J1294" s="20">
        <f t="shared" si="133"/>
        <v>3.4769999999999999</v>
      </c>
      <c r="K1294" s="72"/>
      <c r="L1294" s="826"/>
      <c r="M1294" s="20"/>
      <c r="N1294" s="20"/>
      <c r="O1294" s="20"/>
      <c r="P1294" s="20"/>
      <c r="Q1294" s="21"/>
      <c r="R1294" s="22" t="s">
        <v>16</v>
      </c>
      <c r="S1294" s="22" t="s">
        <v>16</v>
      </c>
      <c r="T1294" s="753">
        <f t="shared" si="129"/>
        <v>975.68444641187716</v>
      </c>
      <c r="U1294" s="22">
        <f t="shared" si="130"/>
        <v>0</v>
      </c>
      <c r="V1294" s="20"/>
    </row>
    <row r="1295" spans="1:22" s="290" customFormat="1" ht="14.4">
      <c r="A1295" s="566">
        <v>335</v>
      </c>
      <c r="B1295" s="2" t="s">
        <v>77</v>
      </c>
      <c r="C1295" s="567">
        <v>350</v>
      </c>
      <c r="D1295" s="568">
        <v>198</v>
      </c>
      <c r="E1295" s="567">
        <v>103</v>
      </c>
      <c r="F1295" s="567">
        <v>78.8</v>
      </c>
      <c r="G1295" s="21">
        <f t="shared" si="125"/>
        <v>6.2993699999999997</v>
      </c>
      <c r="H1295" s="20">
        <f t="shared" si="131"/>
        <v>7.1379999999999999</v>
      </c>
      <c r="I1295" s="20">
        <f t="shared" si="132"/>
        <v>6.2990000000000004</v>
      </c>
      <c r="J1295" s="20">
        <f t="shared" si="133"/>
        <v>4.1509999999999998</v>
      </c>
      <c r="K1295" s="72"/>
      <c r="L1295" s="826"/>
      <c r="M1295" s="20"/>
      <c r="N1295" s="20"/>
      <c r="O1295" s="20"/>
      <c r="P1295" s="20"/>
      <c r="Q1295" s="21"/>
      <c r="R1295" s="22" t="s">
        <v>16</v>
      </c>
      <c r="S1295" s="22" t="s">
        <v>16</v>
      </c>
      <c r="T1295" s="753">
        <f t="shared" si="129"/>
        <v>1490.5593699397587</v>
      </c>
      <c r="U1295" s="22">
        <f t="shared" si="130"/>
        <v>0</v>
      </c>
      <c r="V1295" s="20"/>
    </row>
    <row r="1296" spans="1:22" s="290" customFormat="1" ht="14.4">
      <c r="A1296" s="566">
        <v>435</v>
      </c>
      <c r="B1296" s="2" t="s">
        <v>77</v>
      </c>
      <c r="C1296" s="567">
        <v>350</v>
      </c>
      <c r="D1296" s="568">
        <v>198</v>
      </c>
      <c r="E1296" s="567">
        <v>103</v>
      </c>
      <c r="F1296" s="567">
        <v>84.5</v>
      </c>
      <c r="G1296" s="21">
        <f t="shared" si="125"/>
        <v>6.4968750000000002</v>
      </c>
      <c r="H1296" s="20">
        <f t="shared" si="131"/>
        <v>7.1379999999999999</v>
      </c>
      <c r="I1296" s="20">
        <f t="shared" si="132"/>
        <v>6.4969999999999999</v>
      </c>
      <c r="J1296" s="20">
        <f t="shared" si="133"/>
        <v>4.4509999999999996</v>
      </c>
      <c r="K1296" s="72"/>
      <c r="L1296" s="826"/>
      <c r="M1296" s="20"/>
      <c r="N1296" s="20"/>
      <c r="O1296" s="20"/>
      <c r="P1296" s="20"/>
      <c r="Q1296" s="21"/>
      <c r="R1296" s="22" t="s">
        <v>16</v>
      </c>
      <c r="S1296" s="22" t="s">
        <v>16</v>
      </c>
      <c r="T1296" s="753">
        <f t="shared" si="129"/>
        <v>1949.3290655710762</v>
      </c>
      <c r="U1296" s="22">
        <f t="shared" si="130"/>
        <v>0</v>
      </c>
      <c r="V1296" s="20"/>
    </row>
    <row r="1297" spans="1:22" s="290" customFormat="1" ht="14.4">
      <c r="A1297" s="566">
        <v>635</v>
      </c>
      <c r="B1297" s="2" t="s">
        <v>77</v>
      </c>
      <c r="C1297" s="567">
        <v>350</v>
      </c>
      <c r="D1297" s="568">
        <v>198</v>
      </c>
      <c r="E1297" s="567">
        <v>103</v>
      </c>
      <c r="F1297" s="567">
        <v>91</v>
      </c>
      <c r="G1297" s="21">
        <f t="shared" si="125"/>
        <v>6.7221000000000002</v>
      </c>
      <c r="H1297" s="20">
        <f t="shared" si="131"/>
        <v>7.1379999999999999</v>
      </c>
      <c r="I1297" s="20">
        <f t="shared" si="132"/>
        <v>6.7220000000000004</v>
      </c>
      <c r="J1297" s="20">
        <f t="shared" si="133"/>
        <v>4.7930000000000001</v>
      </c>
      <c r="K1297" s="72"/>
      <c r="L1297" s="826"/>
      <c r="M1297" s="20"/>
      <c r="N1297" s="20"/>
      <c r="O1297" s="20"/>
      <c r="P1297" s="20"/>
      <c r="Q1297" s="21"/>
      <c r="R1297" s="22" t="s">
        <v>16</v>
      </c>
      <c r="S1297" s="22" t="s">
        <v>16</v>
      </c>
      <c r="T1297" s="753">
        <f t="shared" si="129"/>
        <v>3004.6080628113732</v>
      </c>
      <c r="U1297" s="22">
        <f t="shared" si="130"/>
        <v>0</v>
      </c>
      <c r="V1297" s="20"/>
    </row>
    <row r="1298" spans="1:22" s="290" customFormat="1" ht="14.4">
      <c r="A1298" s="566">
        <v>835</v>
      </c>
      <c r="B1298" s="2" t="s">
        <v>77</v>
      </c>
      <c r="C1298" s="567">
        <v>350</v>
      </c>
      <c r="D1298" s="568">
        <v>198</v>
      </c>
      <c r="E1298" s="567">
        <v>103</v>
      </c>
      <c r="F1298" s="567">
        <v>94</v>
      </c>
      <c r="G1298" s="21">
        <f t="shared" si="125"/>
        <v>6.8260500000000004</v>
      </c>
      <c r="H1298" s="20">
        <f t="shared" si="131"/>
        <v>7.1379999999999999</v>
      </c>
      <c r="I1298" s="20">
        <f t="shared" si="132"/>
        <v>6.8259999999999996</v>
      </c>
      <c r="J1298" s="20">
        <f t="shared" si="133"/>
        <v>4.9509999999999996</v>
      </c>
      <c r="K1298" s="72"/>
      <c r="L1298" s="826"/>
      <c r="M1298" s="20"/>
      <c r="N1298" s="20"/>
      <c r="O1298" s="20"/>
      <c r="P1298" s="20"/>
      <c r="Q1298" s="21"/>
      <c r="R1298" s="22" t="s">
        <v>16</v>
      </c>
      <c r="S1298" s="22" t="s">
        <v>16</v>
      </c>
      <c r="T1298" s="753">
        <f t="shared" si="129"/>
        <v>4005.8866133032243</v>
      </c>
      <c r="U1298" s="22">
        <f t="shared" si="130"/>
        <v>0</v>
      </c>
      <c r="V1298" s="20"/>
    </row>
    <row r="1299" spans="1:22" s="290" customFormat="1" ht="14.4">
      <c r="A1299" s="566" t="s">
        <v>2123</v>
      </c>
      <c r="B1299" s="2" t="s">
        <v>77</v>
      </c>
      <c r="C1299" s="567">
        <v>350</v>
      </c>
      <c r="D1299" s="568">
        <v>198</v>
      </c>
      <c r="E1299" s="567">
        <v>71</v>
      </c>
      <c r="F1299" s="567">
        <v>61</v>
      </c>
      <c r="G1299" s="21">
        <f t="shared" si="125"/>
        <v>4.5738000000000003</v>
      </c>
      <c r="H1299" s="20">
        <f t="shared" si="131"/>
        <v>4.92</v>
      </c>
      <c r="I1299" s="20">
        <f t="shared" si="132"/>
        <v>4.5739999999999998</v>
      </c>
      <c r="J1299" s="20">
        <f t="shared" si="133"/>
        <v>2.8719999999999999</v>
      </c>
      <c r="K1299" s="72"/>
      <c r="L1299" s="826"/>
      <c r="M1299" s="20"/>
      <c r="N1299" s="20"/>
      <c r="O1299" s="20"/>
      <c r="P1299" s="20"/>
      <c r="Q1299" s="21"/>
      <c r="R1299" s="22" t="s">
        <v>16</v>
      </c>
      <c r="S1299" s="22" t="s">
        <v>16</v>
      </c>
      <c r="T1299" s="753">
        <f t="shared" si="129"/>
        <v>2485.2535584925736</v>
      </c>
      <c r="U1299" s="22">
        <f t="shared" si="130"/>
        <v>0</v>
      </c>
      <c r="V1299" s="20"/>
    </row>
    <row r="1300" spans="1:22" s="290" customFormat="1" ht="14.4">
      <c r="A1300" s="566" t="s">
        <v>2124</v>
      </c>
      <c r="B1300" s="2" t="s">
        <v>77</v>
      </c>
      <c r="C1300" s="567">
        <v>350</v>
      </c>
      <c r="D1300" s="568">
        <v>198</v>
      </c>
      <c r="E1300" s="567">
        <v>78</v>
      </c>
      <c r="F1300" s="567">
        <v>69</v>
      </c>
      <c r="G1300" s="21">
        <f t="shared" si="125"/>
        <v>5.0935499999999996</v>
      </c>
      <c r="H1300" s="20">
        <f t="shared" si="131"/>
        <v>5.4050000000000002</v>
      </c>
      <c r="I1300" s="20">
        <f t="shared" si="132"/>
        <v>5.0940000000000003</v>
      </c>
      <c r="J1300" s="20">
        <f t="shared" si="133"/>
        <v>3.3330000000000002</v>
      </c>
      <c r="K1300" s="72"/>
      <c r="L1300" s="826"/>
      <c r="M1300" s="20"/>
      <c r="N1300" s="20"/>
      <c r="O1300" s="20"/>
      <c r="P1300" s="20"/>
      <c r="Q1300" s="21"/>
      <c r="R1300" s="22" t="s">
        <v>16</v>
      </c>
      <c r="S1300" s="22" t="s">
        <v>16</v>
      </c>
      <c r="T1300" s="753">
        <f t="shared" si="129"/>
        <v>3033.5840372587522</v>
      </c>
      <c r="U1300" s="22">
        <f t="shared" si="130"/>
        <v>0</v>
      </c>
      <c r="V1300" s="20"/>
    </row>
    <row r="1301" spans="1:22" s="290" customFormat="1">
      <c r="A1301" s="289"/>
      <c r="B1301" s="2"/>
      <c r="C1301" s="2"/>
      <c r="D1301" s="2"/>
      <c r="E1301" s="2"/>
      <c r="F1301" s="2"/>
      <c r="G1301" s="21" t="str">
        <f t="shared" ref="G1301:G1330" si="134">IF(B1301="","",IF(OR(B1301="PA",B1301="PL"),H1301,IF(OR(B1301="VDZ",B1301="ISO",B1301="A1",B1301="A2",B1301="A3",B1301="AE",B1301="A2/3",B1301="A3/4",B1301="C1",B1301="C2",B1301="C3",B1301="CE",B1301="C2/3",B1301="C3/4"),I1301,J1301)))</f>
        <v/>
      </c>
      <c r="H1301" s="20">
        <f t="shared" si="131"/>
        <v>0</v>
      </c>
      <c r="I1301" s="20" t="str">
        <f t="shared" si="132"/>
        <v>-</v>
      </c>
      <c r="J1301" s="20" t="str">
        <f t="shared" si="133"/>
        <v>-</v>
      </c>
      <c r="K1301" s="72"/>
      <c r="L1301" s="826"/>
      <c r="M1301" s="20"/>
      <c r="N1301" s="20"/>
      <c r="O1301" s="20"/>
      <c r="P1301" s="20"/>
      <c r="Q1301" s="21"/>
      <c r="R1301" s="22" t="s">
        <v>16</v>
      </c>
      <c r="S1301" s="22" t="s">
        <v>16</v>
      </c>
      <c r="T1301" s="20"/>
      <c r="U1301" s="22">
        <f t="shared" si="130"/>
        <v>0</v>
      </c>
      <c r="V1301" s="20"/>
    </row>
    <row r="1302" spans="1:22" s="290" customFormat="1" ht="14.4">
      <c r="A1302" s="381" t="s">
        <v>1675</v>
      </c>
      <c r="B1302" s="2" t="s">
        <v>77</v>
      </c>
      <c r="C1302" s="390">
        <v>180</v>
      </c>
      <c r="D1302" s="399">
        <v>300</v>
      </c>
      <c r="E1302" s="390">
        <v>103</v>
      </c>
      <c r="F1302" s="390">
        <v>84</v>
      </c>
      <c r="G1302" s="21">
        <f t="shared" si="125"/>
        <v>5.0490000000000004</v>
      </c>
      <c r="H1302" s="20">
        <f t="shared" si="131"/>
        <v>5.5620000000000003</v>
      </c>
      <c r="I1302" s="20">
        <f t="shared" si="132"/>
        <v>5.0490000000000004</v>
      </c>
      <c r="J1302" s="20">
        <f t="shared" si="133"/>
        <v>3.0470000000000002</v>
      </c>
      <c r="K1302" s="72"/>
      <c r="L1302" s="826"/>
      <c r="M1302" s="20"/>
      <c r="N1302" s="20"/>
      <c r="O1302" s="20"/>
      <c r="P1302" s="20"/>
      <c r="Q1302" s="21"/>
      <c r="R1302" s="22" t="s">
        <v>16</v>
      </c>
      <c r="S1302" s="22" t="s">
        <v>16</v>
      </c>
      <c r="T1302" s="753">
        <f t="shared" si="129"/>
        <v>977.14755638690963</v>
      </c>
      <c r="U1302" s="22">
        <f t="shared" si="130"/>
        <v>0</v>
      </c>
      <c r="V1302" s="20"/>
    </row>
    <row r="1303" spans="1:22" s="290" customFormat="1" ht="14.4">
      <c r="A1303" s="381" t="s">
        <v>1676</v>
      </c>
      <c r="B1303" s="2" t="s">
        <v>77</v>
      </c>
      <c r="C1303" s="390">
        <v>180</v>
      </c>
      <c r="D1303" s="399">
        <v>300</v>
      </c>
      <c r="E1303" s="390">
        <v>103</v>
      </c>
      <c r="F1303" s="390">
        <v>90.5</v>
      </c>
      <c r="G1303" s="21">
        <f t="shared" si="125"/>
        <v>5.2244999999999999</v>
      </c>
      <c r="H1303" s="20">
        <f t="shared" si="131"/>
        <v>5.5620000000000003</v>
      </c>
      <c r="I1303" s="20">
        <f t="shared" si="132"/>
        <v>5.2249999999999996</v>
      </c>
      <c r="J1303" s="20">
        <f t="shared" si="133"/>
        <v>3.282</v>
      </c>
      <c r="K1303" s="72"/>
      <c r="L1303" s="826"/>
      <c r="M1303" s="20"/>
      <c r="N1303" s="20"/>
      <c r="O1303" s="20"/>
      <c r="P1303" s="20"/>
      <c r="Q1303" s="21"/>
      <c r="R1303" s="22" t="s">
        <v>16</v>
      </c>
      <c r="S1303" s="22" t="s">
        <v>16</v>
      </c>
      <c r="T1303" s="753">
        <f t="shared" si="129"/>
        <v>1484.0938278963363</v>
      </c>
      <c r="U1303" s="22">
        <f t="shared" si="130"/>
        <v>0</v>
      </c>
      <c r="V1303" s="20"/>
    </row>
    <row r="1304" spans="1:22" s="290" customFormat="1" ht="14.4">
      <c r="A1304" s="381" t="s">
        <v>1677</v>
      </c>
      <c r="B1304" s="2" t="s">
        <v>77</v>
      </c>
      <c r="C1304" s="390">
        <v>180</v>
      </c>
      <c r="D1304" s="399">
        <v>300</v>
      </c>
      <c r="E1304" s="390">
        <v>103</v>
      </c>
      <c r="F1304" s="390">
        <v>93.5</v>
      </c>
      <c r="G1304" s="21">
        <f t="shared" si="125"/>
        <v>5.3055000000000003</v>
      </c>
      <c r="H1304" s="20">
        <f t="shared" si="131"/>
        <v>5.5620000000000003</v>
      </c>
      <c r="I1304" s="20">
        <f t="shared" si="132"/>
        <v>5.306</v>
      </c>
      <c r="J1304" s="20">
        <f t="shared" si="133"/>
        <v>3.391</v>
      </c>
      <c r="K1304" s="72"/>
      <c r="L1304" s="826"/>
      <c r="M1304" s="20"/>
      <c r="N1304" s="20"/>
      <c r="O1304" s="20"/>
      <c r="P1304" s="20"/>
      <c r="Q1304" s="21"/>
      <c r="R1304" s="22" t="s">
        <v>16</v>
      </c>
      <c r="S1304" s="22" t="s">
        <v>16</v>
      </c>
      <c r="T1304" s="753">
        <f t="shared" si="129"/>
        <v>1952.2583429996232</v>
      </c>
      <c r="U1304" s="22">
        <f t="shared" si="130"/>
        <v>0</v>
      </c>
      <c r="V1304" s="20"/>
    </row>
    <row r="1305" spans="1:22" s="290" customFormat="1" ht="14.4">
      <c r="A1305" s="381" t="s">
        <v>1678</v>
      </c>
      <c r="B1305" s="2" t="s">
        <v>77</v>
      </c>
      <c r="C1305" s="390">
        <v>180</v>
      </c>
      <c r="D1305" s="399">
        <v>300</v>
      </c>
      <c r="E1305" s="390">
        <v>103</v>
      </c>
      <c r="F1305" s="390">
        <v>97</v>
      </c>
      <c r="G1305" s="21">
        <f t="shared" si="125"/>
        <v>5.4</v>
      </c>
      <c r="H1305" s="20">
        <f t="shared" si="131"/>
        <v>5.5620000000000003</v>
      </c>
      <c r="I1305" s="20">
        <f t="shared" si="132"/>
        <v>5.4</v>
      </c>
      <c r="J1305" s="20">
        <f t="shared" si="133"/>
        <v>3.5179999999999998</v>
      </c>
      <c r="K1305" s="72"/>
      <c r="L1305" s="826"/>
      <c r="M1305" s="20"/>
      <c r="N1305" s="20"/>
      <c r="O1305" s="20"/>
      <c r="P1305" s="20"/>
      <c r="Q1305" s="21"/>
      <c r="R1305" s="22" t="s">
        <v>16</v>
      </c>
      <c r="S1305" s="22" t="s">
        <v>16</v>
      </c>
      <c r="T1305" s="753">
        <f t="shared" si="129"/>
        <v>3090.4291368675649</v>
      </c>
      <c r="U1305" s="22">
        <f t="shared" si="130"/>
        <v>0</v>
      </c>
      <c r="V1305" s="20"/>
    </row>
    <row r="1306" spans="1:22" s="290" customFormat="1" ht="14.4">
      <c r="A1306" s="385" t="s">
        <v>1679</v>
      </c>
      <c r="B1306" s="2" t="s">
        <v>77</v>
      </c>
      <c r="C1306" s="391">
        <v>200</v>
      </c>
      <c r="D1306" s="401">
        <v>300</v>
      </c>
      <c r="E1306" s="391">
        <v>103</v>
      </c>
      <c r="F1306" s="391">
        <v>82</v>
      </c>
      <c r="G1306" s="21">
        <f t="shared" si="125"/>
        <v>5.55</v>
      </c>
      <c r="H1306" s="20">
        <f t="shared" si="131"/>
        <v>6.18</v>
      </c>
      <c r="I1306" s="20">
        <f t="shared" si="132"/>
        <v>5.55</v>
      </c>
      <c r="J1306" s="20">
        <f t="shared" si="133"/>
        <v>3.3050000000000002</v>
      </c>
      <c r="K1306" s="72"/>
      <c r="L1306" s="826"/>
      <c r="M1306" s="20"/>
      <c r="N1306" s="20"/>
      <c r="O1306" s="20"/>
      <c r="P1306" s="20"/>
      <c r="Q1306" s="21"/>
      <c r="R1306" s="22" t="s">
        <v>16</v>
      </c>
      <c r="S1306" s="22" t="s">
        <v>16</v>
      </c>
      <c r="T1306" s="753">
        <f t="shared" si="129"/>
        <v>982.30332570756639</v>
      </c>
      <c r="U1306" s="22">
        <f t="shared" si="130"/>
        <v>0</v>
      </c>
      <c r="V1306" s="20"/>
    </row>
    <row r="1307" spans="1:22" s="290" customFormat="1" ht="14.4">
      <c r="A1307" s="385" t="s">
        <v>1680</v>
      </c>
      <c r="B1307" s="2" t="s">
        <v>77</v>
      </c>
      <c r="C1307" s="391">
        <v>200</v>
      </c>
      <c r="D1307" s="401">
        <v>300</v>
      </c>
      <c r="E1307" s="391">
        <v>103</v>
      </c>
      <c r="F1307" s="391">
        <v>89</v>
      </c>
      <c r="G1307" s="21">
        <f t="shared" si="125"/>
        <v>5.76</v>
      </c>
      <c r="H1307" s="20">
        <f t="shared" si="131"/>
        <v>6.18</v>
      </c>
      <c r="I1307" s="20">
        <f t="shared" si="132"/>
        <v>5.76</v>
      </c>
      <c r="J1307" s="20">
        <f t="shared" si="133"/>
        <v>3.5870000000000002</v>
      </c>
      <c r="K1307" s="72"/>
      <c r="L1307" s="826"/>
      <c r="M1307" s="20"/>
      <c r="N1307" s="20"/>
      <c r="O1307" s="20"/>
      <c r="P1307" s="20"/>
      <c r="Q1307" s="21"/>
      <c r="R1307" s="22" t="s">
        <v>16</v>
      </c>
      <c r="S1307" s="22" t="s">
        <v>16</v>
      </c>
      <c r="T1307" s="753">
        <f t="shared" si="129"/>
        <v>1472.3295455896844</v>
      </c>
      <c r="U1307" s="22">
        <f t="shared" si="130"/>
        <v>0</v>
      </c>
      <c r="V1307" s="20"/>
    </row>
    <row r="1308" spans="1:22" s="290" customFormat="1" ht="14.4">
      <c r="A1308" s="385" t="s">
        <v>1681</v>
      </c>
      <c r="B1308" s="2" t="s">
        <v>77</v>
      </c>
      <c r="C1308" s="391">
        <v>200</v>
      </c>
      <c r="D1308" s="401">
        <v>300</v>
      </c>
      <c r="E1308" s="391">
        <v>103</v>
      </c>
      <c r="F1308" s="391">
        <v>92.5</v>
      </c>
      <c r="G1308" s="21">
        <f t="shared" si="125"/>
        <v>5.8650000000000002</v>
      </c>
      <c r="H1308" s="20">
        <f t="shared" si="131"/>
        <v>6.18</v>
      </c>
      <c r="I1308" s="20">
        <f t="shared" si="132"/>
        <v>5.8650000000000002</v>
      </c>
      <c r="J1308" s="20">
        <f t="shared" si="133"/>
        <v>3.7280000000000002</v>
      </c>
      <c r="K1308" s="72"/>
      <c r="L1308" s="826"/>
      <c r="M1308" s="20"/>
      <c r="N1308" s="20"/>
      <c r="O1308" s="20"/>
      <c r="P1308" s="20"/>
      <c r="Q1308" s="21"/>
      <c r="R1308" s="22" t="s">
        <v>16</v>
      </c>
      <c r="S1308" s="22" t="s">
        <v>16</v>
      </c>
      <c r="T1308" s="753">
        <f t="shared" si="129"/>
        <v>1962.5805830040663</v>
      </c>
      <c r="U1308" s="22">
        <f t="shared" si="130"/>
        <v>0</v>
      </c>
      <c r="V1308" s="20"/>
    </row>
    <row r="1309" spans="1:22" s="290" customFormat="1" ht="14.4">
      <c r="A1309" s="385" t="s">
        <v>1682</v>
      </c>
      <c r="B1309" s="2" t="s">
        <v>77</v>
      </c>
      <c r="C1309" s="391">
        <v>200</v>
      </c>
      <c r="D1309" s="401">
        <v>300</v>
      </c>
      <c r="E1309" s="391">
        <v>103</v>
      </c>
      <c r="F1309" s="391">
        <v>94.7</v>
      </c>
      <c r="G1309" s="21">
        <f t="shared" si="125"/>
        <v>5.931</v>
      </c>
      <c r="H1309" s="20">
        <f t="shared" si="131"/>
        <v>6.18</v>
      </c>
      <c r="I1309" s="20">
        <f t="shared" si="132"/>
        <v>5.931</v>
      </c>
      <c r="J1309" s="20">
        <f t="shared" si="133"/>
        <v>3.8159999999999998</v>
      </c>
      <c r="K1309" s="72"/>
      <c r="L1309" s="826"/>
      <c r="M1309" s="20"/>
      <c r="N1309" s="20"/>
      <c r="O1309" s="20"/>
      <c r="P1309" s="20"/>
      <c r="Q1309" s="21"/>
      <c r="R1309" s="22" t="s">
        <v>16</v>
      </c>
      <c r="S1309" s="22" t="s">
        <v>16</v>
      </c>
      <c r="T1309" s="753">
        <f t="shared" si="129"/>
        <v>2482.4619658420215</v>
      </c>
      <c r="U1309" s="22">
        <f t="shared" si="130"/>
        <v>0</v>
      </c>
      <c r="V1309" s="20"/>
    </row>
    <row r="1310" spans="1:22" s="290" customFormat="1" ht="14.4">
      <c r="A1310" s="385" t="s">
        <v>1683</v>
      </c>
      <c r="B1310" s="2" t="s">
        <v>77</v>
      </c>
      <c r="C1310" s="391">
        <v>200</v>
      </c>
      <c r="D1310" s="401">
        <v>300</v>
      </c>
      <c r="E1310" s="391">
        <v>103</v>
      </c>
      <c r="F1310" s="391">
        <v>96.2</v>
      </c>
      <c r="G1310" s="21">
        <f t="shared" si="125"/>
        <v>5.976</v>
      </c>
      <c r="H1310" s="20">
        <f t="shared" si="131"/>
        <v>6.18</v>
      </c>
      <c r="I1310" s="20">
        <f t="shared" si="132"/>
        <v>5.976</v>
      </c>
      <c r="J1310" s="20">
        <f t="shared" si="133"/>
        <v>3.8769999999999998</v>
      </c>
      <c r="K1310" s="72"/>
      <c r="L1310" s="826"/>
      <c r="M1310" s="20"/>
      <c r="N1310" s="20"/>
      <c r="O1310" s="20"/>
      <c r="P1310" s="20"/>
      <c r="Q1310" s="21"/>
      <c r="R1310" s="22" t="s">
        <v>16</v>
      </c>
      <c r="S1310" s="22" t="s">
        <v>16</v>
      </c>
      <c r="T1310" s="753">
        <f t="shared" si="129"/>
        <v>3029.8494830830155</v>
      </c>
      <c r="U1310" s="22">
        <f t="shared" si="130"/>
        <v>0</v>
      </c>
      <c r="V1310" s="20"/>
    </row>
    <row r="1311" spans="1:22" s="290" customFormat="1" ht="14.4">
      <c r="A1311" s="385" t="s">
        <v>1684</v>
      </c>
      <c r="B1311" s="2" t="s">
        <v>77</v>
      </c>
      <c r="C1311" s="391">
        <v>200</v>
      </c>
      <c r="D1311" s="401">
        <v>300</v>
      </c>
      <c r="E1311" s="391">
        <v>103</v>
      </c>
      <c r="F1311" s="391">
        <v>97.8</v>
      </c>
      <c r="G1311" s="21">
        <f t="shared" si="125"/>
        <v>6.024</v>
      </c>
      <c r="H1311" s="20">
        <f t="shared" si="131"/>
        <v>6.18</v>
      </c>
      <c r="I1311" s="20">
        <f t="shared" si="132"/>
        <v>6.024</v>
      </c>
      <c r="J1311" s="20">
        <f t="shared" si="133"/>
        <v>3.9409999999999998</v>
      </c>
      <c r="K1311" s="72"/>
      <c r="L1311" s="826"/>
      <c r="M1311" s="20"/>
      <c r="N1311" s="20"/>
      <c r="O1311" s="20"/>
      <c r="P1311" s="20"/>
      <c r="Q1311" s="21"/>
      <c r="R1311" s="22" t="s">
        <v>16</v>
      </c>
      <c r="S1311" s="22" t="s">
        <v>16</v>
      </c>
      <c r="T1311" s="753">
        <f t="shared" si="129"/>
        <v>3961.8731973964668</v>
      </c>
      <c r="U1311" s="22">
        <f t="shared" si="130"/>
        <v>0</v>
      </c>
      <c r="V1311" s="20"/>
    </row>
    <row r="1312" spans="1:22" s="290" customFormat="1" ht="14.4">
      <c r="A1312" s="384" t="s">
        <v>1685</v>
      </c>
      <c r="B1312" s="2" t="s">
        <v>77</v>
      </c>
      <c r="C1312" s="395">
        <v>220</v>
      </c>
      <c r="D1312" s="402">
        <v>300</v>
      </c>
      <c r="E1312" s="395">
        <v>103</v>
      </c>
      <c r="F1312" s="395">
        <v>80</v>
      </c>
      <c r="G1312" s="21">
        <f t="shared" si="125"/>
        <v>6.0389999999999997</v>
      </c>
      <c r="H1312" s="20">
        <f t="shared" si="131"/>
        <v>6.798</v>
      </c>
      <c r="I1312" s="20">
        <f t="shared" si="132"/>
        <v>6.0389999999999997</v>
      </c>
      <c r="J1312" s="20">
        <f t="shared" si="133"/>
        <v>3.5459999999999998</v>
      </c>
      <c r="K1312" s="72"/>
      <c r="L1312" s="826"/>
      <c r="M1312" s="20"/>
      <c r="N1312" s="20"/>
      <c r="O1312" s="20"/>
      <c r="P1312" s="20"/>
      <c r="Q1312" s="21"/>
      <c r="R1312" s="22" t="s">
        <v>16</v>
      </c>
      <c r="S1312" s="22" t="s">
        <v>16</v>
      </c>
      <c r="T1312" s="753">
        <f t="shared" si="129"/>
        <v>986.5624958047739</v>
      </c>
      <c r="U1312" s="22">
        <f t="shared" si="130"/>
        <v>0</v>
      </c>
      <c r="V1312" s="20"/>
    </row>
    <row r="1313" spans="1:22" s="290" customFormat="1" ht="14.4">
      <c r="A1313" s="384" t="s">
        <v>1686</v>
      </c>
      <c r="B1313" s="2" t="s">
        <v>77</v>
      </c>
      <c r="C1313" s="395">
        <v>220</v>
      </c>
      <c r="D1313" s="402">
        <v>300</v>
      </c>
      <c r="E1313" s="395">
        <v>103</v>
      </c>
      <c r="F1313" s="395">
        <v>88</v>
      </c>
      <c r="G1313" s="21">
        <f t="shared" si="125"/>
        <v>6.3029999999999999</v>
      </c>
      <c r="H1313" s="20">
        <f t="shared" si="131"/>
        <v>6.798</v>
      </c>
      <c r="I1313" s="20">
        <f t="shared" si="132"/>
        <v>6.3029999999999999</v>
      </c>
      <c r="J1313" s="20">
        <f t="shared" si="133"/>
        <v>3.9009999999999998</v>
      </c>
      <c r="K1313" s="72"/>
      <c r="L1313" s="826"/>
      <c r="M1313" s="20"/>
      <c r="N1313" s="20"/>
      <c r="O1313" s="20"/>
      <c r="P1313" s="20"/>
      <c r="Q1313" s="21"/>
      <c r="R1313" s="22" t="s">
        <v>16</v>
      </c>
      <c r="S1313" s="22" t="s">
        <v>16</v>
      </c>
      <c r="T1313" s="753">
        <f t="shared" si="129"/>
        <v>1511.5442526693612</v>
      </c>
      <c r="U1313" s="22">
        <f t="shared" si="130"/>
        <v>0</v>
      </c>
      <c r="V1313" s="20"/>
    </row>
    <row r="1314" spans="1:22" s="290" customFormat="1" ht="14.4">
      <c r="A1314" s="384" t="s">
        <v>1687</v>
      </c>
      <c r="B1314" s="2" t="s">
        <v>77</v>
      </c>
      <c r="C1314" s="395">
        <v>220</v>
      </c>
      <c r="D1314" s="402">
        <v>300</v>
      </c>
      <c r="E1314" s="395">
        <v>103</v>
      </c>
      <c r="F1314" s="395">
        <v>91.5</v>
      </c>
      <c r="G1314" s="21">
        <f t="shared" si="125"/>
        <v>6.4184999999999999</v>
      </c>
      <c r="H1314" s="20">
        <f t="shared" si="131"/>
        <v>6.798</v>
      </c>
      <c r="I1314" s="20">
        <f t="shared" si="132"/>
        <v>6.4189999999999996</v>
      </c>
      <c r="J1314" s="20">
        <f t="shared" si="133"/>
        <v>4.056</v>
      </c>
      <c r="K1314" s="72"/>
      <c r="L1314" s="826"/>
      <c r="M1314" s="20"/>
      <c r="N1314" s="20"/>
      <c r="O1314" s="20"/>
      <c r="P1314" s="20"/>
      <c r="Q1314" s="21"/>
      <c r="R1314" s="22" t="s">
        <v>16</v>
      </c>
      <c r="S1314" s="22" t="s">
        <v>16</v>
      </c>
      <c r="T1314" s="753">
        <f t="shared" si="129"/>
        <v>1971.1076790764573</v>
      </c>
      <c r="U1314" s="22">
        <f t="shared" si="130"/>
        <v>0</v>
      </c>
      <c r="V1314" s="20"/>
    </row>
    <row r="1315" spans="1:22" s="290" customFormat="1" ht="14.4">
      <c r="A1315" s="384" t="s">
        <v>1688</v>
      </c>
      <c r="B1315" s="2" t="s">
        <v>77</v>
      </c>
      <c r="C1315" s="395">
        <v>220</v>
      </c>
      <c r="D1315" s="402">
        <v>300</v>
      </c>
      <c r="E1315" s="395">
        <v>103</v>
      </c>
      <c r="F1315" s="395">
        <v>94</v>
      </c>
      <c r="G1315" s="21">
        <f t="shared" si="125"/>
        <v>6.5010000000000003</v>
      </c>
      <c r="H1315" s="20">
        <f t="shared" si="131"/>
        <v>6.798</v>
      </c>
      <c r="I1315" s="20">
        <f t="shared" si="132"/>
        <v>6.5010000000000003</v>
      </c>
      <c r="J1315" s="20">
        <f t="shared" si="133"/>
        <v>4.1669999999999998</v>
      </c>
      <c r="K1315" s="72"/>
      <c r="L1315" s="826"/>
      <c r="M1315" s="20"/>
      <c r="N1315" s="20"/>
      <c r="O1315" s="20"/>
      <c r="P1315" s="20"/>
      <c r="Q1315" s="21"/>
      <c r="R1315" s="22" t="s">
        <v>16</v>
      </c>
      <c r="S1315" s="22" t="s">
        <v>16</v>
      </c>
      <c r="T1315" s="753">
        <f t="shared" si="129"/>
        <v>2518.3044272429825</v>
      </c>
      <c r="U1315" s="22">
        <f t="shared" si="130"/>
        <v>0</v>
      </c>
      <c r="V1315" s="20"/>
    </row>
    <row r="1316" spans="1:22" s="290" customFormat="1" ht="14.4">
      <c r="A1316" s="384" t="s">
        <v>1689</v>
      </c>
      <c r="B1316" s="2" t="s">
        <v>77</v>
      </c>
      <c r="C1316" s="395">
        <v>220</v>
      </c>
      <c r="D1316" s="402">
        <v>300</v>
      </c>
      <c r="E1316" s="395">
        <v>103</v>
      </c>
      <c r="F1316" s="395">
        <v>95.5</v>
      </c>
      <c r="G1316" s="21">
        <f t="shared" si="125"/>
        <v>6.5505000000000004</v>
      </c>
      <c r="H1316" s="20">
        <f t="shared" si="131"/>
        <v>6.798</v>
      </c>
      <c r="I1316" s="20">
        <f t="shared" si="132"/>
        <v>6.5510000000000002</v>
      </c>
      <c r="J1316" s="20">
        <f t="shared" si="133"/>
        <v>4.234</v>
      </c>
      <c r="K1316" s="72"/>
      <c r="L1316" s="826"/>
      <c r="M1316" s="20"/>
      <c r="N1316" s="20"/>
      <c r="O1316" s="20"/>
      <c r="P1316" s="20"/>
      <c r="Q1316" s="21"/>
      <c r="R1316" s="22" t="s">
        <v>16</v>
      </c>
      <c r="S1316" s="22" t="s">
        <v>16</v>
      </c>
      <c r="T1316" s="753">
        <f t="shared" si="129"/>
        <v>3021.7722219106968</v>
      </c>
      <c r="U1316" s="22">
        <f t="shared" si="130"/>
        <v>0</v>
      </c>
      <c r="V1316" s="20"/>
    </row>
    <row r="1317" spans="1:22" s="290" customFormat="1" ht="14.4">
      <c r="A1317" s="384" t="s">
        <v>1690</v>
      </c>
      <c r="B1317" s="2" t="s">
        <v>77</v>
      </c>
      <c r="C1317" s="395">
        <v>220</v>
      </c>
      <c r="D1317" s="402">
        <v>300</v>
      </c>
      <c r="E1317" s="395">
        <v>103</v>
      </c>
      <c r="F1317" s="395">
        <v>97.3</v>
      </c>
      <c r="G1317" s="21">
        <f t="shared" si="125"/>
        <v>6.6098999999999997</v>
      </c>
      <c r="H1317" s="20">
        <f t="shared" si="131"/>
        <v>6.798</v>
      </c>
      <c r="I1317" s="20">
        <f t="shared" si="132"/>
        <v>6.61</v>
      </c>
      <c r="J1317" s="20">
        <f t="shared" si="133"/>
        <v>4.3129999999999997</v>
      </c>
      <c r="K1317" s="72"/>
      <c r="L1317" s="826"/>
      <c r="M1317" s="20"/>
      <c r="N1317" s="20"/>
      <c r="O1317" s="20"/>
      <c r="P1317" s="20"/>
      <c r="Q1317" s="21"/>
      <c r="R1317" s="22" t="s">
        <v>16</v>
      </c>
      <c r="S1317" s="22" t="s">
        <v>16</v>
      </c>
      <c r="T1317" s="753">
        <f t="shared" si="129"/>
        <v>3975.7721620425045</v>
      </c>
      <c r="U1317" s="22">
        <f t="shared" si="130"/>
        <v>0</v>
      </c>
      <c r="V1317" s="20"/>
    </row>
    <row r="1318" spans="1:22" s="290" customFormat="1" ht="14.4">
      <c r="A1318" s="423" t="s">
        <v>1691</v>
      </c>
      <c r="B1318" s="2" t="s">
        <v>77</v>
      </c>
      <c r="C1318" s="424">
        <v>250</v>
      </c>
      <c r="D1318" s="417">
        <v>300</v>
      </c>
      <c r="E1318" s="424">
        <v>103</v>
      </c>
      <c r="F1318" s="424">
        <v>77</v>
      </c>
      <c r="G1318" s="21">
        <f t="shared" si="125"/>
        <v>6.75</v>
      </c>
      <c r="H1318" s="20">
        <f t="shared" si="131"/>
        <v>7.7249999999999996</v>
      </c>
      <c r="I1318" s="20">
        <f t="shared" si="132"/>
        <v>6.75</v>
      </c>
      <c r="J1318" s="20">
        <f t="shared" si="133"/>
        <v>3.879</v>
      </c>
      <c r="K1318" s="72"/>
      <c r="L1318" s="826"/>
      <c r="M1318" s="20"/>
      <c r="N1318" s="20"/>
      <c r="O1318" s="20"/>
      <c r="P1318" s="20"/>
      <c r="Q1318" s="21"/>
      <c r="R1318" s="22" t="s">
        <v>16</v>
      </c>
      <c r="S1318" s="22" t="s">
        <v>16</v>
      </c>
      <c r="T1318" s="753">
        <f t="shared" si="129"/>
        <v>991.72271144233287</v>
      </c>
      <c r="U1318" s="22">
        <f t="shared" si="130"/>
        <v>0</v>
      </c>
      <c r="V1318" s="20"/>
    </row>
    <row r="1319" spans="1:22" s="290" customFormat="1" ht="14.4">
      <c r="A1319" s="423" t="s">
        <v>1692</v>
      </c>
      <c r="B1319" s="2" t="s">
        <v>77</v>
      </c>
      <c r="C1319" s="424">
        <v>250</v>
      </c>
      <c r="D1319" s="417">
        <v>300</v>
      </c>
      <c r="E1319" s="424">
        <v>103</v>
      </c>
      <c r="F1319" s="424">
        <v>85.5</v>
      </c>
      <c r="G1319" s="21">
        <f t="shared" si="125"/>
        <v>7.0687499999999996</v>
      </c>
      <c r="H1319" s="20">
        <f t="shared" si="131"/>
        <v>7.7249999999999996</v>
      </c>
      <c r="I1319" s="20">
        <f t="shared" si="132"/>
        <v>7.069</v>
      </c>
      <c r="J1319" s="20">
        <f t="shared" si="133"/>
        <v>4.3070000000000004</v>
      </c>
      <c r="K1319" s="72"/>
      <c r="L1319" s="826"/>
      <c r="M1319" s="20"/>
      <c r="N1319" s="20"/>
      <c r="O1319" s="20"/>
      <c r="P1319" s="20"/>
      <c r="Q1319" s="21"/>
      <c r="R1319" s="22" t="s">
        <v>16</v>
      </c>
      <c r="S1319" s="22" t="s">
        <v>16</v>
      </c>
      <c r="T1319" s="753">
        <f t="shared" si="129"/>
        <v>1472.3295455896846</v>
      </c>
      <c r="U1319" s="22">
        <f t="shared" si="130"/>
        <v>0</v>
      </c>
      <c r="V1319" s="20"/>
    </row>
    <row r="1320" spans="1:22" s="290" customFormat="1" ht="14.4">
      <c r="A1320" s="423" t="s">
        <v>1693</v>
      </c>
      <c r="B1320" s="2" t="s">
        <v>77</v>
      </c>
      <c r="C1320" s="424">
        <v>250</v>
      </c>
      <c r="D1320" s="417">
        <v>300</v>
      </c>
      <c r="E1320" s="424">
        <v>103</v>
      </c>
      <c r="F1320" s="424">
        <v>90</v>
      </c>
      <c r="G1320" s="21">
        <f t="shared" si="125"/>
        <v>7.2374999999999998</v>
      </c>
      <c r="H1320" s="20">
        <f t="shared" si="131"/>
        <v>7.7249999999999996</v>
      </c>
      <c r="I1320" s="20">
        <f t="shared" si="132"/>
        <v>7.2380000000000004</v>
      </c>
      <c r="J1320" s="20">
        <f t="shared" si="133"/>
        <v>4.5339999999999998</v>
      </c>
      <c r="K1320" s="72"/>
      <c r="L1320" s="826"/>
      <c r="M1320" s="20"/>
      <c r="N1320" s="20"/>
      <c r="O1320" s="20"/>
      <c r="P1320" s="20"/>
      <c r="Q1320" s="21"/>
      <c r="R1320" s="22" t="s">
        <v>16</v>
      </c>
      <c r="S1320" s="22" t="s">
        <v>16</v>
      </c>
      <c r="T1320" s="753">
        <f t="shared" si="129"/>
        <v>1981.4386176619578</v>
      </c>
      <c r="U1320" s="22">
        <f t="shared" si="130"/>
        <v>0</v>
      </c>
      <c r="V1320" s="20"/>
    </row>
    <row r="1321" spans="1:22" s="290" customFormat="1" ht="14.4">
      <c r="A1321" s="423" t="s">
        <v>1694</v>
      </c>
      <c r="B1321" s="2" t="s">
        <v>77</v>
      </c>
      <c r="C1321" s="424">
        <v>250</v>
      </c>
      <c r="D1321" s="417">
        <v>300</v>
      </c>
      <c r="E1321" s="424">
        <v>103</v>
      </c>
      <c r="F1321" s="424">
        <v>92.7</v>
      </c>
      <c r="G1321" s="21">
        <f t="shared" si="125"/>
        <v>7.3387500000000001</v>
      </c>
      <c r="H1321" s="20">
        <f t="shared" si="131"/>
        <v>7.7249999999999996</v>
      </c>
      <c r="I1321" s="20">
        <f t="shared" si="132"/>
        <v>7.3390000000000004</v>
      </c>
      <c r="J1321" s="20">
        <f t="shared" si="133"/>
        <v>4.67</v>
      </c>
      <c r="K1321" s="72"/>
      <c r="L1321" s="826"/>
      <c r="M1321" s="20"/>
      <c r="N1321" s="20"/>
      <c r="O1321" s="20"/>
      <c r="P1321" s="20"/>
      <c r="Q1321" s="21"/>
      <c r="R1321" s="22" t="s">
        <v>16</v>
      </c>
      <c r="S1321" s="22" t="s">
        <v>16</v>
      </c>
      <c r="T1321" s="753">
        <f t="shared" si="129"/>
        <v>2500.5303937364979</v>
      </c>
      <c r="U1321" s="22">
        <f t="shared" si="130"/>
        <v>0</v>
      </c>
      <c r="V1321" s="20"/>
    </row>
    <row r="1322" spans="1:22" s="290" customFormat="1" ht="14.4">
      <c r="A1322" s="423" t="s">
        <v>1695</v>
      </c>
      <c r="B1322" s="2" t="s">
        <v>77</v>
      </c>
      <c r="C1322" s="424">
        <v>250</v>
      </c>
      <c r="D1322" s="417">
        <v>300</v>
      </c>
      <c r="E1322" s="424">
        <v>103</v>
      </c>
      <c r="F1322" s="424">
        <v>94.5</v>
      </c>
      <c r="G1322" s="21">
        <f t="shared" si="125"/>
        <v>7.40625</v>
      </c>
      <c r="H1322" s="20">
        <f t="shared" si="131"/>
        <v>7.7249999999999996</v>
      </c>
      <c r="I1322" s="20">
        <f t="shared" si="132"/>
        <v>7.4059999999999997</v>
      </c>
      <c r="J1322" s="20">
        <f t="shared" si="133"/>
        <v>4.76</v>
      </c>
      <c r="K1322" s="72"/>
      <c r="L1322" s="826"/>
      <c r="M1322" s="20"/>
      <c r="N1322" s="20"/>
      <c r="O1322" s="20"/>
      <c r="P1322" s="20"/>
      <c r="Q1322" s="21"/>
      <c r="R1322" s="22" t="s">
        <v>16</v>
      </c>
      <c r="S1322" s="22" t="s">
        <v>16</v>
      </c>
      <c r="T1322" s="753">
        <f t="shared" si="129"/>
        <v>3029.8494830830141</v>
      </c>
      <c r="U1322" s="22">
        <f t="shared" si="130"/>
        <v>0</v>
      </c>
      <c r="V1322" s="20"/>
    </row>
    <row r="1323" spans="1:22" s="290" customFormat="1" ht="14.4">
      <c r="A1323" s="423" t="s">
        <v>1696</v>
      </c>
      <c r="B1323" s="2" t="s">
        <v>77</v>
      </c>
      <c r="C1323" s="396">
        <v>250</v>
      </c>
      <c r="D1323" s="417">
        <v>300</v>
      </c>
      <c r="E1323" s="396">
        <v>103</v>
      </c>
      <c r="F1323" s="396">
        <v>96.5</v>
      </c>
      <c r="G1323" s="21">
        <f t="shared" si="125"/>
        <v>7.4812500000000002</v>
      </c>
      <c r="H1323" s="20">
        <f t="shared" si="131"/>
        <v>7.7249999999999996</v>
      </c>
      <c r="I1323" s="20">
        <f t="shared" si="132"/>
        <v>7.4809999999999999</v>
      </c>
      <c r="J1323" s="20">
        <f t="shared" si="133"/>
        <v>4.8609999999999998</v>
      </c>
      <c r="K1323" s="72"/>
      <c r="L1323" s="826"/>
      <c r="M1323" s="20"/>
      <c r="N1323" s="20"/>
      <c r="O1323" s="20"/>
      <c r="P1323" s="20"/>
      <c r="Q1323" s="21"/>
      <c r="R1323" s="22" t="s">
        <v>16</v>
      </c>
      <c r="S1323" s="22" t="s">
        <v>16</v>
      </c>
      <c r="T1323" s="753">
        <f t="shared" si="129"/>
        <v>3961.8731973964691</v>
      </c>
      <c r="U1323" s="22">
        <f t="shared" si="130"/>
        <v>0</v>
      </c>
      <c r="V1323" s="20"/>
    </row>
    <row r="1324" spans="1:22" s="290" customFormat="1" ht="14.4">
      <c r="A1324" s="421" t="s">
        <v>1697</v>
      </c>
      <c r="B1324" s="2" t="s">
        <v>77</v>
      </c>
      <c r="C1324" s="422">
        <v>300</v>
      </c>
      <c r="D1324" s="415">
        <v>300</v>
      </c>
      <c r="E1324" s="422">
        <v>103</v>
      </c>
      <c r="F1324" s="422">
        <v>71.599999999999994</v>
      </c>
      <c r="G1324" s="21">
        <f t="shared" si="125"/>
        <v>7.8570000000000002</v>
      </c>
      <c r="H1324" s="20">
        <f t="shared" si="131"/>
        <v>9.27</v>
      </c>
      <c r="I1324" s="20">
        <f t="shared" si="132"/>
        <v>7.8570000000000002</v>
      </c>
      <c r="J1324" s="20">
        <f t="shared" si="133"/>
        <v>4.3280000000000003</v>
      </c>
      <c r="K1324" s="72"/>
      <c r="L1324" s="826"/>
      <c r="M1324" s="20"/>
      <c r="N1324" s="20"/>
      <c r="O1324" s="20"/>
      <c r="P1324" s="20"/>
      <c r="Q1324" s="21"/>
      <c r="R1324" s="22" t="s">
        <v>16</v>
      </c>
      <c r="S1324" s="22" t="s">
        <v>16</v>
      </c>
      <c r="T1324" s="753">
        <f t="shared" si="129"/>
        <v>985.42309503288345</v>
      </c>
      <c r="U1324" s="22">
        <f t="shared" si="130"/>
        <v>0</v>
      </c>
      <c r="V1324" s="20"/>
    </row>
    <row r="1325" spans="1:22" s="290" customFormat="1" ht="14.4">
      <c r="A1325" s="421" t="s">
        <v>1698</v>
      </c>
      <c r="B1325" s="2" t="s">
        <v>77</v>
      </c>
      <c r="C1325" s="422">
        <v>300</v>
      </c>
      <c r="D1325" s="415">
        <v>300</v>
      </c>
      <c r="E1325" s="422">
        <v>103</v>
      </c>
      <c r="F1325" s="422">
        <v>82</v>
      </c>
      <c r="G1325" s="21">
        <f t="shared" si="125"/>
        <v>8.3249999999999993</v>
      </c>
      <c r="H1325" s="20">
        <f t="shared" si="131"/>
        <v>9.27</v>
      </c>
      <c r="I1325" s="20">
        <f t="shared" si="132"/>
        <v>8.3249999999999993</v>
      </c>
      <c r="J1325" s="20">
        <f t="shared" si="133"/>
        <v>4.9569999999999999</v>
      </c>
      <c r="K1325" s="72"/>
      <c r="L1325" s="826"/>
      <c r="M1325" s="20"/>
      <c r="N1325" s="20"/>
      <c r="O1325" s="20"/>
      <c r="P1325" s="20"/>
      <c r="Q1325" s="21"/>
      <c r="R1325" s="22" t="s">
        <v>16</v>
      </c>
      <c r="S1325" s="22" t="s">
        <v>16</v>
      </c>
      <c r="T1325" s="753">
        <f t="shared" si="129"/>
        <v>1472.3295455896846</v>
      </c>
      <c r="U1325" s="22">
        <f t="shared" si="130"/>
        <v>0</v>
      </c>
      <c r="V1325" s="20"/>
    </row>
    <row r="1326" spans="1:22" s="290" customFormat="1" ht="14.4">
      <c r="A1326" s="421" t="s">
        <v>1699</v>
      </c>
      <c r="B1326" s="2" t="s">
        <v>77</v>
      </c>
      <c r="C1326" s="422">
        <v>300</v>
      </c>
      <c r="D1326" s="415">
        <v>300</v>
      </c>
      <c r="E1326" s="422">
        <v>103</v>
      </c>
      <c r="F1326" s="422">
        <v>87.3</v>
      </c>
      <c r="G1326" s="21">
        <f t="shared" si="125"/>
        <v>8.5634999999999994</v>
      </c>
      <c r="H1326" s="20">
        <f t="shared" si="131"/>
        <v>9.27</v>
      </c>
      <c r="I1326" s="20">
        <f t="shared" si="132"/>
        <v>8.5640000000000001</v>
      </c>
      <c r="J1326" s="20">
        <f t="shared" si="133"/>
        <v>5.2770000000000001</v>
      </c>
      <c r="K1326" s="72"/>
      <c r="L1326" s="826"/>
      <c r="M1326" s="20"/>
      <c r="N1326" s="20"/>
      <c r="O1326" s="20"/>
      <c r="P1326" s="20"/>
      <c r="Q1326" s="21"/>
      <c r="R1326" s="22" t="s">
        <v>16</v>
      </c>
      <c r="S1326" s="22" t="s">
        <v>16</v>
      </c>
      <c r="T1326" s="753">
        <f t="shared" si="129"/>
        <v>1968.8265426128198</v>
      </c>
      <c r="U1326" s="22">
        <f t="shared" si="130"/>
        <v>0</v>
      </c>
      <c r="V1326" s="20"/>
    </row>
    <row r="1327" spans="1:22" s="290" customFormat="1" ht="14.4">
      <c r="A1327" s="421" t="s">
        <v>1700</v>
      </c>
      <c r="B1327" s="2" t="s">
        <v>77</v>
      </c>
      <c r="C1327" s="422">
        <v>300</v>
      </c>
      <c r="D1327" s="415">
        <v>300</v>
      </c>
      <c r="E1327" s="422">
        <v>103</v>
      </c>
      <c r="F1327" s="422">
        <v>95</v>
      </c>
      <c r="G1327" s="21">
        <f t="shared" si="125"/>
        <v>8.91</v>
      </c>
      <c r="H1327" s="20">
        <f t="shared" si="131"/>
        <v>9.27</v>
      </c>
      <c r="I1327" s="20">
        <f t="shared" si="132"/>
        <v>8.91</v>
      </c>
      <c r="J1327" s="20">
        <f t="shared" si="133"/>
        <v>5.7430000000000003</v>
      </c>
      <c r="K1327" s="72"/>
      <c r="L1327" s="826"/>
      <c r="M1327" s="20"/>
      <c r="N1327" s="20"/>
      <c r="O1327" s="20"/>
      <c r="P1327" s="20"/>
      <c r="Q1327" s="21"/>
      <c r="R1327" s="22" t="s">
        <v>16</v>
      </c>
      <c r="S1327" s="22" t="s">
        <v>16</v>
      </c>
      <c r="T1327" s="753">
        <f t="shared" si="129"/>
        <v>3862.84331807543</v>
      </c>
      <c r="U1327" s="22">
        <f t="shared" si="130"/>
        <v>0</v>
      </c>
      <c r="V1327" s="20"/>
    </row>
    <row r="1328" spans="1:22" s="290" customFormat="1" ht="14.4">
      <c r="A1328" s="425" t="s">
        <v>1701</v>
      </c>
      <c r="B1328" s="2" t="s">
        <v>77</v>
      </c>
      <c r="C1328" s="426">
        <v>350</v>
      </c>
      <c r="D1328" s="414">
        <v>300</v>
      </c>
      <c r="E1328" s="426">
        <v>103</v>
      </c>
      <c r="F1328" s="426">
        <v>84.5</v>
      </c>
      <c r="G1328" s="21">
        <f t="shared" si="125"/>
        <v>9.84375</v>
      </c>
      <c r="H1328" s="20">
        <f t="shared" si="131"/>
        <v>10.815</v>
      </c>
      <c r="I1328" s="20">
        <f t="shared" si="132"/>
        <v>9.8439999999999994</v>
      </c>
      <c r="J1328" s="20">
        <f t="shared" si="133"/>
        <v>5.9589999999999996</v>
      </c>
      <c r="K1328" s="72"/>
      <c r="L1328" s="826"/>
      <c r="M1328" s="20"/>
      <c r="N1328" s="20"/>
      <c r="O1328" s="20"/>
      <c r="P1328" s="20"/>
      <c r="Q1328" s="21"/>
      <c r="R1328" s="22" t="s">
        <v>16</v>
      </c>
      <c r="S1328" s="22" t="s">
        <v>16</v>
      </c>
      <c r="T1328" s="753">
        <f t="shared" si="129"/>
        <v>1949.3290655710762</v>
      </c>
      <c r="U1328" s="22">
        <f t="shared" si="130"/>
        <v>0</v>
      </c>
      <c r="V1328" s="20"/>
    </row>
    <row r="1329" spans="1:22" s="290" customFormat="1" ht="15" thickBot="1">
      <c r="A1329" s="428" t="s">
        <v>1702</v>
      </c>
      <c r="B1329" s="2" t="s">
        <v>77</v>
      </c>
      <c r="C1329" s="429">
        <v>350</v>
      </c>
      <c r="D1329" s="416">
        <v>300</v>
      </c>
      <c r="E1329" s="429">
        <v>103</v>
      </c>
      <c r="F1329" s="429">
        <v>94</v>
      </c>
      <c r="G1329" s="21">
        <f t="shared" si="125"/>
        <v>10.342499999999999</v>
      </c>
      <c r="H1329" s="20">
        <f t="shared" si="131"/>
        <v>10.815</v>
      </c>
      <c r="I1329" s="20">
        <f t="shared" si="132"/>
        <v>10.343</v>
      </c>
      <c r="J1329" s="20">
        <f t="shared" si="133"/>
        <v>6.6289999999999996</v>
      </c>
      <c r="K1329" s="72"/>
      <c r="L1329" s="826"/>
      <c r="M1329" s="20"/>
      <c r="N1329" s="20"/>
      <c r="O1329" s="20"/>
      <c r="P1329" s="20"/>
      <c r="Q1329" s="21"/>
      <c r="R1329" s="22" t="s">
        <v>16</v>
      </c>
      <c r="S1329" s="22" t="s">
        <v>16</v>
      </c>
      <c r="T1329" s="753">
        <f t="shared" si="129"/>
        <v>4005.8866133032243</v>
      </c>
      <c r="U1329" s="22">
        <f t="shared" si="130"/>
        <v>0</v>
      </c>
      <c r="V1329" s="20"/>
    </row>
    <row r="1330" spans="1:22" s="290" customFormat="1">
      <c r="A1330" s="289"/>
      <c r="B1330" s="2"/>
      <c r="C1330" s="2"/>
      <c r="D1330" s="2"/>
      <c r="E1330" s="2"/>
      <c r="F1330" s="2"/>
      <c r="G1330" s="21" t="str">
        <f t="shared" si="134"/>
        <v/>
      </c>
      <c r="H1330" s="20">
        <f t="shared" si="131"/>
        <v>0</v>
      </c>
      <c r="I1330" s="20" t="str">
        <f t="shared" si="132"/>
        <v>-</v>
      </c>
      <c r="J1330" s="20" t="str">
        <f t="shared" si="133"/>
        <v>-</v>
      </c>
      <c r="K1330" s="72"/>
      <c r="L1330" s="826"/>
      <c r="M1330" s="20"/>
      <c r="N1330" s="20"/>
      <c r="O1330" s="20"/>
      <c r="P1330" s="20"/>
      <c r="Q1330" s="21"/>
      <c r="R1330" s="22" t="s">
        <v>16</v>
      </c>
      <c r="S1330" s="22" t="s">
        <v>16</v>
      </c>
      <c r="T1330" s="20"/>
      <c r="U1330" s="22">
        <f t="shared" si="130"/>
        <v>0</v>
      </c>
      <c r="V1330" s="20"/>
    </row>
    <row r="1331" spans="1:22" s="290" customFormat="1" ht="14.4">
      <c r="A1331" s="385" t="s">
        <v>1703</v>
      </c>
      <c r="B1331" s="2" t="s">
        <v>77</v>
      </c>
      <c r="C1331" s="391">
        <v>200</v>
      </c>
      <c r="D1331" s="401">
        <v>250</v>
      </c>
      <c r="E1331" s="391">
        <v>103</v>
      </c>
      <c r="F1331" s="391">
        <v>82</v>
      </c>
      <c r="G1331" s="21">
        <f t="shared" si="125"/>
        <v>4.625</v>
      </c>
      <c r="H1331" s="20">
        <f t="shared" si="131"/>
        <v>5.15</v>
      </c>
      <c r="I1331" s="20">
        <f t="shared" si="132"/>
        <v>4.625</v>
      </c>
      <c r="J1331" s="20">
        <f t="shared" si="133"/>
        <v>2.895</v>
      </c>
      <c r="K1331" s="72"/>
      <c r="L1331" s="826"/>
      <c r="M1331" s="20"/>
      <c r="N1331" s="20"/>
      <c r="O1331" s="20"/>
      <c r="P1331" s="20"/>
      <c r="Q1331" s="21"/>
      <c r="R1331" s="22" t="s">
        <v>16</v>
      </c>
      <c r="S1331" s="22" t="s">
        <v>16</v>
      </c>
      <c r="T1331" s="753">
        <f t="shared" si="129"/>
        <v>982.30332570756639</v>
      </c>
      <c r="U1331" s="22">
        <f t="shared" si="130"/>
        <v>0</v>
      </c>
      <c r="V1331" s="20"/>
    </row>
    <row r="1332" spans="1:22" s="290" customFormat="1" ht="14.4">
      <c r="A1332" s="385" t="s">
        <v>1704</v>
      </c>
      <c r="B1332" s="2" t="s">
        <v>77</v>
      </c>
      <c r="C1332" s="391">
        <v>200</v>
      </c>
      <c r="D1332" s="401">
        <v>250</v>
      </c>
      <c r="E1332" s="391">
        <v>103</v>
      </c>
      <c r="F1332" s="391">
        <v>89</v>
      </c>
      <c r="G1332" s="21">
        <f t="shared" si="125"/>
        <v>4.8</v>
      </c>
      <c r="H1332" s="20">
        <f t="shared" si="131"/>
        <v>5.15</v>
      </c>
      <c r="I1332" s="20">
        <f t="shared" si="132"/>
        <v>4.8</v>
      </c>
      <c r="J1332" s="20">
        <f t="shared" si="133"/>
        <v>3.1419999999999999</v>
      </c>
      <c r="K1332" s="72"/>
      <c r="L1332" s="826"/>
      <c r="M1332" s="20"/>
      <c r="N1332" s="20"/>
      <c r="O1332" s="20"/>
      <c r="P1332" s="20"/>
      <c r="Q1332" s="21"/>
      <c r="R1332" s="22" t="s">
        <v>16</v>
      </c>
      <c r="S1332" s="22" t="s">
        <v>16</v>
      </c>
      <c r="T1332" s="753">
        <f t="shared" si="129"/>
        <v>1472.3295455896844</v>
      </c>
      <c r="U1332" s="22">
        <f t="shared" si="130"/>
        <v>0</v>
      </c>
      <c r="V1332" s="20"/>
    </row>
    <row r="1333" spans="1:22" s="290" customFormat="1" ht="14.4">
      <c r="A1333" s="385" t="s">
        <v>1705</v>
      </c>
      <c r="B1333" s="2" t="s">
        <v>77</v>
      </c>
      <c r="C1333" s="391">
        <v>200</v>
      </c>
      <c r="D1333" s="401">
        <v>250</v>
      </c>
      <c r="E1333" s="391">
        <v>103</v>
      </c>
      <c r="F1333" s="391">
        <v>96.2</v>
      </c>
      <c r="G1333" s="21">
        <f t="shared" si="125"/>
        <v>4.9800000000000004</v>
      </c>
      <c r="H1333" s="20">
        <f t="shared" si="131"/>
        <v>5.15</v>
      </c>
      <c r="I1333" s="20">
        <f t="shared" si="132"/>
        <v>4.9800000000000004</v>
      </c>
      <c r="J1333" s="20">
        <f t="shared" si="133"/>
        <v>3.3959999999999999</v>
      </c>
      <c r="K1333" s="72"/>
      <c r="L1333" s="826"/>
      <c r="M1333" s="20"/>
      <c r="N1333" s="20"/>
      <c r="O1333" s="20"/>
      <c r="P1333" s="20"/>
      <c r="Q1333" s="21"/>
      <c r="R1333" s="22" t="s">
        <v>16</v>
      </c>
      <c r="S1333" s="22" t="s">
        <v>16</v>
      </c>
      <c r="T1333" s="753">
        <f t="shared" si="129"/>
        <v>3029.8494830830155</v>
      </c>
      <c r="U1333" s="22">
        <f t="shared" si="130"/>
        <v>0</v>
      </c>
      <c r="V1333" s="20"/>
    </row>
    <row r="1334" spans="1:22" s="290" customFormat="1" ht="14.4">
      <c r="A1334" s="384" t="s">
        <v>1706</v>
      </c>
      <c r="B1334" s="2" t="s">
        <v>77</v>
      </c>
      <c r="C1334" s="395">
        <v>220</v>
      </c>
      <c r="D1334" s="402">
        <v>250</v>
      </c>
      <c r="E1334" s="395">
        <v>103</v>
      </c>
      <c r="F1334" s="395">
        <v>88</v>
      </c>
      <c r="G1334" s="21">
        <f t="shared" si="125"/>
        <v>5.2525000000000004</v>
      </c>
      <c r="H1334" s="20">
        <f t="shared" si="131"/>
        <v>5.665</v>
      </c>
      <c r="I1334" s="20">
        <f t="shared" si="132"/>
        <v>5.2530000000000001</v>
      </c>
      <c r="J1334" s="20">
        <f t="shared" si="133"/>
        <v>3.4169999999999998</v>
      </c>
      <c r="K1334" s="72"/>
      <c r="L1334" s="826"/>
      <c r="M1334" s="20"/>
      <c r="N1334" s="20"/>
      <c r="O1334" s="20"/>
      <c r="P1334" s="20"/>
      <c r="Q1334" s="21"/>
      <c r="R1334" s="22" t="s">
        <v>16</v>
      </c>
      <c r="S1334" s="22" t="s">
        <v>16</v>
      </c>
      <c r="T1334" s="753">
        <f t="shared" si="129"/>
        <v>1511.5442526693612</v>
      </c>
      <c r="U1334" s="22">
        <f t="shared" si="130"/>
        <v>0</v>
      </c>
      <c r="V1334" s="20"/>
    </row>
    <row r="1335" spans="1:22" s="290" customFormat="1" ht="14.4">
      <c r="A1335" s="384" t="s">
        <v>1707</v>
      </c>
      <c r="B1335" s="2" t="s">
        <v>77</v>
      </c>
      <c r="C1335" s="395">
        <v>220</v>
      </c>
      <c r="D1335" s="402">
        <v>250</v>
      </c>
      <c r="E1335" s="395">
        <v>103</v>
      </c>
      <c r="F1335" s="395">
        <v>91.5</v>
      </c>
      <c r="G1335" s="21">
        <f t="shared" si="125"/>
        <v>5.3487499999999999</v>
      </c>
      <c r="H1335" s="20">
        <f t="shared" si="131"/>
        <v>5.665</v>
      </c>
      <c r="I1335" s="20">
        <f t="shared" si="132"/>
        <v>5.3490000000000002</v>
      </c>
      <c r="J1335" s="20">
        <f t="shared" si="133"/>
        <v>3.5529999999999999</v>
      </c>
      <c r="K1335" s="72"/>
      <c r="L1335" s="826"/>
      <c r="M1335" s="20"/>
      <c r="N1335" s="20"/>
      <c r="O1335" s="20"/>
      <c r="P1335" s="20"/>
      <c r="Q1335" s="21"/>
      <c r="R1335" s="22" t="s">
        <v>16</v>
      </c>
      <c r="S1335" s="22" t="s">
        <v>16</v>
      </c>
      <c r="T1335" s="753">
        <f t="shared" si="129"/>
        <v>1971.1076790764573</v>
      </c>
      <c r="U1335" s="22">
        <f t="shared" si="130"/>
        <v>0</v>
      </c>
      <c r="V1335" s="20"/>
    </row>
    <row r="1336" spans="1:22" s="290" customFormat="1" ht="14.4">
      <c r="A1336" s="384" t="s">
        <v>1708</v>
      </c>
      <c r="B1336" s="2" t="s">
        <v>77</v>
      </c>
      <c r="C1336" s="395">
        <v>220</v>
      </c>
      <c r="D1336" s="402">
        <v>250</v>
      </c>
      <c r="E1336" s="395">
        <v>103</v>
      </c>
      <c r="F1336" s="395">
        <v>95.5</v>
      </c>
      <c r="G1336" s="21">
        <f t="shared" si="125"/>
        <v>5.4587500000000002</v>
      </c>
      <c r="H1336" s="20">
        <f t="shared" si="131"/>
        <v>5.665</v>
      </c>
      <c r="I1336" s="20">
        <f t="shared" si="132"/>
        <v>5.4589999999999996</v>
      </c>
      <c r="J1336" s="20">
        <f t="shared" si="133"/>
        <v>3.7080000000000002</v>
      </c>
      <c r="K1336" s="72"/>
      <c r="L1336" s="826"/>
      <c r="M1336" s="20"/>
      <c r="N1336" s="20"/>
      <c r="O1336" s="20"/>
      <c r="P1336" s="20"/>
      <c r="Q1336" s="21"/>
      <c r="R1336" s="22" t="s">
        <v>16</v>
      </c>
      <c r="S1336" s="22" t="s">
        <v>16</v>
      </c>
      <c r="T1336" s="753">
        <f t="shared" si="129"/>
        <v>3021.7722219106968</v>
      </c>
      <c r="U1336" s="22">
        <f t="shared" si="130"/>
        <v>0</v>
      </c>
      <c r="V1336" s="20"/>
    </row>
    <row r="1337" spans="1:22" s="290" customFormat="1" ht="14.4">
      <c r="A1337" s="384" t="s">
        <v>1709</v>
      </c>
      <c r="B1337" s="2" t="s">
        <v>77</v>
      </c>
      <c r="C1337" s="395">
        <v>220</v>
      </c>
      <c r="D1337" s="402">
        <v>250</v>
      </c>
      <c r="E1337" s="395">
        <v>103</v>
      </c>
      <c r="F1337" s="395">
        <v>97.3</v>
      </c>
      <c r="G1337" s="21">
        <f t="shared" si="125"/>
        <v>5.5082500000000003</v>
      </c>
      <c r="H1337" s="20">
        <f t="shared" si="131"/>
        <v>5.665</v>
      </c>
      <c r="I1337" s="20">
        <f t="shared" si="132"/>
        <v>5.508</v>
      </c>
      <c r="J1337" s="20">
        <f t="shared" si="133"/>
        <v>3.778</v>
      </c>
      <c r="K1337" s="72"/>
      <c r="L1337" s="826"/>
      <c r="M1337" s="20"/>
      <c r="N1337" s="20"/>
      <c r="O1337" s="20"/>
      <c r="P1337" s="20"/>
      <c r="Q1337" s="21"/>
      <c r="R1337" s="22" t="s">
        <v>16</v>
      </c>
      <c r="S1337" s="22" t="s">
        <v>16</v>
      </c>
      <c r="T1337" s="753">
        <f t="shared" si="129"/>
        <v>3975.7721620425045</v>
      </c>
      <c r="U1337" s="22">
        <f t="shared" si="130"/>
        <v>0</v>
      </c>
      <c r="V1337" s="20"/>
    </row>
    <row r="1338" spans="1:22" s="290" customFormat="1" ht="14.4">
      <c r="A1338" s="423" t="s">
        <v>1710</v>
      </c>
      <c r="B1338" s="2" t="s">
        <v>77</v>
      </c>
      <c r="C1338" s="424">
        <v>250</v>
      </c>
      <c r="D1338" s="417">
        <v>250</v>
      </c>
      <c r="E1338" s="424">
        <v>103</v>
      </c>
      <c r="F1338" s="424">
        <v>90</v>
      </c>
      <c r="G1338" s="21">
        <f t="shared" ref="G1338:G1339" si="135">IF(B1338="","",AVERAGE(E1338:F1338)*D1338*C1338/10^6)</f>
        <v>6.03125</v>
      </c>
      <c r="H1338" s="20">
        <f t="shared" si="131"/>
        <v>6.4379999999999997</v>
      </c>
      <c r="I1338" s="20">
        <f t="shared" si="132"/>
        <v>6.0309999999999997</v>
      </c>
      <c r="J1338" s="20">
        <f t="shared" si="133"/>
        <v>3.9710000000000001</v>
      </c>
      <c r="K1338" s="72"/>
      <c r="L1338" s="826"/>
      <c r="M1338" s="20"/>
      <c r="N1338" s="20"/>
      <c r="O1338" s="20"/>
      <c r="P1338" s="20"/>
      <c r="Q1338" s="21"/>
      <c r="R1338" s="22" t="s">
        <v>16</v>
      </c>
      <c r="S1338" s="22" t="s">
        <v>16</v>
      </c>
      <c r="T1338" s="753">
        <f t="shared" ref="T1338:T1339" si="136">IF(E1338=F1338,"-",(E1338/(E1338-F1338))*SQRT((C1338^2)+((E1338-F1338)/2)^2))</f>
        <v>1981.4386176619578</v>
      </c>
      <c r="U1338" s="22">
        <f t="shared" ref="U1338:U1340" si="137">U1337</f>
        <v>0</v>
      </c>
      <c r="V1338" s="20"/>
    </row>
    <row r="1339" spans="1:22" s="290" customFormat="1" ht="14.4">
      <c r="A1339" s="423" t="s">
        <v>1711</v>
      </c>
      <c r="B1339" s="2" t="s">
        <v>77</v>
      </c>
      <c r="C1339" s="396">
        <v>250</v>
      </c>
      <c r="D1339" s="417">
        <v>250</v>
      </c>
      <c r="E1339" s="396">
        <v>103</v>
      </c>
      <c r="F1339" s="396">
        <v>96.5</v>
      </c>
      <c r="G1339" s="21">
        <f t="shared" si="135"/>
        <v>6.234375</v>
      </c>
      <c r="H1339" s="20">
        <f t="shared" si="131"/>
        <v>6.4379999999999997</v>
      </c>
      <c r="I1339" s="20">
        <f t="shared" si="132"/>
        <v>6.234</v>
      </c>
      <c r="J1339" s="20">
        <f t="shared" si="133"/>
        <v>4.258</v>
      </c>
      <c r="K1339" s="72"/>
      <c r="L1339" s="826"/>
      <c r="M1339" s="20"/>
      <c r="N1339" s="20"/>
      <c r="O1339" s="20"/>
      <c r="P1339" s="20"/>
      <c r="Q1339" s="21"/>
      <c r="R1339" s="22" t="s">
        <v>16</v>
      </c>
      <c r="S1339" s="22" t="s">
        <v>16</v>
      </c>
      <c r="T1339" s="753">
        <f t="shared" si="136"/>
        <v>3961.8731973964691</v>
      </c>
      <c r="U1339" s="22">
        <f t="shared" si="137"/>
        <v>0</v>
      </c>
      <c r="V1339" s="20"/>
    </row>
    <row r="1340" spans="1:22" s="290" customFormat="1" ht="13.8" thickBot="1">
      <c r="A1340" s="540"/>
      <c r="B1340" s="78"/>
      <c r="C1340" s="78"/>
      <c r="D1340" s="78"/>
      <c r="E1340" s="78"/>
      <c r="F1340" s="78"/>
      <c r="G1340" s="100"/>
      <c r="H1340" s="79"/>
      <c r="I1340" s="79"/>
      <c r="J1340" s="79"/>
      <c r="K1340" s="80"/>
      <c r="L1340" s="826"/>
      <c r="M1340" s="20"/>
      <c r="N1340" s="20"/>
      <c r="O1340" s="20"/>
      <c r="P1340" s="20"/>
      <c r="Q1340" s="21"/>
      <c r="R1340" s="22" t="s">
        <v>16</v>
      </c>
      <c r="S1340" s="22" t="s">
        <v>16</v>
      </c>
      <c r="T1340" s="20"/>
      <c r="U1340" s="22">
        <f t="shared" si="137"/>
        <v>0</v>
      </c>
      <c r="V1340" s="20"/>
    </row>
    <row r="1341" spans="1:22" s="290" customFormat="1" ht="13.8" thickBot="1">
      <c r="B1341" s="2"/>
      <c r="C1341" s="2"/>
      <c r="D1341" s="2"/>
      <c r="E1341" s="2"/>
      <c r="F1341" s="2"/>
      <c r="G1341" s="341"/>
      <c r="L1341" s="826"/>
      <c r="Q1341" s="535"/>
      <c r="R1341" s="2"/>
    </row>
    <row r="1342" spans="1:22" ht="25.2" thickBot="1">
      <c r="A1342" s="61" t="s">
        <v>119</v>
      </c>
      <c r="B1342" s="69"/>
      <c r="C1342" s="70"/>
      <c r="D1342" s="70"/>
      <c r="E1342" s="70"/>
      <c r="F1342" s="70"/>
      <c r="G1342" s="101"/>
      <c r="H1342" s="70"/>
      <c r="I1342" s="70"/>
      <c r="J1342" s="70"/>
      <c r="K1342" s="70"/>
      <c r="L1342" s="90"/>
      <c r="M1342" s="20"/>
      <c r="N1342" s="20"/>
      <c r="O1342" s="20"/>
      <c r="P1342" s="20"/>
      <c r="Q1342" s="21"/>
      <c r="R1342" s="22"/>
      <c r="S1342" s="22"/>
      <c r="T1342" s="20"/>
      <c r="U1342" s="22"/>
      <c r="V1342" s="20"/>
    </row>
    <row r="1343" spans="1:22" ht="12.75" customHeight="1">
      <c r="A1343" s="452" t="str">
        <f>IF(OR(B1343="PA",B1343="H"),B1343&amp;""&amp;C1343&amp;"x"&amp;D1343&amp;"x"&amp;E1343,IF(OR(B1343="A1",B1343="A2",B1343="A3",B1343="AE",B1343="A2/3",B1343="A3/4",B1343="C1",B1343="C2",B1343="C3",B1343="CE",B1343="C2/3",B1343="C3/4"),B1343&amp;"-"&amp;C1343&amp;"x"&amp;D1343&amp;"x"&amp;E1343&amp;"-"&amp;F1343,B1343&amp;"-"&amp;C1343&amp;"x"&amp;D1343&amp;"-"&amp;E1343&amp;"x"&amp;F1343))</f>
        <v>H416x101x8</v>
      </c>
      <c r="B1343" s="453" t="s">
        <v>1977</v>
      </c>
      <c r="C1343" s="453">
        <v>416</v>
      </c>
      <c r="D1343" s="453">
        <v>101</v>
      </c>
      <c r="E1343" s="453">
        <v>8</v>
      </c>
      <c r="F1343" s="453">
        <v>8</v>
      </c>
      <c r="G1343" s="471">
        <f t="shared" ref="G1343:G1374" si="138">(C1343*D1343*E1343)*10^-6</f>
        <v>0.33612799999999998</v>
      </c>
      <c r="H1343" s="799" t="s">
        <v>1717</v>
      </c>
      <c r="I1343" s="800"/>
      <c r="J1343" s="800"/>
      <c r="K1343" s="801"/>
      <c r="L1343" s="798"/>
      <c r="M1343" s="20"/>
      <c r="N1343" s="20"/>
      <c r="O1343" s="20"/>
      <c r="P1343" s="20"/>
      <c r="Q1343" s="21"/>
      <c r="R1343" s="22" t="s">
        <v>16</v>
      </c>
      <c r="S1343" s="22" t="s">
        <v>16</v>
      </c>
      <c r="T1343" s="20"/>
      <c r="U1343" s="20"/>
      <c r="V1343" s="20"/>
    </row>
    <row r="1344" spans="1:22" ht="12.75" customHeight="1">
      <c r="A1344" s="452" t="str">
        <f t="shared" ref="A1344:A1407" si="139">IF(OR(B1344="PA",B1344="H"),B1344&amp;""&amp;C1344&amp;"x"&amp;D1344&amp;"x"&amp;E1344,IF(OR(B1344="A1",B1344="A2",B1344="A3",B1344="AE",B1344="A2/3",B1344="A3/4",B1344="C1",B1344="C2",B1344="C3",B1344="CE",B1344="C2/3",B1344="C3/4"),B1344&amp;"-"&amp;C1344&amp;"x"&amp;D1344&amp;"x"&amp;E1344&amp;"-"&amp;F1344,B1344&amp;"-"&amp;C1344&amp;"x"&amp;D1344&amp;"-"&amp;E1344&amp;"x"&amp;F1344))</f>
        <v>H416x101x10</v>
      </c>
      <c r="B1344" s="453" t="s">
        <v>1977</v>
      </c>
      <c r="C1344" s="453">
        <v>416</v>
      </c>
      <c r="D1344" s="453">
        <v>101</v>
      </c>
      <c r="E1344" s="453">
        <v>10</v>
      </c>
      <c r="F1344" s="453">
        <v>10</v>
      </c>
      <c r="G1344" s="472">
        <f t="shared" si="138"/>
        <v>0.42015999999999998</v>
      </c>
      <c r="H1344" s="802"/>
      <c r="I1344" s="803"/>
      <c r="J1344" s="803"/>
      <c r="K1344" s="804"/>
      <c r="L1344" s="798"/>
      <c r="M1344" s="20"/>
      <c r="N1344" s="20"/>
      <c r="O1344" s="20"/>
      <c r="P1344" s="20"/>
      <c r="Q1344" s="21"/>
      <c r="R1344" s="22" t="s">
        <v>16</v>
      </c>
      <c r="S1344" s="22" t="s">
        <v>16</v>
      </c>
      <c r="T1344" s="20"/>
      <c r="U1344" s="20"/>
      <c r="V1344" s="20"/>
    </row>
    <row r="1345" spans="1:22" ht="12.75" customHeight="1">
      <c r="A1345" s="452" t="str">
        <f t="shared" si="139"/>
        <v>H416x101x12</v>
      </c>
      <c r="B1345" s="453" t="s">
        <v>1977</v>
      </c>
      <c r="C1345" s="453">
        <v>416</v>
      </c>
      <c r="D1345" s="453">
        <v>101</v>
      </c>
      <c r="E1345" s="453">
        <v>12</v>
      </c>
      <c r="F1345" s="453">
        <v>12</v>
      </c>
      <c r="G1345" s="472">
        <f t="shared" si="138"/>
        <v>0.50419199999999997</v>
      </c>
      <c r="H1345" s="802"/>
      <c r="I1345" s="803"/>
      <c r="J1345" s="803"/>
      <c r="K1345" s="804"/>
      <c r="L1345" s="798"/>
      <c r="M1345" s="20"/>
      <c r="N1345" s="20"/>
      <c r="O1345" s="20"/>
      <c r="P1345" s="20"/>
      <c r="Q1345" s="21"/>
      <c r="R1345" s="22" t="s">
        <v>16</v>
      </c>
      <c r="S1345" s="22" t="s">
        <v>16</v>
      </c>
      <c r="T1345" s="20"/>
      <c r="U1345" s="20"/>
      <c r="V1345" s="20"/>
    </row>
    <row r="1346" spans="1:22" ht="12.75" customHeight="1">
      <c r="A1346" s="452" t="str">
        <f t="shared" si="139"/>
        <v>H416x101x13</v>
      </c>
      <c r="B1346" s="453" t="s">
        <v>1977</v>
      </c>
      <c r="C1346" s="453">
        <v>416</v>
      </c>
      <c r="D1346" s="453">
        <v>101</v>
      </c>
      <c r="E1346" s="453">
        <v>13</v>
      </c>
      <c r="F1346" s="453">
        <f>E1346</f>
        <v>13</v>
      </c>
      <c r="G1346" s="472">
        <f t="shared" si="138"/>
        <v>0.54620800000000003</v>
      </c>
      <c r="H1346" s="802"/>
      <c r="I1346" s="803"/>
      <c r="J1346" s="803"/>
      <c r="K1346" s="804"/>
      <c r="L1346" s="798"/>
      <c r="M1346" s="20"/>
      <c r="N1346" s="20"/>
      <c r="O1346" s="20"/>
      <c r="P1346" s="20"/>
      <c r="Q1346" s="21"/>
      <c r="R1346" s="22" t="s">
        <v>16</v>
      </c>
      <c r="S1346" s="22" t="s">
        <v>16</v>
      </c>
      <c r="T1346" s="20"/>
      <c r="U1346" s="20"/>
      <c r="V1346" s="20"/>
    </row>
    <row r="1347" spans="1:22" ht="12.75" customHeight="1">
      <c r="A1347" s="452" t="str">
        <f t="shared" si="139"/>
        <v>H416x101x16</v>
      </c>
      <c r="B1347" s="453" t="s">
        <v>1977</v>
      </c>
      <c r="C1347" s="453">
        <v>416</v>
      </c>
      <c r="D1347" s="453">
        <v>101</v>
      </c>
      <c r="E1347" s="453">
        <v>16</v>
      </c>
      <c r="F1347" s="453">
        <f>E1347</f>
        <v>16</v>
      </c>
      <c r="G1347" s="472">
        <f t="shared" si="138"/>
        <v>0.67225599999999996</v>
      </c>
      <c r="H1347" s="802"/>
      <c r="I1347" s="803"/>
      <c r="J1347" s="803"/>
      <c r="K1347" s="804"/>
      <c r="L1347" s="798"/>
      <c r="M1347" s="20"/>
      <c r="N1347" s="20"/>
      <c r="O1347" s="20"/>
      <c r="P1347" s="20"/>
      <c r="Q1347" s="21"/>
      <c r="R1347" s="22" t="s">
        <v>16</v>
      </c>
      <c r="S1347" s="22" t="s">
        <v>16</v>
      </c>
      <c r="T1347" s="20"/>
      <c r="U1347" s="20"/>
      <c r="V1347" s="20"/>
    </row>
    <row r="1348" spans="1:22" ht="12.75" customHeight="1">
      <c r="A1348" s="452" t="str">
        <f t="shared" si="139"/>
        <v>H416x101x19</v>
      </c>
      <c r="B1348" s="453" t="s">
        <v>1977</v>
      </c>
      <c r="C1348" s="453">
        <v>416</v>
      </c>
      <c r="D1348" s="453">
        <v>101</v>
      </c>
      <c r="E1348" s="453">
        <v>19</v>
      </c>
      <c r="F1348" s="453">
        <f>E1348</f>
        <v>19</v>
      </c>
      <c r="G1348" s="472">
        <f t="shared" si="138"/>
        <v>0.79830400000000001</v>
      </c>
      <c r="H1348" s="802"/>
      <c r="I1348" s="803"/>
      <c r="J1348" s="803"/>
      <c r="K1348" s="804"/>
      <c r="L1348" s="798"/>
      <c r="M1348" s="20"/>
      <c r="N1348" s="20"/>
      <c r="O1348" s="20"/>
      <c r="P1348" s="20"/>
      <c r="Q1348" s="21"/>
      <c r="R1348" s="22" t="s">
        <v>16</v>
      </c>
      <c r="S1348" s="22" t="s">
        <v>16</v>
      </c>
      <c r="T1348" s="20"/>
      <c r="U1348" s="20"/>
      <c r="V1348" s="20"/>
    </row>
    <row r="1349" spans="1:22" ht="12.75" customHeight="1" thickBot="1">
      <c r="A1349" s="452" t="str">
        <f t="shared" si="139"/>
        <v>H416x101x25</v>
      </c>
      <c r="B1349" s="453" t="s">
        <v>1977</v>
      </c>
      <c r="C1349" s="453">
        <v>416</v>
      </c>
      <c r="D1349" s="453">
        <v>101</v>
      </c>
      <c r="E1349" s="453">
        <v>25</v>
      </c>
      <c r="F1349" s="453">
        <f>E1349</f>
        <v>25</v>
      </c>
      <c r="G1349" s="472">
        <f t="shared" si="138"/>
        <v>1.0504</v>
      </c>
      <c r="H1349" s="820"/>
      <c r="I1349" s="821"/>
      <c r="J1349" s="821"/>
      <c r="K1349" s="822"/>
      <c r="L1349" s="798"/>
      <c r="M1349" s="20"/>
      <c r="N1349" s="20"/>
      <c r="O1349" s="20"/>
      <c r="P1349" s="20"/>
      <c r="Q1349" s="21"/>
      <c r="R1349" s="22" t="s">
        <v>16</v>
      </c>
      <c r="S1349" s="22" t="s">
        <v>16</v>
      </c>
      <c r="T1349" s="20"/>
      <c r="U1349" s="20"/>
      <c r="V1349" s="20"/>
    </row>
    <row r="1350" spans="1:22" ht="12.75" customHeight="1">
      <c r="A1350" s="450" t="str">
        <f t="shared" si="139"/>
        <v>H914x152x25</v>
      </c>
      <c r="B1350" s="451" t="s">
        <v>1977</v>
      </c>
      <c r="C1350" s="451">
        <v>914</v>
      </c>
      <c r="D1350" s="451">
        <v>152</v>
      </c>
      <c r="E1350" s="451">
        <v>25</v>
      </c>
      <c r="F1350" s="451">
        <f t="shared" ref="F1350:F1361" si="140">E1350</f>
        <v>25</v>
      </c>
      <c r="G1350" s="472">
        <f t="shared" si="138"/>
        <v>3.4731999999999998</v>
      </c>
      <c r="H1350" s="799" t="s">
        <v>1712</v>
      </c>
      <c r="I1350" s="800"/>
      <c r="J1350" s="800"/>
      <c r="K1350" s="801"/>
      <c r="L1350" s="798"/>
      <c r="M1350" s="20"/>
      <c r="N1350" s="20"/>
      <c r="O1350" s="20"/>
      <c r="P1350" s="20"/>
      <c r="Q1350" s="21"/>
      <c r="R1350" s="22" t="s">
        <v>16</v>
      </c>
      <c r="S1350" s="22" t="s">
        <v>16</v>
      </c>
      <c r="T1350" s="20"/>
      <c r="U1350" s="20"/>
      <c r="V1350" s="20"/>
    </row>
    <row r="1351" spans="1:22" ht="12.75" customHeight="1">
      <c r="A1351" s="450" t="str">
        <f t="shared" si="139"/>
        <v>H914x152x38</v>
      </c>
      <c r="B1351" s="451" t="s">
        <v>1977</v>
      </c>
      <c r="C1351" s="451">
        <v>914</v>
      </c>
      <c r="D1351" s="451">
        <v>152</v>
      </c>
      <c r="E1351" s="451">
        <v>38</v>
      </c>
      <c r="F1351" s="451">
        <f t="shared" si="140"/>
        <v>38</v>
      </c>
      <c r="G1351" s="472">
        <f t="shared" si="138"/>
        <v>5.2792639999999995</v>
      </c>
      <c r="H1351" s="802"/>
      <c r="I1351" s="803"/>
      <c r="J1351" s="803"/>
      <c r="K1351" s="804"/>
      <c r="L1351" s="798"/>
      <c r="M1351" s="20"/>
      <c r="N1351" s="20"/>
      <c r="O1351" s="20"/>
      <c r="P1351" s="20"/>
      <c r="Q1351" s="21"/>
      <c r="R1351" s="22" t="s">
        <v>16</v>
      </c>
      <c r="S1351" s="22" t="s">
        <v>16</v>
      </c>
      <c r="T1351" s="20"/>
      <c r="U1351" s="20"/>
      <c r="V1351" s="20"/>
    </row>
    <row r="1352" spans="1:22" ht="12.75" customHeight="1">
      <c r="A1352" s="450" t="str">
        <f t="shared" si="139"/>
        <v>H914x152x50</v>
      </c>
      <c r="B1352" s="451" t="s">
        <v>1977</v>
      </c>
      <c r="C1352" s="451">
        <v>914</v>
      </c>
      <c r="D1352" s="451">
        <v>152</v>
      </c>
      <c r="E1352" s="451">
        <v>50</v>
      </c>
      <c r="F1352" s="451">
        <f t="shared" si="140"/>
        <v>50</v>
      </c>
      <c r="G1352" s="472">
        <f t="shared" si="138"/>
        <v>6.9463999999999997</v>
      </c>
      <c r="H1352" s="802"/>
      <c r="I1352" s="803"/>
      <c r="J1352" s="803"/>
      <c r="K1352" s="804"/>
      <c r="L1352" s="798"/>
      <c r="M1352" s="20"/>
      <c r="N1352" s="20"/>
      <c r="O1352" s="20"/>
      <c r="P1352" s="20"/>
      <c r="Q1352" s="21"/>
      <c r="R1352" s="22" t="s">
        <v>16</v>
      </c>
      <c r="S1352" s="22" t="s">
        <v>16</v>
      </c>
      <c r="T1352" s="20"/>
      <c r="U1352" s="20"/>
      <c r="V1352" s="20"/>
    </row>
    <row r="1353" spans="1:22" ht="12.75" customHeight="1">
      <c r="A1353" s="450" t="str">
        <f t="shared" si="139"/>
        <v>H914x152x63</v>
      </c>
      <c r="B1353" s="451" t="s">
        <v>1977</v>
      </c>
      <c r="C1353" s="451">
        <v>914</v>
      </c>
      <c r="D1353" s="451">
        <v>152</v>
      </c>
      <c r="E1353" s="451">
        <v>63</v>
      </c>
      <c r="F1353" s="451">
        <f t="shared" si="140"/>
        <v>63</v>
      </c>
      <c r="G1353" s="472">
        <f t="shared" si="138"/>
        <v>8.7524639999999998</v>
      </c>
      <c r="H1353" s="802"/>
      <c r="I1353" s="803"/>
      <c r="J1353" s="803"/>
      <c r="K1353" s="804"/>
      <c r="L1353" s="798"/>
      <c r="M1353" s="20"/>
      <c r="N1353" s="20"/>
      <c r="O1353" s="20"/>
      <c r="P1353" s="20"/>
      <c r="Q1353" s="21"/>
      <c r="R1353" s="22" t="s">
        <v>16</v>
      </c>
      <c r="S1353" s="22" t="s">
        <v>16</v>
      </c>
      <c r="T1353" s="20"/>
      <c r="U1353" s="20"/>
      <c r="V1353" s="20"/>
    </row>
    <row r="1354" spans="1:22" ht="12.75" customHeight="1">
      <c r="A1354" s="450" t="str">
        <f t="shared" si="139"/>
        <v>H914x152x75</v>
      </c>
      <c r="B1354" s="451" t="s">
        <v>1977</v>
      </c>
      <c r="C1354" s="451">
        <v>914</v>
      </c>
      <c r="D1354" s="451">
        <v>152</v>
      </c>
      <c r="E1354" s="451">
        <v>75</v>
      </c>
      <c r="F1354" s="451">
        <f t="shared" si="140"/>
        <v>75</v>
      </c>
      <c r="G1354" s="472">
        <f t="shared" si="138"/>
        <v>10.419599999999999</v>
      </c>
      <c r="H1354" s="802"/>
      <c r="I1354" s="803"/>
      <c r="J1354" s="803"/>
      <c r="K1354" s="804"/>
      <c r="L1354" s="798"/>
      <c r="M1354" s="20"/>
      <c r="N1354" s="20"/>
      <c r="O1354" s="20"/>
      <c r="P1354" s="20"/>
      <c r="Q1354" s="21"/>
      <c r="R1354" s="22" t="s">
        <v>16</v>
      </c>
      <c r="S1354" s="22" t="s">
        <v>16</v>
      </c>
      <c r="T1354" s="20"/>
      <c r="U1354" s="20"/>
      <c r="V1354" s="20"/>
    </row>
    <row r="1355" spans="1:22" ht="12.75" customHeight="1" thickBot="1">
      <c r="A1355" s="450" t="str">
        <f t="shared" si="139"/>
        <v>H914x152x100</v>
      </c>
      <c r="B1355" s="451" t="s">
        <v>1977</v>
      </c>
      <c r="C1355" s="451">
        <v>914</v>
      </c>
      <c r="D1355" s="451">
        <v>152</v>
      </c>
      <c r="E1355" s="451">
        <v>100</v>
      </c>
      <c r="F1355" s="451">
        <f t="shared" si="140"/>
        <v>100</v>
      </c>
      <c r="G1355" s="472">
        <f t="shared" si="138"/>
        <v>13.892799999999999</v>
      </c>
      <c r="H1355" s="802"/>
      <c r="I1355" s="803"/>
      <c r="J1355" s="803"/>
      <c r="K1355" s="804"/>
      <c r="L1355" s="798"/>
      <c r="M1355" s="20"/>
      <c r="N1355" s="20"/>
      <c r="O1355" s="20"/>
      <c r="P1355" s="20"/>
      <c r="Q1355" s="21"/>
      <c r="R1355" s="22" t="s">
        <v>16</v>
      </c>
      <c r="S1355" s="22" t="s">
        <v>16</v>
      </c>
      <c r="T1355" s="20"/>
      <c r="U1355" s="20"/>
      <c r="V1355" s="20"/>
    </row>
    <row r="1356" spans="1:22" ht="13.5" customHeight="1">
      <c r="A1356" s="454" t="str">
        <f t="shared" si="139"/>
        <v>H914x305x25</v>
      </c>
      <c r="B1356" s="455" t="s">
        <v>1977</v>
      </c>
      <c r="C1356" s="455">
        <v>914</v>
      </c>
      <c r="D1356" s="455">
        <v>305</v>
      </c>
      <c r="E1356" s="455">
        <v>25</v>
      </c>
      <c r="F1356" s="455">
        <f t="shared" si="140"/>
        <v>25</v>
      </c>
      <c r="G1356" s="472">
        <f t="shared" si="138"/>
        <v>6.9692499999999997</v>
      </c>
      <c r="H1356" s="799" t="s">
        <v>1712</v>
      </c>
      <c r="I1356" s="800"/>
      <c r="J1356" s="800"/>
      <c r="K1356" s="801"/>
      <c r="L1356" s="798"/>
      <c r="M1356" s="20"/>
      <c r="N1356" s="20"/>
      <c r="O1356" s="20"/>
      <c r="P1356" s="20"/>
      <c r="Q1356" s="21"/>
      <c r="R1356" s="22" t="s">
        <v>16</v>
      </c>
      <c r="S1356" s="22" t="s">
        <v>16</v>
      </c>
      <c r="T1356" s="20"/>
      <c r="U1356" s="20"/>
      <c r="V1356" s="20"/>
    </row>
    <row r="1357" spans="1:22" ht="12.75" customHeight="1">
      <c r="A1357" s="454" t="str">
        <f t="shared" si="139"/>
        <v>H914x305x38</v>
      </c>
      <c r="B1357" s="455" t="s">
        <v>1977</v>
      </c>
      <c r="C1357" s="455">
        <v>914</v>
      </c>
      <c r="D1357" s="455">
        <v>305</v>
      </c>
      <c r="E1357" s="455">
        <v>38</v>
      </c>
      <c r="F1357" s="455">
        <f t="shared" si="140"/>
        <v>38</v>
      </c>
      <c r="G1357" s="472">
        <f t="shared" si="138"/>
        <v>10.593259999999999</v>
      </c>
      <c r="H1357" s="802"/>
      <c r="I1357" s="803"/>
      <c r="J1357" s="803"/>
      <c r="K1357" s="804"/>
      <c r="L1357" s="798"/>
      <c r="M1357" s="20"/>
      <c r="N1357" s="20"/>
      <c r="O1357" s="20"/>
      <c r="P1357" s="20"/>
      <c r="Q1357" s="21"/>
      <c r="R1357" s="22" t="s">
        <v>16</v>
      </c>
      <c r="S1357" s="22" t="s">
        <v>16</v>
      </c>
      <c r="T1357" s="20"/>
      <c r="U1357" s="20"/>
      <c r="V1357" s="20"/>
    </row>
    <row r="1358" spans="1:22" ht="12.75" customHeight="1">
      <c r="A1358" s="454" t="str">
        <f t="shared" si="139"/>
        <v>H914x305x50</v>
      </c>
      <c r="B1358" s="455" t="s">
        <v>1977</v>
      </c>
      <c r="C1358" s="455">
        <v>914</v>
      </c>
      <c r="D1358" s="455">
        <v>305</v>
      </c>
      <c r="E1358" s="455">
        <v>50</v>
      </c>
      <c r="F1358" s="455">
        <f t="shared" si="140"/>
        <v>50</v>
      </c>
      <c r="G1358" s="472">
        <f t="shared" si="138"/>
        <v>13.938499999999999</v>
      </c>
      <c r="H1358" s="802"/>
      <c r="I1358" s="803"/>
      <c r="J1358" s="803"/>
      <c r="K1358" s="804"/>
      <c r="L1358" s="798"/>
      <c r="M1358" s="20"/>
      <c r="N1358" s="20"/>
      <c r="O1358" s="20"/>
      <c r="P1358" s="20"/>
      <c r="Q1358" s="21"/>
      <c r="R1358" s="22" t="s">
        <v>16</v>
      </c>
      <c r="S1358" s="22" t="s">
        <v>16</v>
      </c>
      <c r="T1358" s="20"/>
      <c r="U1358" s="20"/>
      <c r="V1358" s="20"/>
    </row>
    <row r="1359" spans="1:22" ht="12.75" customHeight="1">
      <c r="A1359" s="454" t="str">
        <f t="shared" si="139"/>
        <v>H914x305x63</v>
      </c>
      <c r="B1359" s="455" t="s">
        <v>1977</v>
      </c>
      <c r="C1359" s="455">
        <v>914</v>
      </c>
      <c r="D1359" s="455">
        <v>305</v>
      </c>
      <c r="E1359" s="455">
        <v>63</v>
      </c>
      <c r="F1359" s="455">
        <f t="shared" si="140"/>
        <v>63</v>
      </c>
      <c r="G1359" s="472">
        <f t="shared" si="138"/>
        <v>17.56251</v>
      </c>
      <c r="H1359" s="802"/>
      <c r="I1359" s="803"/>
      <c r="J1359" s="803"/>
      <c r="K1359" s="804"/>
      <c r="L1359" s="798"/>
      <c r="M1359" s="20"/>
      <c r="N1359" s="20"/>
      <c r="O1359" s="20"/>
      <c r="P1359" s="20"/>
      <c r="Q1359" s="21"/>
      <c r="R1359" s="22" t="s">
        <v>16</v>
      </c>
      <c r="S1359" s="22" t="s">
        <v>16</v>
      </c>
      <c r="T1359" s="20"/>
      <c r="U1359" s="20"/>
      <c r="V1359" s="20"/>
    </row>
    <row r="1360" spans="1:22" ht="12.75" customHeight="1">
      <c r="A1360" s="454" t="str">
        <f t="shared" si="139"/>
        <v>H914x305x75</v>
      </c>
      <c r="B1360" s="455" t="s">
        <v>1977</v>
      </c>
      <c r="C1360" s="455">
        <v>914</v>
      </c>
      <c r="D1360" s="455">
        <v>305</v>
      </c>
      <c r="E1360" s="455">
        <v>75</v>
      </c>
      <c r="F1360" s="455">
        <f t="shared" si="140"/>
        <v>75</v>
      </c>
      <c r="G1360" s="472">
        <f t="shared" si="138"/>
        <v>20.90775</v>
      </c>
      <c r="H1360" s="802"/>
      <c r="I1360" s="803"/>
      <c r="J1360" s="803"/>
      <c r="K1360" s="804"/>
      <c r="L1360" s="798"/>
      <c r="M1360" s="20"/>
      <c r="N1360" s="20"/>
      <c r="O1360" s="20"/>
      <c r="P1360" s="20"/>
      <c r="Q1360" s="21"/>
      <c r="R1360" s="22" t="s">
        <v>16</v>
      </c>
      <c r="S1360" s="22" t="s">
        <v>16</v>
      </c>
      <c r="T1360" s="20"/>
      <c r="U1360" s="20"/>
      <c r="V1360" s="20"/>
    </row>
    <row r="1361" spans="1:22" ht="12.75" customHeight="1" thickBot="1">
      <c r="A1361" s="454" t="str">
        <f t="shared" si="139"/>
        <v>H914x305x100</v>
      </c>
      <c r="B1361" s="455" t="s">
        <v>1977</v>
      </c>
      <c r="C1361" s="455">
        <v>914</v>
      </c>
      <c r="D1361" s="455">
        <v>305</v>
      </c>
      <c r="E1361" s="455">
        <v>100</v>
      </c>
      <c r="F1361" s="455">
        <f t="shared" si="140"/>
        <v>100</v>
      </c>
      <c r="G1361" s="472">
        <f t="shared" si="138"/>
        <v>27.876999999999999</v>
      </c>
      <c r="H1361" s="802"/>
      <c r="I1361" s="803"/>
      <c r="J1361" s="803"/>
      <c r="K1361" s="804"/>
      <c r="L1361" s="798"/>
      <c r="M1361" s="20"/>
      <c r="N1361" s="20"/>
      <c r="O1361" s="20"/>
      <c r="P1361" s="20"/>
      <c r="Q1361" s="21"/>
      <c r="R1361" s="22" t="s">
        <v>16</v>
      </c>
      <c r="S1361" s="22" t="s">
        <v>16</v>
      </c>
      <c r="T1361" s="20"/>
      <c r="U1361" s="20"/>
      <c r="V1361" s="20"/>
    </row>
    <row r="1362" spans="1:22" ht="12.75" customHeight="1">
      <c r="A1362" s="456" t="str">
        <f t="shared" si="139"/>
        <v>H1000x500x20</v>
      </c>
      <c r="B1362" s="457" t="s">
        <v>1977</v>
      </c>
      <c r="C1362" s="457">
        <v>1000</v>
      </c>
      <c r="D1362" s="457">
        <v>500</v>
      </c>
      <c r="E1362" s="457">
        <v>20</v>
      </c>
      <c r="F1362" s="457">
        <f t="shared" ref="F1362" si="141">E1362</f>
        <v>20</v>
      </c>
      <c r="G1362" s="472">
        <f t="shared" si="138"/>
        <v>10</v>
      </c>
      <c r="H1362" s="805" t="s">
        <v>1714</v>
      </c>
      <c r="I1362" s="806"/>
      <c r="J1362" s="806"/>
      <c r="K1362" s="807"/>
      <c r="L1362" s="798"/>
      <c r="M1362" s="20"/>
      <c r="N1362" s="20"/>
      <c r="O1362" s="20"/>
      <c r="P1362" s="20"/>
      <c r="Q1362" s="21"/>
      <c r="R1362" s="22"/>
      <c r="S1362" s="22"/>
      <c r="T1362" s="20"/>
      <c r="U1362" s="20"/>
      <c r="V1362" s="20"/>
    </row>
    <row r="1363" spans="1:22" ht="12.75" customHeight="1">
      <c r="A1363" s="456" t="str">
        <f t="shared" si="139"/>
        <v>H1000x500x25</v>
      </c>
      <c r="B1363" s="457" t="s">
        <v>1977</v>
      </c>
      <c r="C1363" s="457">
        <v>1000</v>
      </c>
      <c r="D1363" s="457">
        <v>500</v>
      </c>
      <c r="E1363" s="457">
        <v>25</v>
      </c>
      <c r="F1363" s="457">
        <f t="shared" ref="F1363:F1372" si="142">E1363</f>
        <v>25</v>
      </c>
      <c r="G1363" s="472">
        <f t="shared" si="138"/>
        <v>12.5</v>
      </c>
      <c r="H1363" s="808"/>
      <c r="I1363" s="809"/>
      <c r="J1363" s="809"/>
      <c r="K1363" s="810"/>
      <c r="L1363" s="798"/>
      <c r="M1363" s="20"/>
      <c r="N1363" s="20"/>
      <c r="O1363" s="20"/>
      <c r="P1363" s="20"/>
      <c r="Q1363" s="21"/>
      <c r="R1363" s="22"/>
      <c r="S1363" s="22"/>
      <c r="T1363" s="20"/>
      <c r="U1363" s="20"/>
      <c r="V1363" s="20"/>
    </row>
    <row r="1364" spans="1:22" ht="12.75" customHeight="1">
      <c r="A1364" s="456" t="str">
        <f t="shared" si="139"/>
        <v>H1000x500x30</v>
      </c>
      <c r="B1364" s="457" t="s">
        <v>1977</v>
      </c>
      <c r="C1364" s="457">
        <v>1000</v>
      </c>
      <c r="D1364" s="457">
        <v>500</v>
      </c>
      <c r="E1364" s="457">
        <v>30</v>
      </c>
      <c r="F1364" s="457">
        <f t="shared" si="142"/>
        <v>30</v>
      </c>
      <c r="G1364" s="472">
        <f t="shared" si="138"/>
        <v>15</v>
      </c>
      <c r="H1364" s="808"/>
      <c r="I1364" s="809"/>
      <c r="J1364" s="809"/>
      <c r="K1364" s="810"/>
      <c r="L1364" s="798"/>
      <c r="M1364" s="20"/>
      <c r="N1364" s="20"/>
      <c r="O1364" s="20"/>
      <c r="P1364" s="20"/>
      <c r="Q1364" s="21"/>
      <c r="R1364" s="22"/>
      <c r="S1364" s="22"/>
      <c r="T1364" s="20"/>
      <c r="U1364" s="20"/>
      <c r="V1364" s="20"/>
    </row>
    <row r="1365" spans="1:22" ht="12.75" customHeight="1">
      <c r="A1365" s="456" t="str">
        <f t="shared" si="139"/>
        <v>H1000x500x40</v>
      </c>
      <c r="B1365" s="457" t="s">
        <v>1977</v>
      </c>
      <c r="C1365" s="457">
        <v>1000</v>
      </c>
      <c r="D1365" s="457">
        <v>500</v>
      </c>
      <c r="E1365" s="457">
        <v>40</v>
      </c>
      <c r="F1365" s="457">
        <f t="shared" si="142"/>
        <v>40</v>
      </c>
      <c r="G1365" s="472">
        <f t="shared" si="138"/>
        <v>20</v>
      </c>
      <c r="H1365" s="808"/>
      <c r="I1365" s="809"/>
      <c r="J1365" s="809"/>
      <c r="K1365" s="810"/>
      <c r="L1365" s="798"/>
      <c r="M1365" s="20"/>
      <c r="N1365" s="20"/>
      <c r="O1365" s="20"/>
      <c r="P1365" s="20"/>
      <c r="Q1365" s="21"/>
      <c r="R1365" s="22"/>
      <c r="S1365" s="22"/>
      <c r="T1365" s="20"/>
      <c r="U1365" s="20"/>
      <c r="V1365" s="20"/>
    </row>
    <row r="1366" spans="1:22" ht="12.75" customHeight="1">
      <c r="A1366" s="456" t="str">
        <f t="shared" si="139"/>
        <v>H1000x500x50</v>
      </c>
      <c r="B1366" s="457" t="s">
        <v>1977</v>
      </c>
      <c r="C1366" s="457">
        <v>1000</v>
      </c>
      <c r="D1366" s="457">
        <v>500</v>
      </c>
      <c r="E1366" s="457">
        <v>50</v>
      </c>
      <c r="F1366" s="457">
        <f t="shared" si="142"/>
        <v>50</v>
      </c>
      <c r="G1366" s="472">
        <f t="shared" si="138"/>
        <v>25</v>
      </c>
      <c r="H1366" s="808"/>
      <c r="I1366" s="809"/>
      <c r="J1366" s="809"/>
      <c r="K1366" s="810"/>
      <c r="L1366" s="798"/>
      <c r="M1366" s="20"/>
      <c r="N1366" s="20"/>
      <c r="O1366" s="20"/>
      <c r="P1366" s="20"/>
      <c r="Q1366" s="21"/>
      <c r="R1366" s="22"/>
      <c r="S1366" s="22"/>
      <c r="T1366" s="20"/>
      <c r="U1366" s="20"/>
      <c r="V1366" s="20"/>
    </row>
    <row r="1367" spans="1:22" ht="12.75" customHeight="1">
      <c r="A1367" s="456" t="str">
        <f t="shared" si="139"/>
        <v>H1000x500x60</v>
      </c>
      <c r="B1367" s="457" t="s">
        <v>1977</v>
      </c>
      <c r="C1367" s="457">
        <v>1000</v>
      </c>
      <c r="D1367" s="457">
        <v>500</v>
      </c>
      <c r="E1367" s="457">
        <v>60</v>
      </c>
      <c r="F1367" s="457">
        <f t="shared" si="142"/>
        <v>60</v>
      </c>
      <c r="G1367" s="472">
        <f t="shared" si="138"/>
        <v>30</v>
      </c>
      <c r="H1367" s="808"/>
      <c r="I1367" s="809"/>
      <c r="J1367" s="809"/>
      <c r="K1367" s="810"/>
      <c r="L1367" s="798"/>
      <c r="M1367" s="20"/>
      <c r="N1367" s="20"/>
      <c r="O1367" s="20"/>
      <c r="P1367" s="20"/>
      <c r="Q1367" s="21"/>
      <c r="R1367" s="22"/>
      <c r="S1367" s="22"/>
      <c r="T1367" s="20"/>
      <c r="U1367" s="20"/>
      <c r="V1367" s="20"/>
    </row>
    <row r="1368" spans="1:22" ht="12.75" customHeight="1">
      <c r="A1368" s="456" t="str">
        <f t="shared" si="139"/>
        <v>H1000x500x65</v>
      </c>
      <c r="B1368" s="457" t="s">
        <v>1977</v>
      </c>
      <c r="C1368" s="457">
        <v>1000</v>
      </c>
      <c r="D1368" s="457">
        <v>500</v>
      </c>
      <c r="E1368" s="457">
        <v>65</v>
      </c>
      <c r="F1368" s="457">
        <f t="shared" si="142"/>
        <v>65</v>
      </c>
      <c r="G1368" s="472">
        <f t="shared" si="138"/>
        <v>32.5</v>
      </c>
      <c r="H1368" s="808"/>
      <c r="I1368" s="809"/>
      <c r="J1368" s="809"/>
      <c r="K1368" s="810"/>
      <c r="L1368" s="798"/>
      <c r="M1368" s="20"/>
      <c r="N1368" s="20"/>
      <c r="O1368" s="20"/>
      <c r="P1368" s="20"/>
      <c r="Q1368" s="21"/>
      <c r="R1368" s="22"/>
      <c r="S1368" s="22"/>
      <c r="T1368" s="20"/>
      <c r="U1368" s="20"/>
      <c r="V1368" s="20"/>
    </row>
    <row r="1369" spans="1:22" ht="12.75" customHeight="1">
      <c r="A1369" s="456" t="str">
        <f t="shared" si="139"/>
        <v>H1000x500x70</v>
      </c>
      <c r="B1369" s="457" t="s">
        <v>1977</v>
      </c>
      <c r="C1369" s="457">
        <v>1000</v>
      </c>
      <c r="D1369" s="457">
        <v>500</v>
      </c>
      <c r="E1369" s="457">
        <v>70</v>
      </c>
      <c r="F1369" s="457">
        <f t="shared" si="142"/>
        <v>70</v>
      </c>
      <c r="G1369" s="472">
        <f t="shared" si="138"/>
        <v>35</v>
      </c>
      <c r="H1369" s="808"/>
      <c r="I1369" s="809"/>
      <c r="J1369" s="809"/>
      <c r="K1369" s="810"/>
      <c r="L1369" s="798"/>
      <c r="M1369" s="20"/>
      <c r="N1369" s="20"/>
      <c r="O1369" s="20"/>
      <c r="P1369" s="20"/>
      <c r="Q1369" s="21"/>
      <c r="R1369" s="22"/>
      <c r="S1369" s="22"/>
      <c r="T1369" s="20"/>
      <c r="U1369" s="20"/>
      <c r="V1369" s="20"/>
    </row>
    <row r="1370" spans="1:22" ht="12.75" customHeight="1">
      <c r="A1370" s="456" t="str">
        <f t="shared" si="139"/>
        <v>H1000x500x75</v>
      </c>
      <c r="B1370" s="457" t="s">
        <v>1977</v>
      </c>
      <c r="C1370" s="457">
        <v>1000</v>
      </c>
      <c r="D1370" s="457">
        <v>500</v>
      </c>
      <c r="E1370" s="457">
        <v>75</v>
      </c>
      <c r="F1370" s="457">
        <f t="shared" si="142"/>
        <v>75</v>
      </c>
      <c r="G1370" s="472">
        <f t="shared" si="138"/>
        <v>37.5</v>
      </c>
      <c r="H1370" s="808"/>
      <c r="I1370" s="809"/>
      <c r="J1370" s="809"/>
      <c r="K1370" s="810"/>
      <c r="L1370" s="798"/>
      <c r="M1370" s="20"/>
      <c r="N1370" s="20"/>
      <c r="O1370" s="20"/>
      <c r="P1370" s="20"/>
      <c r="Q1370" s="21"/>
      <c r="R1370" s="22"/>
      <c r="S1370" s="22"/>
      <c r="T1370" s="20"/>
      <c r="U1370" s="20"/>
      <c r="V1370" s="20"/>
    </row>
    <row r="1371" spans="1:22" ht="12.75" customHeight="1">
      <c r="A1371" s="456" t="str">
        <f t="shared" si="139"/>
        <v>H1000x500x80</v>
      </c>
      <c r="B1371" s="457" t="s">
        <v>1977</v>
      </c>
      <c r="C1371" s="457">
        <v>1000</v>
      </c>
      <c r="D1371" s="457">
        <v>500</v>
      </c>
      <c r="E1371" s="457">
        <v>80</v>
      </c>
      <c r="F1371" s="457">
        <f t="shared" si="142"/>
        <v>80</v>
      </c>
      <c r="G1371" s="472">
        <f t="shared" si="138"/>
        <v>40</v>
      </c>
      <c r="H1371" s="808"/>
      <c r="I1371" s="809"/>
      <c r="J1371" s="809"/>
      <c r="K1371" s="810"/>
      <c r="L1371" s="798"/>
      <c r="M1371" s="20"/>
      <c r="N1371" s="20"/>
      <c r="O1371" s="20"/>
      <c r="P1371" s="20"/>
      <c r="Q1371" s="21"/>
      <c r="R1371" s="22"/>
      <c r="S1371" s="22"/>
      <c r="T1371" s="20"/>
      <c r="U1371" s="20"/>
      <c r="V1371" s="20"/>
    </row>
    <row r="1372" spans="1:22" ht="12.75" customHeight="1" thickBot="1">
      <c r="A1372" s="456" t="str">
        <f t="shared" si="139"/>
        <v>H1000x500x100</v>
      </c>
      <c r="B1372" s="457" t="s">
        <v>1977</v>
      </c>
      <c r="C1372" s="457">
        <v>1000</v>
      </c>
      <c r="D1372" s="457">
        <v>500</v>
      </c>
      <c r="E1372" s="457">
        <v>100</v>
      </c>
      <c r="F1372" s="457">
        <f t="shared" si="142"/>
        <v>100</v>
      </c>
      <c r="G1372" s="472">
        <f t="shared" si="138"/>
        <v>50</v>
      </c>
      <c r="H1372" s="811"/>
      <c r="I1372" s="812"/>
      <c r="J1372" s="812"/>
      <c r="K1372" s="813"/>
      <c r="L1372" s="798"/>
      <c r="M1372" s="20"/>
      <c r="N1372" s="20"/>
      <c r="O1372" s="20"/>
      <c r="P1372" s="20"/>
      <c r="Q1372" s="21"/>
      <c r="R1372" s="22"/>
      <c r="S1372" s="22"/>
      <c r="T1372" s="20"/>
      <c r="U1372" s="20"/>
      <c r="V1372" s="20"/>
    </row>
    <row r="1373" spans="1:22" ht="12.75" customHeight="1">
      <c r="A1373" s="459" t="str">
        <f t="shared" si="139"/>
        <v>H1000x600x25</v>
      </c>
      <c r="B1373" s="460" t="s">
        <v>1977</v>
      </c>
      <c r="C1373" s="460">
        <v>1000</v>
      </c>
      <c r="D1373" s="460">
        <v>600</v>
      </c>
      <c r="E1373" s="460">
        <v>25</v>
      </c>
      <c r="F1373" s="460">
        <f t="shared" ref="F1373:F1375" si="143">E1373</f>
        <v>25</v>
      </c>
      <c r="G1373" s="472">
        <f t="shared" si="138"/>
        <v>15</v>
      </c>
      <c r="H1373" s="805" t="s">
        <v>1715</v>
      </c>
      <c r="I1373" s="806"/>
      <c r="J1373" s="806"/>
      <c r="K1373" s="807"/>
      <c r="L1373" s="798"/>
      <c r="M1373" s="20"/>
      <c r="N1373" s="20"/>
      <c r="O1373" s="20"/>
      <c r="P1373" s="20"/>
      <c r="Q1373" s="21"/>
      <c r="R1373" s="22"/>
      <c r="S1373" s="22"/>
      <c r="T1373" s="20"/>
      <c r="U1373" s="20"/>
      <c r="V1373" s="20"/>
    </row>
    <row r="1374" spans="1:22" ht="12.75" customHeight="1">
      <c r="A1374" s="459" t="str">
        <f t="shared" si="139"/>
        <v>H1000x600x30</v>
      </c>
      <c r="B1374" s="460" t="s">
        <v>1977</v>
      </c>
      <c r="C1374" s="460">
        <v>1000</v>
      </c>
      <c r="D1374" s="460">
        <v>600</v>
      </c>
      <c r="E1374" s="460">
        <v>30</v>
      </c>
      <c r="F1374" s="460">
        <f t="shared" si="143"/>
        <v>30</v>
      </c>
      <c r="G1374" s="472">
        <f t="shared" si="138"/>
        <v>18</v>
      </c>
      <c r="H1374" s="808"/>
      <c r="I1374" s="809"/>
      <c r="J1374" s="809"/>
      <c r="K1374" s="810"/>
      <c r="L1374" s="798"/>
      <c r="M1374" s="20"/>
      <c r="N1374" s="20"/>
      <c r="O1374" s="20"/>
      <c r="P1374" s="20"/>
      <c r="Q1374" s="21"/>
      <c r="R1374" s="22"/>
      <c r="S1374" s="22"/>
      <c r="T1374" s="20"/>
      <c r="U1374" s="20"/>
      <c r="V1374" s="20"/>
    </row>
    <row r="1375" spans="1:22" ht="12.75" customHeight="1">
      <c r="A1375" s="459" t="str">
        <f t="shared" si="139"/>
        <v>H1000x600x40</v>
      </c>
      <c r="B1375" s="460" t="s">
        <v>1977</v>
      </c>
      <c r="C1375" s="460">
        <v>1000</v>
      </c>
      <c r="D1375" s="460">
        <v>600</v>
      </c>
      <c r="E1375" s="460">
        <v>40</v>
      </c>
      <c r="F1375" s="460">
        <f t="shared" si="143"/>
        <v>40</v>
      </c>
      <c r="G1375" s="472">
        <f t="shared" ref="G1375:G1406" si="144">(C1375*D1375*E1375)*10^-6</f>
        <v>24</v>
      </c>
      <c r="H1375" s="808"/>
      <c r="I1375" s="809"/>
      <c r="J1375" s="809"/>
      <c r="K1375" s="810"/>
      <c r="L1375" s="798"/>
      <c r="M1375" s="20"/>
      <c r="N1375" s="20"/>
      <c r="O1375" s="20"/>
      <c r="P1375" s="20"/>
      <c r="Q1375" s="21"/>
      <c r="R1375" s="22"/>
      <c r="S1375" s="22"/>
      <c r="T1375" s="20"/>
      <c r="U1375" s="20"/>
      <c r="V1375" s="20"/>
    </row>
    <row r="1376" spans="1:22" ht="12.75" customHeight="1">
      <c r="A1376" s="459" t="str">
        <f t="shared" si="139"/>
        <v>H1000x600x50</v>
      </c>
      <c r="B1376" s="460" t="s">
        <v>1977</v>
      </c>
      <c r="C1376" s="460">
        <v>1000</v>
      </c>
      <c r="D1376" s="460">
        <v>600</v>
      </c>
      <c r="E1376" s="460">
        <v>50</v>
      </c>
      <c r="F1376" s="460">
        <f t="shared" ref="F1376:F1382" si="145">E1376</f>
        <v>50</v>
      </c>
      <c r="G1376" s="472">
        <f t="shared" si="144"/>
        <v>30</v>
      </c>
      <c r="H1376" s="808"/>
      <c r="I1376" s="809"/>
      <c r="J1376" s="809"/>
      <c r="K1376" s="810"/>
      <c r="L1376" s="798"/>
      <c r="M1376" s="20"/>
      <c r="N1376" s="20"/>
      <c r="O1376" s="20"/>
      <c r="P1376" s="20"/>
      <c r="Q1376" s="21"/>
      <c r="R1376" s="22"/>
      <c r="S1376" s="22"/>
      <c r="T1376" s="20"/>
      <c r="U1376" s="20"/>
      <c r="V1376" s="20"/>
    </row>
    <row r="1377" spans="1:22" ht="12.75" customHeight="1">
      <c r="A1377" s="459" t="str">
        <f t="shared" si="139"/>
        <v>H1000x600x60</v>
      </c>
      <c r="B1377" s="460" t="s">
        <v>1977</v>
      </c>
      <c r="C1377" s="460">
        <v>1000</v>
      </c>
      <c r="D1377" s="460">
        <v>600</v>
      </c>
      <c r="E1377" s="460">
        <v>60</v>
      </c>
      <c r="F1377" s="460">
        <f t="shared" si="145"/>
        <v>60</v>
      </c>
      <c r="G1377" s="472">
        <f t="shared" si="144"/>
        <v>36</v>
      </c>
      <c r="H1377" s="808"/>
      <c r="I1377" s="809"/>
      <c r="J1377" s="809"/>
      <c r="K1377" s="810"/>
      <c r="L1377" s="798"/>
      <c r="M1377" s="20"/>
      <c r="N1377" s="20"/>
      <c r="O1377" s="20"/>
      <c r="P1377" s="20"/>
      <c r="Q1377" s="21"/>
      <c r="R1377" s="22"/>
      <c r="S1377" s="22"/>
      <c r="T1377" s="20"/>
      <c r="U1377" s="20"/>
      <c r="V1377" s="20"/>
    </row>
    <row r="1378" spans="1:22" ht="12.75" customHeight="1">
      <c r="A1378" s="459" t="str">
        <f t="shared" si="139"/>
        <v>H1000x600x70</v>
      </c>
      <c r="B1378" s="460" t="s">
        <v>1977</v>
      </c>
      <c r="C1378" s="460">
        <v>1000</v>
      </c>
      <c r="D1378" s="460">
        <v>600</v>
      </c>
      <c r="E1378" s="460">
        <v>70</v>
      </c>
      <c r="F1378" s="460">
        <f t="shared" si="145"/>
        <v>70</v>
      </c>
      <c r="G1378" s="472">
        <f t="shared" si="144"/>
        <v>42</v>
      </c>
      <c r="H1378" s="808"/>
      <c r="I1378" s="809"/>
      <c r="J1378" s="809"/>
      <c r="K1378" s="810"/>
      <c r="L1378" s="798"/>
      <c r="M1378" s="20"/>
      <c r="N1378" s="20"/>
      <c r="O1378" s="20"/>
      <c r="P1378" s="20"/>
      <c r="Q1378" s="21"/>
      <c r="R1378" s="22"/>
      <c r="S1378" s="22"/>
      <c r="T1378" s="20"/>
      <c r="U1378" s="20"/>
      <c r="V1378" s="20"/>
    </row>
    <row r="1379" spans="1:22" ht="12.75" customHeight="1">
      <c r="A1379" s="459" t="str">
        <f t="shared" si="139"/>
        <v>H1000x600x80</v>
      </c>
      <c r="B1379" s="460" t="s">
        <v>1977</v>
      </c>
      <c r="C1379" s="460">
        <v>1000</v>
      </c>
      <c r="D1379" s="460">
        <v>600</v>
      </c>
      <c r="E1379" s="460">
        <v>80</v>
      </c>
      <c r="F1379" s="460">
        <f t="shared" si="145"/>
        <v>80</v>
      </c>
      <c r="G1379" s="472">
        <f t="shared" si="144"/>
        <v>48</v>
      </c>
      <c r="H1379" s="808"/>
      <c r="I1379" s="809"/>
      <c r="J1379" s="809"/>
      <c r="K1379" s="810"/>
      <c r="L1379" s="798"/>
      <c r="M1379" s="20"/>
      <c r="N1379" s="20"/>
      <c r="O1379" s="20"/>
      <c r="P1379" s="20"/>
      <c r="Q1379" s="21"/>
      <c r="R1379" s="22"/>
      <c r="S1379" s="22"/>
      <c r="T1379" s="20"/>
      <c r="U1379" s="20"/>
      <c r="V1379" s="20"/>
    </row>
    <row r="1380" spans="1:22" ht="12.75" customHeight="1">
      <c r="A1380" s="459" t="str">
        <f t="shared" si="139"/>
        <v>H1000x600x90</v>
      </c>
      <c r="B1380" s="460" t="s">
        <v>1977</v>
      </c>
      <c r="C1380" s="460">
        <v>1000</v>
      </c>
      <c r="D1380" s="460">
        <v>600</v>
      </c>
      <c r="E1380" s="460">
        <v>90</v>
      </c>
      <c r="F1380" s="460">
        <f t="shared" si="145"/>
        <v>90</v>
      </c>
      <c r="G1380" s="472">
        <f t="shared" si="144"/>
        <v>54</v>
      </c>
      <c r="H1380" s="808"/>
      <c r="I1380" s="809"/>
      <c r="J1380" s="809"/>
      <c r="K1380" s="810"/>
      <c r="L1380" s="798"/>
      <c r="M1380" s="20"/>
      <c r="N1380" s="20"/>
      <c r="O1380" s="20"/>
      <c r="P1380" s="20"/>
      <c r="Q1380" s="21"/>
      <c r="R1380" s="22"/>
      <c r="S1380" s="22"/>
      <c r="T1380" s="20"/>
      <c r="U1380" s="20"/>
      <c r="V1380" s="20"/>
    </row>
    <row r="1381" spans="1:22" ht="12.75" customHeight="1" thickBot="1">
      <c r="A1381" s="459" t="str">
        <f t="shared" si="139"/>
        <v>H1000x600x100</v>
      </c>
      <c r="B1381" s="460" t="s">
        <v>1977</v>
      </c>
      <c r="C1381" s="460">
        <v>1000</v>
      </c>
      <c r="D1381" s="460">
        <v>600</v>
      </c>
      <c r="E1381" s="460">
        <v>100</v>
      </c>
      <c r="F1381" s="460">
        <f t="shared" si="145"/>
        <v>100</v>
      </c>
      <c r="G1381" s="472">
        <f t="shared" si="144"/>
        <v>60</v>
      </c>
      <c r="H1381" s="811"/>
      <c r="I1381" s="812"/>
      <c r="J1381" s="812"/>
      <c r="K1381" s="813"/>
      <c r="L1381" s="798"/>
      <c r="M1381" s="20"/>
      <c r="N1381" s="20"/>
      <c r="O1381" s="20"/>
      <c r="P1381" s="20"/>
      <c r="Q1381" s="21"/>
      <c r="R1381" s="22"/>
      <c r="S1381" s="22"/>
      <c r="T1381" s="20"/>
      <c r="U1381" s="20"/>
      <c r="V1381" s="20"/>
    </row>
    <row r="1382" spans="1:22" ht="12.75" customHeight="1">
      <c r="A1382" s="461" t="str">
        <f t="shared" si="139"/>
        <v>H1000x610x6</v>
      </c>
      <c r="B1382" s="462" t="s">
        <v>1977</v>
      </c>
      <c r="C1382" s="462">
        <v>1000</v>
      </c>
      <c r="D1382" s="462">
        <v>610</v>
      </c>
      <c r="E1382" s="462">
        <v>6</v>
      </c>
      <c r="F1382" s="462">
        <f t="shared" si="145"/>
        <v>6</v>
      </c>
      <c r="G1382" s="472">
        <f t="shared" si="144"/>
        <v>3.6599999999999997</v>
      </c>
      <c r="H1382" s="805" t="s">
        <v>1719</v>
      </c>
      <c r="I1382" s="806"/>
      <c r="J1382" s="806"/>
      <c r="K1382" s="807"/>
      <c r="L1382" s="798"/>
      <c r="M1382" s="20"/>
      <c r="N1382" s="20"/>
      <c r="O1382" s="20"/>
      <c r="P1382" s="20"/>
      <c r="Q1382" s="21"/>
      <c r="R1382" s="22"/>
      <c r="S1382" s="22"/>
      <c r="T1382" s="20"/>
      <c r="U1382" s="20"/>
      <c r="V1382" s="20"/>
    </row>
    <row r="1383" spans="1:22" ht="12.75" customHeight="1">
      <c r="A1383" s="461" t="str">
        <f t="shared" si="139"/>
        <v>H1000x610x10</v>
      </c>
      <c r="B1383" s="462" t="s">
        <v>1977</v>
      </c>
      <c r="C1383" s="462">
        <v>1000</v>
      </c>
      <c r="D1383" s="462">
        <v>610</v>
      </c>
      <c r="E1383" s="462">
        <v>10</v>
      </c>
      <c r="F1383" s="462">
        <f t="shared" ref="F1383:F1389" si="146">E1383</f>
        <v>10</v>
      </c>
      <c r="G1383" s="472">
        <f t="shared" si="144"/>
        <v>6.1</v>
      </c>
      <c r="H1383" s="808"/>
      <c r="I1383" s="809"/>
      <c r="J1383" s="809"/>
      <c r="K1383" s="810"/>
      <c r="L1383" s="798"/>
      <c r="M1383" s="20"/>
      <c r="N1383" s="20"/>
      <c r="O1383" s="20"/>
      <c r="P1383" s="20"/>
      <c r="Q1383" s="21"/>
      <c r="R1383" s="22"/>
      <c r="S1383" s="22"/>
      <c r="T1383" s="20"/>
      <c r="U1383" s="20"/>
      <c r="V1383" s="20"/>
    </row>
    <row r="1384" spans="1:22" ht="12.75" customHeight="1">
      <c r="A1384" s="461" t="str">
        <f t="shared" si="139"/>
        <v>H1000x610x13</v>
      </c>
      <c r="B1384" s="462" t="s">
        <v>1977</v>
      </c>
      <c r="C1384" s="462">
        <v>1000</v>
      </c>
      <c r="D1384" s="462">
        <v>610</v>
      </c>
      <c r="E1384" s="462">
        <v>13</v>
      </c>
      <c r="F1384" s="462">
        <f t="shared" si="146"/>
        <v>13</v>
      </c>
      <c r="G1384" s="472">
        <f t="shared" si="144"/>
        <v>7.93</v>
      </c>
      <c r="H1384" s="808"/>
      <c r="I1384" s="809"/>
      <c r="J1384" s="809"/>
      <c r="K1384" s="810"/>
      <c r="L1384" s="798"/>
      <c r="M1384" s="20"/>
      <c r="N1384" s="20"/>
      <c r="O1384" s="20"/>
      <c r="P1384" s="20"/>
      <c r="Q1384" s="21"/>
      <c r="R1384" s="22"/>
      <c r="S1384" s="22"/>
      <c r="T1384" s="20"/>
      <c r="U1384" s="20"/>
      <c r="V1384" s="20"/>
    </row>
    <row r="1385" spans="1:22" ht="12.75" customHeight="1">
      <c r="A1385" s="461" t="str">
        <f t="shared" si="139"/>
        <v>H1000x610x20</v>
      </c>
      <c r="B1385" s="462" t="s">
        <v>1977</v>
      </c>
      <c r="C1385" s="462">
        <v>1000</v>
      </c>
      <c r="D1385" s="462">
        <v>610</v>
      </c>
      <c r="E1385" s="462">
        <v>20</v>
      </c>
      <c r="F1385" s="462">
        <f t="shared" si="146"/>
        <v>20</v>
      </c>
      <c r="G1385" s="472">
        <f t="shared" si="144"/>
        <v>12.2</v>
      </c>
      <c r="H1385" s="808"/>
      <c r="I1385" s="809"/>
      <c r="J1385" s="809"/>
      <c r="K1385" s="810"/>
      <c r="L1385" s="798"/>
      <c r="M1385" s="20"/>
      <c r="N1385" s="20"/>
      <c r="O1385" s="20"/>
      <c r="P1385" s="20"/>
      <c r="Q1385" s="21"/>
      <c r="R1385" s="22"/>
      <c r="S1385" s="22"/>
      <c r="T1385" s="20"/>
      <c r="U1385" s="20"/>
      <c r="V1385" s="20"/>
    </row>
    <row r="1386" spans="1:22" ht="12.75" customHeight="1">
      <c r="A1386" s="461" t="str">
        <f t="shared" si="139"/>
        <v>H1000x610x25</v>
      </c>
      <c r="B1386" s="462" t="s">
        <v>1977</v>
      </c>
      <c r="C1386" s="462">
        <v>1000</v>
      </c>
      <c r="D1386" s="462">
        <v>610</v>
      </c>
      <c r="E1386" s="462">
        <v>25</v>
      </c>
      <c r="F1386" s="462">
        <f t="shared" si="146"/>
        <v>25</v>
      </c>
      <c r="G1386" s="472">
        <f t="shared" si="144"/>
        <v>15.25</v>
      </c>
      <c r="H1386" s="808"/>
      <c r="I1386" s="809"/>
      <c r="J1386" s="809"/>
      <c r="K1386" s="810"/>
      <c r="L1386" s="798"/>
      <c r="M1386" s="20"/>
      <c r="N1386" s="20"/>
      <c r="O1386" s="20"/>
      <c r="P1386" s="20"/>
      <c r="Q1386" s="21"/>
      <c r="R1386" s="22"/>
      <c r="S1386" s="22"/>
      <c r="T1386" s="20"/>
      <c r="U1386" s="20"/>
      <c r="V1386" s="20"/>
    </row>
    <row r="1387" spans="1:22" ht="12.75" customHeight="1">
      <c r="A1387" s="461" t="str">
        <f t="shared" si="139"/>
        <v>H1000x610x30</v>
      </c>
      <c r="B1387" s="462" t="s">
        <v>1977</v>
      </c>
      <c r="C1387" s="462">
        <v>1000</v>
      </c>
      <c r="D1387" s="462">
        <v>610</v>
      </c>
      <c r="E1387" s="462">
        <v>30</v>
      </c>
      <c r="F1387" s="462">
        <f t="shared" si="146"/>
        <v>30</v>
      </c>
      <c r="G1387" s="472">
        <f t="shared" si="144"/>
        <v>18.3</v>
      </c>
      <c r="H1387" s="808"/>
      <c r="I1387" s="809"/>
      <c r="J1387" s="809"/>
      <c r="K1387" s="810"/>
      <c r="L1387" s="798"/>
      <c r="M1387" s="20"/>
      <c r="N1387" s="20"/>
      <c r="O1387" s="20"/>
      <c r="P1387" s="20"/>
      <c r="Q1387" s="21"/>
      <c r="R1387" s="22"/>
      <c r="S1387" s="22"/>
      <c r="T1387" s="20"/>
      <c r="U1387" s="20"/>
      <c r="V1387" s="20"/>
    </row>
    <row r="1388" spans="1:22" ht="12.75" customHeight="1">
      <c r="A1388" s="461" t="str">
        <f t="shared" si="139"/>
        <v>H1000x610x40</v>
      </c>
      <c r="B1388" s="462" t="s">
        <v>1977</v>
      </c>
      <c r="C1388" s="462">
        <v>1000</v>
      </c>
      <c r="D1388" s="462">
        <v>610</v>
      </c>
      <c r="E1388" s="462">
        <v>40</v>
      </c>
      <c r="F1388" s="462">
        <f t="shared" si="146"/>
        <v>40</v>
      </c>
      <c r="G1388" s="472">
        <f t="shared" si="144"/>
        <v>24.4</v>
      </c>
      <c r="H1388" s="808"/>
      <c r="I1388" s="809"/>
      <c r="J1388" s="809"/>
      <c r="K1388" s="810"/>
      <c r="L1388" s="798"/>
      <c r="M1388" s="20"/>
      <c r="N1388" s="20"/>
      <c r="O1388" s="20"/>
      <c r="P1388" s="20"/>
      <c r="Q1388" s="21"/>
      <c r="R1388" s="22"/>
      <c r="S1388" s="22"/>
      <c r="T1388" s="20"/>
      <c r="U1388" s="20"/>
      <c r="V1388" s="20"/>
    </row>
    <row r="1389" spans="1:22" ht="12.75" customHeight="1" thickBot="1">
      <c r="A1389" s="461" t="str">
        <f t="shared" si="139"/>
        <v>H1000x610x50</v>
      </c>
      <c r="B1389" s="462" t="s">
        <v>1977</v>
      </c>
      <c r="C1389" s="462">
        <v>1000</v>
      </c>
      <c r="D1389" s="462">
        <v>610</v>
      </c>
      <c r="E1389" s="462">
        <v>50</v>
      </c>
      <c r="F1389" s="462">
        <f t="shared" si="146"/>
        <v>50</v>
      </c>
      <c r="G1389" s="472">
        <f t="shared" si="144"/>
        <v>30.5</v>
      </c>
      <c r="H1389" s="811"/>
      <c r="I1389" s="812"/>
      <c r="J1389" s="812"/>
      <c r="K1389" s="813"/>
      <c r="L1389" s="798"/>
      <c r="M1389" s="20"/>
      <c r="N1389" s="20"/>
      <c r="O1389" s="20"/>
      <c r="P1389" s="20"/>
      <c r="Q1389" s="21"/>
      <c r="R1389" s="22"/>
      <c r="S1389" s="22"/>
      <c r="T1389" s="20"/>
      <c r="U1389" s="20"/>
      <c r="V1389" s="20"/>
    </row>
    <row r="1390" spans="1:22" ht="12.75" customHeight="1">
      <c r="A1390" s="463" t="str">
        <f t="shared" si="139"/>
        <v>H1000x1000x2</v>
      </c>
      <c r="B1390" s="464" t="s">
        <v>1977</v>
      </c>
      <c r="C1390" s="464">
        <v>1000</v>
      </c>
      <c r="D1390" s="464">
        <v>1000</v>
      </c>
      <c r="E1390" s="464">
        <v>2</v>
      </c>
      <c r="F1390" s="464">
        <f t="shared" ref="F1390" si="147">E1390</f>
        <v>2</v>
      </c>
      <c r="G1390" s="472">
        <f t="shared" si="144"/>
        <v>2</v>
      </c>
      <c r="H1390" s="805" t="s">
        <v>1716</v>
      </c>
      <c r="I1390" s="806"/>
      <c r="J1390" s="806"/>
      <c r="K1390" s="807"/>
      <c r="L1390" s="798"/>
      <c r="M1390" s="20"/>
      <c r="N1390" s="20"/>
      <c r="O1390" s="20"/>
      <c r="P1390" s="20"/>
      <c r="Q1390" s="21"/>
      <c r="R1390" s="22"/>
      <c r="S1390" s="22"/>
      <c r="T1390" s="20"/>
      <c r="U1390" s="20"/>
      <c r="V1390" s="20"/>
    </row>
    <row r="1391" spans="1:22" ht="12.75" customHeight="1">
      <c r="A1391" s="463" t="str">
        <f t="shared" si="139"/>
        <v>H1000x1000x3</v>
      </c>
      <c r="B1391" s="464" t="s">
        <v>1977</v>
      </c>
      <c r="C1391" s="464">
        <v>1000</v>
      </c>
      <c r="D1391" s="464">
        <v>1000</v>
      </c>
      <c r="E1391" s="464">
        <v>3</v>
      </c>
      <c r="F1391" s="464">
        <f t="shared" ref="F1391:F1415" si="148">E1391</f>
        <v>3</v>
      </c>
      <c r="G1391" s="472">
        <f t="shared" si="144"/>
        <v>3</v>
      </c>
      <c r="H1391" s="808"/>
      <c r="I1391" s="809"/>
      <c r="J1391" s="809"/>
      <c r="K1391" s="810"/>
      <c r="L1391" s="798"/>
      <c r="M1391" s="20"/>
      <c r="N1391" s="20"/>
      <c r="O1391" s="20"/>
      <c r="P1391" s="20"/>
      <c r="Q1391" s="21"/>
      <c r="R1391" s="22"/>
      <c r="S1391" s="22"/>
      <c r="T1391" s="20"/>
      <c r="U1391" s="20"/>
      <c r="V1391" s="20"/>
    </row>
    <row r="1392" spans="1:22" ht="12.75" customHeight="1">
      <c r="A1392" s="463" t="str">
        <f t="shared" si="139"/>
        <v>H1000x1000x4</v>
      </c>
      <c r="B1392" s="464" t="s">
        <v>1977</v>
      </c>
      <c r="C1392" s="464">
        <v>1000</v>
      </c>
      <c r="D1392" s="464">
        <v>1000</v>
      </c>
      <c r="E1392" s="464">
        <v>4</v>
      </c>
      <c r="F1392" s="464">
        <f t="shared" si="148"/>
        <v>4</v>
      </c>
      <c r="G1392" s="472">
        <f t="shared" si="144"/>
        <v>4</v>
      </c>
      <c r="H1392" s="808"/>
      <c r="I1392" s="809"/>
      <c r="J1392" s="809"/>
      <c r="K1392" s="810"/>
      <c r="L1392" s="798"/>
      <c r="M1392" s="20"/>
      <c r="N1392" s="20"/>
      <c r="O1392" s="20"/>
      <c r="P1392" s="20"/>
      <c r="Q1392" s="21"/>
      <c r="R1392" s="22"/>
      <c r="S1392" s="22"/>
      <c r="T1392" s="20"/>
      <c r="U1392" s="20"/>
      <c r="V1392" s="20"/>
    </row>
    <row r="1393" spans="1:22" ht="12.75" customHeight="1">
      <c r="A1393" s="463" t="str">
        <f t="shared" si="139"/>
        <v>H1000x1000x5</v>
      </c>
      <c r="B1393" s="464" t="s">
        <v>1977</v>
      </c>
      <c r="C1393" s="464">
        <v>1000</v>
      </c>
      <c r="D1393" s="464">
        <v>1000</v>
      </c>
      <c r="E1393" s="464">
        <v>5</v>
      </c>
      <c r="F1393" s="464">
        <f t="shared" si="148"/>
        <v>5</v>
      </c>
      <c r="G1393" s="472">
        <f t="shared" si="144"/>
        <v>5</v>
      </c>
      <c r="H1393" s="808"/>
      <c r="I1393" s="809"/>
      <c r="J1393" s="809"/>
      <c r="K1393" s="810"/>
      <c r="L1393" s="798"/>
      <c r="M1393" s="20"/>
      <c r="N1393" s="20"/>
      <c r="O1393" s="20"/>
      <c r="P1393" s="20"/>
      <c r="Q1393" s="21"/>
      <c r="R1393" s="22"/>
      <c r="S1393" s="22"/>
      <c r="T1393" s="20"/>
      <c r="U1393" s="20"/>
      <c r="V1393" s="20"/>
    </row>
    <row r="1394" spans="1:22" ht="12.75" customHeight="1">
      <c r="A1394" s="463" t="str">
        <f t="shared" si="139"/>
        <v>H1000x1000x6</v>
      </c>
      <c r="B1394" s="464" t="s">
        <v>1977</v>
      </c>
      <c r="C1394" s="464">
        <v>1000</v>
      </c>
      <c r="D1394" s="464">
        <v>1000</v>
      </c>
      <c r="E1394" s="464">
        <v>6</v>
      </c>
      <c r="F1394" s="464">
        <f t="shared" si="148"/>
        <v>6</v>
      </c>
      <c r="G1394" s="472">
        <f t="shared" si="144"/>
        <v>6</v>
      </c>
      <c r="H1394" s="808"/>
      <c r="I1394" s="809"/>
      <c r="J1394" s="809"/>
      <c r="K1394" s="810"/>
      <c r="L1394" s="798"/>
      <c r="M1394" s="20"/>
      <c r="N1394" s="20"/>
      <c r="O1394" s="20"/>
      <c r="P1394" s="20"/>
      <c r="Q1394" s="21"/>
      <c r="R1394" s="22"/>
      <c r="S1394" s="22"/>
      <c r="T1394" s="20"/>
      <c r="U1394" s="20"/>
      <c r="V1394" s="20"/>
    </row>
    <row r="1395" spans="1:22" ht="12.75" customHeight="1" thickBot="1">
      <c r="A1395" s="463" t="str">
        <f t="shared" si="139"/>
        <v>H1000x1000x10</v>
      </c>
      <c r="B1395" s="464" t="s">
        <v>1977</v>
      </c>
      <c r="C1395" s="464">
        <v>1000</v>
      </c>
      <c r="D1395" s="464">
        <v>1000</v>
      </c>
      <c r="E1395" s="464">
        <v>10</v>
      </c>
      <c r="F1395" s="464">
        <f t="shared" si="148"/>
        <v>10</v>
      </c>
      <c r="G1395" s="472">
        <f t="shared" si="144"/>
        <v>10</v>
      </c>
      <c r="H1395" s="811"/>
      <c r="I1395" s="812"/>
      <c r="J1395" s="812"/>
      <c r="K1395" s="813"/>
      <c r="L1395" s="798"/>
      <c r="M1395" s="20"/>
      <c r="N1395" s="20"/>
      <c r="O1395" s="20"/>
      <c r="P1395" s="20"/>
      <c r="Q1395" s="21"/>
      <c r="R1395" s="22"/>
      <c r="S1395" s="22"/>
      <c r="T1395" s="20"/>
      <c r="U1395" s="20"/>
      <c r="V1395" s="20"/>
    </row>
    <row r="1396" spans="1:22" ht="12.75" customHeight="1">
      <c r="A1396" s="465" t="str">
        <f t="shared" si="139"/>
        <v>H1220x1070x6</v>
      </c>
      <c r="B1396" s="466" t="s">
        <v>1977</v>
      </c>
      <c r="C1396" s="466">
        <v>1220</v>
      </c>
      <c r="D1396" s="466">
        <v>1070</v>
      </c>
      <c r="E1396" s="466">
        <v>6</v>
      </c>
      <c r="F1396" s="466">
        <f t="shared" ref="F1396" si="149">E1396</f>
        <v>6</v>
      </c>
      <c r="G1396" s="472">
        <f t="shared" si="144"/>
        <v>7.8323999999999998</v>
      </c>
      <c r="H1396" s="805" t="s">
        <v>1718</v>
      </c>
      <c r="I1396" s="806"/>
      <c r="J1396" s="806"/>
      <c r="K1396" s="807"/>
      <c r="L1396" s="798"/>
      <c r="M1396" s="20"/>
      <c r="N1396" s="20"/>
      <c r="O1396" s="20"/>
      <c r="P1396" s="20"/>
      <c r="Q1396" s="21"/>
      <c r="R1396" s="22"/>
      <c r="S1396" s="22"/>
      <c r="T1396" s="20"/>
      <c r="U1396" s="20"/>
      <c r="V1396" s="20"/>
    </row>
    <row r="1397" spans="1:22" ht="12.75" customHeight="1">
      <c r="A1397" s="465" t="str">
        <f t="shared" si="139"/>
        <v>H1220x1070x10</v>
      </c>
      <c r="B1397" s="466" t="s">
        <v>1977</v>
      </c>
      <c r="C1397" s="466">
        <v>1220</v>
      </c>
      <c r="D1397" s="466">
        <v>1070</v>
      </c>
      <c r="E1397" s="466">
        <v>10</v>
      </c>
      <c r="F1397" s="466">
        <f t="shared" ref="F1397:F1406" si="150">E1397</f>
        <v>10</v>
      </c>
      <c r="G1397" s="472">
        <f t="shared" si="144"/>
        <v>13.054</v>
      </c>
      <c r="H1397" s="808"/>
      <c r="I1397" s="809"/>
      <c r="J1397" s="809"/>
      <c r="K1397" s="810"/>
      <c r="L1397" s="798"/>
      <c r="M1397" s="20"/>
      <c r="N1397" s="20"/>
      <c r="O1397" s="20"/>
      <c r="P1397" s="20"/>
      <c r="Q1397" s="21"/>
      <c r="R1397" s="22"/>
      <c r="S1397" s="22"/>
      <c r="T1397" s="20"/>
      <c r="U1397" s="20"/>
      <c r="V1397" s="20"/>
    </row>
    <row r="1398" spans="1:22" ht="12.75" customHeight="1">
      <c r="A1398" s="465" t="str">
        <f t="shared" si="139"/>
        <v>H1220x1070x13</v>
      </c>
      <c r="B1398" s="466" t="s">
        <v>1977</v>
      </c>
      <c r="C1398" s="466">
        <v>1220</v>
      </c>
      <c r="D1398" s="466">
        <v>1070</v>
      </c>
      <c r="E1398" s="466">
        <v>13</v>
      </c>
      <c r="F1398" s="466">
        <f t="shared" si="150"/>
        <v>13</v>
      </c>
      <c r="G1398" s="472">
        <f t="shared" si="144"/>
        <v>16.970199999999998</v>
      </c>
      <c r="H1398" s="808"/>
      <c r="I1398" s="809"/>
      <c r="J1398" s="809"/>
      <c r="K1398" s="810"/>
      <c r="L1398" s="798"/>
      <c r="M1398" s="20"/>
      <c r="N1398" s="20"/>
      <c r="O1398" s="20"/>
      <c r="P1398" s="20"/>
      <c r="Q1398" s="21"/>
      <c r="R1398" s="22"/>
      <c r="S1398" s="22"/>
      <c r="T1398" s="20"/>
      <c r="U1398" s="20"/>
      <c r="V1398" s="20"/>
    </row>
    <row r="1399" spans="1:22" ht="12.75" customHeight="1">
      <c r="A1399" s="465" t="str">
        <f t="shared" si="139"/>
        <v>H1220x1070x19</v>
      </c>
      <c r="B1399" s="466" t="s">
        <v>1977</v>
      </c>
      <c r="C1399" s="466">
        <v>1220</v>
      </c>
      <c r="D1399" s="466">
        <v>1070</v>
      </c>
      <c r="E1399" s="466">
        <v>19</v>
      </c>
      <c r="F1399" s="466">
        <f t="shared" si="150"/>
        <v>19</v>
      </c>
      <c r="G1399" s="472">
        <f t="shared" si="144"/>
        <v>24.802599999999998</v>
      </c>
      <c r="H1399" s="808"/>
      <c r="I1399" s="809"/>
      <c r="J1399" s="809"/>
      <c r="K1399" s="810"/>
      <c r="L1399" s="798"/>
      <c r="M1399" s="20"/>
      <c r="N1399" s="20"/>
      <c r="O1399" s="20"/>
      <c r="P1399" s="20"/>
      <c r="Q1399" s="21"/>
      <c r="R1399" s="22"/>
      <c r="S1399" s="22"/>
      <c r="T1399" s="20"/>
      <c r="U1399" s="20"/>
      <c r="V1399" s="20"/>
    </row>
    <row r="1400" spans="1:22" ht="12.75" customHeight="1" thickBot="1">
      <c r="A1400" s="465" t="str">
        <f t="shared" si="139"/>
        <v>H1220x1070x25</v>
      </c>
      <c r="B1400" s="466" t="s">
        <v>1977</v>
      </c>
      <c r="C1400" s="466">
        <v>1220</v>
      </c>
      <c r="D1400" s="466">
        <v>1070</v>
      </c>
      <c r="E1400" s="466">
        <v>25</v>
      </c>
      <c r="F1400" s="466">
        <f t="shared" si="150"/>
        <v>25</v>
      </c>
      <c r="G1400" s="472">
        <f t="shared" si="144"/>
        <v>32.634999999999998</v>
      </c>
      <c r="H1400" s="811"/>
      <c r="I1400" s="812"/>
      <c r="J1400" s="812"/>
      <c r="K1400" s="813"/>
      <c r="L1400" s="798"/>
      <c r="M1400" s="20"/>
      <c r="N1400" s="20"/>
      <c r="O1400" s="20"/>
      <c r="P1400" s="20"/>
      <c r="Q1400" s="21"/>
      <c r="R1400" s="22"/>
      <c r="S1400" s="22"/>
      <c r="T1400" s="20"/>
      <c r="U1400" s="20"/>
      <c r="V1400" s="20"/>
    </row>
    <row r="1401" spans="1:22" ht="12.75" customHeight="1">
      <c r="A1401" s="467" t="str">
        <f t="shared" si="139"/>
        <v>H1220x610x13</v>
      </c>
      <c r="B1401" s="468" t="s">
        <v>1977</v>
      </c>
      <c r="C1401" s="468">
        <v>1220</v>
      </c>
      <c r="D1401" s="468">
        <v>610</v>
      </c>
      <c r="E1401" s="468">
        <v>13</v>
      </c>
      <c r="F1401" s="468">
        <f t="shared" si="150"/>
        <v>13</v>
      </c>
      <c r="G1401" s="472">
        <f t="shared" si="144"/>
        <v>9.6745999999999999</v>
      </c>
      <c r="H1401" s="799" t="s">
        <v>1713</v>
      </c>
      <c r="I1401" s="800"/>
      <c r="J1401" s="800"/>
      <c r="K1401" s="801"/>
      <c r="L1401" s="798"/>
      <c r="M1401" s="20"/>
      <c r="N1401" s="20"/>
      <c r="O1401" s="20"/>
      <c r="P1401" s="20"/>
      <c r="Q1401" s="21"/>
      <c r="R1401" s="22" t="s">
        <v>16</v>
      </c>
      <c r="S1401" s="22" t="s">
        <v>16</v>
      </c>
      <c r="T1401" s="20"/>
      <c r="U1401" s="20"/>
      <c r="V1401" s="20"/>
    </row>
    <row r="1402" spans="1:22" ht="12.75" customHeight="1">
      <c r="A1402" s="467" t="str">
        <f t="shared" si="139"/>
        <v>H1220x610x25</v>
      </c>
      <c r="B1402" s="468" t="s">
        <v>1977</v>
      </c>
      <c r="C1402" s="468">
        <v>1220</v>
      </c>
      <c r="D1402" s="468">
        <v>610</v>
      </c>
      <c r="E1402" s="468">
        <v>25</v>
      </c>
      <c r="F1402" s="468">
        <f t="shared" si="150"/>
        <v>25</v>
      </c>
      <c r="G1402" s="472">
        <f t="shared" si="144"/>
        <v>18.605</v>
      </c>
      <c r="H1402" s="802"/>
      <c r="I1402" s="803"/>
      <c r="J1402" s="803"/>
      <c r="K1402" s="804"/>
      <c r="L1402" s="798"/>
      <c r="M1402" s="20"/>
      <c r="N1402" s="20"/>
      <c r="O1402" s="20"/>
      <c r="P1402" s="20"/>
      <c r="Q1402" s="21"/>
      <c r="R1402" s="22" t="s">
        <v>16</v>
      </c>
      <c r="S1402" s="22" t="s">
        <v>16</v>
      </c>
      <c r="T1402" s="20"/>
      <c r="U1402" s="20"/>
      <c r="V1402" s="20"/>
    </row>
    <row r="1403" spans="1:22" ht="12.75" customHeight="1">
      <c r="A1403" s="467" t="str">
        <f t="shared" si="139"/>
        <v>H1220x610x38</v>
      </c>
      <c r="B1403" s="468" t="s">
        <v>1977</v>
      </c>
      <c r="C1403" s="468">
        <v>1220</v>
      </c>
      <c r="D1403" s="468">
        <v>610</v>
      </c>
      <c r="E1403" s="468">
        <v>38</v>
      </c>
      <c r="F1403" s="468">
        <f t="shared" si="150"/>
        <v>38</v>
      </c>
      <c r="G1403" s="472">
        <f t="shared" si="144"/>
        <v>28.279599999999999</v>
      </c>
      <c r="H1403" s="802"/>
      <c r="I1403" s="803"/>
      <c r="J1403" s="803"/>
      <c r="K1403" s="804"/>
      <c r="L1403" s="798"/>
      <c r="M1403" s="20"/>
      <c r="N1403" s="20"/>
      <c r="O1403" s="20"/>
      <c r="P1403" s="20"/>
      <c r="Q1403" s="21"/>
      <c r="R1403" s="22" t="s">
        <v>16</v>
      </c>
      <c r="S1403" s="22" t="s">
        <v>16</v>
      </c>
      <c r="T1403" s="20"/>
      <c r="U1403" s="20"/>
      <c r="V1403" s="20"/>
    </row>
    <row r="1404" spans="1:22" ht="12.75" customHeight="1">
      <c r="A1404" s="467" t="str">
        <f t="shared" si="139"/>
        <v>H1220x610x50</v>
      </c>
      <c r="B1404" s="468" t="s">
        <v>1977</v>
      </c>
      <c r="C1404" s="468">
        <v>1220</v>
      </c>
      <c r="D1404" s="468">
        <v>610</v>
      </c>
      <c r="E1404" s="468">
        <v>50</v>
      </c>
      <c r="F1404" s="468">
        <f t="shared" si="150"/>
        <v>50</v>
      </c>
      <c r="G1404" s="472">
        <f t="shared" si="144"/>
        <v>37.21</v>
      </c>
      <c r="H1404" s="802"/>
      <c r="I1404" s="803"/>
      <c r="J1404" s="803"/>
      <c r="K1404" s="804"/>
      <c r="L1404" s="798"/>
      <c r="M1404" s="20"/>
      <c r="N1404" s="20"/>
      <c r="O1404" s="20"/>
      <c r="P1404" s="20"/>
      <c r="Q1404" s="21"/>
      <c r="R1404" s="22" t="s">
        <v>16</v>
      </c>
      <c r="S1404" s="22" t="s">
        <v>16</v>
      </c>
      <c r="T1404" s="20"/>
      <c r="U1404" s="20"/>
      <c r="V1404" s="20"/>
    </row>
    <row r="1405" spans="1:22" ht="12.75" customHeight="1">
      <c r="A1405" s="467" t="str">
        <f t="shared" si="139"/>
        <v>H1220x610x51</v>
      </c>
      <c r="B1405" s="468" t="s">
        <v>1977</v>
      </c>
      <c r="C1405" s="468">
        <v>1220</v>
      </c>
      <c r="D1405" s="468">
        <v>610</v>
      </c>
      <c r="E1405" s="468">
        <v>51</v>
      </c>
      <c r="F1405" s="468">
        <f t="shared" si="150"/>
        <v>51</v>
      </c>
      <c r="G1405" s="472">
        <f t="shared" si="144"/>
        <v>37.9542</v>
      </c>
      <c r="H1405" s="802"/>
      <c r="I1405" s="803"/>
      <c r="J1405" s="803"/>
      <c r="K1405" s="804"/>
      <c r="L1405" s="798"/>
      <c r="M1405" s="20"/>
      <c r="N1405" s="20"/>
      <c r="O1405" s="20"/>
      <c r="P1405" s="20"/>
      <c r="Q1405" s="21"/>
      <c r="R1405" s="22" t="s">
        <v>16</v>
      </c>
      <c r="S1405" s="22" t="s">
        <v>16</v>
      </c>
      <c r="T1405" s="20"/>
      <c r="U1405" s="20"/>
      <c r="V1405" s="20"/>
    </row>
    <row r="1406" spans="1:22" ht="13.5" customHeight="1">
      <c r="A1406" s="467" t="str">
        <f t="shared" si="139"/>
        <v>H1220x610x76</v>
      </c>
      <c r="B1406" s="468" t="s">
        <v>1977</v>
      </c>
      <c r="C1406" s="468">
        <v>1220</v>
      </c>
      <c r="D1406" s="468">
        <v>610</v>
      </c>
      <c r="E1406" s="468">
        <v>76</v>
      </c>
      <c r="F1406" s="468">
        <f t="shared" si="150"/>
        <v>76</v>
      </c>
      <c r="G1406" s="472">
        <f t="shared" si="144"/>
        <v>56.559199999999997</v>
      </c>
      <c r="H1406" s="802"/>
      <c r="I1406" s="803"/>
      <c r="J1406" s="803"/>
      <c r="K1406" s="804"/>
      <c r="L1406" s="798"/>
      <c r="M1406" s="20"/>
      <c r="N1406" s="20"/>
      <c r="O1406" s="20"/>
      <c r="P1406" s="20"/>
      <c r="Q1406" s="21"/>
      <c r="R1406" s="22" t="s">
        <v>16</v>
      </c>
      <c r="S1406" s="22" t="s">
        <v>16</v>
      </c>
      <c r="T1406" s="20"/>
      <c r="U1406" s="20"/>
      <c r="V1406" s="20"/>
    </row>
    <row r="1407" spans="1:22" ht="13.8" thickBot="1">
      <c r="A1407" s="467" t="str">
        <f t="shared" si="139"/>
        <v>H1220x610x100</v>
      </c>
      <c r="B1407" s="468" t="s">
        <v>1977</v>
      </c>
      <c r="C1407" s="468">
        <v>1220</v>
      </c>
      <c r="D1407" s="468">
        <v>610</v>
      </c>
      <c r="E1407" s="468">
        <v>100</v>
      </c>
      <c r="F1407" s="468">
        <f>E1407</f>
        <v>100</v>
      </c>
      <c r="G1407" s="472">
        <f t="shared" ref="G1407:G1416" si="151">(C1407*D1407*E1407)*10^-6</f>
        <v>74.42</v>
      </c>
      <c r="H1407" s="820"/>
      <c r="I1407" s="821"/>
      <c r="J1407" s="821"/>
      <c r="K1407" s="822"/>
      <c r="L1407" s="798"/>
      <c r="M1407" s="20"/>
      <c r="N1407" s="20"/>
      <c r="O1407" s="20"/>
      <c r="P1407" s="20"/>
      <c r="Q1407" s="21"/>
      <c r="R1407" s="22" t="s">
        <v>16</v>
      </c>
      <c r="S1407" s="22" t="s">
        <v>16</v>
      </c>
      <c r="T1407" s="20"/>
      <c r="U1407" s="20"/>
      <c r="V1407" s="20"/>
    </row>
    <row r="1408" spans="1:22" ht="12.75" customHeight="1">
      <c r="A1408" s="469" t="str">
        <f t="shared" ref="A1408:A1416" si="152">IF(OR(B1408="PA",B1408="H"),B1408&amp;""&amp;C1408&amp;"x"&amp;D1408&amp;"x"&amp;E1408,IF(OR(B1408="A1",B1408="A2",B1408="A3",B1408="AE",B1408="A2/3",B1408="A3/4",B1408="C1",B1408="C2",B1408="C3",B1408="CE",B1408="C2/3",B1408="C3/4"),B1408&amp;"-"&amp;C1408&amp;"x"&amp;D1408&amp;"x"&amp;E1408&amp;"-"&amp;F1408,B1408&amp;"-"&amp;C1408&amp;"x"&amp;D1408&amp;"-"&amp;E1408&amp;"x"&amp;F1408))</f>
        <v>H1250x1000x5</v>
      </c>
      <c r="B1408" s="470" t="s">
        <v>1977</v>
      </c>
      <c r="C1408" s="470">
        <v>1250</v>
      </c>
      <c r="D1408" s="470">
        <v>1000</v>
      </c>
      <c r="E1408" s="470">
        <v>5</v>
      </c>
      <c r="F1408" s="470">
        <f t="shared" si="148"/>
        <v>5</v>
      </c>
      <c r="G1408" s="472">
        <f t="shared" si="151"/>
        <v>6.25</v>
      </c>
      <c r="H1408" s="814" t="s">
        <v>667</v>
      </c>
      <c r="I1408" s="815"/>
      <c r="J1408" s="815"/>
      <c r="K1408" s="816"/>
      <c r="L1408" s="798"/>
      <c r="M1408" s="20"/>
      <c r="N1408" s="20"/>
      <c r="O1408" s="20"/>
      <c r="P1408" s="20"/>
      <c r="Q1408" s="21"/>
      <c r="R1408" s="22"/>
      <c r="S1408" s="22"/>
      <c r="T1408" s="20"/>
      <c r="U1408" s="20"/>
      <c r="V1408" s="20"/>
    </row>
    <row r="1409" spans="1:22" ht="12.75" customHeight="1" thickBot="1">
      <c r="A1409" s="469" t="str">
        <f t="shared" si="152"/>
        <v>H1250x1000x10</v>
      </c>
      <c r="B1409" s="470" t="s">
        <v>1977</v>
      </c>
      <c r="C1409" s="470">
        <v>1250</v>
      </c>
      <c r="D1409" s="470">
        <v>1000</v>
      </c>
      <c r="E1409" s="470">
        <v>10</v>
      </c>
      <c r="F1409" s="470">
        <f t="shared" si="148"/>
        <v>10</v>
      </c>
      <c r="G1409" s="472">
        <f t="shared" si="151"/>
        <v>12.5</v>
      </c>
      <c r="H1409" s="817"/>
      <c r="I1409" s="818"/>
      <c r="J1409" s="818"/>
      <c r="K1409" s="819"/>
      <c r="L1409" s="798"/>
      <c r="M1409" s="20"/>
      <c r="N1409" s="20"/>
      <c r="O1409" s="20"/>
      <c r="P1409" s="20"/>
      <c r="Q1409" s="21"/>
      <c r="R1409" s="22"/>
      <c r="S1409" s="22"/>
      <c r="T1409" s="20"/>
      <c r="U1409" s="20"/>
      <c r="V1409" s="20"/>
    </row>
    <row r="1410" spans="1:22" ht="12.75" customHeight="1">
      <c r="A1410" s="456" t="str">
        <f t="shared" si="152"/>
        <v>Hxx</v>
      </c>
      <c r="B1410" s="457" t="s">
        <v>1977</v>
      </c>
      <c r="C1410" s="458"/>
      <c r="D1410" s="458"/>
      <c r="E1410" s="458"/>
      <c r="F1410" s="457">
        <f t="shared" si="148"/>
        <v>0</v>
      </c>
      <c r="G1410" s="472">
        <f t="shared" si="151"/>
        <v>0</v>
      </c>
      <c r="H1410" s="799" t="s">
        <v>1720</v>
      </c>
      <c r="I1410" s="800"/>
      <c r="J1410" s="800"/>
      <c r="K1410" s="801"/>
      <c r="L1410" s="798"/>
      <c r="M1410" s="20"/>
      <c r="N1410" s="20"/>
      <c r="O1410" s="20"/>
      <c r="P1410" s="20"/>
      <c r="Q1410" s="21"/>
      <c r="R1410" s="22" t="s">
        <v>16</v>
      </c>
      <c r="S1410" s="22" t="s">
        <v>16</v>
      </c>
      <c r="T1410" s="20"/>
      <c r="U1410" s="20"/>
      <c r="V1410" s="20"/>
    </row>
    <row r="1411" spans="1:22" ht="12.75" customHeight="1">
      <c r="A1411" s="456" t="str">
        <f t="shared" si="152"/>
        <v>Hxx</v>
      </c>
      <c r="B1411" s="457" t="s">
        <v>1977</v>
      </c>
      <c r="C1411" s="458"/>
      <c r="D1411" s="458"/>
      <c r="E1411" s="458"/>
      <c r="F1411" s="457">
        <f t="shared" si="148"/>
        <v>0</v>
      </c>
      <c r="G1411" s="472">
        <f t="shared" si="151"/>
        <v>0</v>
      </c>
      <c r="H1411" s="802"/>
      <c r="I1411" s="803"/>
      <c r="J1411" s="803"/>
      <c r="K1411" s="804"/>
      <c r="L1411" s="798"/>
      <c r="M1411" s="20"/>
      <c r="N1411" s="20"/>
      <c r="O1411" s="20"/>
      <c r="P1411" s="20"/>
      <c r="Q1411" s="21"/>
      <c r="R1411" s="22" t="s">
        <v>16</v>
      </c>
      <c r="S1411" s="22" t="s">
        <v>16</v>
      </c>
      <c r="T1411" s="20"/>
      <c r="U1411" s="20"/>
      <c r="V1411" s="20"/>
    </row>
    <row r="1412" spans="1:22" ht="12.75" customHeight="1">
      <c r="A1412" s="456" t="str">
        <f t="shared" si="152"/>
        <v>Hxx</v>
      </c>
      <c r="B1412" s="457" t="s">
        <v>1977</v>
      </c>
      <c r="C1412" s="458"/>
      <c r="D1412" s="458"/>
      <c r="E1412" s="458"/>
      <c r="F1412" s="457">
        <f t="shared" si="148"/>
        <v>0</v>
      </c>
      <c r="G1412" s="472">
        <f t="shared" si="151"/>
        <v>0</v>
      </c>
      <c r="H1412" s="802"/>
      <c r="I1412" s="803"/>
      <c r="J1412" s="803"/>
      <c r="K1412" s="804"/>
      <c r="L1412" s="798"/>
      <c r="M1412" s="20"/>
      <c r="N1412" s="20"/>
      <c r="O1412" s="20"/>
      <c r="P1412" s="20"/>
      <c r="Q1412" s="21"/>
      <c r="R1412" s="22" t="s">
        <v>16</v>
      </c>
      <c r="S1412" s="22" t="s">
        <v>16</v>
      </c>
      <c r="T1412" s="20"/>
      <c r="U1412" s="20"/>
      <c r="V1412" s="20"/>
    </row>
    <row r="1413" spans="1:22" ht="12.75" customHeight="1">
      <c r="A1413" s="456" t="str">
        <f t="shared" si="152"/>
        <v>Hxx</v>
      </c>
      <c r="B1413" s="457" t="s">
        <v>1977</v>
      </c>
      <c r="C1413" s="458"/>
      <c r="D1413" s="458"/>
      <c r="E1413" s="458"/>
      <c r="F1413" s="457">
        <f t="shared" si="148"/>
        <v>0</v>
      </c>
      <c r="G1413" s="472">
        <f t="shared" si="151"/>
        <v>0</v>
      </c>
      <c r="H1413" s="802"/>
      <c r="I1413" s="803"/>
      <c r="J1413" s="803"/>
      <c r="K1413" s="804"/>
      <c r="L1413" s="798"/>
      <c r="M1413" s="20"/>
      <c r="N1413" s="20"/>
      <c r="O1413" s="20"/>
      <c r="P1413" s="20"/>
      <c r="Q1413" s="21"/>
      <c r="R1413" s="22" t="s">
        <v>16</v>
      </c>
      <c r="S1413" s="22" t="s">
        <v>16</v>
      </c>
      <c r="T1413" s="20"/>
      <c r="U1413" s="20"/>
      <c r="V1413" s="20"/>
    </row>
    <row r="1414" spans="1:22" ht="12.75" customHeight="1">
      <c r="A1414" s="456" t="str">
        <f t="shared" si="152"/>
        <v>Hxx</v>
      </c>
      <c r="B1414" s="457" t="s">
        <v>1977</v>
      </c>
      <c r="C1414" s="458"/>
      <c r="D1414" s="458"/>
      <c r="E1414" s="458"/>
      <c r="F1414" s="457">
        <f t="shared" si="148"/>
        <v>0</v>
      </c>
      <c r="G1414" s="472">
        <f t="shared" si="151"/>
        <v>0</v>
      </c>
      <c r="H1414" s="802"/>
      <c r="I1414" s="803"/>
      <c r="J1414" s="803"/>
      <c r="K1414" s="804"/>
      <c r="L1414" s="798"/>
      <c r="M1414" s="20"/>
      <c r="N1414" s="20"/>
      <c r="O1414" s="20"/>
      <c r="P1414" s="20"/>
      <c r="Q1414" s="21"/>
      <c r="R1414" s="22" t="s">
        <v>16</v>
      </c>
      <c r="S1414" s="22" t="s">
        <v>16</v>
      </c>
      <c r="T1414" s="20"/>
      <c r="U1414" s="20"/>
      <c r="V1414" s="20"/>
    </row>
    <row r="1415" spans="1:22" ht="13.5" customHeight="1">
      <c r="A1415" s="456" t="str">
        <f t="shared" si="152"/>
        <v>Hxx</v>
      </c>
      <c r="B1415" s="457" t="s">
        <v>1977</v>
      </c>
      <c r="C1415" s="458"/>
      <c r="D1415" s="458"/>
      <c r="E1415" s="458"/>
      <c r="F1415" s="457">
        <f t="shared" si="148"/>
        <v>0</v>
      </c>
      <c r="G1415" s="472">
        <f t="shared" si="151"/>
        <v>0</v>
      </c>
      <c r="H1415" s="802"/>
      <c r="I1415" s="803"/>
      <c r="J1415" s="803"/>
      <c r="K1415" s="804"/>
      <c r="L1415" s="798"/>
      <c r="M1415" s="20"/>
      <c r="N1415" s="20"/>
      <c r="O1415" s="20"/>
      <c r="P1415" s="20"/>
      <c r="Q1415" s="21"/>
      <c r="R1415" s="22" t="s">
        <v>16</v>
      </c>
      <c r="S1415" s="22" t="s">
        <v>16</v>
      </c>
      <c r="T1415" s="20"/>
      <c r="U1415" s="20"/>
      <c r="V1415" s="20"/>
    </row>
    <row r="1416" spans="1:22" ht="13.8" thickBot="1">
      <c r="A1416" s="456" t="str">
        <f t="shared" si="152"/>
        <v>Hxx</v>
      </c>
      <c r="B1416" s="457" t="s">
        <v>1977</v>
      </c>
      <c r="C1416" s="458"/>
      <c r="D1416" s="458"/>
      <c r="E1416" s="458"/>
      <c r="F1416" s="457">
        <f>E1416</f>
        <v>0</v>
      </c>
      <c r="G1416" s="473">
        <f t="shared" si="151"/>
        <v>0</v>
      </c>
      <c r="H1416" s="820"/>
      <c r="I1416" s="821"/>
      <c r="J1416" s="821"/>
      <c r="K1416" s="822"/>
      <c r="L1416" s="798"/>
      <c r="M1416" s="20"/>
      <c r="N1416" s="20"/>
      <c r="O1416" s="20"/>
      <c r="P1416" s="20"/>
      <c r="Q1416" s="21"/>
      <c r="R1416" s="22" t="s">
        <v>16</v>
      </c>
      <c r="S1416" s="22" t="s">
        <v>16</v>
      </c>
      <c r="T1416" s="20"/>
      <c r="U1416" s="20"/>
      <c r="V1416" s="20"/>
    </row>
    <row r="1417" spans="1:22" ht="25.2" thickBot="1">
      <c r="A1417" s="61" t="s">
        <v>1730</v>
      </c>
      <c r="B1417" s="69"/>
      <c r="C1417" s="70"/>
      <c r="D1417" s="70"/>
      <c r="E1417" s="70"/>
      <c r="F1417" s="70"/>
      <c r="G1417" s="101"/>
      <c r="H1417" s="70"/>
      <c r="I1417" s="70"/>
      <c r="J1417" s="70"/>
      <c r="K1417" s="70"/>
      <c r="L1417" s="90"/>
      <c r="M1417" s="20"/>
      <c r="N1417" s="20"/>
      <c r="O1417" s="20"/>
      <c r="P1417" s="20"/>
      <c r="Q1417" s="21"/>
      <c r="R1417" s="22"/>
      <c r="S1417" s="22"/>
      <c r="T1417" s="20"/>
      <c r="U1417" s="22"/>
      <c r="V1417" s="20"/>
    </row>
    <row r="1418" spans="1:22" ht="12.75" customHeight="1">
      <c r="A1418" s="754" t="s">
        <v>12977</v>
      </c>
      <c r="B1418" s="453" t="s">
        <v>1733</v>
      </c>
      <c r="C1418" s="453">
        <v>80000</v>
      </c>
      <c r="D1418" s="453">
        <v>500</v>
      </c>
      <c r="E1418" s="453">
        <v>0.5</v>
      </c>
      <c r="F1418" s="453">
        <v>8</v>
      </c>
      <c r="G1418" s="471">
        <f t="shared" ref="G1418:G1435" si="153">(C1418*D1418*E1418)*10^-6</f>
        <v>20</v>
      </c>
      <c r="H1418" s="799" t="s">
        <v>1721</v>
      </c>
      <c r="I1418" s="800"/>
      <c r="J1418" s="800"/>
      <c r="K1418" s="801"/>
      <c r="L1418" s="798"/>
      <c r="M1418" s="20"/>
      <c r="N1418" s="20"/>
      <c r="O1418" s="20"/>
      <c r="P1418" s="20"/>
      <c r="Q1418" s="21"/>
      <c r="R1418" s="22" t="s">
        <v>16</v>
      </c>
      <c r="S1418" s="22" t="s">
        <v>16</v>
      </c>
      <c r="T1418" s="20"/>
      <c r="U1418" s="20"/>
      <c r="V1418" s="20"/>
    </row>
    <row r="1419" spans="1:22" ht="12.75" customHeight="1">
      <c r="A1419" s="754" t="s">
        <v>12978</v>
      </c>
      <c r="B1419" s="453" t="s">
        <v>1733</v>
      </c>
      <c r="C1419" s="453">
        <v>40000</v>
      </c>
      <c r="D1419" s="453">
        <v>500</v>
      </c>
      <c r="E1419" s="453">
        <v>0.5</v>
      </c>
      <c r="F1419" s="453">
        <v>10</v>
      </c>
      <c r="G1419" s="472">
        <f t="shared" si="153"/>
        <v>10</v>
      </c>
      <c r="H1419" s="802"/>
      <c r="I1419" s="803"/>
      <c r="J1419" s="803"/>
      <c r="K1419" s="804"/>
      <c r="L1419" s="798"/>
      <c r="M1419" s="20"/>
      <c r="N1419" s="20"/>
      <c r="O1419" s="20"/>
      <c r="P1419" s="20"/>
      <c r="Q1419" s="21"/>
      <c r="R1419" s="22" t="s">
        <v>16</v>
      </c>
      <c r="S1419" s="22" t="s">
        <v>16</v>
      </c>
      <c r="T1419" s="20"/>
      <c r="U1419" s="20"/>
      <c r="V1419" s="20"/>
    </row>
    <row r="1420" spans="1:22" ht="12.75" customHeight="1">
      <c r="A1420" s="754" t="s">
        <v>12979</v>
      </c>
      <c r="B1420" s="453" t="s">
        <v>1733</v>
      </c>
      <c r="C1420" s="453">
        <v>20000</v>
      </c>
      <c r="D1420" s="453">
        <v>500</v>
      </c>
      <c r="E1420" s="453">
        <v>1</v>
      </c>
      <c r="F1420" s="453">
        <v>12</v>
      </c>
      <c r="G1420" s="472">
        <f t="shared" si="153"/>
        <v>10</v>
      </c>
      <c r="H1420" s="802"/>
      <c r="I1420" s="803"/>
      <c r="J1420" s="803"/>
      <c r="K1420" s="804"/>
      <c r="L1420" s="798"/>
      <c r="M1420" s="20"/>
      <c r="N1420" s="20"/>
      <c r="O1420" s="20"/>
      <c r="P1420" s="20"/>
      <c r="Q1420" s="21"/>
      <c r="R1420" s="22" t="s">
        <v>16</v>
      </c>
      <c r="S1420" s="22" t="s">
        <v>16</v>
      </c>
      <c r="T1420" s="20"/>
      <c r="U1420" s="20"/>
      <c r="V1420" s="20"/>
    </row>
    <row r="1421" spans="1:22" ht="12.75" customHeight="1">
      <c r="A1421" s="754" t="s">
        <v>12980</v>
      </c>
      <c r="B1421" s="453" t="s">
        <v>1733</v>
      </c>
      <c r="C1421" s="453">
        <v>30000</v>
      </c>
      <c r="D1421" s="453">
        <v>500</v>
      </c>
      <c r="E1421" s="453">
        <v>1</v>
      </c>
      <c r="F1421" s="453">
        <f>E1421</f>
        <v>1</v>
      </c>
      <c r="G1421" s="472">
        <f t="shared" si="153"/>
        <v>15</v>
      </c>
      <c r="H1421" s="802"/>
      <c r="I1421" s="803"/>
      <c r="J1421" s="803"/>
      <c r="K1421" s="804"/>
      <c r="L1421" s="798"/>
      <c r="M1421" s="20"/>
      <c r="N1421" s="20"/>
      <c r="O1421" s="20"/>
      <c r="P1421" s="20"/>
      <c r="Q1421" s="21"/>
      <c r="R1421" s="22" t="s">
        <v>16</v>
      </c>
      <c r="S1421" s="22" t="s">
        <v>16</v>
      </c>
      <c r="T1421" s="20"/>
      <c r="U1421" s="20"/>
      <c r="V1421" s="20"/>
    </row>
    <row r="1422" spans="1:22" ht="12.75" customHeight="1">
      <c r="A1422" s="754" t="s">
        <v>12981</v>
      </c>
      <c r="B1422" s="453" t="s">
        <v>1733</v>
      </c>
      <c r="C1422" s="453">
        <v>10000</v>
      </c>
      <c r="D1422" s="453">
        <v>500</v>
      </c>
      <c r="E1422" s="453">
        <v>2</v>
      </c>
      <c r="F1422" s="453">
        <f>E1422</f>
        <v>2</v>
      </c>
      <c r="G1422" s="472">
        <f t="shared" si="153"/>
        <v>10</v>
      </c>
      <c r="H1422" s="802"/>
      <c r="I1422" s="803"/>
      <c r="J1422" s="803"/>
      <c r="K1422" s="804"/>
      <c r="L1422" s="798"/>
      <c r="M1422" s="20"/>
      <c r="N1422" s="20"/>
      <c r="O1422" s="20"/>
      <c r="P1422" s="20"/>
      <c r="Q1422" s="21"/>
      <c r="R1422" s="22" t="s">
        <v>16</v>
      </c>
      <c r="S1422" s="22" t="s">
        <v>16</v>
      </c>
      <c r="T1422" s="20"/>
      <c r="U1422" s="20"/>
      <c r="V1422" s="20"/>
    </row>
    <row r="1423" spans="1:22" ht="12.75" customHeight="1">
      <c r="A1423" s="754" t="s">
        <v>12982</v>
      </c>
      <c r="B1423" s="453" t="s">
        <v>1733</v>
      </c>
      <c r="C1423" s="453">
        <v>20000</v>
      </c>
      <c r="D1423" s="453">
        <v>500</v>
      </c>
      <c r="E1423" s="453">
        <v>2</v>
      </c>
      <c r="F1423" s="453">
        <f>E1423</f>
        <v>2</v>
      </c>
      <c r="G1423" s="472">
        <f t="shared" si="153"/>
        <v>20</v>
      </c>
      <c r="H1423" s="802"/>
      <c r="I1423" s="803"/>
      <c r="J1423" s="803"/>
      <c r="K1423" s="804"/>
      <c r="L1423" s="798"/>
      <c r="M1423" s="20"/>
      <c r="N1423" s="20"/>
      <c r="O1423" s="20"/>
      <c r="P1423" s="20"/>
      <c r="Q1423" s="21"/>
      <c r="R1423" s="22" t="s">
        <v>16</v>
      </c>
      <c r="S1423" s="22" t="s">
        <v>16</v>
      </c>
      <c r="T1423" s="20"/>
      <c r="U1423" s="20"/>
      <c r="V1423" s="20"/>
    </row>
    <row r="1424" spans="1:22" ht="12.75" customHeight="1">
      <c r="A1424" s="754" t="s">
        <v>12983</v>
      </c>
      <c r="B1424" s="453" t="s">
        <v>1733</v>
      </c>
      <c r="C1424" s="453">
        <v>10000</v>
      </c>
      <c r="D1424" s="453">
        <v>500</v>
      </c>
      <c r="E1424" s="453">
        <v>3</v>
      </c>
      <c r="F1424" s="453">
        <f>E1424</f>
        <v>3</v>
      </c>
      <c r="G1424" s="472">
        <f t="shared" si="153"/>
        <v>15</v>
      </c>
      <c r="H1424" s="802"/>
      <c r="I1424" s="803"/>
      <c r="J1424" s="803"/>
      <c r="K1424" s="804"/>
      <c r="L1424" s="798"/>
      <c r="M1424" s="20"/>
      <c r="N1424" s="20"/>
      <c r="O1424" s="20"/>
      <c r="P1424" s="20"/>
      <c r="Q1424" s="21"/>
      <c r="R1424" s="22" t="s">
        <v>16</v>
      </c>
      <c r="S1424" s="22" t="s">
        <v>16</v>
      </c>
      <c r="T1424" s="20"/>
      <c r="U1424" s="20"/>
      <c r="V1424" s="20"/>
    </row>
    <row r="1425" spans="1:22" ht="12.75" customHeight="1">
      <c r="A1425" s="754" t="s">
        <v>12984</v>
      </c>
      <c r="B1425" s="453" t="s">
        <v>1733</v>
      </c>
      <c r="C1425" s="453">
        <v>15000</v>
      </c>
      <c r="D1425" s="453">
        <v>500</v>
      </c>
      <c r="E1425" s="453">
        <v>3</v>
      </c>
      <c r="F1425" s="453">
        <f t="shared" ref="F1425:F1429" si="154">E1425</f>
        <v>3</v>
      </c>
      <c r="G1425" s="472">
        <f t="shared" si="153"/>
        <v>22.5</v>
      </c>
      <c r="H1425" s="802"/>
      <c r="I1425" s="803"/>
      <c r="J1425" s="803"/>
      <c r="K1425" s="804"/>
      <c r="L1425" s="798"/>
      <c r="M1425" s="20"/>
      <c r="N1425" s="20"/>
      <c r="O1425" s="20"/>
      <c r="P1425" s="20"/>
      <c r="Q1425" s="21"/>
      <c r="R1425" s="22" t="s">
        <v>16</v>
      </c>
      <c r="S1425" s="22" t="s">
        <v>16</v>
      </c>
      <c r="T1425" s="20"/>
      <c r="U1425" s="20"/>
      <c r="V1425" s="20"/>
    </row>
    <row r="1426" spans="1:22" ht="12.75" customHeight="1">
      <c r="A1426" s="754" t="s">
        <v>12985</v>
      </c>
      <c r="B1426" s="453" t="s">
        <v>1733</v>
      </c>
      <c r="C1426" s="453">
        <v>20000</v>
      </c>
      <c r="D1426" s="453">
        <v>500</v>
      </c>
      <c r="E1426" s="453">
        <v>3</v>
      </c>
      <c r="F1426" s="453">
        <f t="shared" si="154"/>
        <v>3</v>
      </c>
      <c r="G1426" s="472">
        <f t="shared" si="153"/>
        <v>30</v>
      </c>
      <c r="H1426" s="802"/>
      <c r="I1426" s="803"/>
      <c r="J1426" s="803"/>
      <c r="K1426" s="804"/>
      <c r="L1426" s="798"/>
      <c r="M1426" s="20"/>
      <c r="N1426" s="20"/>
      <c r="O1426" s="20"/>
      <c r="P1426" s="20"/>
      <c r="Q1426" s="21"/>
      <c r="R1426" s="22" t="s">
        <v>16</v>
      </c>
      <c r="S1426" s="22" t="s">
        <v>16</v>
      </c>
      <c r="T1426" s="20"/>
      <c r="U1426" s="20"/>
      <c r="V1426" s="20"/>
    </row>
    <row r="1427" spans="1:22" ht="12.75" customHeight="1">
      <c r="A1427" s="754" t="s">
        <v>12986</v>
      </c>
      <c r="B1427" s="453" t="s">
        <v>1733</v>
      </c>
      <c r="C1427" s="453">
        <v>10000</v>
      </c>
      <c r="D1427" s="453">
        <v>500</v>
      </c>
      <c r="E1427" s="453">
        <v>4</v>
      </c>
      <c r="F1427" s="453">
        <f t="shared" si="154"/>
        <v>4</v>
      </c>
      <c r="G1427" s="472">
        <f t="shared" si="153"/>
        <v>20</v>
      </c>
      <c r="H1427" s="802"/>
      <c r="I1427" s="803"/>
      <c r="J1427" s="803"/>
      <c r="K1427" s="804"/>
      <c r="L1427" s="798"/>
      <c r="M1427" s="20"/>
      <c r="N1427" s="20"/>
      <c r="O1427" s="20"/>
      <c r="P1427" s="20"/>
      <c r="Q1427" s="21"/>
      <c r="R1427" s="22" t="s">
        <v>16</v>
      </c>
      <c r="S1427" s="22" t="s">
        <v>16</v>
      </c>
      <c r="T1427" s="20"/>
      <c r="U1427" s="20"/>
      <c r="V1427" s="20"/>
    </row>
    <row r="1428" spans="1:22" ht="12.75" customHeight="1">
      <c r="A1428" s="754" t="s">
        <v>12987</v>
      </c>
      <c r="B1428" s="453" t="s">
        <v>1733</v>
      </c>
      <c r="C1428" s="453">
        <v>10000</v>
      </c>
      <c r="D1428" s="453">
        <v>500</v>
      </c>
      <c r="E1428" s="453">
        <v>5</v>
      </c>
      <c r="F1428" s="453">
        <f t="shared" si="154"/>
        <v>5</v>
      </c>
      <c r="G1428" s="472">
        <f t="shared" si="153"/>
        <v>25</v>
      </c>
      <c r="H1428" s="802"/>
      <c r="I1428" s="803"/>
      <c r="J1428" s="803"/>
      <c r="K1428" s="804"/>
      <c r="L1428" s="798"/>
      <c r="M1428" s="20"/>
      <c r="N1428" s="20"/>
      <c r="O1428" s="20"/>
      <c r="P1428" s="20"/>
      <c r="Q1428" s="21"/>
      <c r="R1428" s="22" t="s">
        <v>16</v>
      </c>
      <c r="S1428" s="22" t="s">
        <v>16</v>
      </c>
      <c r="T1428" s="20"/>
      <c r="U1428" s="20"/>
      <c r="V1428" s="20"/>
    </row>
    <row r="1429" spans="1:22" ht="12.75" customHeight="1" thickBot="1">
      <c r="A1429" s="754" t="s">
        <v>12988</v>
      </c>
      <c r="B1429" s="453" t="s">
        <v>1733</v>
      </c>
      <c r="C1429" s="453">
        <v>10000</v>
      </c>
      <c r="D1429" s="453">
        <v>500</v>
      </c>
      <c r="E1429" s="453">
        <v>6</v>
      </c>
      <c r="F1429" s="453">
        <f t="shared" si="154"/>
        <v>6</v>
      </c>
      <c r="G1429" s="472">
        <f t="shared" si="153"/>
        <v>30</v>
      </c>
      <c r="H1429" s="802"/>
      <c r="I1429" s="803"/>
      <c r="J1429" s="803"/>
      <c r="K1429" s="804"/>
      <c r="L1429" s="798"/>
      <c r="M1429" s="20"/>
      <c r="N1429" s="20"/>
      <c r="O1429" s="20"/>
      <c r="P1429" s="20"/>
      <c r="Q1429" s="21"/>
      <c r="R1429" s="22" t="s">
        <v>16</v>
      </c>
      <c r="S1429" s="22" t="s">
        <v>16</v>
      </c>
      <c r="T1429" s="20"/>
      <c r="U1429" s="20"/>
      <c r="V1429" s="20"/>
    </row>
    <row r="1430" spans="1:22" ht="12.75" customHeight="1">
      <c r="A1430" s="626" t="s">
        <v>12989</v>
      </c>
      <c r="B1430" s="455" t="s">
        <v>1733</v>
      </c>
      <c r="C1430" s="455">
        <v>5500</v>
      </c>
      <c r="D1430" s="455">
        <v>610</v>
      </c>
      <c r="E1430" s="455">
        <v>6</v>
      </c>
      <c r="F1430" s="455">
        <f t="shared" ref="F1430:F1435" si="155">E1430</f>
        <v>6</v>
      </c>
      <c r="G1430" s="472">
        <f t="shared" si="153"/>
        <v>20.13</v>
      </c>
      <c r="H1430" s="805" t="s">
        <v>1734</v>
      </c>
      <c r="I1430" s="806"/>
      <c r="J1430" s="806"/>
      <c r="K1430" s="807"/>
      <c r="L1430" s="798"/>
      <c r="M1430" s="20"/>
      <c r="N1430" s="20"/>
      <c r="O1430" s="20"/>
      <c r="P1430" s="20"/>
      <c r="Q1430" s="21"/>
      <c r="R1430" s="22"/>
      <c r="S1430" s="22"/>
      <c r="T1430" s="20"/>
      <c r="U1430" s="20"/>
      <c r="V1430" s="20"/>
    </row>
    <row r="1431" spans="1:22" ht="12.75" customHeight="1">
      <c r="A1431" s="626" t="s">
        <v>12990</v>
      </c>
      <c r="B1431" s="455" t="s">
        <v>1733</v>
      </c>
      <c r="C1431" s="455">
        <v>14640</v>
      </c>
      <c r="D1431" s="455">
        <v>610</v>
      </c>
      <c r="E1431" s="455">
        <v>13</v>
      </c>
      <c r="F1431" s="455">
        <f t="shared" si="155"/>
        <v>13</v>
      </c>
      <c r="G1431" s="472">
        <f t="shared" si="153"/>
        <v>116.09519999999999</v>
      </c>
      <c r="H1431" s="808"/>
      <c r="I1431" s="809"/>
      <c r="J1431" s="809"/>
      <c r="K1431" s="810"/>
      <c r="L1431" s="798"/>
      <c r="M1431" s="20"/>
      <c r="N1431" s="20"/>
      <c r="O1431" s="20"/>
      <c r="P1431" s="20"/>
      <c r="Q1431" s="21"/>
      <c r="R1431" s="22"/>
      <c r="S1431" s="22"/>
      <c r="T1431" s="20"/>
      <c r="U1431" s="20"/>
      <c r="V1431" s="20"/>
    </row>
    <row r="1432" spans="1:22" ht="12.75" customHeight="1">
      <c r="A1432" s="626" t="s">
        <v>12991</v>
      </c>
      <c r="B1432" s="455" t="s">
        <v>1733</v>
      </c>
      <c r="C1432" s="455">
        <v>9760</v>
      </c>
      <c r="D1432" s="455">
        <v>610</v>
      </c>
      <c r="E1432" s="455">
        <v>19</v>
      </c>
      <c r="F1432" s="455">
        <f t="shared" si="155"/>
        <v>19</v>
      </c>
      <c r="G1432" s="472">
        <f t="shared" si="153"/>
        <v>113.11839999999999</v>
      </c>
      <c r="H1432" s="808"/>
      <c r="I1432" s="809"/>
      <c r="J1432" s="809"/>
      <c r="K1432" s="810"/>
      <c r="L1432" s="798"/>
      <c r="M1432" s="20"/>
      <c r="N1432" s="20"/>
      <c r="O1432" s="20"/>
      <c r="P1432" s="20"/>
      <c r="Q1432" s="21"/>
      <c r="R1432" s="22"/>
      <c r="S1432" s="22"/>
      <c r="T1432" s="20"/>
      <c r="U1432" s="20"/>
      <c r="V1432" s="20"/>
    </row>
    <row r="1433" spans="1:22" ht="12.75" customHeight="1">
      <c r="A1433" s="626" t="s">
        <v>12992</v>
      </c>
      <c r="B1433" s="455" t="s">
        <v>1733</v>
      </c>
      <c r="C1433" s="455">
        <v>7320</v>
      </c>
      <c r="D1433" s="455">
        <v>610</v>
      </c>
      <c r="E1433" s="455">
        <v>25</v>
      </c>
      <c r="F1433" s="455">
        <f t="shared" si="155"/>
        <v>25</v>
      </c>
      <c r="G1433" s="472">
        <f t="shared" si="153"/>
        <v>111.63</v>
      </c>
      <c r="H1433" s="808"/>
      <c r="I1433" s="809"/>
      <c r="J1433" s="809"/>
      <c r="K1433" s="810"/>
      <c r="L1433" s="798"/>
      <c r="M1433" s="20"/>
      <c r="N1433" s="20"/>
      <c r="O1433" s="20"/>
      <c r="P1433" s="20"/>
      <c r="Q1433" s="21"/>
      <c r="R1433" s="22"/>
      <c r="S1433" s="22"/>
      <c r="T1433" s="20"/>
      <c r="U1433" s="20"/>
      <c r="V1433" s="20"/>
    </row>
    <row r="1434" spans="1:22" ht="12.75" customHeight="1">
      <c r="A1434" s="626" t="s">
        <v>12993</v>
      </c>
      <c r="B1434" s="455" t="s">
        <v>1733</v>
      </c>
      <c r="C1434" s="455">
        <v>4880</v>
      </c>
      <c r="D1434" s="455">
        <v>610</v>
      </c>
      <c r="E1434" s="455">
        <v>38</v>
      </c>
      <c r="F1434" s="455">
        <f t="shared" si="155"/>
        <v>38</v>
      </c>
      <c r="G1434" s="472">
        <f t="shared" si="153"/>
        <v>113.11839999999999</v>
      </c>
      <c r="H1434" s="808"/>
      <c r="I1434" s="809"/>
      <c r="J1434" s="809"/>
      <c r="K1434" s="810"/>
      <c r="L1434" s="798"/>
      <c r="M1434" s="20"/>
      <c r="N1434" s="20"/>
      <c r="O1434" s="20"/>
      <c r="P1434" s="20"/>
      <c r="Q1434" s="21"/>
      <c r="R1434" s="22"/>
      <c r="S1434" s="22"/>
      <c r="T1434" s="20"/>
      <c r="U1434" s="20"/>
      <c r="V1434" s="20"/>
    </row>
    <row r="1435" spans="1:22" ht="12.75" customHeight="1" thickBot="1">
      <c r="A1435" s="626" t="s">
        <v>12994</v>
      </c>
      <c r="B1435" s="455" t="s">
        <v>1733</v>
      </c>
      <c r="C1435" s="455">
        <v>3660</v>
      </c>
      <c r="D1435" s="455">
        <v>610</v>
      </c>
      <c r="E1435" s="455">
        <v>50</v>
      </c>
      <c r="F1435" s="455">
        <f t="shared" si="155"/>
        <v>50</v>
      </c>
      <c r="G1435" s="472">
        <f t="shared" si="153"/>
        <v>111.63</v>
      </c>
      <c r="H1435" s="811"/>
      <c r="I1435" s="812"/>
      <c r="J1435" s="812"/>
      <c r="K1435" s="813"/>
      <c r="L1435" s="798"/>
      <c r="M1435" s="20"/>
      <c r="N1435" s="20"/>
      <c r="O1435" s="20"/>
      <c r="P1435" s="20"/>
      <c r="Q1435" s="21"/>
      <c r="R1435" s="22"/>
      <c r="S1435" s="22"/>
      <c r="T1435" s="20"/>
      <c r="U1435" s="20"/>
      <c r="V1435" s="20"/>
    </row>
    <row r="1436" spans="1:22" ht="13.5" customHeight="1">
      <c r="A1436" s="3" t="s">
        <v>1722</v>
      </c>
      <c r="B1436" s="3" t="s">
        <v>16</v>
      </c>
      <c r="C1436" s="3" t="s">
        <v>16</v>
      </c>
      <c r="D1436" s="3" t="s">
        <v>16</v>
      </c>
      <c r="E1436" s="3" t="s">
        <v>16</v>
      </c>
      <c r="F1436" s="3" t="s">
        <v>16</v>
      </c>
      <c r="G1436" s="472">
        <v>1</v>
      </c>
      <c r="H1436" s="799" t="s">
        <v>1729</v>
      </c>
      <c r="I1436" s="800"/>
      <c r="J1436" s="800"/>
      <c r="K1436" s="801"/>
      <c r="L1436" s="798"/>
      <c r="M1436" s="20"/>
      <c r="N1436" s="20"/>
      <c r="O1436" s="20"/>
      <c r="P1436" s="20"/>
      <c r="Q1436" s="21"/>
      <c r="R1436" s="22" t="s">
        <v>16</v>
      </c>
      <c r="S1436" s="22" t="s">
        <v>16</v>
      </c>
      <c r="T1436" s="20"/>
      <c r="U1436" s="20"/>
      <c r="V1436" s="20"/>
    </row>
    <row r="1437" spans="1:22" ht="12.75" customHeight="1">
      <c r="A1437" s="3" t="s">
        <v>1723</v>
      </c>
      <c r="B1437" s="3" t="s">
        <v>16</v>
      </c>
      <c r="C1437" s="3" t="s">
        <v>16</v>
      </c>
      <c r="D1437" s="3" t="s">
        <v>16</v>
      </c>
      <c r="E1437" s="3" t="s">
        <v>16</v>
      </c>
      <c r="F1437" s="3" t="s">
        <v>16</v>
      </c>
      <c r="G1437" s="472">
        <v>2</v>
      </c>
      <c r="H1437" s="802"/>
      <c r="I1437" s="803"/>
      <c r="J1437" s="803"/>
      <c r="K1437" s="804"/>
      <c r="L1437" s="798"/>
      <c r="M1437" s="20"/>
      <c r="N1437" s="20"/>
      <c r="O1437" s="20"/>
      <c r="P1437" s="20"/>
      <c r="Q1437" s="21"/>
      <c r="R1437" s="22" t="s">
        <v>16</v>
      </c>
      <c r="S1437" s="22" t="s">
        <v>16</v>
      </c>
      <c r="T1437" s="20"/>
      <c r="U1437" s="20"/>
      <c r="V1437" s="20"/>
    </row>
    <row r="1438" spans="1:22" ht="12.75" customHeight="1">
      <c r="A1438" s="3" t="s">
        <v>1724</v>
      </c>
      <c r="B1438" s="3" t="s">
        <v>16</v>
      </c>
      <c r="C1438" s="3" t="s">
        <v>16</v>
      </c>
      <c r="D1438" s="3" t="s">
        <v>16</v>
      </c>
      <c r="E1438" s="3" t="s">
        <v>16</v>
      </c>
      <c r="F1438" s="3" t="s">
        <v>16</v>
      </c>
      <c r="G1438" s="472">
        <v>3</v>
      </c>
      <c r="H1438" s="802"/>
      <c r="I1438" s="803"/>
      <c r="J1438" s="803"/>
      <c r="K1438" s="804"/>
      <c r="L1438" s="798"/>
      <c r="M1438" s="20"/>
      <c r="N1438" s="20"/>
      <c r="O1438" s="20"/>
      <c r="P1438" s="20"/>
      <c r="Q1438" s="21"/>
      <c r="R1438" s="22" t="s">
        <v>16</v>
      </c>
      <c r="S1438" s="22" t="s">
        <v>16</v>
      </c>
      <c r="T1438" s="20"/>
      <c r="U1438" s="20"/>
      <c r="V1438" s="20"/>
    </row>
    <row r="1439" spans="1:22" ht="12.75" customHeight="1">
      <c r="A1439" s="3" t="s">
        <v>1725</v>
      </c>
      <c r="B1439" s="3" t="s">
        <v>16</v>
      </c>
      <c r="C1439" s="3" t="s">
        <v>16</v>
      </c>
      <c r="D1439" s="3" t="s">
        <v>16</v>
      </c>
      <c r="E1439" s="3" t="s">
        <v>16</v>
      </c>
      <c r="F1439" s="3" t="s">
        <v>16</v>
      </c>
      <c r="G1439" s="472">
        <v>6</v>
      </c>
      <c r="H1439" s="802"/>
      <c r="I1439" s="803"/>
      <c r="J1439" s="803"/>
      <c r="K1439" s="804"/>
      <c r="L1439" s="798"/>
      <c r="M1439" s="20"/>
      <c r="N1439" s="20"/>
      <c r="O1439" s="20"/>
      <c r="P1439" s="20"/>
      <c r="Q1439" s="21"/>
      <c r="R1439" s="22" t="s">
        <v>16</v>
      </c>
      <c r="S1439" s="22" t="s">
        <v>16</v>
      </c>
      <c r="T1439" s="20"/>
      <c r="U1439" s="20"/>
      <c r="V1439" s="20"/>
    </row>
    <row r="1440" spans="1:22" ht="12.75" customHeight="1">
      <c r="A1440" s="290" t="s">
        <v>1726</v>
      </c>
      <c r="B1440" s="3" t="s">
        <v>16</v>
      </c>
      <c r="C1440" s="3" t="s">
        <v>16</v>
      </c>
      <c r="D1440" s="3" t="s">
        <v>16</v>
      </c>
      <c r="E1440" s="3" t="s">
        <v>16</v>
      </c>
      <c r="F1440" s="3" t="s">
        <v>16</v>
      </c>
      <c r="G1440" s="472">
        <v>13</v>
      </c>
      <c r="H1440" s="802"/>
      <c r="I1440" s="803"/>
      <c r="J1440" s="803"/>
      <c r="K1440" s="804"/>
      <c r="L1440" s="798"/>
      <c r="M1440" s="20"/>
      <c r="N1440" s="20"/>
      <c r="O1440" s="20"/>
      <c r="P1440" s="20"/>
      <c r="Q1440" s="21"/>
      <c r="R1440" s="22" t="s">
        <v>16</v>
      </c>
      <c r="S1440" s="22" t="s">
        <v>16</v>
      </c>
      <c r="T1440" s="20"/>
      <c r="U1440" s="20"/>
      <c r="V1440" s="20"/>
    </row>
    <row r="1441" spans="1:22" ht="12.75" customHeight="1">
      <c r="A1441" s="290" t="s">
        <v>1727</v>
      </c>
      <c r="B1441" s="3" t="s">
        <v>16</v>
      </c>
      <c r="C1441" s="3" t="s">
        <v>16</v>
      </c>
      <c r="D1441" s="3" t="s">
        <v>16</v>
      </c>
      <c r="E1441" s="3" t="s">
        <v>16</v>
      </c>
      <c r="F1441" s="3" t="s">
        <v>16</v>
      </c>
      <c r="G1441" s="472">
        <v>19</v>
      </c>
      <c r="H1441" s="802"/>
      <c r="I1441" s="803"/>
      <c r="J1441" s="803"/>
      <c r="K1441" s="804"/>
      <c r="L1441" s="798"/>
      <c r="M1441" s="20"/>
      <c r="N1441" s="20"/>
      <c r="O1441" s="20"/>
      <c r="P1441" s="20"/>
      <c r="Q1441" s="21"/>
      <c r="R1441" s="22" t="s">
        <v>16</v>
      </c>
      <c r="S1441" s="22" t="s">
        <v>16</v>
      </c>
      <c r="T1441" s="20"/>
      <c r="U1441" s="20"/>
      <c r="V1441" s="20"/>
    </row>
    <row r="1442" spans="1:22" ht="12.75" customHeight="1">
      <c r="A1442" s="290" t="s">
        <v>1728</v>
      </c>
      <c r="B1442" s="3" t="s">
        <v>16</v>
      </c>
      <c r="C1442" s="3" t="s">
        <v>16</v>
      </c>
      <c r="D1442" s="3" t="s">
        <v>16</v>
      </c>
      <c r="E1442" s="3" t="s">
        <v>16</v>
      </c>
      <c r="F1442" s="3" t="s">
        <v>16</v>
      </c>
      <c r="G1442" s="472">
        <v>25</v>
      </c>
      <c r="H1442" s="802"/>
      <c r="I1442" s="803"/>
      <c r="J1442" s="803"/>
      <c r="K1442" s="804"/>
      <c r="L1442" s="798"/>
      <c r="M1442" s="20"/>
      <c r="N1442" s="20"/>
      <c r="O1442" s="20"/>
      <c r="P1442" s="20"/>
      <c r="Q1442" s="21"/>
      <c r="R1442" s="22" t="s">
        <v>16</v>
      </c>
      <c r="S1442" s="22" t="s">
        <v>16</v>
      </c>
      <c r="T1442" s="20"/>
      <c r="U1442" s="20"/>
      <c r="V1442" s="20"/>
    </row>
    <row r="1443" spans="1:22" ht="12.75" customHeight="1">
      <c r="A1443" s="290" t="s">
        <v>1735</v>
      </c>
      <c r="B1443" s="3" t="s">
        <v>16</v>
      </c>
      <c r="C1443" s="3" t="s">
        <v>16</v>
      </c>
      <c r="D1443" s="3" t="s">
        <v>16</v>
      </c>
      <c r="E1443" s="3" t="s">
        <v>16</v>
      </c>
      <c r="F1443" s="3" t="s">
        <v>16</v>
      </c>
      <c r="G1443" s="472">
        <v>38</v>
      </c>
      <c r="H1443" s="802"/>
      <c r="I1443" s="803"/>
      <c r="J1443" s="803"/>
      <c r="K1443" s="804"/>
      <c r="L1443" s="798"/>
      <c r="M1443" s="20"/>
      <c r="N1443" s="20"/>
      <c r="O1443" s="20"/>
      <c r="P1443" s="20"/>
      <c r="Q1443" s="21"/>
      <c r="R1443" s="22" t="s">
        <v>16</v>
      </c>
      <c r="S1443" s="22" t="s">
        <v>16</v>
      </c>
      <c r="T1443" s="20"/>
      <c r="U1443" s="20"/>
      <c r="V1443" s="20"/>
    </row>
    <row r="1444" spans="1:22" ht="12.75" customHeight="1" thickBot="1">
      <c r="A1444" s="290" t="s">
        <v>1736</v>
      </c>
      <c r="B1444" s="3" t="s">
        <v>16</v>
      </c>
      <c r="C1444" s="3" t="s">
        <v>16</v>
      </c>
      <c r="D1444" s="3" t="s">
        <v>16</v>
      </c>
      <c r="E1444" s="3" t="s">
        <v>16</v>
      </c>
      <c r="F1444" s="3" t="s">
        <v>16</v>
      </c>
      <c r="G1444" s="472">
        <v>50</v>
      </c>
      <c r="H1444" s="802"/>
      <c r="I1444" s="803"/>
      <c r="J1444" s="803"/>
      <c r="K1444" s="804"/>
      <c r="L1444" s="798"/>
      <c r="M1444" s="20"/>
      <c r="N1444" s="20"/>
      <c r="O1444" s="20"/>
      <c r="P1444" s="20"/>
      <c r="Q1444" s="21"/>
      <c r="R1444" s="22" t="s">
        <v>16</v>
      </c>
      <c r="S1444" s="22" t="s">
        <v>16</v>
      </c>
      <c r="T1444" s="20"/>
      <c r="U1444" s="20"/>
      <c r="V1444" s="20"/>
    </row>
    <row r="1445" spans="1:22" ht="25.2" thickBot="1">
      <c r="A1445" s="61" t="s">
        <v>650</v>
      </c>
      <c r="B1445" s="91"/>
      <c r="C1445" s="91"/>
      <c r="D1445" s="91"/>
      <c r="E1445" s="91"/>
      <c r="F1445" s="91"/>
      <c r="G1445" s="103"/>
      <c r="H1445" s="92"/>
      <c r="I1445" s="92"/>
      <c r="J1445" s="92"/>
      <c r="K1445" s="92"/>
      <c r="L1445" s="92"/>
      <c r="M1445" s="92"/>
      <c r="N1445" s="92"/>
      <c r="O1445" s="92"/>
      <c r="P1445" s="92"/>
      <c r="Q1445" s="93"/>
      <c r="R1445" s="22"/>
      <c r="S1445" s="22"/>
      <c r="T1445" s="20"/>
      <c r="U1445" s="20"/>
      <c r="V1445" s="20"/>
    </row>
    <row r="1446" spans="1:22">
      <c r="B1446" s="3"/>
      <c r="C1446" s="3"/>
      <c r="D1446" s="3"/>
      <c r="E1446" s="3"/>
      <c r="F1446" s="3"/>
      <c r="G1446" s="21"/>
      <c r="H1446" s="20"/>
      <c r="I1446" s="20"/>
      <c r="J1446" s="20"/>
      <c r="K1446" s="20"/>
      <c r="L1446" s="20"/>
      <c r="M1446" s="20"/>
      <c r="N1446" s="20"/>
      <c r="O1446" s="20"/>
      <c r="P1446" s="20"/>
      <c r="Q1446" s="21"/>
      <c r="R1446" s="22"/>
      <c r="S1446" s="22"/>
      <c r="T1446" s="20"/>
      <c r="U1446" s="20"/>
      <c r="V1446" s="20"/>
    </row>
    <row r="1447" spans="1:22">
      <c r="A1447" s="290" t="s">
        <v>1822</v>
      </c>
      <c r="B1447" s="3" t="s">
        <v>16</v>
      </c>
      <c r="C1447" s="3" t="s">
        <v>16</v>
      </c>
      <c r="D1447" s="3" t="s">
        <v>16</v>
      </c>
      <c r="E1447" s="3" t="s">
        <v>16</v>
      </c>
      <c r="F1447" s="3" t="s">
        <v>16</v>
      </c>
      <c r="G1447" s="21">
        <v>1</v>
      </c>
      <c r="H1447" s="20" t="s">
        <v>16</v>
      </c>
      <c r="I1447" s="20" t="s">
        <v>16</v>
      </c>
      <c r="J1447" s="20" t="s">
        <v>16</v>
      </c>
      <c r="K1447" s="20"/>
      <c r="L1447" s="20"/>
      <c r="M1447" s="20"/>
      <c r="N1447" s="20"/>
      <c r="O1447" s="20"/>
      <c r="P1447" s="20"/>
      <c r="Q1447" s="24"/>
      <c r="R1447" s="22" t="s">
        <v>16</v>
      </c>
      <c r="S1447" s="22" t="s">
        <v>16</v>
      </c>
      <c r="T1447" s="20"/>
      <c r="U1447" s="20"/>
      <c r="V1447" s="20"/>
    </row>
    <row r="1448" spans="1:22" ht="13.8" thickBot="1">
      <c r="B1448" s="3"/>
      <c r="C1448" s="3"/>
      <c r="D1448" s="3"/>
      <c r="E1448" s="3"/>
      <c r="F1448" s="3"/>
      <c r="G1448" s="21"/>
      <c r="H1448" s="20"/>
      <c r="I1448" s="20"/>
      <c r="J1448" s="20"/>
      <c r="K1448" s="20"/>
      <c r="L1448" s="20"/>
      <c r="M1448" s="20"/>
      <c r="N1448" s="20"/>
      <c r="O1448" s="20"/>
      <c r="P1448" s="20"/>
      <c r="Q1448" s="21"/>
      <c r="R1448" s="22"/>
      <c r="S1448" s="22"/>
      <c r="T1448" s="20"/>
      <c r="U1448" s="20"/>
      <c r="V1448" s="20"/>
    </row>
    <row r="1449" spans="1:22" ht="25.2" thickBot="1">
      <c r="A1449" s="61" t="s">
        <v>651</v>
      </c>
      <c r="B1449" s="91"/>
      <c r="C1449" s="91"/>
      <c r="D1449" s="91"/>
      <c r="E1449" s="91"/>
      <c r="F1449" s="91"/>
      <c r="G1449" s="103"/>
      <c r="H1449" s="92"/>
      <c r="I1449" s="92"/>
      <c r="J1449" s="92"/>
      <c r="K1449" s="92"/>
      <c r="L1449" s="96"/>
      <c r="M1449" s="20"/>
      <c r="N1449" s="20"/>
      <c r="O1449" s="20"/>
      <c r="P1449" s="20"/>
      <c r="Q1449" s="24"/>
      <c r="R1449" s="22"/>
      <c r="S1449" s="22"/>
      <c r="T1449" s="20"/>
      <c r="U1449" s="20"/>
      <c r="V1449" s="20"/>
    </row>
    <row r="1450" spans="1:22">
      <c r="A1450" s="3" t="s">
        <v>115</v>
      </c>
      <c r="B1450" s="3" t="s">
        <v>16</v>
      </c>
      <c r="C1450" s="3" t="s">
        <v>16</v>
      </c>
      <c r="D1450" s="3" t="s">
        <v>16</v>
      </c>
      <c r="E1450" s="3" t="s">
        <v>16</v>
      </c>
      <c r="F1450" s="3" t="s">
        <v>16</v>
      </c>
      <c r="G1450" s="21">
        <v>1</v>
      </c>
      <c r="H1450" s="20" t="s">
        <v>16</v>
      </c>
      <c r="I1450" s="20" t="s">
        <v>16</v>
      </c>
      <c r="J1450" s="20" t="s">
        <v>16</v>
      </c>
      <c r="M1450" s="20"/>
      <c r="N1450" s="20"/>
      <c r="O1450" s="20"/>
      <c r="P1450" s="20"/>
      <c r="Q1450" s="24"/>
    </row>
    <row r="1451" spans="1:22" ht="13.8" thickBot="1">
      <c r="A1451" s="3" t="s">
        <v>116</v>
      </c>
      <c r="B1451" s="3" t="s">
        <v>16</v>
      </c>
      <c r="C1451" s="3" t="s">
        <v>16</v>
      </c>
      <c r="D1451" s="3" t="s">
        <v>16</v>
      </c>
      <c r="E1451" s="3" t="s">
        <v>16</v>
      </c>
      <c r="F1451" s="3" t="s">
        <v>16</v>
      </c>
      <c r="G1451" s="21">
        <v>1</v>
      </c>
      <c r="H1451" s="20" t="s">
        <v>16</v>
      </c>
      <c r="I1451" s="20" t="s">
        <v>16</v>
      </c>
      <c r="J1451" s="20" t="s">
        <v>16</v>
      </c>
      <c r="M1451" s="20"/>
      <c r="N1451" s="20"/>
      <c r="O1451" s="20"/>
      <c r="P1451" s="20"/>
      <c r="Q1451" s="24"/>
    </row>
    <row r="1452" spans="1:22" ht="25.2" thickBot="1">
      <c r="A1452" s="61" t="s">
        <v>784</v>
      </c>
      <c r="B1452" s="91"/>
      <c r="C1452" s="91"/>
      <c r="D1452" s="91"/>
      <c r="E1452" s="91"/>
      <c r="F1452" s="91"/>
      <c r="G1452" s="103"/>
      <c r="H1452" s="92"/>
      <c r="I1452" s="92"/>
      <c r="J1452" s="92"/>
      <c r="K1452" s="92"/>
      <c r="L1452" s="96"/>
      <c r="M1452" s="20"/>
      <c r="N1452" s="20"/>
      <c r="O1452" s="20"/>
      <c r="P1452" s="20"/>
      <c r="Q1452" s="24"/>
      <c r="R1452" s="22"/>
      <c r="S1452" s="22"/>
      <c r="T1452" s="20"/>
      <c r="U1452" s="20"/>
      <c r="V1452" s="20"/>
    </row>
    <row r="1453" spans="1:22">
      <c r="A1453" s="32" t="s">
        <v>296</v>
      </c>
      <c r="B1453" s="33">
        <v>81673</v>
      </c>
      <c r="C1453" s="33"/>
      <c r="D1453" s="33" t="s">
        <v>314</v>
      </c>
      <c r="E1453" s="33"/>
      <c r="F1453" s="33"/>
      <c r="G1453" s="104">
        <v>9.2170000000000005</v>
      </c>
      <c r="H1453" s="34"/>
      <c r="I1453" s="34"/>
      <c r="J1453" s="34"/>
      <c r="K1453" s="35"/>
      <c r="L1453" s="832" t="s">
        <v>376</v>
      </c>
    </row>
    <row r="1454" spans="1:22">
      <c r="A1454" s="36" t="s">
        <v>297</v>
      </c>
      <c r="B1454" s="29">
        <v>81674</v>
      </c>
      <c r="C1454" s="29"/>
      <c r="D1454" s="29" t="s">
        <v>315</v>
      </c>
      <c r="E1454" s="29"/>
      <c r="F1454" s="29"/>
      <c r="G1454" s="105">
        <v>8.9440000000000008</v>
      </c>
      <c r="H1454" s="37"/>
      <c r="I1454" s="37"/>
      <c r="J1454" s="37"/>
      <c r="K1454" s="38"/>
      <c r="L1454" s="833"/>
    </row>
    <row r="1455" spans="1:22">
      <c r="A1455" s="36" t="s">
        <v>298</v>
      </c>
      <c r="B1455" s="29">
        <v>81675</v>
      </c>
      <c r="C1455" s="29"/>
      <c r="D1455" s="29" t="s">
        <v>316</v>
      </c>
      <c r="E1455" s="29"/>
      <c r="F1455" s="29"/>
      <c r="G1455" s="105">
        <v>8.6479999999999997</v>
      </c>
      <c r="H1455" s="37"/>
      <c r="I1455" s="37"/>
      <c r="J1455" s="37"/>
      <c r="K1455" s="38"/>
      <c r="L1455" s="833"/>
    </row>
    <row r="1456" spans="1:22">
      <c r="A1456" s="36" t="s">
        <v>299</v>
      </c>
      <c r="B1456" s="29">
        <v>81676</v>
      </c>
      <c r="C1456" s="29"/>
      <c r="D1456" s="29" t="s">
        <v>317</v>
      </c>
      <c r="E1456" s="29"/>
      <c r="F1456" s="29"/>
      <c r="G1456" s="105">
        <v>8.3279999999999994</v>
      </c>
      <c r="H1456" s="37"/>
      <c r="I1456" s="37"/>
      <c r="J1456" s="37"/>
      <c r="K1456" s="38"/>
      <c r="L1456" s="833"/>
    </row>
    <row r="1457" spans="1:12">
      <c r="A1457" s="36" t="s">
        <v>305</v>
      </c>
      <c r="B1457" s="29">
        <v>81677</v>
      </c>
      <c r="C1457" s="29"/>
      <c r="D1457" s="29" t="s">
        <v>323</v>
      </c>
      <c r="E1457" s="29"/>
      <c r="F1457" s="29"/>
      <c r="G1457" s="105">
        <v>11.834</v>
      </c>
      <c r="H1457" s="37"/>
      <c r="I1457" s="37"/>
      <c r="J1457" s="37"/>
      <c r="K1457" s="38"/>
      <c r="L1457" s="833"/>
    </row>
    <row r="1458" spans="1:12">
      <c r="A1458" s="36" t="s">
        <v>308</v>
      </c>
      <c r="B1458" s="29">
        <v>81678</v>
      </c>
      <c r="C1458" s="29"/>
      <c r="D1458" s="29" t="s">
        <v>326</v>
      </c>
      <c r="E1458" s="29"/>
      <c r="F1458" s="29"/>
      <c r="G1458" s="105">
        <v>10.645</v>
      </c>
      <c r="H1458" s="37"/>
      <c r="I1458" s="37"/>
      <c r="J1458" s="37"/>
      <c r="K1458" s="38"/>
      <c r="L1458" s="833"/>
    </row>
    <row r="1459" spans="1:12">
      <c r="A1459" s="36" t="s">
        <v>310</v>
      </c>
      <c r="B1459" s="29">
        <v>81679</v>
      </c>
      <c r="C1459" s="29"/>
      <c r="D1459" s="29" t="s">
        <v>328</v>
      </c>
      <c r="E1459" s="29"/>
      <c r="F1459" s="29"/>
      <c r="G1459" s="105">
        <v>9.7479999999999993</v>
      </c>
      <c r="H1459" s="37"/>
      <c r="I1459" s="37"/>
      <c r="J1459" s="37"/>
      <c r="K1459" s="38"/>
      <c r="L1459" s="833"/>
    </row>
    <row r="1460" spans="1:12">
      <c r="A1460" s="36" t="s">
        <v>349</v>
      </c>
      <c r="B1460" s="29">
        <v>81680</v>
      </c>
      <c r="C1460" s="29"/>
      <c r="D1460" s="29" t="s">
        <v>332</v>
      </c>
      <c r="E1460" s="29"/>
      <c r="F1460" s="29"/>
      <c r="G1460" s="105">
        <v>19.28</v>
      </c>
      <c r="H1460" s="37"/>
      <c r="I1460" s="37"/>
      <c r="J1460" s="37"/>
      <c r="K1460" s="38"/>
      <c r="L1460" s="833"/>
    </row>
    <row r="1461" spans="1:12">
      <c r="A1461" s="36" t="s">
        <v>350</v>
      </c>
      <c r="B1461" s="29">
        <v>81681</v>
      </c>
      <c r="C1461" s="29"/>
      <c r="D1461" s="29" t="s">
        <v>333</v>
      </c>
      <c r="E1461" s="29"/>
      <c r="F1461" s="29"/>
      <c r="G1461" s="105">
        <v>18.991</v>
      </c>
      <c r="H1461" s="37"/>
      <c r="I1461" s="37"/>
      <c r="J1461" s="37"/>
      <c r="K1461" s="38"/>
      <c r="L1461" s="833"/>
    </row>
    <row r="1462" spans="1:12">
      <c r="A1462" s="36" t="s">
        <v>351</v>
      </c>
      <c r="B1462" s="29">
        <v>81682</v>
      </c>
      <c r="C1462" s="29"/>
      <c r="D1462" s="29" t="s">
        <v>334</v>
      </c>
      <c r="E1462" s="29"/>
      <c r="F1462" s="29"/>
      <c r="G1462" s="105">
        <v>18.677</v>
      </c>
      <c r="H1462" s="37"/>
      <c r="I1462" s="37"/>
      <c r="J1462" s="37"/>
      <c r="K1462" s="38"/>
      <c r="L1462" s="833"/>
    </row>
    <row r="1463" spans="1:12">
      <c r="A1463" s="36" t="s">
        <v>352</v>
      </c>
      <c r="B1463" s="29">
        <v>81683</v>
      </c>
      <c r="C1463" s="29"/>
      <c r="D1463" s="29" t="s">
        <v>335</v>
      </c>
      <c r="E1463" s="29"/>
      <c r="F1463" s="29"/>
      <c r="G1463" s="105">
        <v>18.338000000000001</v>
      </c>
      <c r="H1463" s="37"/>
      <c r="I1463" s="37"/>
      <c r="J1463" s="37"/>
      <c r="K1463" s="38"/>
      <c r="L1463" s="833"/>
    </row>
    <row r="1464" spans="1:12">
      <c r="A1464" s="36" t="s">
        <v>358</v>
      </c>
      <c r="B1464" s="29">
        <v>81684</v>
      </c>
      <c r="C1464" s="29"/>
      <c r="D1464" s="29" t="s">
        <v>341</v>
      </c>
      <c r="E1464" s="29"/>
      <c r="F1464" s="29"/>
      <c r="G1464" s="105">
        <v>23.437999999999999</v>
      </c>
      <c r="H1464" s="37"/>
      <c r="I1464" s="37"/>
      <c r="J1464" s="37"/>
      <c r="K1464" s="38"/>
      <c r="L1464" s="833"/>
    </row>
    <row r="1465" spans="1:12">
      <c r="A1465" s="36" t="s">
        <v>361</v>
      </c>
      <c r="B1465" s="29">
        <v>81685</v>
      </c>
      <c r="C1465" s="29"/>
      <c r="D1465" s="29" t="s">
        <v>344</v>
      </c>
      <c r="E1465" s="29"/>
      <c r="F1465" s="29"/>
      <c r="G1465" s="105">
        <v>22.193999999999999</v>
      </c>
      <c r="H1465" s="37"/>
      <c r="I1465" s="37"/>
      <c r="J1465" s="37"/>
      <c r="K1465" s="38"/>
      <c r="L1465" s="833"/>
    </row>
    <row r="1466" spans="1:12">
      <c r="A1466" s="36" t="s">
        <v>363</v>
      </c>
      <c r="B1466" s="29">
        <v>81686</v>
      </c>
      <c r="C1466" s="29"/>
      <c r="D1466" s="29" t="s">
        <v>346</v>
      </c>
      <c r="E1466" s="29"/>
      <c r="F1466" s="29"/>
      <c r="G1466" s="105">
        <v>21.239000000000001</v>
      </c>
      <c r="H1466" s="37"/>
      <c r="I1466" s="37"/>
      <c r="J1466" s="37"/>
      <c r="K1466" s="38"/>
      <c r="L1466" s="833"/>
    </row>
    <row r="1467" spans="1:12">
      <c r="A1467" s="36" t="s">
        <v>357</v>
      </c>
      <c r="B1467" s="29">
        <v>2995</v>
      </c>
      <c r="C1467" s="29"/>
      <c r="D1467" s="29" t="s">
        <v>340</v>
      </c>
      <c r="E1467" s="29"/>
      <c r="F1467" s="29"/>
      <c r="G1467" s="105">
        <v>23.803000000000001</v>
      </c>
      <c r="H1467" s="37"/>
      <c r="I1467" s="37"/>
      <c r="J1467" s="37"/>
      <c r="K1467" s="38"/>
      <c r="L1467" s="833"/>
    </row>
    <row r="1468" spans="1:12">
      <c r="A1468" s="36" t="s">
        <v>359</v>
      </c>
      <c r="B1468" s="29">
        <v>3003</v>
      </c>
      <c r="C1468" s="29"/>
      <c r="D1468" s="29" t="s">
        <v>342</v>
      </c>
      <c r="E1468" s="29"/>
      <c r="F1468" s="29"/>
      <c r="G1468" s="105">
        <v>23.048999999999999</v>
      </c>
      <c r="H1468" s="37"/>
      <c r="I1468" s="37"/>
      <c r="J1468" s="37"/>
      <c r="K1468" s="38"/>
      <c r="L1468" s="833"/>
    </row>
    <row r="1469" spans="1:12">
      <c r="A1469" s="36" t="s">
        <v>365</v>
      </c>
      <c r="B1469" s="29">
        <v>3149</v>
      </c>
      <c r="C1469" s="29"/>
      <c r="D1469" s="29" t="s">
        <v>348</v>
      </c>
      <c r="E1469" s="29"/>
      <c r="F1469" s="29"/>
      <c r="G1469" s="105">
        <v>20.183</v>
      </c>
      <c r="H1469" s="37"/>
      <c r="I1469" s="37"/>
      <c r="J1469" s="37"/>
      <c r="K1469" s="38"/>
      <c r="L1469" s="833"/>
    </row>
    <row r="1470" spans="1:12">
      <c r="A1470" s="36" t="s">
        <v>304</v>
      </c>
      <c r="B1470" s="29">
        <v>3005</v>
      </c>
      <c r="C1470" s="29"/>
      <c r="D1470" s="29" t="s">
        <v>322</v>
      </c>
      <c r="E1470" s="29"/>
      <c r="F1470" s="29"/>
      <c r="G1470" s="105">
        <v>12.178000000000001</v>
      </c>
      <c r="H1470" s="37"/>
      <c r="I1470" s="37"/>
      <c r="J1470" s="37"/>
      <c r="K1470" s="38"/>
      <c r="L1470" s="833"/>
    </row>
    <row r="1471" spans="1:12">
      <c r="A1471" s="36" t="s">
        <v>306</v>
      </c>
      <c r="B1471" s="29">
        <v>3006</v>
      </c>
      <c r="C1471" s="29"/>
      <c r="D1471" s="29" t="s">
        <v>324</v>
      </c>
      <c r="E1471" s="29"/>
      <c r="F1471" s="29"/>
      <c r="G1471" s="105">
        <v>11.465999999999999</v>
      </c>
      <c r="H1471" s="37"/>
      <c r="I1471" s="37"/>
      <c r="J1471" s="37"/>
      <c r="K1471" s="38"/>
      <c r="L1471" s="833"/>
    </row>
    <row r="1472" spans="1:12">
      <c r="A1472" s="36" t="s">
        <v>371</v>
      </c>
      <c r="B1472" s="29">
        <v>36782</v>
      </c>
      <c r="C1472" s="29"/>
      <c r="D1472" s="29" t="s">
        <v>366</v>
      </c>
      <c r="E1472" s="29"/>
      <c r="F1472" s="29"/>
      <c r="G1472" s="105">
        <v>17.236000000000001</v>
      </c>
      <c r="H1472" s="37"/>
      <c r="I1472" s="37"/>
      <c r="J1472" s="37"/>
      <c r="K1472" s="38"/>
      <c r="L1472" s="833"/>
    </row>
    <row r="1473" spans="1:12">
      <c r="A1473" s="36" t="s">
        <v>312</v>
      </c>
      <c r="B1473" s="29">
        <v>3153</v>
      </c>
      <c r="C1473" s="29"/>
      <c r="D1473" s="29" t="s">
        <v>330</v>
      </c>
      <c r="E1473" s="29"/>
      <c r="F1473" s="29"/>
      <c r="G1473" s="105">
        <v>8.7520000000000007</v>
      </c>
      <c r="H1473" s="37"/>
      <c r="I1473" s="37"/>
      <c r="J1473" s="37"/>
      <c r="K1473" s="38"/>
      <c r="L1473" s="833"/>
    </row>
    <row r="1474" spans="1:12">
      <c r="A1474" s="36" t="s">
        <v>372</v>
      </c>
      <c r="B1474" s="29">
        <v>13185</v>
      </c>
      <c r="C1474" s="29"/>
      <c r="D1474" s="29" t="s">
        <v>367</v>
      </c>
      <c r="E1474" s="29"/>
      <c r="F1474" s="29"/>
      <c r="G1474" s="105">
        <v>31.382999999999999</v>
      </c>
      <c r="H1474" s="37"/>
      <c r="I1474" s="37"/>
      <c r="J1474" s="37"/>
      <c r="K1474" s="38"/>
      <c r="L1474" s="833"/>
    </row>
    <row r="1475" spans="1:12">
      <c r="A1475" s="36" t="s">
        <v>302</v>
      </c>
      <c r="B1475" s="29">
        <v>14487</v>
      </c>
      <c r="C1475" s="29"/>
      <c r="D1475" s="29" t="s">
        <v>320</v>
      </c>
      <c r="E1475" s="29"/>
      <c r="F1475" s="29"/>
      <c r="G1475" s="105">
        <v>12.795999999999999</v>
      </c>
      <c r="H1475" s="37"/>
      <c r="I1475" s="37"/>
      <c r="J1475" s="37"/>
      <c r="K1475" s="38"/>
      <c r="L1475" s="833"/>
    </row>
    <row r="1476" spans="1:12">
      <c r="A1476" s="36" t="s">
        <v>355</v>
      </c>
      <c r="B1476" s="29">
        <v>14488</v>
      </c>
      <c r="C1476" s="29"/>
      <c r="D1476" s="29" t="s">
        <v>338</v>
      </c>
      <c r="E1476" s="29"/>
      <c r="F1476" s="29"/>
      <c r="G1476" s="105">
        <v>25.265000000000001</v>
      </c>
      <c r="H1476" s="37"/>
      <c r="I1476" s="37"/>
      <c r="J1476" s="37"/>
      <c r="K1476" s="38"/>
      <c r="L1476" s="833"/>
    </row>
    <row r="1477" spans="1:12">
      <c r="A1477" s="36" t="s">
        <v>303</v>
      </c>
      <c r="B1477" s="29">
        <v>14493</v>
      </c>
      <c r="C1477" s="29"/>
      <c r="D1477" s="29" t="s">
        <v>321</v>
      </c>
      <c r="E1477" s="29"/>
      <c r="F1477" s="29"/>
      <c r="G1477" s="105">
        <v>12.513</v>
      </c>
      <c r="H1477" s="37"/>
      <c r="I1477" s="37"/>
      <c r="J1477" s="37"/>
      <c r="K1477" s="38"/>
      <c r="L1477" s="833"/>
    </row>
    <row r="1478" spans="1:12">
      <c r="A1478" s="36" t="s">
        <v>356</v>
      </c>
      <c r="B1478" s="29">
        <v>14494</v>
      </c>
      <c r="C1478" s="29"/>
      <c r="D1478" s="29" t="s">
        <v>339</v>
      </c>
      <c r="E1478" s="29"/>
      <c r="F1478" s="29"/>
      <c r="G1478" s="105">
        <v>24.143000000000001</v>
      </c>
      <c r="H1478" s="37"/>
      <c r="I1478" s="37"/>
      <c r="J1478" s="37"/>
      <c r="K1478" s="38"/>
      <c r="L1478" s="833"/>
    </row>
    <row r="1479" spans="1:12">
      <c r="A1479" s="36" t="s">
        <v>307</v>
      </c>
      <c r="B1479" s="29">
        <v>14495</v>
      </c>
      <c r="C1479" s="29"/>
      <c r="D1479" s="29" t="s">
        <v>325</v>
      </c>
      <c r="E1479" s="29"/>
      <c r="F1479" s="29"/>
      <c r="G1479" s="105">
        <v>11.074999999999999</v>
      </c>
      <c r="H1479" s="37"/>
      <c r="I1479" s="37"/>
      <c r="J1479" s="37"/>
      <c r="K1479" s="38"/>
      <c r="L1479" s="833"/>
    </row>
    <row r="1480" spans="1:12">
      <c r="A1480" s="36" t="s">
        <v>360</v>
      </c>
      <c r="B1480" s="29">
        <v>14496</v>
      </c>
      <c r="C1480" s="29"/>
      <c r="D1480" s="29" t="s">
        <v>343</v>
      </c>
      <c r="E1480" s="29"/>
      <c r="F1480" s="29"/>
      <c r="G1480" s="105">
        <v>22.634</v>
      </c>
      <c r="H1480" s="37"/>
      <c r="I1480" s="37"/>
      <c r="J1480" s="37"/>
      <c r="K1480" s="38"/>
      <c r="L1480" s="833"/>
    </row>
    <row r="1481" spans="1:12">
      <c r="A1481" s="36" t="s">
        <v>375</v>
      </c>
      <c r="B1481" s="29">
        <v>19028</v>
      </c>
      <c r="C1481" s="29"/>
      <c r="D1481" s="29" t="s">
        <v>370</v>
      </c>
      <c r="E1481" s="29"/>
      <c r="F1481" s="29"/>
      <c r="G1481" s="105">
        <v>13.885</v>
      </c>
      <c r="H1481" s="37"/>
      <c r="I1481" s="37"/>
      <c r="J1481" s="37"/>
      <c r="K1481" s="38"/>
      <c r="L1481" s="833"/>
    </row>
    <row r="1482" spans="1:12">
      <c r="A1482" s="36" t="s">
        <v>309</v>
      </c>
      <c r="B1482" s="29">
        <v>19426</v>
      </c>
      <c r="C1482" s="29"/>
      <c r="D1482" s="29" t="s">
        <v>327</v>
      </c>
      <c r="E1482" s="29"/>
      <c r="F1482" s="29"/>
      <c r="G1482" s="105">
        <v>10.221</v>
      </c>
      <c r="H1482" s="37"/>
      <c r="I1482" s="37"/>
      <c r="J1482" s="37"/>
      <c r="K1482" s="38"/>
      <c r="L1482" s="833"/>
    </row>
    <row r="1483" spans="1:12">
      <c r="A1483" s="36" t="s">
        <v>362</v>
      </c>
      <c r="B1483" s="29">
        <v>21463</v>
      </c>
      <c r="C1483" s="29"/>
      <c r="D1483" s="29" t="s">
        <v>345</v>
      </c>
      <c r="E1483" s="29"/>
      <c r="F1483" s="29"/>
      <c r="G1483" s="105">
        <v>21.728999999999999</v>
      </c>
      <c r="H1483" s="37"/>
      <c r="I1483" s="37"/>
      <c r="J1483" s="37"/>
      <c r="K1483" s="38"/>
      <c r="L1483" s="833"/>
    </row>
    <row r="1484" spans="1:12">
      <c r="A1484" s="36" t="s">
        <v>374</v>
      </c>
      <c r="B1484" s="29">
        <v>23359</v>
      </c>
      <c r="C1484" s="29"/>
      <c r="D1484" s="29" t="s">
        <v>369</v>
      </c>
      <c r="E1484" s="29"/>
      <c r="F1484" s="29"/>
      <c r="G1484" s="105">
        <v>20.082000000000001</v>
      </c>
      <c r="H1484" s="37"/>
      <c r="I1484" s="37"/>
      <c r="J1484" s="37"/>
      <c r="K1484" s="38"/>
      <c r="L1484" s="833"/>
    </row>
    <row r="1485" spans="1:12">
      <c r="A1485" s="36" t="s">
        <v>313</v>
      </c>
      <c r="B1485" s="29">
        <v>23766</v>
      </c>
      <c r="C1485" s="29"/>
      <c r="D1485" s="29" t="s">
        <v>331</v>
      </c>
      <c r="E1485" s="29"/>
      <c r="F1485" s="29"/>
      <c r="G1485" s="105">
        <v>6.47</v>
      </c>
      <c r="H1485" s="37"/>
      <c r="I1485" s="37"/>
      <c r="J1485" s="37"/>
      <c r="K1485" s="38"/>
      <c r="L1485" s="833"/>
    </row>
    <row r="1486" spans="1:12">
      <c r="A1486" s="36" t="s">
        <v>300</v>
      </c>
      <c r="B1486" s="29">
        <v>30277</v>
      </c>
      <c r="C1486" s="29"/>
      <c r="D1486" s="29" t="s">
        <v>318</v>
      </c>
      <c r="E1486" s="29"/>
      <c r="F1486" s="29"/>
      <c r="G1486" s="105">
        <v>13.305999999999999</v>
      </c>
      <c r="H1486" s="37"/>
      <c r="I1486" s="37"/>
      <c r="J1486" s="37"/>
      <c r="K1486" s="38"/>
      <c r="L1486" s="833"/>
    </row>
    <row r="1487" spans="1:12">
      <c r="A1487" s="36" t="s">
        <v>353</v>
      </c>
      <c r="B1487" s="29">
        <v>35616</v>
      </c>
      <c r="C1487" s="29"/>
      <c r="D1487" s="29" t="s">
        <v>336</v>
      </c>
      <c r="E1487" s="29"/>
      <c r="F1487" s="29"/>
      <c r="G1487" s="105">
        <v>25.009</v>
      </c>
      <c r="H1487" s="37"/>
      <c r="I1487" s="37"/>
      <c r="J1487" s="37"/>
      <c r="K1487" s="38"/>
      <c r="L1487" s="833"/>
    </row>
    <row r="1488" spans="1:12">
      <c r="A1488" s="36" t="s">
        <v>354</v>
      </c>
      <c r="B1488" s="29">
        <v>35617</v>
      </c>
      <c r="C1488" s="29"/>
      <c r="D1488" s="29" t="s">
        <v>337</v>
      </c>
      <c r="E1488" s="29"/>
      <c r="F1488" s="29"/>
      <c r="G1488" s="105">
        <v>24.745000000000001</v>
      </c>
      <c r="H1488" s="37"/>
      <c r="I1488" s="37"/>
      <c r="J1488" s="37"/>
      <c r="K1488" s="38"/>
      <c r="L1488" s="833"/>
    </row>
    <row r="1489" spans="1:22">
      <c r="A1489" s="36" t="s">
        <v>301</v>
      </c>
      <c r="B1489" s="29">
        <v>35618</v>
      </c>
      <c r="C1489" s="29"/>
      <c r="D1489" s="29" t="s">
        <v>319</v>
      </c>
      <c r="E1489" s="29"/>
      <c r="F1489" s="29"/>
      <c r="G1489" s="105">
        <v>13.058</v>
      </c>
      <c r="H1489" s="37"/>
      <c r="I1489" s="37"/>
      <c r="J1489" s="37"/>
      <c r="K1489" s="38"/>
      <c r="L1489" s="833"/>
    </row>
    <row r="1490" spans="1:22">
      <c r="A1490" s="36" t="s">
        <v>364</v>
      </c>
      <c r="B1490" s="29">
        <v>35619</v>
      </c>
      <c r="C1490" s="29"/>
      <c r="D1490" s="29" t="s">
        <v>347</v>
      </c>
      <c r="E1490" s="29"/>
      <c r="F1490" s="29"/>
      <c r="G1490" s="105">
        <v>20.724</v>
      </c>
      <c r="H1490" s="37"/>
      <c r="I1490" s="37"/>
      <c r="J1490" s="37"/>
      <c r="K1490" s="38"/>
      <c r="L1490" s="833"/>
    </row>
    <row r="1491" spans="1:22">
      <c r="A1491" s="36" t="s">
        <v>311</v>
      </c>
      <c r="B1491" s="29">
        <v>35620</v>
      </c>
      <c r="C1491" s="29"/>
      <c r="D1491" s="29" t="s">
        <v>329</v>
      </c>
      <c r="E1491" s="29"/>
      <c r="F1491" s="29"/>
      <c r="G1491" s="105">
        <v>9.2620000000000005</v>
      </c>
      <c r="H1491" s="37"/>
      <c r="I1491" s="37"/>
      <c r="J1491" s="37"/>
      <c r="K1491" s="38"/>
      <c r="L1491" s="833"/>
    </row>
    <row r="1492" spans="1:22" ht="13.8" thickBot="1">
      <c r="A1492" s="39" t="s">
        <v>373</v>
      </c>
      <c r="B1492" s="40">
        <v>36782</v>
      </c>
      <c r="C1492" s="40"/>
      <c r="D1492" s="40" t="s">
        <v>368</v>
      </c>
      <c r="E1492" s="40"/>
      <c r="F1492" s="40"/>
      <c r="G1492" s="106">
        <v>10.939</v>
      </c>
      <c r="H1492" s="41"/>
      <c r="I1492" s="41"/>
      <c r="J1492" s="41"/>
      <c r="K1492" s="42"/>
      <c r="L1492" s="834"/>
    </row>
    <row r="1493" spans="1:22" ht="25.2" thickBot="1">
      <c r="A1493" s="61" t="s">
        <v>785</v>
      </c>
      <c r="B1493" s="91"/>
      <c r="C1493" s="91"/>
      <c r="D1493" s="91"/>
      <c r="E1493" s="91"/>
      <c r="F1493" s="91"/>
      <c r="G1493" s="103"/>
      <c r="H1493" s="92"/>
      <c r="I1493" s="92"/>
      <c r="J1493" s="92"/>
      <c r="K1493" s="92"/>
      <c r="L1493" s="96"/>
      <c r="M1493" s="20"/>
      <c r="N1493" s="20"/>
      <c r="O1493" s="20"/>
      <c r="P1493" s="20"/>
      <c r="Q1493" s="24"/>
      <c r="R1493" s="22"/>
      <c r="S1493" s="22"/>
      <c r="T1493" s="20"/>
      <c r="U1493" s="20"/>
      <c r="V1493" s="20"/>
    </row>
    <row r="1494" spans="1:22">
      <c r="A1494" s="36" t="s">
        <v>812</v>
      </c>
      <c r="B1494" s="29" t="s">
        <v>851</v>
      </c>
      <c r="C1494" s="29"/>
      <c r="D1494" s="29"/>
      <c r="E1494" s="29"/>
      <c r="F1494" s="29"/>
      <c r="G1494" s="288">
        <v>18.829999999999998</v>
      </c>
      <c r="H1494" s="34"/>
      <c r="I1494" s="34"/>
      <c r="J1494" s="34"/>
      <c r="K1494" s="35"/>
      <c r="L1494" s="832" t="s">
        <v>376</v>
      </c>
    </row>
    <row r="1495" spans="1:22">
      <c r="A1495" s="36" t="s">
        <v>813</v>
      </c>
      <c r="B1495" s="29" t="s">
        <v>852</v>
      </c>
      <c r="C1495" s="29"/>
      <c r="D1495" s="29"/>
      <c r="E1495" s="29"/>
      <c r="F1495" s="29"/>
      <c r="G1495" s="288">
        <v>22.07</v>
      </c>
      <c r="H1495" s="37"/>
      <c r="I1495" s="37"/>
      <c r="J1495" s="37"/>
      <c r="K1495" s="38"/>
      <c r="L1495" s="833"/>
    </row>
    <row r="1496" spans="1:22">
      <c r="A1496" s="36" t="s">
        <v>814</v>
      </c>
      <c r="B1496" s="29" t="s">
        <v>853</v>
      </c>
      <c r="C1496" s="29"/>
      <c r="D1496" s="29"/>
      <c r="E1496" s="29"/>
      <c r="F1496" s="29"/>
      <c r="G1496" s="288">
        <v>17.649999999999999</v>
      </c>
      <c r="H1496" s="37"/>
      <c r="I1496" s="37"/>
      <c r="J1496" s="37"/>
      <c r="K1496" s="38"/>
      <c r="L1496" s="833"/>
    </row>
    <row r="1497" spans="1:22">
      <c r="A1497" s="36" t="s">
        <v>815</v>
      </c>
      <c r="B1497" s="29" t="s">
        <v>854</v>
      </c>
      <c r="C1497" s="29"/>
      <c r="D1497" s="29"/>
      <c r="E1497" s="29"/>
      <c r="F1497" s="29"/>
      <c r="G1497" s="288">
        <v>12.99</v>
      </c>
      <c r="H1497" s="37"/>
      <c r="I1497" s="37"/>
      <c r="J1497" s="37"/>
      <c r="K1497" s="38"/>
      <c r="L1497" s="833"/>
    </row>
    <row r="1498" spans="1:22">
      <c r="A1498" s="36" t="s">
        <v>816</v>
      </c>
      <c r="B1498" s="29" t="s">
        <v>855</v>
      </c>
      <c r="C1498" s="29"/>
      <c r="D1498" s="29"/>
      <c r="E1498" s="29"/>
      <c r="F1498" s="29"/>
      <c r="G1498" s="288">
        <v>25.99</v>
      </c>
      <c r="H1498" s="37"/>
      <c r="I1498" s="37"/>
      <c r="J1498" s="37"/>
      <c r="K1498" s="38"/>
      <c r="L1498" s="833"/>
    </row>
    <row r="1499" spans="1:22">
      <c r="A1499" s="36" t="s">
        <v>817</v>
      </c>
      <c r="B1499" s="29" t="s">
        <v>856</v>
      </c>
      <c r="C1499" s="29"/>
      <c r="D1499" s="29"/>
      <c r="E1499" s="29"/>
      <c r="F1499" s="29"/>
      <c r="G1499" s="288">
        <v>21.66</v>
      </c>
      <c r="H1499" s="37"/>
      <c r="I1499" s="37"/>
      <c r="J1499" s="37"/>
      <c r="K1499" s="38"/>
      <c r="L1499" s="833"/>
    </row>
    <row r="1500" spans="1:22">
      <c r="A1500" s="36" t="s">
        <v>818</v>
      </c>
      <c r="B1500" s="29" t="s">
        <v>857</v>
      </c>
      <c r="C1500" s="29"/>
      <c r="D1500" s="29"/>
      <c r="E1500" s="29"/>
      <c r="F1500" s="29"/>
      <c r="G1500" s="288">
        <v>17.32</v>
      </c>
      <c r="H1500" s="37"/>
      <c r="I1500" s="37"/>
      <c r="J1500" s="37"/>
      <c r="K1500" s="38"/>
      <c r="L1500" s="833"/>
    </row>
    <row r="1501" spans="1:22">
      <c r="A1501" s="36" t="s">
        <v>819</v>
      </c>
      <c r="B1501" s="29" t="s">
        <v>858</v>
      </c>
      <c r="C1501" s="29"/>
      <c r="D1501" s="29"/>
      <c r="E1501" s="29"/>
      <c r="F1501" s="29"/>
      <c r="G1501" s="288">
        <v>12.72</v>
      </c>
      <c r="H1501" s="37"/>
      <c r="I1501" s="37"/>
      <c r="J1501" s="37"/>
      <c r="K1501" s="38"/>
      <c r="L1501" s="833"/>
    </row>
    <row r="1502" spans="1:22">
      <c r="A1502" s="36" t="s">
        <v>820</v>
      </c>
      <c r="B1502" s="29" t="s">
        <v>859</v>
      </c>
      <c r="C1502" s="29"/>
      <c r="D1502" s="29"/>
      <c r="E1502" s="29"/>
      <c r="F1502" s="29"/>
      <c r="G1502" s="288">
        <v>12.27</v>
      </c>
      <c r="H1502" s="37"/>
      <c r="I1502" s="37"/>
      <c r="J1502" s="37"/>
      <c r="K1502" s="38"/>
      <c r="L1502" s="833"/>
    </row>
    <row r="1503" spans="1:22">
      <c r="A1503" s="36" t="s">
        <v>821</v>
      </c>
      <c r="B1503" s="29" t="s">
        <v>860</v>
      </c>
      <c r="C1503" s="29"/>
      <c r="D1503" s="29"/>
      <c r="E1503" s="29"/>
      <c r="F1503" s="29"/>
      <c r="G1503" s="288">
        <v>21.21</v>
      </c>
      <c r="H1503" s="37"/>
      <c r="I1503" s="37"/>
      <c r="J1503" s="37"/>
      <c r="K1503" s="38"/>
      <c r="L1503" s="833"/>
    </row>
    <row r="1504" spans="1:22">
      <c r="A1504" s="36" t="s">
        <v>822</v>
      </c>
      <c r="B1504" s="29" t="s">
        <v>861</v>
      </c>
      <c r="C1504" s="29"/>
      <c r="D1504" s="29"/>
      <c r="E1504" s="29"/>
      <c r="F1504" s="29"/>
      <c r="G1504" s="288">
        <v>16.96</v>
      </c>
      <c r="H1504" s="37"/>
      <c r="I1504" s="37"/>
      <c r="J1504" s="37"/>
      <c r="K1504" s="38"/>
      <c r="L1504" s="833"/>
    </row>
    <row r="1505" spans="1:12">
      <c r="A1505" s="36" t="s">
        <v>786</v>
      </c>
      <c r="B1505" s="29" t="s">
        <v>794</v>
      </c>
      <c r="C1505" s="29"/>
      <c r="D1505" s="29"/>
      <c r="E1505" s="29"/>
      <c r="F1505" s="29"/>
      <c r="G1505" s="288">
        <v>12.42</v>
      </c>
      <c r="H1505" s="37"/>
      <c r="I1505" s="37"/>
      <c r="J1505" s="37"/>
      <c r="K1505" s="38"/>
      <c r="L1505" s="833"/>
    </row>
    <row r="1506" spans="1:12">
      <c r="A1506" s="36" t="s">
        <v>823</v>
      </c>
      <c r="B1506" s="29" t="s">
        <v>862</v>
      </c>
      <c r="C1506" s="29"/>
      <c r="D1506" s="29"/>
      <c r="E1506" s="29"/>
      <c r="F1506" s="29"/>
      <c r="G1506" s="288">
        <v>24.86</v>
      </c>
      <c r="H1506" s="37"/>
      <c r="I1506" s="37"/>
      <c r="J1506" s="37"/>
      <c r="K1506" s="38"/>
      <c r="L1506" s="833"/>
    </row>
    <row r="1507" spans="1:12">
      <c r="A1507" s="36" t="s">
        <v>824</v>
      </c>
      <c r="B1507" s="29" t="s">
        <v>863</v>
      </c>
      <c r="C1507" s="29"/>
      <c r="D1507" s="29"/>
      <c r="E1507" s="29"/>
      <c r="F1507" s="29"/>
      <c r="G1507" s="288">
        <v>20.71</v>
      </c>
      <c r="H1507" s="37"/>
      <c r="I1507" s="37"/>
      <c r="J1507" s="37"/>
      <c r="K1507" s="38"/>
      <c r="L1507" s="833"/>
    </row>
    <row r="1508" spans="1:12">
      <c r="A1508" s="36" t="s">
        <v>825</v>
      </c>
      <c r="B1508" s="29" t="s">
        <v>864</v>
      </c>
      <c r="C1508" s="29"/>
      <c r="D1508" s="29"/>
      <c r="E1508" s="29"/>
      <c r="F1508" s="29"/>
      <c r="G1508" s="288">
        <v>16.57</v>
      </c>
      <c r="H1508" s="37"/>
      <c r="I1508" s="37"/>
      <c r="J1508" s="37"/>
      <c r="K1508" s="38"/>
      <c r="L1508" s="833"/>
    </row>
    <row r="1509" spans="1:12">
      <c r="A1509" s="36" t="s">
        <v>787</v>
      </c>
      <c r="B1509" s="29" t="s">
        <v>795</v>
      </c>
      <c r="C1509" s="29"/>
      <c r="D1509" s="29"/>
      <c r="E1509" s="29"/>
      <c r="F1509" s="29"/>
      <c r="G1509" s="288">
        <v>12.1</v>
      </c>
      <c r="H1509" s="37"/>
      <c r="I1509" s="37"/>
      <c r="J1509" s="37"/>
      <c r="K1509" s="38"/>
      <c r="L1509" s="833"/>
    </row>
    <row r="1510" spans="1:12">
      <c r="A1510" s="36" t="s">
        <v>826</v>
      </c>
      <c r="B1510" s="29" t="s">
        <v>865</v>
      </c>
      <c r="C1510" s="29"/>
      <c r="D1510" s="29"/>
      <c r="E1510" s="29"/>
      <c r="F1510" s="29"/>
      <c r="G1510" s="288">
        <v>24.23</v>
      </c>
      <c r="H1510" s="37"/>
      <c r="I1510" s="37"/>
      <c r="J1510" s="37"/>
      <c r="K1510" s="38"/>
      <c r="L1510" s="833"/>
    </row>
    <row r="1511" spans="1:12">
      <c r="A1511" s="36" t="s">
        <v>827</v>
      </c>
      <c r="B1511" s="29" t="s">
        <v>866</v>
      </c>
      <c r="C1511" s="29"/>
      <c r="D1511" s="29"/>
      <c r="E1511" s="29"/>
      <c r="F1511" s="29"/>
      <c r="G1511" s="288">
        <v>20.18</v>
      </c>
      <c r="H1511" s="37"/>
      <c r="I1511" s="37"/>
      <c r="J1511" s="37"/>
      <c r="K1511" s="38"/>
      <c r="L1511" s="833"/>
    </row>
    <row r="1512" spans="1:12">
      <c r="A1512" s="36" t="s">
        <v>828</v>
      </c>
      <c r="B1512" s="29" t="s">
        <v>867</v>
      </c>
      <c r="C1512" s="29"/>
      <c r="D1512" s="29"/>
      <c r="E1512" s="29"/>
      <c r="F1512" s="29"/>
      <c r="G1512" s="288">
        <v>16.14</v>
      </c>
      <c r="H1512" s="37"/>
      <c r="I1512" s="37"/>
      <c r="J1512" s="37"/>
      <c r="K1512" s="38"/>
      <c r="L1512" s="833"/>
    </row>
    <row r="1513" spans="1:12">
      <c r="A1513" s="36" t="s">
        <v>788</v>
      </c>
      <c r="B1513" s="29" t="s">
        <v>796</v>
      </c>
      <c r="C1513" s="29"/>
      <c r="D1513" s="29"/>
      <c r="E1513" s="29"/>
      <c r="F1513" s="29"/>
      <c r="G1513" s="288">
        <v>11.76</v>
      </c>
      <c r="H1513" s="37"/>
      <c r="I1513" s="37"/>
      <c r="J1513" s="37"/>
      <c r="K1513" s="38"/>
      <c r="L1513" s="833"/>
    </row>
    <row r="1514" spans="1:12">
      <c r="A1514" s="36" t="s">
        <v>829</v>
      </c>
      <c r="B1514" s="29" t="s">
        <v>868</v>
      </c>
      <c r="C1514" s="29"/>
      <c r="D1514" s="29"/>
      <c r="E1514" s="29"/>
      <c r="F1514" s="29"/>
      <c r="G1514" s="288">
        <v>23.54</v>
      </c>
      <c r="H1514" s="37"/>
      <c r="I1514" s="37"/>
      <c r="J1514" s="37"/>
      <c r="K1514" s="38"/>
      <c r="L1514" s="833"/>
    </row>
    <row r="1515" spans="1:12">
      <c r="A1515" s="36" t="s">
        <v>830</v>
      </c>
      <c r="B1515" s="29" t="s">
        <v>869</v>
      </c>
      <c r="C1515" s="29"/>
      <c r="D1515" s="29"/>
      <c r="E1515" s="29"/>
      <c r="F1515" s="29"/>
      <c r="G1515" s="288">
        <v>19.62</v>
      </c>
      <c r="H1515" s="37"/>
      <c r="I1515" s="37"/>
      <c r="J1515" s="37"/>
      <c r="K1515" s="38"/>
      <c r="L1515" s="833"/>
    </row>
    <row r="1516" spans="1:12">
      <c r="A1516" s="36" t="s">
        <v>831</v>
      </c>
      <c r="B1516" s="29" t="s">
        <v>870</v>
      </c>
      <c r="C1516" s="29"/>
      <c r="D1516" s="29"/>
      <c r="E1516" s="29"/>
      <c r="F1516" s="29"/>
      <c r="G1516" s="288">
        <v>15.69</v>
      </c>
      <c r="H1516" s="37"/>
      <c r="I1516" s="37"/>
      <c r="J1516" s="37"/>
      <c r="K1516" s="38"/>
      <c r="L1516" s="833"/>
    </row>
    <row r="1517" spans="1:12">
      <c r="A1517" s="36" t="s">
        <v>789</v>
      </c>
      <c r="B1517" s="29" t="s">
        <v>797</v>
      </c>
      <c r="C1517" s="29"/>
      <c r="D1517" s="29"/>
      <c r="E1517" s="29"/>
      <c r="F1517" s="29"/>
      <c r="G1517" s="288">
        <v>11.4</v>
      </c>
      <c r="H1517" s="37"/>
      <c r="I1517" s="37"/>
      <c r="J1517" s="37"/>
      <c r="K1517" s="38"/>
      <c r="L1517" s="833"/>
    </row>
    <row r="1518" spans="1:12">
      <c r="A1518" s="36" t="s">
        <v>832</v>
      </c>
      <c r="B1518" s="29" t="s">
        <v>871</v>
      </c>
      <c r="C1518" s="29"/>
      <c r="D1518" s="29"/>
      <c r="E1518" s="29"/>
      <c r="F1518" s="29"/>
      <c r="G1518" s="288">
        <v>22.81</v>
      </c>
      <c r="H1518" s="37"/>
      <c r="I1518" s="37"/>
      <c r="J1518" s="37"/>
      <c r="K1518" s="38"/>
      <c r="L1518" s="833"/>
    </row>
    <row r="1519" spans="1:12">
      <c r="A1519" s="36" t="s">
        <v>833</v>
      </c>
      <c r="B1519" s="29" t="s">
        <v>872</v>
      </c>
      <c r="C1519" s="29"/>
      <c r="D1519" s="29"/>
      <c r="E1519" s="29"/>
      <c r="F1519" s="29"/>
      <c r="G1519" s="288">
        <v>19.010000000000002</v>
      </c>
      <c r="H1519" s="37"/>
      <c r="I1519" s="37"/>
      <c r="J1519" s="37"/>
      <c r="K1519" s="38"/>
      <c r="L1519" s="833"/>
    </row>
    <row r="1520" spans="1:12">
      <c r="A1520" s="36" t="s">
        <v>834</v>
      </c>
      <c r="B1520" s="29" t="s">
        <v>873</v>
      </c>
      <c r="C1520" s="29"/>
      <c r="D1520" s="29"/>
      <c r="E1520" s="29"/>
      <c r="F1520" s="29"/>
      <c r="G1520" s="288">
        <v>15.2</v>
      </c>
      <c r="H1520" s="37"/>
      <c r="I1520" s="37"/>
      <c r="J1520" s="37"/>
      <c r="K1520" s="38"/>
      <c r="L1520" s="833"/>
    </row>
    <row r="1521" spans="1:12">
      <c r="A1521" s="36" t="s">
        <v>790</v>
      </c>
      <c r="B1521" s="29" t="s">
        <v>798</v>
      </c>
      <c r="C1521" s="29"/>
      <c r="D1521" s="29"/>
      <c r="E1521" s="29"/>
      <c r="F1521" s="29"/>
      <c r="G1521" s="288">
        <v>11.01</v>
      </c>
      <c r="H1521" s="37"/>
      <c r="I1521" s="37"/>
      <c r="J1521" s="37"/>
      <c r="K1521" s="38"/>
      <c r="L1521" s="833"/>
    </row>
    <row r="1522" spans="1:12">
      <c r="A1522" s="36" t="s">
        <v>835</v>
      </c>
      <c r="B1522" s="29" t="s">
        <v>874</v>
      </c>
      <c r="C1522" s="29"/>
      <c r="D1522" s="29"/>
      <c r="E1522" s="29"/>
      <c r="F1522" s="29"/>
      <c r="G1522" s="288">
        <v>18.36</v>
      </c>
      <c r="H1522" s="37"/>
      <c r="I1522" s="37"/>
      <c r="J1522" s="37"/>
      <c r="K1522" s="38"/>
      <c r="L1522" s="833"/>
    </row>
    <row r="1523" spans="1:12">
      <c r="A1523" s="36" t="s">
        <v>836</v>
      </c>
      <c r="B1523" s="29" t="s">
        <v>875</v>
      </c>
      <c r="C1523" s="29"/>
      <c r="D1523" s="29"/>
      <c r="E1523" s="29"/>
      <c r="F1523" s="29"/>
      <c r="G1523" s="288">
        <v>14.68</v>
      </c>
      <c r="H1523" s="37"/>
      <c r="I1523" s="37"/>
      <c r="J1523" s="37"/>
      <c r="K1523" s="38"/>
      <c r="L1523" s="833"/>
    </row>
    <row r="1524" spans="1:12">
      <c r="A1524" s="36" t="s">
        <v>791</v>
      </c>
      <c r="B1524" s="29" t="s">
        <v>799</v>
      </c>
      <c r="C1524" s="29"/>
      <c r="D1524" s="29"/>
      <c r="E1524" s="29"/>
      <c r="F1524" s="29"/>
      <c r="G1524" s="288">
        <v>10.59</v>
      </c>
      <c r="H1524" s="37"/>
      <c r="I1524" s="37"/>
      <c r="J1524" s="37"/>
      <c r="K1524" s="38"/>
      <c r="L1524" s="833"/>
    </row>
    <row r="1525" spans="1:12">
      <c r="A1525" s="36" t="s">
        <v>837</v>
      </c>
      <c r="B1525" s="29" t="s">
        <v>876</v>
      </c>
      <c r="C1525" s="29"/>
      <c r="D1525" s="29"/>
      <c r="E1525" s="29"/>
      <c r="F1525" s="29"/>
      <c r="G1525" s="288">
        <v>21.21</v>
      </c>
      <c r="H1525" s="37"/>
      <c r="I1525" s="37"/>
      <c r="J1525" s="37"/>
      <c r="K1525" s="38"/>
      <c r="L1525" s="833"/>
    </row>
    <row r="1526" spans="1:12">
      <c r="A1526" s="36" t="s">
        <v>838</v>
      </c>
      <c r="B1526" s="29" t="s">
        <v>877</v>
      </c>
      <c r="C1526" s="29"/>
      <c r="D1526" s="29"/>
      <c r="E1526" s="29"/>
      <c r="F1526" s="29"/>
      <c r="G1526" s="288">
        <v>17.670000000000002</v>
      </c>
      <c r="H1526" s="37"/>
      <c r="I1526" s="37"/>
      <c r="J1526" s="37"/>
      <c r="K1526" s="38"/>
      <c r="L1526" s="833"/>
    </row>
    <row r="1527" spans="1:12">
      <c r="A1527" s="36" t="s">
        <v>839</v>
      </c>
      <c r="B1527" s="29" t="s">
        <v>878</v>
      </c>
      <c r="C1527" s="29"/>
      <c r="D1527" s="29"/>
      <c r="E1527" s="29"/>
      <c r="F1527" s="29"/>
      <c r="G1527" s="288">
        <v>14.13</v>
      </c>
      <c r="H1527" s="37"/>
      <c r="I1527" s="37"/>
      <c r="J1527" s="37"/>
      <c r="K1527" s="38"/>
      <c r="L1527" s="833"/>
    </row>
    <row r="1528" spans="1:12">
      <c r="A1528" s="36" t="s">
        <v>840</v>
      </c>
      <c r="B1528" s="29" t="s">
        <v>879</v>
      </c>
      <c r="C1528" s="29"/>
      <c r="D1528" s="29"/>
      <c r="E1528" s="29"/>
      <c r="F1528" s="29"/>
      <c r="G1528" s="288">
        <v>10.16</v>
      </c>
      <c r="H1528" s="37"/>
      <c r="I1528" s="37"/>
      <c r="J1528" s="37"/>
      <c r="K1528" s="38"/>
      <c r="L1528" s="833"/>
    </row>
    <row r="1529" spans="1:12">
      <c r="A1529" s="36" t="s">
        <v>841</v>
      </c>
      <c r="B1529" s="29" t="s">
        <v>880</v>
      </c>
      <c r="C1529" s="29"/>
      <c r="D1529" s="29"/>
      <c r="E1529" s="29"/>
      <c r="F1529" s="29"/>
      <c r="G1529" s="288">
        <v>16.940000000000001</v>
      </c>
      <c r="H1529" s="37"/>
      <c r="I1529" s="37"/>
      <c r="J1529" s="37"/>
      <c r="K1529" s="38"/>
      <c r="L1529" s="833"/>
    </row>
    <row r="1530" spans="1:12">
      <c r="A1530" s="36" t="s">
        <v>842</v>
      </c>
      <c r="B1530" s="29" t="s">
        <v>881</v>
      </c>
      <c r="C1530" s="29"/>
      <c r="D1530" s="29"/>
      <c r="E1530" s="29"/>
      <c r="F1530" s="29"/>
      <c r="G1530" s="288">
        <v>24.3</v>
      </c>
      <c r="H1530" s="37"/>
      <c r="I1530" s="37"/>
      <c r="J1530" s="37"/>
      <c r="K1530" s="38"/>
      <c r="L1530" s="833"/>
    </row>
    <row r="1531" spans="1:12">
      <c r="A1531" s="36" t="s">
        <v>843</v>
      </c>
      <c r="B1531" s="29" t="s">
        <v>882</v>
      </c>
      <c r="C1531" s="29"/>
      <c r="D1531" s="29"/>
      <c r="E1531" s="29"/>
      <c r="F1531" s="29"/>
      <c r="G1531" s="288">
        <v>13.55</v>
      </c>
      <c r="H1531" s="37"/>
      <c r="I1531" s="37"/>
      <c r="J1531" s="37"/>
      <c r="K1531" s="38"/>
      <c r="L1531" s="833"/>
    </row>
    <row r="1532" spans="1:12">
      <c r="A1532" s="36" t="s">
        <v>792</v>
      </c>
      <c r="B1532" s="29" t="s">
        <v>800</v>
      </c>
      <c r="C1532" s="29"/>
      <c r="D1532" s="29"/>
      <c r="E1532" s="29"/>
      <c r="F1532" s="29"/>
      <c r="G1532" s="288">
        <v>9.6999999999999993</v>
      </c>
      <c r="H1532" s="37"/>
      <c r="I1532" s="37"/>
      <c r="J1532" s="37"/>
      <c r="K1532" s="38"/>
      <c r="L1532" s="833"/>
    </row>
    <row r="1533" spans="1:12">
      <c r="A1533" s="36" t="s">
        <v>844</v>
      </c>
      <c r="B1533" s="29" t="s">
        <v>883</v>
      </c>
      <c r="C1533" s="29"/>
      <c r="D1533" s="29"/>
      <c r="E1533" s="29"/>
      <c r="F1533" s="29"/>
      <c r="G1533" s="105">
        <v>19.420000000000002</v>
      </c>
      <c r="H1533" s="37"/>
      <c r="I1533" s="37"/>
      <c r="J1533" s="37"/>
      <c r="K1533" s="38"/>
      <c r="L1533" s="833"/>
    </row>
    <row r="1534" spans="1:12">
      <c r="A1534" s="36" t="s">
        <v>845</v>
      </c>
      <c r="B1534" s="29" t="s">
        <v>884</v>
      </c>
      <c r="C1534" s="29"/>
      <c r="D1534" s="29"/>
      <c r="E1534" s="29"/>
      <c r="F1534" s="29"/>
      <c r="G1534" s="105">
        <v>16.18</v>
      </c>
      <c r="H1534" s="37"/>
      <c r="I1534" s="37"/>
      <c r="J1534" s="37"/>
      <c r="K1534" s="38"/>
      <c r="L1534" s="833"/>
    </row>
    <row r="1535" spans="1:12">
      <c r="A1535" s="36" t="s">
        <v>846</v>
      </c>
      <c r="B1535" s="29" t="s">
        <v>885</v>
      </c>
      <c r="C1535" s="29"/>
      <c r="D1535" s="29"/>
      <c r="E1535" s="29"/>
      <c r="F1535" s="29"/>
      <c r="G1535" s="105">
        <v>12.94</v>
      </c>
      <c r="H1535" s="37"/>
      <c r="I1535" s="37"/>
      <c r="J1535" s="37"/>
      <c r="K1535" s="38"/>
      <c r="L1535" s="833"/>
    </row>
    <row r="1536" spans="1:12">
      <c r="A1536" s="36" t="s">
        <v>847</v>
      </c>
      <c r="B1536" s="29" t="s">
        <v>886</v>
      </c>
      <c r="C1536" s="29"/>
      <c r="D1536" s="29"/>
      <c r="E1536" s="29"/>
      <c r="F1536" s="29"/>
      <c r="G1536" s="105">
        <v>9.2200000000000006</v>
      </c>
      <c r="H1536" s="37"/>
      <c r="I1536" s="37"/>
      <c r="J1536" s="37"/>
      <c r="K1536" s="38"/>
      <c r="L1536" s="833"/>
    </row>
    <row r="1537" spans="1:12">
      <c r="A1537" s="36" t="s">
        <v>848</v>
      </c>
      <c r="B1537" s="29" t="s">
        <v>887</v>
      </c>
      <c r="C1537" s="29"/>
      <c r="D1537" s="29"/>
      <c r="E1537" s="29"/>
      <c r="F1537" s="29"/>
      <c r="G1537" s="105">
        <v>12.3</v>
      </c>
      <c r="H1537" s="37"/>
      <c r="I1537" s="37"/>
      <c r="J1537" s="37"/>
      <c r="K1537" s="38"/>
      <c r="L1537" s="833"/>
    </row>
    <row r="1538" spans="1:12">
      <c r="A1538" s="36" t="s">
        <v>793</v>
      </c>
      <c r="B1538" s="29" t="s">
        <v>801</v>
      </c>
      <c r="C1538" s="29"/>
      <c r="D1538" s="29"/>
      <c r="E1538" s="29"/>
      <c r="F1538" s="29"/>
      <c r="G1538" s="105">
        <v>8.7100000000000009</v>
      </c>
      <c r="H1538" s="37"/>
      <c r="I1538" s="37"/>
      <c r="J1538" s="37"/>
      <c r="K1538" s="38"/>
      <c r="L1538" s="833"/>
    </row>
    <row r="1539" spans="1:12">
      <c r="A1539" s="36" t="s">
        <v>849</v>
      </c>
      <c r="B1539" s="29" t="s">
        <v>888</v>
      </c>
      <c r="C1539" s="29"/>
      <c r="D1539" s="29"/>
      <c r="E1539" s="29"/>
      <c r="F1539" s="29"/>
      <c r="G1539" s="105">
        <v>14.53</v>
      </c>
      <c r="H1539" s="37"/>
      <c r="I1539" s="37"/>
      <c r="J1539" s="37"/>
      <c r="K1539" s="38"/>
      <c r="L1539" s="833"/>
    </row>
    <row r="1540" spans="1:12">
      <c r="A1540" s="36" t="s">
        <v>850</v>
      </c>
      <c r="B1540" s="29" t="s">
        <v>889</v>
      </c>
      <c r="C1540" s="29"/>
      <c r="D1540" s="29"/>
      <c r="E1540" s="29"/>
      <c r="F1540" s="29"/>
      <c r="G1540" s="105">
        <v>11.62</v>
      </c>
      <c r="H1540" s="37"/>
      <c r="I1540" s="37"/>
      <c r="J1540" s="37"/>
      <c r="K1540" s="38"/>
      <c r="L1540" s="833"/>
    </row>
    <row r="1541" spans="1:12">
      <c r="A1541" s="36" t="s">
        <v>890</v>
      </c>
      <c r="B1541" s="29" t="s">
        <v>909</v>
      </c>
      <c r="C1541" s="29"/>
      <c r="D1541" s="29"/>
      <c r="E1541" s="29"/>
      <c r="F1541" s="29"/>
      <c r="G1541" s="105">
        <v>17.646999999999998</v>
      </c>
      <c r="H1541" s="37"/>
      <c r="I1541" s="37"/>
      <c r="J1541" s="37"/>
      <c r="K1541" s="38"/>
      <c r="L1541" s="833"/>
    </row>
    <row r="1542" spans="1:12">
      <c r="A1542" s="36" t="s">
        <v>891</v>
      </c>
      <c r="B1542" s="29" t="s">
        <v>910</v>
      </c>
      <c r="C1542" s="29"/>
      <c r="D1542" s="29"/>
      <c r="E1542" s="29"/>
      <c r="F1542" s="29"/>
      <c r="G1542" s="105">
        <v>21.43</v>
      </c>
      <c r="H1542" s="37"/>
      <c r="I1542" s="37"/>
      <c r="J1542" s="37"/>
      <c r="K1542" s="38"/>
      <c r="L1542" s="833"/>
    </row>
    <row r="1543" spans="1:12">
      <c r="A1543" s="36" t="s">
        <v>892</v>
      </c>
      <c r="B1543" s="29" t="s">
        <v>911</v>
      </c>
      <c r="C1543" s="29"/>
      <c r="D1543" s="29"/>
      <c r="E1543" s="29"/>
      <c r="F1543" s="29"/>
      <c r="G1543" s="105">
        <v>20.96</v>
      </c>
      <c r="H1543" s="37"/>
      <c r="I1543" s="37"/>
      <c r="J1543" s="37"/>
      <c r="K1543" s="38"/>
      <c r="L1543" s="833"/>
    </row>
    <row r="1544" spans="1:12">
      <c r="A1544" s="36" t="s">
        <v>893</v>
      </c>
      <c r="B1544" s="29" t="s">
        <v>912</v>
      </c>
      <c r="C1544" s="29"/>
      <c r="D1544" s="29"/>
      <c r="E1544" s="29"/>
      <c r="F1544" s="29"/>
      <c r="G1544" s="105">
        <v>16.96</v>
      </c>
      <c r="H1544" s="37"/>
      <c r="I1544" s="37"/>
      <c r="J1544" s="37"/>
      <c r="K1544" s="38"/>
      <c r="L1544" s="833"/>
    </row>
    <row r="1545" spans="1:12">
      <c r="A1545" s="36" t="s">
        <v>894</v>
      </c>
      <c r="B1545" s="29" t="s">
        <v>913</v>
      </c>
      <c r="C1545" s="29"/>
      <c r="D1545" s="29"/>
      <c r="E1545" s="29"/>
      <c r="F1545" s="29"/>
      <c r="G1545" s="105">
        <v>20.45</v>
      </c>
      <c r="H1545" s="37"/>
      <c r="I1545" s="37"/>
      <c r="J1545" s="37"/>
      <c r="K1545" s="38"/>
      <c r="L1545" s="833"/>
    </row>
    <row r="1546" spans="1:12">
      <c r="A1546" s="36" t="s">
        <v>895</v>
      </c>
      <c r="B1546" s="29" t="s">
        <v>914</v>
      </c>
      <c r="C1546" s="29"/>
      <c r="D1546" s="29"/>
      <c r="E1546" s="29"/>
      <c r="F1546" s="29"/>
      <c r="G1546" s="105">
        <v>16.559999999999999</v>
      </c>
      <c r="H1546" s="37"/>
      <c r="I1546" s="37"/>
      <c r="J1546" s="37"/>
      <c r="K1546" s="38"/>
      <c r="L1546" s="833"/>
    </row>
    <row r="1547" spans="1:12">
      <c r="A1547" s="36" t="s">
        <v>896</v>
      </c>
      <c r="B1547" s="29" t="s">
        <v>915</v>
      </c>
      <c r="C1547" s="29"/>
      <c r="D1547" s="29"/>
      <c r="E1547" s="29"/>
      <c r="F1547" s="29"/>
      <c r="G1547" s="105">
        <v>23.19</v>
      </c>
      <c r="H1547" s="37"/>
      <c r="I1547" s="37"/>
      <c r="J1547" s="37"/>
      <c r="K1547" s="38"/>
      <c r="L1547" s="833"/>
    </row>
    <row r="1548" spans="1:12">
      <c r="A1548" s="36" t="s">
        <v>897</v>
      </c>
      <c r="B1548" s="29" t="s">
        <v>916</v>
      </c>
      <c r="C1548" s="29"/>
      <c r="D1548" s="29"/>
      <c r="E1548" s="29"/>
      <c r="F1548" s="29"/>
      <c r="G1548" s="105">
        <v>16.14</v>
      </c>
      <c r="H1548" s="37"/>
      <c r="I1548" s="37"/>
      <c r="J1548" s="37"/>
      <c r="K1548" s="38"/>
      <c r="L1548" s="833"/>
    </row>
    <row r="1549" spans="1:12">
      <c r="A1549" s="36" t="s">
        <v>898</v>
      </c>
      <c r="B1549" s="29" t="s">
        <v>917</v>
      </c>
      <c r="C1549" s="29"/>
      <c r="D1549" s="29"/>
      <c r="E1549" s="29"/>
      <c r="F1549" s="29"/>
      <c r="G1549" s="105">
        <v>22.43</v>
      </c>
      <c r="H1549" s="37"/>
      <c r="I1549" s="37"/>
      <c r="J1549" s="37"/>
      <c r="K1549" s="38"/>
      <c r="L1549" s="833"/>
    </row>
    <row r="1550" spans="1:12">
      <c r="A1550" s="36" t="s">
        <v>899</v>
      </c>
      <c r="B1550" s="29" t="s">
        <v>918</v>
      </c>
      <c r="C1550" s="29"/>
      <c r="D1550" s="29"/>
      <c r="E1550" s="29"/>
      <c r="F1550" s="29"/>
      <c r="G1550" s="105">
        <v>15.68</v>
      </c>
      <c r="H1550" s="37"/>
      <c r="I1550" s="37"/>
      <c r="J1550" s="37"/>
      <c r="K1550" s="38"/>
      <c r="L1550" s="833"/>
    </row>
    <row r="1551" spans="1:12">
      <c r="A1551" s="36" t="s">
        <v>802</v>
      </c>
      <c r="B1551" s="29" t="s">
        <v>807</v>
      </c>
      <c r="C1551" s="29"/>
      <c r="D1551" s="29"/>
      <c r="E1551" s="29"/>
      <c r="F1551" s="29"/>
      <c r="G1551" s="105">
        <v>18.690000000000001</v>
      </c>
      <c r="H1551" s="37"/>
      <c r="I1551" s="37"/>
      <c r="J1551" s="37"/>
      <c r="K1551" s="38"/>
      <c r="L1551" s="833"/>
    </row>
    <row r="1552" spans="1:12">
      <c r="A1552" s="36" t="s">
        <v>900</v>
      </c>
      <c r="B1552" s="29" t="s">
        <v>919</v>
      </c>
      <c r="C1552" s="29"/>
      <c r="D1552" s="29"/>
      <c r="E1552" s="29"/>
      <c r="F1552" s="29"/>
      <c r="G1552" s="105">
        <v>15.12</v>
      </c>
      <c r="H1552" s="37"/>
      <c r="I1552" s="37"/>
      <c r="J1552" s="37"/>
      <c r="K1552" s="38"/>
      <c r="L1552" s="833"/>
    </row>
    <row r="1553" spans="1:12">
      <c r="A1553" s="36" t="s">
        <v>901</v>
      </c>
      <c r="B1553" s="29" t="s">
        <v>920</v>
      </c>
      <c r="C1553" s="29"/>
      <c r="D1553" s="29"/>
      <c r="E1553" s="29"/>
      <c r="F1553" s="29"/>
      <c r="G1553" s="105">
        <v>18.02</v>
      </c>
      <c r="H1553" s="37"/>
      <c r="I1553" s="37"/>
      <c r="J1553" s="37"/>
      <c r="K1553" s="38"/>
      <c r="L1553" s="833"/>
    </row>
    <row r="1554" spans="1:12">
      <c r="A1554" s="36" t="s">
        <v>803</v>
      </c>
      <c r="B1554" s="29" t="s">
        <v>808</v>
      </c>
      <c r="C1554" s="29"/>
      <c r="D1554" s="29"/>
      <c r="E1554" s="29"/>
      <c r="F1554" s="29"/>
      <c r="G1554" s="105">
        <v>14.68</v>
      </c>
      <c r="H1554" s="37"/>
      <c r="I1554" s="37"/>
      <c r="J1554" s="37"/>
      <c r="K1554" s="38"/>
      <c r="L1554" s="833"/>
    </row>
    <row r="1555" spans="1:12">
      <c r="A1555" s="36" t="s">
        <v>902</v>
      </c>
      <c r="B1555" s="29" t="s">
        <v>921</v>
      </c>
      <c r="C1555" s="29"/>
      <c r="D1555" s="29"/>
      <c r="E1555" s="29"/>
      <c r="F1555" s="29"/>
      <c r="G1555" s="105">
        <v>17.309999999999999</v>
      </c>
      <c r="H1555" s="37"/>
      <c r="I1555" s="37"/>
      <c r="J1555" s="37"/>
      <c r="K1555" s="38"/>
      <c r="L1555" s="833"/>
    </row>
    <row r="1556" spans="1:12">
      <c r="A1556" s="36" t="s">
        <v>804</v>
      </c>
      <c r="B1556" s="29" t="s">
        <v>809</v>
      </c>
      <c r="C1556" s="29"/>
      <c r="D1556" s="29"/>
      <c r="E1556" s="29"/>
      <c r="F1556" s="29"/>
      <c r="G1556" s="105">
        <v>14.13</v>
      </c>
      <c r="H1556" s="37"/>
      <c r="I1556" s="37"/>
      <c r="J1556" s="37"/>
      <c r="K1556" s="38"/>
      <c r="L1556" s="833"/>
    </row>
    <row r="1557" spans="1:12">
      <c r="A1557" s="36" t="s">
        <v>903</v>
      </c>
      <c r="B1557" s="29" t="s">
        <v>922</v>
      </c>
      <c r="C1557" s="29"/>
      <c r="D1557" s="29"/>
      <c r="E1557" s="29"/>
      <c r="F1557" s="29"/>
      <c r="G1557" s="105">
        <v>18.829999999999998</v>
      </c>
      <c r="H1557" s="37"/>
      <c r="I1557" s="37"/>
      <c r="J1557" s="37"/>
      <c r="K1557" s="38"/>
      <c r="L1557" s="833"/>
    </row>
    <row r="1558" spans="1:12">
      <c r="A1558" s="36" t="s">
        <v>904</v>
      </c>
      <c r="B1558" s="29" t="s">
        <v>923</v>
      </c>
      <c r="C1558" s="29"/>
      <c r="D1558" s="29"/>
      <c r="E1558" s="29"/>
      <c r="F1558" s="29"/>
      <c r="G1558" s="105">
        <v>16.57</v>
      </c>
      <c r="H1558" s="37"/>
      <c r="I1558" s="37"/>
      <c r="J1558" s="37"/>
      <c r="K1558" s="38"/>
      <c r="L1558" s="833"/>
    </row>
    <row r="1559" spans="1:12">
      <c r="A1559" s="36" t="s">
        <v>805</v>
      </c>
      <c r="B1559" s="29" t="s">
        <v>810</v>
      </c>
      <c r="C1559" s="29"/>
      <c r="D1559" s="29"/>
      <c r="E1559" s="29"/>
      <c r="F1559" s="29"/>
      <c r="G1559" s="105">
        <v>13.55</v>
      </c>
      <c r="H1559" s="37"/>
      <c r="I1559" s="37"/>
      <c r="J1559" s="37"/>
      <c r="K1559" s="38"/>
      <c r="L1559" s="833"/>
    </row>
    <row r="1560" spans="1:12">
      <c r="A1560" s="36" t="s">
        <v>905</v>
      </c>
      <c r="B1560" s="29" t="s">
        <v>924</v>
      </c>
      <c r="C1560" s="29"/>
      <c r="D1560" s="29"/>
      <c r="E1560" s="29"/>
      <c r="F1560" s="29"/>
      <c r="G1560" s="105">
        <v>17.8</v>
      </c>
      <c r="H1560" s="37"/>
      <c r="I1560" s="37"/>
      <c r="J1560" s="37"/>
      <c r="K1560" s="38"/>
      <c r="L1560" s="833"/>
    </row>
    <row r="1561" spans="1:12">
      <c r="A1561" s="36" t="s">
        <v>906</v>
      </c>
      <c r="B1561" s="29" t="s">
        <v>925</v>
      </c>
      <c r="C1561" s="29"/>
      <c r="D1561" s="29"/>
      <c r="E1561" s="29"/>
      <c r="F1561" s="29"/>
      <c r="G1561" s="105">
        <v>15.78</v>
      </c>
      <c r="H1561" s="37"/>
      <c r="I1561" s="37"/>
      <c r="J1561" s="37"/>
      <c r="K1561" s="38"/>
      <c r="L1561" s="833"/>
    </row>
    <row r="1562" spans="1:12">
      <c r="A1562" s="36" t="s">
        <v>806</v>
      </c>
      <c r="B1562" s="29" t="s">
        <v>811</v>
      </c>
      <c r="C1562" s="29"/>
      <c r="D1562" s="29"/>
      <c r="E1562" s="29"/>
      <c r="F1562" s="29"/>
      <c r="G1562" s="105">
        <v>12.93</v>
      </c>
      <c r="H1562" s="37"/>
      <c r="I1562" s="37"/>
      <c r="J1562" s="37"/>
      <c r="K1562" s="38"/>
      <c r="L1562" s="833"/>
    </row>
    <row r="1563" spans="1:12">
      <c r="A1563" s="36" t="s">
        <v>907</v>
      </c>
      <c r="B1563" s="29" t="s">
        <v>926</v>
      </c>
      <c r="C1563" s="29"/>
      <c r="D1563" s="29"/>
      <c r="E1563" s="29"/>
      <c r="F1563" s="29"/>
      <c r="G1563" s="105">
        <v>16.72</v>
      </c>
      <c r="H1563" s="37"/>
      <c r="I1563" s="37"/>
      <c r="J1563" s="37"/>
      <c r="K1563" s="38"/>
      <c r="L1563" s="833"/>
    </row>
    <row r="1564" spans="1:12">
      <c r="A1564" s="36" t="s">
        <v>908</v>
      </c>
      <c r="B1564" s="29" t="s">
        <v>927</v>
      </c>
      <c r="C1564" s="29"/>
      <c r="D1564" s="29"/>
      <c r="E1564" s="29"/>
      <c r="F1564" s="29"/>
      <c r="G1564" s="105">
        <v>12.29</v>
      </c>
      <c r="H1564" s="37"/>
      <c r="I1564" s="37"/>
      <c r="J1564" s="37"/>
      <c r="K1564" s="38"/>
      <c r="L1564" s="833"/>
    </row>
    <row r="1565" spans="1:12">
      <c r="A1565" s="36" t="s">
        <v>928</v>
      </c>
      <c r="B1565" s="29" t="s">
        <v>935</v>
      </c>
      <c r="C1565" s="29"/>
      <c r="D1565" s="29"/>
      <c r="E1565" s="29"/>
      <c r="F1565" s="29"/>
      <c r="G1565" s="105">
        <v>24.54</v>
      </c>
      <c r="H1565" s="37"/>
      <c r="I1565" s="37"/>
      <c r="J1565" s="37"/>
      <c r="K1565" s="38"/>
      <c r="L1565" s="833"/>
    </row>
    <row r="1566" spans="1:12">
      <c r="A1566" s="36" t="s">
        <v>929</v>
      </c>
      <c r="B1566" s="29" t="s">
        <v>936</v>
      </c>
      <c r="C1566" s="29"/>
      <c r="D1566" s="29"/>
      <c r="E1566" s="29"/>
      <c r="F1566" s="29"/>
      <c r="G1566" s="105">
        <v>23.89</v>
      </c>
      <c r="H1566" s="37"/>
      <c r="I1566" s="37"/>
      <c r="J1566" s="37"/>
      <c r="K1566" s="38"/>
      <c r="L1566" s="833"/>
    </row>
    <row r="1567" spans="1:12">
      <c r="A1567" s="36" t="s">
        <v>930</v>
      </c>
      <c r="B1567" s="29" t="s">
        <v>937</v>
      </c>
      <c r="C1567" s="29"/>
      <c r="D1567" s="29"/>
      <c r="E1567" s="29"/>
      <c r="F1567" s="29"/>
      <c r="G1567" s="105">
        <v>19.899999999999999</v>
      </c>
      <c r="H1567" s="37"/>
      <c r="I1567" s="37"/>
      <c r="J1567" s="37"/>
      <c r="K1567" s="38"/>
      <c r="L1567" s="833"/>
    </row>
    <row r="1568" spans="1:12">
      <c r="A1568" s="36" t="s">
        <v>931</v>
      </c>
      <c r="B1568" s="29" t="s">
        <v>938</v>
      </c>
      <c r="C1568" s="29"/>
      <c r="D1568" s="29"/>
      <c r="E1568" s="29"/>
      <c r="F1568" s="29"/>
      <c r="G1568" s="105">
        <v>19.309999999999999</v>
      </c>
      <c r="H1568" s="37"/>
      <c r="I1568" s="37"/>
      <c r="J1568" s="37"/>
      <c r="K1568" s="38"/>
      <c r="L1568" s="833"/>
    </row>
    <row r="1569" spans="1:12">
      <c r="A1569" s="36" t="s">
        <v>932</v>
      </c>
      <c r="B1569" s="29" t="s">
        <v>939</v>
      </c>
      <c r="C1569" s="29"/>
      <c r="D1569" s="29"/>
      <c r="E1569" s="29"/>
      <c r="F1569" s="29"/>
      <c r="G1569" s="105">
        <v>21.62</v>
      </c>
      <c r="H1569" s="37"/>
      <c r="I1569" s="37"/>
      <c r="J1569" s="37"/>
      <c r="K1569" s="38"/>
      <c r="L1569" s="833"/>
    </row>
    <row r="1570" spans="1:12">
      <c r="A1570" s="36" t="s">
        <v>933</v>
      </c>
      <c r="B1570" s="29" t="s">
        <v>940</v>
      </c>
      <c r="C1570" s="29"/>
      <c r="D1570" s="29"/>
      <c r="E1570" s="29"/>
      <c r="F1570" s="29"/>
      <c r="G1570" s="105">
        <v>20.74</v>
      </c>
      <c r="H1570" s="37"/>
      <c r="I1570" s="37"/>
      <c r="J1570" s="37"/>
      <c r="K1570" s="38"/>
      <c r="L1570" s="833"/>
    </row>
    <row r="1571" spans="1:12">
      <c r="A1571" s="36" t="s">
        <v>934</v>
      </c>
      <c r="B1571" s="29" t="s">
        <v>941</v>
      </c>
      <c r="C1571" s="29"/>
      <c r="D1571" s="29"/>
      <c r="E1571" s="29"/>
      <c r="F1571" s="29"/>
      <c r="G1571" s="105">
        <v>19.809999999999999</v>
      </c>
      <c r="H1571" s="37"/>
      <c r="I1571" s="37"/>
      <c r="J1571" s="37"/>
      <c r="K1571" s="38"/>
      <c r="L1571" s="833"/>
    </row>
    <row r="1572" spans="1:12">
      <c r="A1572" s="36" t="s">
        <v>942</v>
      </c>
      <c r="B1572" s="29" t="s">
        <v>958</v>
      </c>
      <c r="C1572" s="29"/>
      <c r="D1572" s="29"/>
      <c r="E1572" s="29"/>
      <c r="F1572" s="29"/>
      <c r="G1572" s="105">
        <v>34.74</v>
      </c>
      <c r="H1572" s="37"/>
      <c r="I1572" s="37"/>
      <c r="J1572" s="37"/>
      <c r="K1572" s="38"/>
      <c r="L1572" s="833"/>
    </row>
    <row r="1573" spans="1:12">
      <c r="A1573" s="36" t="s">
        <v>943</v>
      </c>
      <c r="B1573" s="29" t="s">
        <v>959</v>
      </c>
      <c r="C1573" s="29"/>
      <c r="D1573" s="29"/>
      <c r="E1573" s="29"/>
      <c r="F1573" s="29"/>
      <c r="G1573" s="105">
        <v>46.33</v>
      </c>
      <c r="H1573" s="37"/>
      <c r="I1573" s="37"/>
      <c r="J1573" s="37"/>
      <c r="K1573" s="38"/>
      <c r="L1573" s="833"/>
    </row>
    <row r="1574" spans="1:12">
      <c r="A1574" s="36" t="s">
        <v>944</v>
      </c>
      <c r="B1574" s="29" t="s">
        <v>960</v>
      </c>
      <c r="C1574" s="29"/>
      <c r="D1574" s="29"/>
      <c r="E1574" s="29"/>
      <c r="F1574" s="29"/>
      <c r="G1574" s="105">
        <v>57.92</v>
      </c>
      <c r="H1574" s="37"/>
      <c r="I1574" s="37"/>
      <c r="J1574" s="37"/>
      <c r="K1574" s="38"/>
      <c r="L1574" s="833"/>
    </row>
    <row r="1575" spans="1:12">
      <c r="A1575" s="36" t="s">
        <v>945</v>
      </c>
      <c r="B1575" s="29" t="s">
        <v>961</v>
      </c>
      <c r="C1575" s="29"/>
      <c r="D1575" s="29"/>
      <c r="E1575" s="29"/>
      <c r="F1575" s="29"/>
      <c r="G1575" s="105">
        <v>60.24</v>
      </c>
      <c r="H1575" s="37"/>
      <c r="I1575" s="37"/>
      <c r="J1575" s="37"/>
      <c r="K1575" s="38"/>
      <c r="L1575" s="833"/>
    </row>
    <row r="1576" spans="1:12">
      <c r="A1576" s="36" t="s">
        <v>946</v>
      </c>
      <c r="B1576" s="29" t="s">
        <v>962</v>
      </c>
      <c r="C1576" s="29"/>
      <c r="D1576" s="29"/>
      <c r="E1576" s="29"/>
      <c r="F1576" s="29"/>
      <c r="G1576" s="105">
        <v>64.91</v>
      </c>
      <c r="H1576" s="37"/>
      <c r="I1576" s="37"/>
      <c r="J1576" s="37"/>
      <c r="K1576" s="38"/>
      <c r="L1576" s="833"/>
    </row>
    <row r="1577" spans="1:12">
      <c r="A1577" s="36" t="s">
        <v>947</v>
      </c>
      <c r="B1577" s="29" t="s">
        <v>963</v>
      </c>
      <c r="C1577" s="29"/>
      <c r="D1577" s="29"/>
      <c r="E1577" s="29"/>
      <c r="F1577" s="29"/>
      <c r="G1577" s="105">
        <v>69.510000000000005</v>
      </c>
      <c r="H1577" s="37"/>
      <c r="I1577" s="37"/>
      <c r="J1577" s="37"/>
      <c r="K1577" s="38"/>
      <c r="L1577" s="833"/>
    </row>
    <row r="1578" spans="1:12">
      <c r="A1578" s="36" t="s">
        <v>948</v>
      </c>
      <c r="B1578" s="29" t="s">
        <v>964</v>
      </c>
      <c r="C1578" s="29"/>
      <c r="D1578" s="29"/>
      <c r="E1578" s="29"/>
      <c r="F1578" s="29"/>
      <c r="G1578" s="105">
        <v>62.15</v>
      </c>
      <c r="H1578" s="37"/>
      <c r="I1578" s="37"/>
      <c r="J1578" s="37"/>
      <c r="K1578" s="38"/>
      <c r="L1578" s="833"/>
    </row>
    <row r="1579" spans="1:12">
      <c r="A1579" s="36" t="s">
        <v>949</v>
      </c>
      <c r="B1579" s="29" t="s">
        <v>965</v>
      </c>
      <c r="C1579" s="29"/>
      <c r="D1579" s="29"/>
      <c r="E1579" s="29"/>
      <c r="F1579" s="29"/>
      <c r="G1579" s="105">
        <v>30.914000000000001</v>
      </c>
      <c r="H1579" s="37"/>
      <c r="I1579" s="37"/>
      <c r="J1579" s="37"/>
      <c r="K1579" s="38"/>
      <c r="L1579" s="833"/>
    </row>
    <row r="1580" spans="1:12">
      <c r="A1580" s="36" t="s">
        <v>950</v>
      </c>
      <c r="B1580" s="29" t="s">
        <v>966</v>
      </c>
      <c r="C1580" s="29"/>
      <c r="D1580" s="29"/>
      <c r="E1580" s="29"/>
      <c r="F1580" s="29"/>
      <c r="G1580" s="105">
        <v>41.23</v>
      </c>
      <c r="H1580" s="37"/>
      <c r="I1580" s="37"/>
      <c r="J1580" s="37"/>
      <c r="K1580" s="38"/>
      <c r="L1580" s="833"/>
    </row>
    <row r="1581" spans="1:12">
      <c r="A1581" s="36" t="s">
        <v>951</v>
      </c>
      <c r="B1581" s="29" t="s">
        <v>967</v>
      </c>
      <c r="C1581" s="29"/>
      <c r="D1581" s="29"/>
      <c r="E1581" s="29"/>
      <c r="F1581" s="29"/>
      <c r="G1581" s="105">
        <v>51.54</v>
      </c>
      <c r="H1581" s="37"/>
      <c r="I1581" s="37"/>
      <c r="J1581" s="37"/>
      <c r="K1581" s="38"/>
      <c r="L1581" s="833"/>
    </row>
    <row r="1582" spans="1:12">
      <c r="A1582" s="36" t="s">
        <v>952</v>
      </c>
      <c r="B1582" s="29" t="s">
        <v>968</v>
      </c>
      <c r="C1582" s="29"/>
      <c r="D1582" s="29"/>
      <c r="E1582" s="29"/>
      <c r="F1582" s="29"/>
      <c r="G1582" s="105">
        <v>57.73</v>
      </c>
      <c r="H1582" s="37"/>
      <c r="I1582" s="37"/>
      <c r="J1582" s="37"/>
      <c r="K1582" s="38"/>
      <c r="L1582" s="833"/>
    </row>
    <row r="1583" spans="1:12">
      <c r="A1583" s="36" t="s">
        <v>953</v>
      </c>
      <c r="B1583" s="29" t="s">
        <v>969</v>
      </c>
      <c r="C1583" s="29"/>
      <c r="D1583" s="29"/>
      <c r="E1583" s="29"/>
      <c r="F1583" s="29"/>
      <c r="G1583" s="105">
        <v>17.654</v>
      </c>
      <c r="H1583" s="37"/>
      <c r="I1583" s="37"/>
      <c r="J1583" s="37"/>
      <c r="K1583" s="38"/>
      <c r="L1583" s="833"/>
    </row>
    <row r="1584" spans="1:12">
      <c r="A1584" s="36" t="s">
        <v>954</v>
      </c>
      <c r="B1584" s="29" t="s">
        <v>970</v>
      </c>
      <c r="C1584" s="29"/>
      <c r="D1584" s="29"/>
      <c r="E1584" s="29"/>
      <c r="F1584" s="29"/>
      <c r="G1584" s="105">
        <v>26.5</v>
      </c>
      <c r="H1584" s="37"/>
      <c r="I1584" s="37"/>
      <c r="J1584" s="37"/>
      <c r="K1584" s="38"/>
      <c r="L1584" s="833"/>
    </row>
    <row r="1585" spans="1:22">
      <c r="A1585" s="36" t="s">
        <v>955</v>
      </c>
      <c r="B1585" s="29" t="s">
        <v>971</v>
      </c>
      <c r="C1585" s="29"/>
      <c r="D1585" s="29"/>
      <c r="E1585" s="29"/>
      <c r="F1585" s="29"/>
      <c r="G1585" s="105">
        <v>35.340000000000003</v>
      </c>
      <c r="H1585" s="37"/>
      <c r="I1585" s="37"/>
      <c r="J1585" s="37"/>
      <c r="K1585" s="38"/>
      <c r="L1585" s="833"/>
    </row>
    <row r="1586" spans="1:22">
      <c r="A1586" s="36" t="s">
        <v>956</v>
      </c>
      <c r="B1586" s="29" t="s">
        <v>972</v>
      </c>
      <c r="C1586" s="29"/>
      <c r="D1586" s="29"/>
      <c r="E1586" s="29"/>
      <c r="F1586" s="29"/>
      <c r="G1586" s="105">
        <v>44.18</v>
      </c>
      <c r="H1586" s="37"/>
      <c r="I1586" s="37"/>
      <c r="J1586" s="37"/>
      <c r="K1586" s="38"/>
      <c r="L1586" s="833"/>
    </row>
    <row r="1587" spans="1:22" ht="13.8" thickBot="1">
      <c r="A1587" s="36" t="s">
        <v>957</v>
      </c>
      <c r="B1587" s="29" t="s">
        <v>973</v>
      </c>
      <c r="C1587" s="29"/>
      <c r="D1587" s="29"/>
      <c r="E1587" s="29"/>
      <c r="F1587" s="29"/>
      <c r="G1587" s="105">
        <v>49.48</v>
      </c>
      <c r="H1587" s="37"/>
      <c r="I1587" s="37"/>
      <c r="J1587" s="37"/>
      <c r="K1587" s="38"/>
      <c r="L1587" s="833"/>
    </row>
    <row r="1588" spans="1:22" ht="25.2" thickBot="1">
      <c r="A1588" s="61" t="s">
        <v>1093</v>
      </c>
      <c r="B1588" s="91"/>
      <c r="C1588" s="91"/>
      <c r="D1588" s="91"/>
      <c r="E1588" s="91"/>
      <c r="F1588" s="91"/>
      <c r="G1588" s="103"/>
      <c r="H1588" s="92"/>
      <c r="I1588" s="92"/>
      <c r="J1588" s="92"/>
      <c r="K1588" s="92"/>
      <c r="L1588" s="96"/>
      <c r="R1588" s="22"/>
      <c r="S1588" s="22"/>
      <c r="T1588" s="20"/>
      <c r="U1588" s="20"/>
      <c r="V1588" s="20"/>
    </row>
    <row r="1589" spans="1:22">
      <c r="A1589" s="73"/>
      <c r="G1589" s="21"/>
      <c r="H1589" s="20"/>
      <c r="I1589" s="20"/>
      <c r="J1589" s="20"/>
      <c r="L1589" s="798"/>
      <c r="M1589" s="20"/>
      <c r="N1589" s="20"/>
      <c r="O1589" s="20"/>
      <c r="P1589" s="20"/>
      <c r="Q1589" s="21"/>
      <c r="R1589" s="22"/>
      <c r="S1589" s="20"/>
      <c r="T1589" s="20"/>
      <c r="U1589" s="22"/>
      <c r="V1589" s="20"/>
    </row>
    <row r="1590" spans="1:22">
      <c r="A1590" s="290"/>
      <c r="G1590" s="21"/>
      <c r="H1590" s="20"/>
      <c r="I1590" s="20"/>
      <c r="J1590" s="20"/>
      <c r="L1590" s="798"/>
      <c r="M1590" s="20"/>
      <c r="N1590" s="20"/>
      <c r="O1590" s="20"/>
      <c r="P1590" s="20"/>
      <c r="Q1590" s="21"/>
      <c r="R1590" s="22"/>
      <c r="S1590" s="20"/>
      <c r="T1590" s="20"/>
      <c r="U1590" s="22"/>
      <c r="V1590" s="20"/>
    </row>
    <row r="1591" spans="1:22">
      <c r="A1591" s="289"/>
      <c r="G1591" s="21"/>
      <c r="H1591" s="20"/>
      <c r="I1591" s="20"/>
      <c r="J1591" s="20"/>
      <c r="L1591" s="798"/>
      <c r="M1591" s="20"/>
      <c r="N1591" s="20"/>
      <c r="O1591" s="20"/>
      <c r="P1591" s="20"/>
      <c r="Q1591" s="21"/>
      <c r="R1591" s="22"/>
      <c r="S1591" s="20"/>
      <c r="T1591" s="20"/>
      <c r="U1591" s="22"/>
      <c r="V1591" s="20"/>
    </row>
    <row r="1592" spans="1:22">
      <c r="A1592" s="290" t="s">
        <v>975</v>
      </c>
      <c r="G1592" s="17">
        <f>(75000*100)/1000000</f>
        <v>7.5</v>
      </c>
      <c r="L1592" s="798"/>
    </row>
    <row r="1593" spans="1:22">
      <c r="A1593" s="290" t="s">
        <v>976</v>
      </c>
      <c r="G1593" s="17">
        <f>(76875*100)/1000000</f>
        <v>7.6875</v>
      </c>
      <c r="L1593" s="798"/>
    </row>
    <row r="1594" spans="1:22">
      <c r="A1594" s="290" t="s">
        <v>977</v>
      </c>
      <c r="G1594" s="17">
        <f>(108000*100)/1000000</f>
        <v>10.8</v>
      </c>
      <c r="L1594" s="798"/>
    </row>
    <row r="1595" spans="1:22" ht="13.8" thickBot="1">
      <c r="A1595" s="290" t="s">
        <v>978</v>
      </c>
      <c r="B1595" s="3"/>
      <c r="C1595" s="3"/>
      <c r="D1595" s="3"/>
      <c r="E1595" s="3"/>
      <c r="F1595" s="3"/>
      <c r="G1595" s="17">
        <f>(74250*100)/1000000</f>
        <v>7.4249999999999998</v>
      </c>
      <c r="L1595" s="798"/>
    </row>
    <row r="1596" spans="1:22" ht="25.2" thickBot="1">
      <c r="A1596" s="61" t="s">
        <v>1076</v>
      </c>
      <c r="B1596" s="91"/>
      <c r="C1596" s="91"/>
      <c r="D1596" s="91"/>
      <c r="E1596" s="91"/>
      <c r="F1596" s="91"/>
      <c r="G1596" s="103"/>
      <c r="H1596" s="92"/>
      <c r="I1596" s="92"/>
      <c r="J1596" s="92"/>
      <c r="K1596" s="92"/>
      <c r="L1596" s="96"/>
      <c r="R1596" s="22"/>
      <c r="S1596" s="22"/>
      <c r="T1596" s="20"/>
      <c r="U1596" s="20"/>
      <c r="V1596" s="20"/>
    </row>
    <row r="1597" spans="1:22">
      <c r="A1597" s="290" t="s">
        <v>1083</v>
      </c>
      <c r="B1597" s="2" t="s">
        <v>1815</v>
      </c>
      <c r="G1597" s="17">
        <f>5.3/185</f>
        <v>2.8648648648648647E-2</v>
      </c>
      <c r="L1597" s="798"/>
    </row>
    <row r="1598" spans="1:22">
      <c r="A1598" s="290" t="s">
        <v>1084</v>
      </c>
      <c r="B1598" s="2" t="s">
        <v>1815</v>
      </c>
      <c r="G1598" s="17">
        <f>4.5/140</f>
        <v>3.214285714285714E-2</v>
      </c>
      <c r="L1598" s="798"/>
    </row>
    <row r="1599" spans="1:22">
      <c r="A1599" s="290" t="s">
        <v>1085</v>
      </c>
      <c r="B1599" s="2" t="s">
        <v>1815</v>
      </c>
      <c r="G1599" s="17">
        <f>4/120</f>
        <v>3.3333333333333333E-2</v>
      </c>
      <c r="L1599" s="798"/>
    </row>
    <row r="1600" spans="1:22">
      <c r="A1600" s="290" t="s">
        <v>1086</v>
      </c>
      <c r="B1600" s="2" t="s">
        <v>1815</v>
      </c>
      <c r="G1600" s="17">
        <f>5.2/180</f>
        <v>2.8888888888888891E-2</v>
      </c>
      <c r="L1600" s="798"/>
    </row>
    <row r="1601" spans="1:22">
      <c r="A1601" s="290" t="s">
        <v>1816</v>
      </c>
      <c r="B1601" s="2" t="s">
        <v>1817</v>
      </c>
      <c r="G1601" s="17">
        <f>4.5/140</f>
        <v>3.214285714285714E-2</v>
      </c>
      <c r="L1601" s="798"/>
    </row>
    <row r="1602" spans="1:22">
      <c r="A1602" s="290"/>
      <c r="L1602" s="798"/>
    </row>
    <row r="1603" spans="1:22">
      <c r="A1603" s="290"/>
      <c r="L1603" s="798"/>
    </row>
    <row r="1604" spans="1:22">
      <c r="A1604" s="290"/>
      <c r="L1604" s="798"/>
    </row>
    <row r="1605" spans="1:22">
      <c r="A1605" s="290"/>
      <c r="L1605" s="798"/>
    </row>
    <row r="1606" spans="1:22">
      <c r="A1606" s="290"/>
      <c r="L1606" s="798"/>
    </row>
    <row r="1607" spans="1:22">
      <c r="A1607" s="290"/>
      <c r="L1607" s="798"/>
    </row>
    <row r="1608" spans="1:22">
      <c r="A1608" s="290"/>
      <c r="L1608" s="798"/>
    </row>
    <row r="1609" spans="1:22">
      <c r="A1609" s="290"/>
      <c r="L1609" s="798"/>
    </row>
    <row r="1610" spans="1:22">
      <c r="A1610" s="290"/>
      <c r="L1610" s="798"/>
    </row>
    <row r="1611" spans="1:22" ht="13.8" thickBot="1">
      <c r="L1611" s="798"/>
    </row>
    <row r="1612" spans="1:22" ht="25.2" thickBot="1">
      <c r="A1612" s="61" t="s">
        <v>1146</v>
      </c>
      <c r="B1612" s="91"/>
      <c r="C1612" s="91"/>
      <c r="D1612" s="91"/>
      <c r="E1612" s="91"/>
      <c r="F1612" s="91"/>
      <c r="G1612" s="103"/>
      <c r="H1612" s="92"/>
      <c r="I1612" s="92"/>
      <c r="J1612" s="92"/>
      <c r="K1612" s="92"/>
      <c r="L1612" s="96"/>
      <c r="R1612" s="22"/>
      <c r="S1612" s="22"/>
      <c r="T1612" s="20"/>
      <c r="U1612" s="20"/>
      <c r="V1612" s="20"/>
    </row>
    <row r="1613" spans="1:22" customFormat="1">
      <c r="A1613" s="349" t="s">
        <v>1147</v>
      </c>
      <c r="B1613" s="339"/>
      <c r="C1613" s="339" t="s">
        <v>1148</v>
      </c>
      <c r="D1613" s="339" t="s">
        <v>1149</v>
      </c>
      <c r="E1613" s="339" t="s">
        <v>1150</v>
      </c>
      <c r="F1613" s="339" t="s">
        <v>1155</v>
      </c>
      <c r="G1613" s="339" t="s">
        <v>1165</v>
      </c>
      <c r="H1613" s="3"/>
      <c r="K1613" t="s">
        <v>1151</v>
      </c>
      <c r="L1613" s="795"/>
      <c r="M1613" s="3"/>
      <c r="T1613" s="20"/>
      <c r="U1613" s="20"/>
    </row>
    <row r="1614" spans="1:22" customFormat="1" ht="14.4">
      <c r="A1614" s="383" t="str">
        <f t="shared" ref="A1614:A1652" si="156">F1614&amp;"."&amp;C1614&amp;"-"&amp;D1614&amp;"-"&amp;E1614&amp;"K"</f>
        <v>CH1.8-100-304K</v>
      </c>
      <c r="B1614" s="383"/>
      <c r="C1614" s="367">
        <v>8</v>
      </c>
      <c r="D1614" s="367">
        <v>100</v>
      </c>
      <c r="E1614" s="358">
        <v>304</v>
      </c>
      <c r="F1614" s="335" t="s">
        <v>1152</v>
      </c>
      <c r="G1614" s="341">
        <f t="shared" ref="G1614:G1652" si="157">K1614/10^6</f>
        <v>1.1640821292571471E-2</v>
      </c>
      <c r="H1614" s="3"/>
      <c r="I1614" s="337"/>
      <c r="J1614" s="337"/>
      <c r="K1614" s="338">
        <f>((PI()*C1614^2)/4)*(IF(C1614=6,55.133,IF(C1614=8,57.227,IF(C1614=10,59.322)))+((2/SQRT(3))*(D1614-(IF(C1614=6,22.5,IF(C1614=8,24.5,IF(C1614=10,26.5))))))*2*1)</f>
        <v>11640.821292571471</v>
      </c>
      <c r="L1614" s="796"/>
      <c r="M1614" s="3"/>
      <c r="T1614" s="20"/>
      <c r="U1614" s="20"/>
    </row>
    <row r="1615" spans="1:22" customFormat="1" ht="14.4">
      <c r="A1615" s="383" t="str">
        <f t="shared" si="156"/>
        <v>CH1.--K</v>
      </c>
      <c r="B1615" s="383"/>
      <c r="C1615" s="367"/>
      <c r="D1615" s="367"/>
      <c r="E1615" s="367"/>
      <c r="F1615" s="335" t="s">
        <v>1152</v>
      </c>
      <c r="G1615" s="341">
        <f t="shared" si="157"/>
        <v>0</v>
      </c>
      <c r="H1615" s="3"/>
      <c r="I1615" s="337"/>
      <c r="J1615" s="337"/>
      <c r="K1615" s="338">
        <f>((PI()*C1615^2)/4)*(IF(C1615=6,55.133,IF(C1615=8,57.227,IF(C1615=10,59.322)))+((2/SQRT(3))*(D1615-(IF(C1615=6,22.5,IF(C1615=8,24.5,IF(C1615=10,26.5))))))*2*1)</f>
        <v>0</v>
      </c>
      <c r="L1615" s="796"/>
      <c r="M1615" s="3"/>
      <c r="T1615" s="20"/>
      <c r="U1615" s="20"/>
    </row>
    <row r="1616" spans="1:22" customFormat="1" ht="14.4">
      <c r="A1616" s="383" t="str">
        <f t="shared" si="156"/>
        <v>CH1.--K</v>
      </c>
      <c r="B1616" s="383"/>
      <c r="C1616" s="367"/>
      <c r="D1616" s="367"/>
      <c r="E1616" s="367"/>
      <c r="F1616" s="335" t="s">
        <v>1152</v>
      </c>
      <c r="G1616" s="341">
        <f t="shared" si="157"/>
        <v>0</v>
      </c>
      <c r="H1616" s="3"/>
      <c r="I1616" s="337"/>
      <c r="J1616" s="337"/>
      <c r="K1616" s="338">
        <f>((PI()*C1616^2)/4)*(IF(C1616=6,55.133,IF(C1616=8,57.227,IF(C1616=10,59.322)))+((2/SQRT(3))*(D1616-(IF(C1616=6,22.5,IF(C1616=8,24.5,IF(C1616=10,26.5))))))*2*1)</f>
        <v>0</v>
      </c>
      <c r="L1616" s="796"/>
      <c r="M1616" s="3"/>
      <c r="T1616" s="20"/>
      <c r="U1616" s="20"/>
    </row>
    <row r="1617" spans="1:21" customFormat="1" ht="14.4">
      <c r="A1617" s="381" t="str">
        <f t="shared" si="156"/>
        <v>CH2.8-100-Material?K</v>
      </c>
      <c r="B1617" s="381"/>
      <c r="C1617" s="367">
        <v>8</v>
      </c>
      <c r="D1617" s="367">
        <v>100</v>
      </c>
      <c r="E1617" s="358" t="s">
        <v>1180</v>
      </c>
      <c r="F1617" s="335" t="s">
        <v>1153</v>
      </c>
      <c r="G1617" s="341">
        <f t="shared" si="157"/>
        <v>1.2079035218970456E-2</v>
      </c>
      <c r="H1617" s="3"/>
      <c r="I1617" s="337"/>
      <c r="J1617" s="337"/>
      <c r="K1617" s="338">
        <f>((PI()*C1617^2)/4)*(IF(C1617=6,55.133,IF(C1617=8,57.227,IF(C1617=10,59.322)))+((2/SQRT(3))*(D1617-(IF(C1617=6,22.5,IF(C1617=8,24.5,IF(C1617=10,26.5))))))*2*1.05)</f>
        <v>12079.035218970457</v>
      </c>
      <c r="L1617" s="796"/>
      <c r="M1617" s="3"/>
      <c r="T1617" s="20"/>
      <c r="U1617" s="20"/>
    </row>
    <row r="1618" spans="1:21" customFormat="1" ht="14.4">
      <c r="A1618" s="381" t="str">
        <f t="shared" si="156"/>
        <v>CH2.--K</v>
      </c>
      <c r="B1618" s="381"/>
      <c r="C1618" s="367"/>
      <c r="D1618" s="367"/>
      <c r="E1618" s="380"/>
      <c r="F1618" s="335" t="s">
        <v>1153</v>
      </c>
      <c r="G1618" s="341">
        <f t="shared" si="157"/>
        <v>0</v>
      </c>
      <c r="H1618" s="3"/>
      <c r="I1618" s="337"/>
      <c r="J1618" s="337"/>
      <c r="K1618" s="338">
        <f>((PI()*C1618^2)/4)*(IF(C1618=6,55.133,IF(C1618=8,57.227,IF(C1618=10,59.322)))+((2/SQRT(3))*(D1618-(IF(C1618=6,22.5,IF(C1618=8,24.5,IF(C1618=10,26.5))))))*2*1.05)</f>
        <v>0</v>
      </c>
      <c r="L1618" s="796"/>
      <c r="M1618" s="3"/>
      <c r="T1618" s="20"/>
      <c r="U1618" s="20"/>
    </row>
    <row r="1619" spans="1:21" customFormat="1" ht="14.4">
      <c r="A1619" s="381" t="str">
        <f t="shared" si="156"/>
        <v>CH2.--K</v>
      </c>
      <c r="B1619" s="381"/>
      <c r="C1619" s="367"/>
      <c r="D1619" s="367"/>
      <c r="E1619" s="380"/>
      <c r="F1619" s="335" t="s">
        <v>1153</v>
      </c>
      <c r="G1619" s="341">
        <f t="shared" si="157"/>
        <v>0</v>
      </c>
      <c r="H1619" s="3"/>
      <c r="I1619" s="337"/>
      <c r="J1619" s="337"/>
      <c r="K1619" s="338">
        <f>((PI()*C1619^2)/4)*(IF(C1619=6,55.133,IF(C1619=8,57.227,IF(C1619=10,59.322)))+((2/SQRT(3))*(D1619-(IF(C1619=6,22.5,IF(C1619=8,24.5,IF(C1619=10,26.5))))))*2*1.05)</f>
        <v>0</v>
      </c>
      <c r="L1619" s="796"/>
      <c r="M1619" s="3"/>
      <c r="T1619" s="20"/>
      <c r="U1619" s="20"/>
    </row>
    <row r="1620" spans="1:21" customFormat="1" ht="14.4">
      <c r="A1620" s="384" t="str">
        <f t="shared" si="156"/>
        <v>CH3.8-100-Material?K</v>
      </c>
      <c r="B1620" s="384"/>
      <c r="C1620" s="367">
        <v>8</v>
      </c>
      <c r="D1620" s="367">
        <v>100</v>
      </c>
      <c r="E1620" s="358" t="s">
        <v>1180</v>
      </c>
      <c r="F1620" s="335" t="s">
        <v>1154</v>
      </c>
      <c r="G1620" s="341">
        <f t="shared" si="157"/>
        <v>1.1745992634907228E-2</v>
      </c>
      <c r="H1620" s="3"/>
      <c r="I1620" s="337"/>
      <c r="J1620" s="337"/>
      <c r="K1620" s="338">
        <f>((PI()*C1620^2)/4)*(IF(C1620=6,55.133,IF(C1620=8,57.227,IF(C1620=10,59.322)))+((2/SQRT(3))*(D1620-(IF(C1620=6,22.5,IF(C1620=8,24.5,IF(C1620=10,26.5))))))*2*1.012)</f>
        <v>11745.992634907228</v>
      </c>
      <c r="L1620" s="796"/>
      <c r="M1620" s="3"/>
      <c r="T1620" s="20"/>
      <c r="U1620" s="20"/>
    </row>
    <row r="1621" spans="1:21" customFormat="1" ht="14.4">
      <c r="A1621" s="384" t="str">
        <f t="shared" si="156"/>
        <v>CH3.--K</v>
      </c>
      <c r="B1621" s="384"/>
      <c r="C1621" s="367"/>
      <c r="D1621" s="367"/>
      <c r="E1621" s="380"/>
      <c r="F1621" s="335" t="s">
        <v>1154</v>
      </c>
      <c r="G1621" s="341">
        <f t="shared" si="157"/>
        <v>0</v>
      </c>
      <c r="H1621" s="3"/>
      <c r="I1621" s="337"/>
      <c r="J1621" s="337"/>
      <c r="K1621" s="338">
        <f>((PI()*C1621^2)/4)*(IF(C1621=6,55.133,IF(C1621=8,57.227,IF(C1621=10,59.322)))+((2/SQRT(3))*(D1621-(IF(C1621=6,22.5,IF(C1621=8,24.5,IF(C1621=10,26.5))))))*2*1.012)</f>
        <v>0</v>
      </c>
      <c r="L1621" s="796"/>
      <c r="M1621" s="3"/>
      <c r="T1621" s="20"/>
      <c r="U1621" s="20"/>
    </row>
    <row r="1622" spans="1:21" customFormat="1" ht="14.4">
      <c r="A1622" s="384" t="str">
        <f t="shared" si="156"/>
        <v>CH3.--K</v>
      </c>
      <c r="B1622" s="384"/>
      <c r="C1622" s="367"/>
      <c r="D1622" s="367"/>
      <c r="E1622" s="380"/>
      <c r="F1622" s="335" t="s">
        <v>1154</v>
      </c>
      <c r="G1622" s="341">
        <f t="shared" si="157"/>
        <v>0</v>
      </c>
      <c r="H1622" s="3"/>
      <c r="I1622" s="337"/>
      <c r="J1622" s="337"/>
      <c r="K1622" s="338">
        <f>((PI()*C1622^2)/4)*(IF(C1622=6,55.133,IF(C1622=8,57.227,IF(C1622=10,59.322)))+((2/SQRT(3))*(D1622-(IF(C1622=6,22.5,IF(C1622=8,24.5,IF(C1622=10,26.5))))))*2*1.012)</f>
        <v>0</v>
      </c>
      <c r="L1622" s="796"/>
      <c r="M1622" s="3"/>
      <c r="T1622" s="20"/>
      <c r="U1622" s="20"/>
    </row>
    <row r="1623" spans="1:21" customFormat="1" ht="14.4">
      <c r="A1623" s="383" t="str">
        <f t="shared" si="156"/>
        <v>CV1.10-150-Material?K</v>
      </c>
      <c r="B1623" s="383"/>
      <c r="C1623" s="368">
        <v>10</v>
      </c>
      <c r="D1623" s="368">
        <v>150</v>
      </c>
      <c r="E1623" s="358" t="s">
        <v>1180</v>
      </c>
      <c r="F1623" s="64" t="s">
        <v>1156</v>
      </c>
      <c r="G1623" s="343">
        <f t="shared" si="157"/>
        <v>2.5844251553984163E-2</v>
      </c>
      <c r="H1623" s="3"/>
      <c r="I1623" s="337"/>
      <c r="J1623" s="337"/>
      <c r="K1623" s="338">
        <f>((PI()*C1623^2)/4)*(IF(C1623=6,44.279,IF(C1623=8,46.427,IF(C1623=10,48.467)))+((2/SQRT(3))*(D1623-(IF(C1623=6,24.5,IF(C1623=8,26.5,IF(C1623=10,28.5))))))*2*1)</f>
        <v>25844.251553984162</v>
      </c>
      <c r="L1623" s="796"/>
      <c r="T1623" s="20"/>
      <c r="U1623" s="20"/>
    </row>
    <row r="1624" spans="1:21" customFormat="1" ht="14.4">
      <c r="A1624" s="383" t="str">
        <f t="shared" si="156"/>
        <v>CV1.--K</v>
      </c>
      <c r="B1624" s="383"/>
      <c r="C1624" s="368"/>
      <c r="D1624" s="368"/>
      <c r="E1624" s="368"/>
      <c r="F1624" s="64" t="s">
        <v>1156</v>
      </c>
      <c r="G1624" s="343">
        <f t="shared" si="157"/>
        <v>0</v>
      </c>
      <c r="H1624" s="3"/>
      <c r="I1624" s="337"/>
      <c r="J1624" s="337"/>
      <c r="K1624" s="338">
        <f>((PI()*C1624^2)/4)*(IF(C1624=6,44.279,IF(C1624=8,46.427,IF(C1624=10,48.467)))+((2/SQRT(3))*(D1624-(IF(C1624=6,24.5,IF(C1624=8,26.5,IF(C1624=10,28.5))))))*2*1)</f>
        <v>0</v>
      </c>
      <c r="L1624" s="796"/>
      <c r="T1624" s="20"/>
      <c r="U1624" s="20"/>
    </row>
    <row r="1625" spans="1:21" customFormat="1" ht="14.4">
      <c r="A1625" s="383" t="str">
        <f t="shared" si="156"/>
        <v>CV1.--K</v>
      </c>
      <c r="B1625" s="383"/>
      <c r="C1625" s="368"/>
      <c r="D1625" s="368"/>
      <c r="E1625" s="368"/>
      <c r="F1625" s="64" t="s">
        <v>1156</v>
      </c>
      <c r="G1625" s="343">
        <f t="shared" si="157"/>
        <v>0</v>
      </c>
      <c r="H1625" s="3"/>
      <c r="I1625" s="337"/>
      <c r="J1625" s="337"/>
      <c r="K1625" s="338">
        <f>((PI()*C1625^2)/4)*(IF(C1625=6,44.279,IF(C1625=8,46.427,IF(C1625=10,48.467)))+((2/SQRT(3))*(D1625-(IF(C1625=6,24.5,IF(C1625=8,26.5,IF(C1625=10,28.5))))))*2*1)</f>
        <v>0</v>
      </c>
      <c r="L1625" s="796"/>
      <c r="T1625" s="20"/>
      <c r="U1625" s="20"/>
    </row>
    <row r="1626" spans="1:21" customFormat="1" ht="14.4">
      <c r="A1626" s="381" t="str">
        <f t="shared" si="156"/>
        <v>CV2.10-150-Material?K</v>
      </c>
      <c r="B1626" s="381"/>
      <c r="C1626" s="368">
        <v>10</v>
      </c>
      <c r="D1626" s="368">
        <v>150</v>
      </c>
      <c r="E1626" s="358" t="s">
        <v>1180</v>
      </c>
      <c r="F1626" s="64" t="s">
        <v>1157</v>
      </c>
      <c r="G1626" s="343">
        <f t="shared" si="157"/>
        <v>2.6946134667756454E-2</v>
      </c>
      <c r="H1626" s="3"/>
      <c r="I1626" s="337"/>
      <c r="J1626" s="337"/>
      <c r="K1626" s="338">
        <f>((PI()*C1626^2)/4)*(IF(C1626=6,44.279,IF(C1626=8,46.427,IF(C1626=10,48.467)))+((2/SQRT(3))*(D1626-(IF(C1626=6,24.5,IF(C1626=8,26.5,IF(C1626=10,28.5))))))*2*1.05)</f>
        <v>26946.134667756454</v>
      </c>
      <c r="L1626" s="796"/>
      <c r="T1626" s="20"/>
      <c r="U1626" s="20"/>
    </row>
    <row r="1627" spans="1:21" customFormat="1" ht="14.4">
      <c r="A1627" s="381" t="str">
        <f t="shared" si="156"/>
        <v>CV2.--K</v>
      </c>
      <c r="B1627" s="381"/>
      <c r="C1627" s="368"/>
      <c r="D1627" s="368"/>
      <c r="E1627" s="368"/>
      <c r="F1627" s="64" t="s">
        <v>1157</v>
      </c>
      <c r="G1627" s="343">
        <f t="shared" si="157"/>
        <v>0</v>
      </c>
      <c r="H1627" s="3"/>
      <c r="I1627" s="337"/>
      <c r="J1627" s="337"/>
      <c r="K1627" s="338">
        <f>((PI()*C1627^2)/4)*(IF(C1627=6,44.279,IF(C1627=8,46.427,IF(C1627=10,48.467)))+((2/SQRT(3))*(D1627-(IF(C1627=6,24.5,IF(C1627=8,26.5,IF(C1627=10,28.5))))))*2*1.05)</f>
        <v>0</v>
      </c>
      <c r="L1627" s="796"/>
      <c r="T1627" s="20"/>
      <c r="U1627" s="20"/>
    </row>
    <row r="1628" spans="1:21" customFormat="1" ht="14.4">
      <c r="A1628" s="381" t="str">
        <f t="shared" si="156"/>
        <v>CV2.--K</v>
      </c>
      <c r="B1628" s="381"/>
      <c r="C1628" s="368"/>
      <c r="D1628" s="368"/>
      <c r="E1628" s="368"/>
      <c r="F1628" s="64" t="s">
        <v>1157</v>
      </c>
      <c r="G1628" s="343">
        <f t="shared" si="157"/>
        <v>0</v>
      </c>
      <c r="H1628" s="3"/>
      <c r="I1628" s="337"/>
      <c r="J1628" s="337"/>
      <c r="K1628" s="338">
        <f>((PI()*C1628^2)/4)*(IF(C1628=6,44.279,IF(C1628=8,46.427,IF(C1628=10,48.467)))+((2/SQRT(3))*(D1628-(IF(C1628=6,24.5,IF(C1628=8,26.5,IF(C1628=10,28.5))))))*2*1.05)</f>
        <v>0</v>
      </c>
      <c r="L1628" s="796"/>
      <c r="T1628" s="20"/>
      <c r="U1628" s="20"/>
    </row>
    <row r="1629" spans="1:21" customFormat="1" ht="14.4">
      <c r="A1629" s="384" t="str">
        <f t="shared" si="156"/>
        <v>CV3.10-150-Material?K</v>
      </c>
      <c r="B1629" s="384"/>
      <c r="C1629" s="368">
        <v>10</v>
      </c>
      <c r="D1629" s="368">
        <v>150</v>
      </c>
      <c r="E1629" s="358" t="s">
        <v>1180</v>
      </c>
      <c r="F1629" s="64" t="s">
        <v>1158</v>
      </c>
      <c r="G1629" s="343">
        <f t="shared" si="157"/>
        <v>2.848877102703766E-2</v>
      </c>
      <c r="H1629" s="3"/>
      <c r="I1629" s="337"/>
      <c r="J1629" s="337"/>
      <c r="K1629" s="338">
        <f>((PI()*C1629^2)/4)*(IF(C1629=6,44.279,IF(C1629=8,46.427,IF(C1629=10,48.467)))+((2/SQRT(3))*(D1629-(IF(C1629=6,24.5,IF(C1629=8,26.5,IF(C1629=10,28.5))))))*2*1.12)</f>
        <v>28488.771027037659</v>
      </c>
      <c r="L1629" s="796"/>
      <c r="T1629" s="20"/>
      <c r="U1629" s="20"/>
    </row>
    <row r="1630" spans="1:21" customFormat="1" ht="14.4">
      <c r="A1630" s="384" t="str">
        <f t="shared" si="156"/>
        <v>CV3.--K</v>
      </c>
      <c r="B1630" s="384"/>
      <c r="C1630" s="368"/>
      <c r="D1630" s="368"/>
      <c r="E1630" s="368"/>
      <c r="F1630" s="64" t="s">
        <v>1158</v>
      </c>
      <c r="G1630" s="343">
        <f t="shared" si="157"/>
        <v>0</v>
      </c>
      <c r="H1630" s="3"/>
      <c r="I1630" s="337"/>
      <c r="J1630" s="337"/>
      <c r="K1630" s="338">
        <f>((PI()*C1630^2)/4)*(IF(C1630=6,44.279,IF(C1630=8,46.427,IF(C1630=10,48.467)))+((2/SQRT(3))*(D1630-(IF(C1630=6,24.5,IF(C1630=8,26.5,IF(C1630=10,28.5))))))*2*1.12)</f>
        <v>0</v>
      </c>
      <c r="L1630" s="796"/>
      <c r="T1630" s="20"/>
      <c r="U1630" s="20"/>
    </row>
    <row r="1631" spans="1:21" customFormat="1" ht="14.4">
      <c r="A1631" s="384" t="str">
        <f t="shared" si="156"/>
        <v>CV3.--K</v>
      </c>
      <c r="B1631" s="384"/>
      <c r="C1631" s="368"/>
      <c r="D1631" s="368"/>
      <c r="E1631" s="368"/>
      <c r="F1631" s="64" t="s">
        <v>1158</v>
      </c>
      <c r="G1631" s="343">
        <f t="shared" si="157"/>
        <v>0</v>
      </c>
      <c r="H1631" s="3"/>
      <c r="I1631" s="337"/>
      <c r="J1631" s="337"/>
      <c r="K1631" s="338">
        <f>((PI()*C1631^2)/4)*(IF(C1631=6,44.279,IF(C1631=8,46.427,IF(C1631=10,48.467)))+((2/SQRT(3))*(D1631-(IF(C1631=6,24.5,IF(C1631=8,26.5,IF(C1631=10,28.5))))))*2*1.12)</f>
        <v>0</v>
      </c>
      <c r="L1631" s="796"/>
      <c r="T1631" s="20"/>
      <c r="U1631" s="20"/>
    </row>
    <row r="1632" spans="1:21" customFormat="1" ht="14.4">
      <c r="A1632" s="383" t="str">
        <f t="shared" si="156"/>
        <v>STH.10-100-Material?K</v>
      </c>
      <c r="B1632" s="383"/>
      <c r="C1632" s="368">
        <v>10</v>
      </c>
      <c r="D1632" s="368">
        <v>100</v>
      </c>
      <c r="E1632" s="358" t="s">
        <v>1180</v>
      </c>
      <c r="F1632" s="64" t="s">
        <v>1166</v>
      </c>
      <c r="G1632" s="343">
        <f t="shared" si="157"/>
        <v>1.7109192131266354E-2</v>
      </c>
      <c r="H1632" s="3"/>
      <c r="I1632" s="337"/>
      <c r="J1632" s="337"/>
      <c r="K1632" s="338">
        <f>((PI()*C1632^2)/4)*(IF(C1632=6,42.274,IF(C1632=8,46.559,IF(C1632=10,46.841)))+((D1632-(C1632+2))*2)-5)*1</f>
        <v>17109.192131266354</v>
      </c>
      <c r="L1632" s="796"/>
      <c r="M1632" s="3"/>
      <c r="T1632" s="20"/>
      <c r="U1632" s="20"/>
    </row>
    <row r="1633" spans="1:21" customFormat="1" ht="14.4">
      <c r="A1633" s="383" t="str">
        <f t="shared" si="156"/>
        <v>STH.--K</v>
      </c>
      <c r="B1633" s="383"/>
      <c r="C1633" s="368"/>
      <c r="D1633" s="368"/>
      <c r="E1633" s="368"/>
      <c r="F1633" s="64" t="s">
        <v>1166</v>
      </c>
      <c r="G1633" s="343">
        <f t="shared" si="157"/>
        <v>0</v>
      </c>
      <c r="H1633" s="3"/>
      <c r="I1633" s="337"/>
      <c r="J1633" s="337"/>
      <c r="K1633" s="338">
        <f>((PI()*C1633^2)/4)*(IF(C1633=6,42.274,IF(C1633=8,46.559,IF(C1633=10,46.841)))+((D1633-(C1633+2))*2)-5)*1</f>
        <v>0</v>
      </c>
      <c r="L1633" s="796"/>
      <c r="M1633" s="3"/>
      <c r="T1633" s="20"/>
      <c r="U1633" s="20"/>
    </row>
    <row r="1634" spans="1:21" customFormat="1" ht="14.4">
      <c r="A1634" s="383" t="str">
        <f t="shared" si="156"/>
        <v>STH.--K</v>
      </c>
      <c r="B1634" s="383"/>
      <c r="C1634" s="368"/>
      <c r="D1634" s="368"/>
      <c r="E1634" s="368"/>
      <c r="F1634" s="64" t="s">
        <v>1166</v>
      </c>
      <c r="G1634" s="343">
        <f t="shared" si="157"/>
        <v>0</v>
      </c>
      <c r="H1634" s="3"/>
      <c r="I1634" s="337"/>
      <c r="J1634" s="337"/>
      <c r="K1634" s="338">
        <f>((PI()*C1634^2)/4)*(IF(C1634=6,42.274,IF(C1634=8,46.559,IF(C1634=10,46.841)))+((D1634-(C1634+2))*2)-5)*1</f>
        <v>0</v>
      </c>
      <c r="L1634" s="796"/>
      <c r="M1634" s="3"/>
      <c r="T1634" s="20"/>
      <c r="U1634" s="20"/>
    </row>
    <row r="1635" spans="1:21" customFormat="1" ht="14.4">
      <c r="A1635" s="381" t="str">
        <f t="shared" si="156"/>
        <v>CTH.10-100-Material?K</v>
      </c>
      <c r="B1635" s="381"/>
      <c r="C1635" s="368">
        <v>10</v>
      </c>
      <c r="D1635" s="368">
        <v>100</v>
      </c>
      <c r="E1635" s="358" t="s">
        <v>1180</v>
      </c>
      <c r="F1635" s="64" t="s">
        <v>1167</v>
      </c>
      <c r="G1635" s="343">
        <f t="shared" si="157"/>
        <v>1.7964651737829674E-2</v>
      </c>
      <c r="H1635" s="3"/>
      <c r="I1635" s="337"/>
      <c r="J1635" s="337"/>
      <c r="K1635" s="338">
        <f>((PI()*C1635^2)/4)*(IF(C1635=6,42.274,IF(C1635=8,46.559,IF(C1635=10,46.841)))+((D1635-(C1635+2))*2)-5)*1.05</f>
        <v>17964.651737829674</v>
      </c>
      <c r="L1635" s="796"/>
      <c r="M1635" s="3"/>
      <c r="T1635" s="20"/>
      <c r="U1635" s="20"/>
    </row>
    <row r="1636" spans="1:21" customFormat="1" ht="14.4">
      <c r="A1636" s="381" t="str">
        <f t="shared" si="156"/>
        <v>CTH.--K</v>
      </c>
      <c r="B1636" s="381"/>
      <c r="C1636" s="368"/>
      <c r="D1636" s="368"/>
      <c r="E1636" s="368"/>
      <c r="F1636" s="64" t="s">
        <v>1167</v>
      </c>
      <c r="G1636" s="343">
        <f t="shared" si="157"/>
        <v>0</v>
      </c>
      <c r="H1636" s="3"/>
      <c r="I1636" s="337"/>
      <c r="J1636" s="337"/>
      <c r="K1636" s="338">
        <f>((PI()*C1636^2)/4)*(IF(C1636=6,42.274,IF(C1636=8,46.559,IF(C1636=10,46.841)))+((D1636-(C1636+2))*2)-5)*1.05</f>
        <v>0</v>
      </c>
      <c r="L1636" s="796"/>
      <c r="M1636" s="3"/>
      <c r="T1636" s="20"/>
      <c r="U1636" s="20"/>
    </row>
    <row r="1637" spans="1:21" customFormat="1" ht="14.4">
      <c r="A1637" s="381" t="str">
        <f t="shared" si="156"/>
        <v>CTH.--K</v>
      </c>
      <c r="B1637" s="381"/>
      <c r="C1637" s="368"/>
      <c r="D1637" s="368"/>
      <c r="E1637" s="368"/>
      <c r="F1637" s="64" t="s">
        <v>1167</v>
      </c>
      <c r="G1637" s="343">
        <f t="shared" si="157"/>
        <v>0</v>
      </c>
      <c r="H1637" s="3"/>
      <c r="I1637" s="337"/>
      <c r="J1637" s="337"/>
      <c r="K1637" s="338">
        <f>((PI()*C1637^2)/4)*(IF(C1637=6,42.274,IF(C1637=8,46.559,IF(C1637=10,46.841)))+((D1637-(C1637+2))*2)-5)*1.05</f>
        <v>0</v>
      </c>
      <c r="L1637" s="796"/>
      <c r="M1637" s="3"/>
      <c r="T1637" s="20"/>
      <c r="U1637" s="20"/>
    </row>
    <row r="1638" spans="1:21" customFormat="1" ht="14.4">
      <c r="A1638" s="384" t="str">
        <f t="shared" si="156"/>
        <v>HTH.10-100-Material?K</v>
      </c>
      <c r="B1638" s="384"/>
      <c r="C1638" s="368">
        <v>10</v>
      </c>
      <c r="D1638" s="368">
        <v>100</v>
      </c>
      <c r="E1638" s="358" t="s">
        <v>1180</v>
      </c>
      <c r="F1638" s="64" t="s">
        <v>1168</v>
      </c>
      <c r="G1638" s="343">
        <f t="shared" si="157"/>
        <v>1.8649019423080327E-2</v>
      </c>
      <c r="H1638" s="3"/>
      <c r="I1638" s="337"/>
      <c r="J1638" s="337"/>
      <c r="K1638" s="338">
        <f>((PI()*C1638^2)/4)*(IF(C1638=6,42.274,IF(C1638=8,46.559,IF(C1638=10,46.841)))+((D1638-(C1638+2))*2)-5)*1.09</f>
        <v>18649.019423080328</v>
      </c>
      <c r="L1638" s="796"/>
      <c r="M1638" s="3"/>
      <c r="T1638" s="20"/>
      <c r="U1638" s="20"/>
    </row>
    <row r="1639" spans="1:21" customFormat="1" ht="14.4">
      <c r="A1639" s="384" t="str">
        <f t="shared" si="156"/>
        <v>HTH.--K</v>
      </c>
      <c r="B1639" s="384"/>
      <c r="C1639" s="368"/>
      <c r="D1639" s="368"/>
      <c r="E1639" s="368"/>
      <c r="F1639" s="64" t="s">
        <v>1168</v>
      </c>
      <c r="G1639" s="343">
        <f t="shared" si="157"/>
        <v>0</v>
      </c>
      <c r="H1639" s="3"/>
      <c r="I1639" s="337"/>
      <c r="J1639" s="337"/>
      <c r="K1639" s="338">
        <f>((PI()*C1639^2)/4)*(IF(C1639=6,42.274,IF(C1639=8,46.559,IF(C1639=10,46.841)))+((D1639-(C1639+2))*2)-5)*1.09</f>
        <v>0</v>
      </c>
      <c r="L1639" s="796"/>
      <c r="M1639" s="3"/>
      <c r="T1639" s="20"/>
      <c r="U1639" s="20"/>
    </row>
    <row r="1640" spans="1:21" customFormat="1" ht="14.4">
      <c r="A1640" s="384" t="str">
        <f t="shared" si="156"/>
        <v>HTH.--K</v>
      </c>
      <c r="B1640" s="384"/>
      <c r="C1640" s="368"/>
      <c r="D1640" s="368"/>
      <c r="E1640" s="368"/>
      <c r="F1640" s="64" t="s">
        <v>1168</v>
      </c>
      <c r="G1640" s="343">
        <f t="shared" si="157"/>
        <v>0</v>
      </c>
      <c r="H1640" s="3"/>
      <c r="I1640" s="337"/>
      <c r="J1640" s="337"/>
      <c r="K1640" s="338">
        <f>((PI()*C1640^2)/4)*(IF(C1640=6,42.274,IF(C1640=8,46.559,IF(C1640=10,46.841)))+((D1640-(C1640+2))*2)-5)*1.09</f>
        <v>0</v>
      </c>
      <c r="L1640" s="796"/>
      <c r="M1640" s="3"/>
      <c r="T1640" s="20"/>
      <c r="U1640" s="20"/>
    </row>
    <row r="1641" spans="1:21" customFormat="1" ht="14.4">
      <c r="A1641" s="383" t="str">
        <f t="shared" si="156"/>
        <v>STP.10-100-Material?K</v>
      </c>
      <c r="B1641" s="383"/>
      <c r="C1641" s="368">
        <v>10</v>
      </c>
      <c r="D1641" s="368">
        <v>100</v>
      </c>
      <c r="E1641" s="358" t="s">
        <v>1180</v>
      </c>
      <c r="F1641" s="64" t="s">
        <v>1159</v>
      </c>
      <c r="G1641" s="343">
        <f t="shared" si="157"/>
        <v>1.5028672396426513E-2</v>
      </c>
      <c r="H1641" s="3"/>
      <c r="I1641" s="337"/>
      <c r="J1641" s="337"/>
      <c r="K1641" s="338">
        <f>((PI()*C1641^2)/4)*(IF(C1641=6,11.042,IF(C1641=8,14.197,IF(C1641=10,17.351)))+((D1641-(C1641+0.5))*2)-5)*1</f>
        <v>15028.672396426513</v>
      </c>
      <c r="L1641" s="796"/>
      <c r="M1641" s="3"/>
      <c r="T1641" s="20"/>
      <c r="U1641" s="20"/>
    </row>
    <row r="1642" spans="1:21" customFormat="1" ht="14.4">
      <c r="A1642" s="383" t="str">
        <f t="shared" si="156"/>
        <v>STP.--K</v>
      </c>
      <c r="B1642" s="383"/>
      <c r="C1642" s="368"/>
      <c r="D1642" s="368"/>
      <c r="E1642" s="368"/>
      <c r="F1642" s="64" t="s">
        <v>1159</v>
      </c>
      <c r="G1642" s="343">
        <f t="shared" si="157"/>
        <v>0</v>
      </c>
      <c r="H1642" s="3"/>
      <c r="I1642" s="337"/>
      <c r="J1642" s="337"/>
      <c r="K1642" s="338">
        <f>((PI()*C1642^2)/4)*(IF(C1642=6,11.042,IF(C1642=8,14.197,IF(C1642=10,17.351)))+((D1642-(C1642+0.5))*2)-5)*1</f>
        <v>0</v>
      </c>
      <c r="L1642" s="796"/>
      <c r="M1642" s="3"/>
      <c r="T1642" s="20"/>
      <c r="U1642" s="20"/>
    </row>
    <row r="1643" spans="1:21" customFormat="1" ht="14.4">
      <c r="A1643" s="383" t="str">
        <f t="shared" si="156"/>
        <v>STP.--K</v>
      </c>
      <c r="B1643" s="383"/>
      <c r="C1643" s="368"/>
      <c r="D1643" s="368"/>
      <c r="E1643" s="368"/>
      <c r="F1643" s="64" t="s">
        <v>1159</v>
      </c>
      <c r="G1643" s="343">
        <f t="shared" si="157"/>
        <v>0</v>
      </c>
      <c r="H1643" s="3"/>
      <c r="I1643" s="337"/>
      <c r="J1643" s="337"/>
      <c r="K1643" s="338">
        <f>((PI()*C1643^2)/4)*(IF(C1643=6,11.042,IF(C1643=8,14.197,IF(C1643=10,17.351)))+((D1643-(C1643+0.5))*2)-5)*1</f>
        <v>0</v>
      </c>
      <c r="L1643" s="796"/>
      <c r="M1643" s="3"/>
      <c r="T1643" s="20"/>
      <c r="U1643" s="20"/>
    </row>
    <row r="1644" spans="1:21" customFormat="1" ht="14.4">
      <c r="A1644" s="381" t="str">
        <f t="shared" si="156"/>
        <v>CTP.10-100-Material?K</v>
      </c>
      <c r="B1644" s="381"/>
      <c r="C1644" s="368">
        <v>10</v>
      </c>
      <c r="D1644" s="368">
        <v>100</v>
      </c>
      <c r="E1644" s="358" t="s">
        <v>1180</v>
      </c>
      <c r="F1644" s="64" t="s">
        <v>1160</v>
      </c>
      <c r="G1644" s="343">
        <f t="shared" si="157"/>
        <v>1.5780106016247838E-2</v>
      </c>
      <c r="H1644" s="3"/>
      <c r="I1644" s="337"/>
      <c r="J1644" s="337"/>
      <c r="K1644" s="338">
        <f>((PI()*C1644^2)/4)*(IF(C1644=6,11.042,IF(C1644=8,14.197,IF(C1644=10,17.351)))+((D1644-(C1644+0.5))*2)-5)*1.05</f>
        <v>15780.106016247839</v>
      </c>
      <c r="L1644" s="796"/>
      <c r="M1644" s="3"/>
      <c r="T1644" s="20"/>
      <c r="U1644" s="20"/>
    </row>
    <row r="1645" spans="1:21" customFormat="1" ht="14.4">
      <c r="A1645" s="381" t="str">
        <f t="shared" si="156"/>
        <v>CTP.--K</v>
      </c>
      <c r="B1645" s="381"/>
      <c r="C1645" s="368"/>
      <c r="D1645" s="368"/>
      <c r="E1645" s="368"/>
      <c r="F1645" s="64" t="s">
        <v>1160</v>
      </c>
      <c r="G1645" s="343">
        <f t="shared" si="157"/>
        <v>0</v>
      </c>
      <c r="H1645" s="3"/>
      <c r="I1645" s="337"/>
      <c r="J1645" s="337"/>
      <c r="K1645" s="338">
        <f>((PI()*C1645^2)/4)*(IF(C1645=6,11.042,IF(C1645=8,14.197,IF(C1645=10,17.351)))+((D1645-(C1645+0.5))*2)-5)*1.05</f>
        <v>0</v>
      </c>
      <c r="L1645" s="796"/>
      <c r="M1645" s="3"/>
      <c r="T1645" s="20"/>
      <c r="U1645" s="20"/>
    </row>
    <row r="1646" spans="1:21" customFormat="1" ht="14.4">
      <c r="A1646" s="381" t="str">
        <f t="shared" si="156"/>
        <v>CTP.--K</v>
      </c>
      <c r="B1646" s="381"/>
      <c r="C1646" s="368"/>
      <c r="D1646" s="368"/>
      <c r="E1646" s="368"/>
      <c r="F1646" s="64" t="s">
        <v>1160</v>
      </c>
      <c r="G1646" s="343">
        <f t="shared" si="157"/>
        <v>0</v>
      </c>
      <c r="H1646" s="3"/>
      <c r="I1646" s="337"/>
      <c r="J1646" s="337"/>
      <c r="K1646" s="338">
        <f>((PI()*C1646^2)/4)*(IF(C1646=6,11.042,IF(C1646=8,14.197,IF(C1646=10,17.351)))+((D1646-(C1646+0.5))*2)-5)*1.05</f>
        <v>0</v>
      </c>
      <c r="L1646" s="796"/>
      <c r="M1646" s="3"/>
      <c r="T1646" s="20"/>
      <c r="U1646" s="20"/>
    </row>
    <row r="1647" spans="1:21" customFormat="1" ht="14.4">
      <c r="A1647" s="384" t="str">
        <f t="shared" si="156"/>
        <v>HTP.10-100-Material?K</v>
      </c>
      <c r="B1647" s="384"/>
      <c r="C1647" s="368">
        <v>10</v>
      </c>
      <c r="D1647" s="368">
        <v>100</v>
      </c>
      <c r="E1647" s="358" t="s">
        <v>1180</v>
      </c>
      <c r="F1647" s="64" t="s">
        <v>1161</v>
      </c>
      <c r="G1647" s="343">
        <f t="shared" si="157"/>
        <v>1.6381252912104901E-2</v>
      </c>
      <c r="H1647" s="3"/>
      <c r="I1647" s="337"/>
      <c r="J1647" s="337"/>
      <c r="K1647" s="338">
        <f>((PI()*C1647^2)/4)*(IF(C1647=6,11.042,IF(C1647=8,14.197,IF(C1647=10,17.351)))+((D1647-(C1647+0.5))*2)-5)*1.09</f>
        <v>16381.252912104901</v>
      </c>
      <c r="L1647" s="796"/>
      <c r="M1647" s="3"/>
      <c r="T1647" s="20"/>
      <c r="U1647" s="20"/>
    </row>
    <row r="1648" spans="1:21" customFormat="1" ht="14.4">
      <c r="A1648" s="384" t="str">
        <f t="shared" si="156"/>
        <v>HTP.--K</v>
      </c>
      <c r="B1648" s="384"/>
      <c r="C1648" s="368"/>
      <c r="D1648" s="368"/>
      <c r="E1648" s="368"/>
      <c r="F1648" s="64" t="s">
        <v>1161</v>
      </c>
      <c r="G1648" s="343">
        <f t="shared" si="157"/>
        <v>0</v>
      </c>
      <c r="H1648" s="3"/>
      <c r="I1648" s="337"/>
      <c r="J1648" s="337"/>
      <c r="K1648" s="338">
        <f>((PI()*C1648^2)/4)*(IF(C1648=6,11.042,IF(C1648=8,14.197,IF(C1648=10,17.351)))+((D1648-(C1648+0.5))*2)-5)*1.09</f>
        <v>0</v>
      </c>
      <c r="L1648" s="796"/>
      <c r="M1648" s="3"/>
      <c r="T1648" s="20"/>
      <c r="U1648" s="20"/>
    </row>
    <row r="1649" spans="1:21" customFormat="1" ht="14.4">
      <c r="A1649" s="384" t="str">
        <f t="shared" si="156"/>
        <v>HTP.--K</v>
      </c>
      <c r="B1649" s="384"/>
      <c r="C1649" s="368"/>
      <c r="D1649" s="368"/>
      <c r="E1649" s="368"/>
      <c r="F1649" s="64" t="s">
        <v>1161</v>
      </c>
      <c r="G1649" s="343">
        <f t="shared" si="157"/>
        <v>0</v>
      </c>
      <c r="H1649" s="3"/>
      <c r="I1649" s="337"/>
      <c r="J1649" s="337"/>
      <c r="K1649" s="338">
        <f>((PI()*C1649^2)/4)*(IF(C1649=6,11.042,IF(C1649=8,14.197,IF(C1649=10,17.351)))+((D1649-(C1649+0.5))*2)-5)*1.09</f>
        <v>0</v>
      </c>
      <c r="L1649" s="796"/>
      <c r="M1649" s="3"/>
      <c r="T1649" s="20"/>
      <c r="U1649" s="20"/>
    </row>
    <row r="1650" spans="1:21" customFormat="1" ht="14.4">
      <c r="A1650" s="383" t="str">
        <f t="shared" si="156"/>
        <v>SKD.6-100-Material?K</v>
      </c>
      <c r="B1650" s="383"/>
      <c r="C1650" s="368">
        <v>6</v>
      </c>
      <c r="D1650" s="368">
        <v>100</v>
      </c>
      <c r="E1650" s="358" t="s">
        <v>1180</v>
      </c>
      <c r="F1650" s="64" t="s">
        <v>1170</v>
      </c>
      <c r="G1650" s="343">
        <f t="shared" si="157"/>
        <v>5.4581339613085271E-3</v>
      </c>
      <c r="I1650" s="337"/>
      <c r="J1650" s="337"/>
      <c r="K1650" s="338">
        <f>((PI()*C1650^2)/4)*(IF(C1650=6,11.042,IF(C1650=8,14.197,IF(C1650=10,17.351)))+((D1650-(C1650+0.5))*2)-5)*1</f>
        <v>5458.1339613085274</v>
      </c>
      <c r="L1650" s="796"/>
      <c r="T1650" s="20"/>
      <c r="U1650" s="20"/>
    </row>
    <row r="1651" spans="1:21" customFormat="1" ht="14.4">
      <c r="A1651" s="383" t="str">
        <f t="shared" si="156"/>
        <v>SKD.--K</v>
      </c>
      <c r="B1651" s="383"/>
      <c r="C1651" s="368"/>
      <c r="D1651" s="368"/>
      <c r="E1651" s="368"/>
      <c r="F1651" s="64" t="s">
        <v>1170</v>
      </c>
      <c r="G1651" s="343">
        <f t="shared" si="157"/>
        <v>0</v>
      </c>
      <c r="I1651" s="337"/>
      <c r="J1651" s="337"/>
      <c r="K1651" s="338">
        <f>((PI()*C1651^2)/4)*(IF(C1651=6,11.042,IF(C1651=8,14.197,IF(C1651=10,17.351)))+((D1651-(C1651+0.5))*2)-5)*1</f>
        <v>0</v>
      </c>
      <c r="L1651" s="796"/>
      <c r="T1651" s="20"/>
      <c r="U1651" s="20"/>
    </row>
    <row r="1652" spans="1:21" customFormat="1" ht="15" thickBot="1">
      <c r="A1652" s="383" t="str">
        <f t="shared" si="156"/>
        <v>SKD.--K</v>
      </c>
      <c r="B1652" s="383"/>
      <c r="C1652" s="368"/>
      <c r="D1652" s="368"/>
      <c r="E1652" s="368"/>
      <c r="F1652" s="64" t="s">
        <v>1170</v>
      </c>
      <c r="G1652" s="343">
        <f t="shared" si="157"/>
        <v>0</v>
      </c>
      <c r="I1652" s="337"/>
      <c r="J1652" s="337"/>
      <c r="K1652" s="338">
        <f>((PI()*C1652^2)/4)*(IF(C1652=6,11.042,IF(C1652=8,14.197,IF(C1652=10,17.351)))+((D1652-(C1652+0.5))*2)-5)*1</f>
        <v>0</v>
      </c>
      <c r="L1652" s="796"/>
      <c r="T1652" s="20"/>
      <c r="U1652" s="20"/>
    </row>
    <row r="1653" spans="1:21" customFormat="1" ht="14.4">
      <c r="A1653" s="427" t="str">
        <f>F1653&amp;"."&amp;C1653&amp;"-"&amp;E1653</f>
        <v>WB.10-Material?</v>
      </c>
      <c r="B1653" s="64"/>
      <c r="C1653" s="368">
        <v>10</v>
      </c>
      <c r="D1653" s="64"/>
      <c r="E1653" s="358" t="s">
        <v>1180</v>
      </c>
      <c r="F1653" s="64" t="s">
        <v>1171</v>
      </c>
      <c r="G1653" s="342">
        <f>77.78256*(PI()*C1653^2)/4</f>
        <v>6109.0279768351829</v>
      </c>
      <c r="L1653" s="796"/>
      <c r="T1653" s="20"/>
      <c r="U1653" s="20"/>
    </row>
    <row r="1654" spans="1:21" customFormat="1" ht="14.4">
      <c r="A1654" s="418" t="str">
        <f>F1654&amp;"."&amp;C1654&amp;"-"&amp;E1654</f>
        <v>WB.12-Material?</v>
      </c>
      <c r="B1654" s="64"/>
      <c r="C1654" s="368">
        <v>12</v>
      </c>
      <c r="D1654" s="64"/>
      <c r="E1654" s="358" t="s">
        <v>1180</v>
      </c>
      <c r="F1654" s="64" t="s">
        <v>1171</v>
      </c>
      <c r="G1654" s="342">
        <f>77.30728*(PI()*C1654^2)/4</f>
        <v>8743.2473850123297</v>
      </c>
      <c r="L1654" s="796"/>
      <c r="T1654" s="20"/>
      <c r="U1654" s="20"/>
    </row>
    <row r="1655" spans="1:21">
      <c r="L1655" s="796"/>
    </row>
    <row r="1656" spans="1:21" s="290" customFormat="1">
      <c r="A1656" s="349" t="s">
        <v>1147</v>
      </c>
      <c r="B1656" s="349" t="s">
        <v>2125</v>
      </c>
      <c r="C1656" s="344" t="s">
        <v>1148</v>
      </c>
      <c r="D1656" s="344" t="s">
        <v>2126</v>
      </c>
      <c r="E1656" s="344" t="s">
        <v>2127</v>
      </c>
      <c r="F1656" s="344" t="s">
        <v>1150</v>
      </c>
      <c r="G1656" s="339" t="s">
        <v>1165</v>
      </c>
      <c r="H1656" s="339" t="s">
        <v>1155</v>
      </c>
      <c r="L1656" s="796"/>
      <c r="Q1656" s="535"/>
      <c r="R1656" s="2"/>
    </row>
    <row r="1657" spans="1:21" customFormat="1" ht="14.4">
      <c r="A1657" s="381" t="str">
        <f>H1657&amp;"."&amp;C1657&amp;"("&amp;B1657&amp;")"&amp;D1657&amp;"/"&amp;E1657&amp;"-"&amp;F1657</f>
        <v>RCA.8(120)80/20-Material?</v>
      </c>
      <c r="B1657" s="569">
        <v>120</v>
      </c>
      <c r="C1657" s="368">
        <v>8</v>
      </c>
      <c r="D1657" s="368">
        <v>80</v>
      </c>
      <c r="E1657" s="368">
        <v>20</v>
      </c>
      <c r="F1657" s="358" t="s">
        <v>1180</v>
      </c>
      <c r="G1657" s="343">
        <f t="shared" ref="G1657:G1659" si="158">K1657/10^6</f>
        <v>1.8117962998069476E-2</v>
      </c>
      <c r="H1657" s="340" t="s">
        <v>2128</v>
      </c>
      <c r="I1657" s="337"/>
      <c r="J1657" s="337"/>
      <c r="K1657" s="338">
        <f>((PI()*C1657^2)/4)*((120-10-C1657)+((C1657+10)*PI()*180/360)+((D1657-(C1657/2)-5)*2)+((C1657+15)*PI()*B1657/360*2)+(E1657*2))</f>
        <v>18117.962998069477</v>
      </c>
      <c r="L1657" s="796"/>
      <c r="M1657">
        <f>(120-10-C1657)+((C1657+10)*PI()*180/360)+((D1657-(C1657/2)-5)*2)+((C1657+15)*PI()*B1657/360*2)+(E1657*2)</f>
        <v>360.44542123735164</v>
      </c>
    </row>
    <row r="1658" spans="1:21" customFormat="1" ht="14.4">
      <c r="A1658" s="381" t="str">
        <f>H1658&amp;"."&amp;C1658&amp;"("&amp;B1658&amp;")"&amp;D1658&amp;"/"&amp;E1658&amp;"-"&amp;F1658</f>
        <v>RCA.()/-</v>
      </c>
      <c r="B1658" s="569"/>
      <c r="C1658" s="368"/>
      <c r="D1658" s="368"/>
      <c r="E1658" s="368"/>
      <c r="F1658" s="358"/>
      <c r="G1658" s="343">
        <f t="shared" si="158"/>
        <v>0</v>
      </c>
      <c r="H1658" s="340" t="s">
        <v>2128</v>
      </c>
      <c r="I1658" s="337"/>
      <c r="J1658" s="337"/>
      <c r="K1658" s="338">
        <f>((PI()*C1658^2)/4)*((120-10-C1658)+((C1658+10)*PI()*180/360)+((D1658-(C1658/2)-5)*2)+((C1658+15)*PI()*B1658/360*2)+(E1658*2))</f>
        <v>0</v>
      </c>
      <c r="L1658" s="796"/>
      <c r="M1658">
        <f>(120-10-C1658)+((C1658+10)*PI()*180/360)+((D1658-(C1658/2)-5)*2)+((C1658+15)*PI()*B1658/360*2)+(E1658*2)</f>
        <v>115.70796326794897</v>
      </c>
    </row>
    <row r="1659" spans="1:21" customFormat="1" ht="14.4">
      <c r="A1659" s="381" t="str">
        <f>H1659&amp;"."&amp;C1659&amp;"("&amp;B1659&amp;")"&amp;D1659&amp;"/"&amp;E1659&amp;"-"&amp;F1659</f>
        <v>RCA.()/-</v>
      </c>
      <c r="B1659" s="569"/>
      <c r="C1659" s="368"/>
      <c r="D1659" s="368"/>
      <c r="E1659" s="368"/>
      <c r="F1659" s="358"/>
      <c r="G1659" s="343">
        <f t="shared" si="158"/>
        <v>0</v>
      </c>
      <c r="H1659" s="340" t="s">
        <v>2128</v>
      </c>
      <c r="I1659" s="337"/>
      <c r="J1659" s="337"/>
      <c r="K1659" s="338">
        <f>((PI()*C1659^2)/4)*((120-10-C1659)+((C1659+10)*PI()*180/360)+((D1659-(C1659/2)-5)*2)+((C1659+15)*PI()*B1659/360*2)+(E1659*2))</f>
        <v>0</v>
      </c>
      <c r="L1659" s="796"/>
      <c r="M1659">
        <f>(120-10-C1659)+((C1659+10)*PI()*180/360)+((D1659-(C1659/2)-5)*2)+((C1659+15)*PI()*B1659/360*2)+(E1659*2)</f>
        <v>115.70796326794897</v>
      </c>
    </row>
    <row r="1660" spans="1:21" s="290" customFormat="1">
      <c r="A1660" s="570"/>
      <c r="B1660" s="453"/>
      <c r="C1660" s="453"/>
      <c r="D1660" s="453"/>
      <c r="E1660" s="453"/>
      <c r="F1660" s="453"/>
      <c r="G1660" s="571"/>
      <c r="H1660" s="570"/>
      <c r="I1660" s="570"/>
      <c r="J1660" s="570"/>
      <c r="K1660" s="570"/>
      <c r="L1660" s="796"/>
      <c r="Q1660" s="535"/>
      <c r="R1660" s="2"/>
    </row>
    <row r="1661" spans="1:21">
      <c r="A1661" s="349" t="s">
        <v>1147</v>
      </c>
      <c r="B1661" s="340"/>
      <c r="C1661" s="344" t="s">
        <v>1148</v>
      </c>
      <c r="D1661" s="344" t="s">
        <v>1149</v>
      </c>
      <c r="E1661" s="344" t="s">
        <v>1164</v>
      </c>
      <c r="F1661" s="344" t="s">
        <v>1150</v>
      </c>
      <c r="G1661" s="339" t="s">
        <v>1165</v>
      </c>
      <c r="H1661" s="339" t="s">
        <v>1155</v>
      </c>
      <c r="L1661" s="796"/>
    </row>
    <row r="1662" spans="1:21" customFormat="1" ht="14.4">
      <c r="A1662" s="381" t="str">
        <f t="shared" ref="A1662:A1667" si="159">H1662&amp;"."&amp;C1662&amp;"-"&amp;D1662&amp;"("&amp;E1662&amp;")"&amp;"-"&amp;F1662&amp;"K"</f>
        <v>TWA.8-100(30)-Material?K</v>
      </c>
      <c r="B1662" s="381"/>
      <c r="C1662" s="368">
        <v>8</v>
      </c>
      <c r="D1662" s="368">
        <v>100</v>
      </c>
      <c r="E1662" s="368">
        <v>30</v>
      </c>
      <c r="F1662" s="358" t="s">
        <v>1180</v>
      </c>
      <c r="G1662" s="343">
        <f t="shared" ref="G1662:G1670" si="160">K1662/10^6</f>
        <v>1.2940661130251163E-2</v>
      </c>
      <c r="H1662" t="s">
        <v>1162</v>
      </c>
      <c r="I1662" s="337"/>
      <c r="J1662" s="337"/>
      <c r="K1662" s="338">
        <f>((PI()*C1662^2)/4)*(63.407+(E1662-11.5)*2+((2/SQRT(3))*((D1662-E1662)-C1662/4))*2*1)</f>
        <v>12940.661130251163</v>
      </c>
      <c r="L1662" s="796"/>
    </row>
    <row r="1663" spans="1:21" customFormat="1" ht="14.4">
      <c r="A1663" s="381" t="str">
        <f t="shared" si="159"/>
        <v>TWA.-()-K</v>
      </c>
      <c r="B1663" s="381"/>
      <c r="C1663" s="368"/>
      <c r="D1663" s="368"/>
      <c r="E1663" s="368"/>
      <c r="F1663" s="368"/>
      <c r="G1663" s="343">
        <f t="shared" si="160"/>
        <v>0</v>
      </c>
      <c r="H1663" t="s">
        <v>1162</v>
      </c>
      <c r="I1663" s="337"/>
      <c r="J1663" s="337"/>
      <c r="K1663" s="338">
        <f>((PI()*C1663^2)/4)*(63.407+(E1663-11.5)*2+((2/SQRT(3))*((D1663-E1663)-C1663/4))*2*1)</f>
        <v>0</v>
      </c>
      <c r="L1663" s="796"/>
    </row>
    <row r="1664" spans="1:21" customFormat="1" ht="14.4">
      <c r="A1664" s="381" t="str">
        <f t="shared" si="159"/>
        <v>TWA.-()-K</v>
      </c>
      <c r="B1664" s="381"/>
      <c r="C1664" s="368"/>
      <c r="D1664" s="368"/>
      <c r="E1664" s="368"/>
      <c r="F1664" s="368"/>
      <c r="G1664" s="343">
        <f t="shared" si="160"/>
        <v>0</v>
      </c>
      <c r="H1664" t="s">
        <v>1162</v>
      </c>
      <c r="I1664" s="337"/>
      <c r="J1664" s="337"/>
      <c r="K1664" s="338">
        <f>((PI()*C1664^2)/4)*(63.407+(E1664-11.5)*2+((2/SQRT(3))*((D1664-E1664)-C1664/4))*2*1)</f>
        <v>0</v>
      </c>
      <c r="L1664" s="796"/>
    </row>
    <row r="1665" spans="1:15" customFormat="1" ht="14.4">
      <c r="A1665" s="384" t="str">
        <f t="shared" si="159"/>
        <v>TWM.8-100(30)-Material?K</v>
      </c>
      <c r="B1665" s="384"/>
      <c r="C1665" s="368">
        <v>8</v>
      </c>
      <c r="D1665" s="368">
        <v>100</v>
      </c>
      <c r="E1665" s="368">
        <v>30</v>
      </c>
      <c r="F1665" s="358" t="s">
        <v>1180</v>
      </c>
      <c r="G1665" s="343">
        <f t="shared" si="160"/>
        <v>1.3374812146074265E-2</v>
      </c>
      <c r="H1665" t="s">
        <v>1163</v>
      </c>
      <c r="I1665" s="337"/>
      <c r="J1665" s="337"/>
      <c r="K1665" s="338">
        <f>((PI()*C1665^2)/4)*(63.407+(E1665-11.5)*2+((2/SQRT(3))*((D1665-E1665)-C1665/4))*2*1.055)</f>
        <v>13374.812146074266</v>
      </c>
      <c r="L1665" s="796"/>
    </row>
    <row r="1666" spans="1:15" customFormat="1" ht="14.4">
      <c r="A1666" s="384" t="str">
        <f t="shared" si="159"/>
        <v>TWM.-()-K</v>
      </c>
      <c r="B1666" s="384"/>
      <c r="C1666" s="368"/>
      <c r="D1666" s="368"/>
      <c r="E1666" s="368"/>
      <c r="F1666" s="368"/>
      <c r="G1666" s="343">
        <f t="shared" si="160"/>
        <v>0</v>
      </c>
      <c r="H1666" t="s">
        <v>1163</v>
      </c>
      <c r="I1666" s="337"/>
      <c r="J1666" s="337"/>
      <c r="K1666" s="338">
        <f>((PI()*C1666^2)/4)*(63.407+(E1666-11.5)*2+((2/SQRT(3))*((D1666-E1666)-C1666/4))*2*1.055)</f>
        <v>0</v>
      </c>
      <c r="L1666" s="796"/>
    </row>
    <row r="1667" spans="1:15" customFormat="1" ht="15" thickBot="1">
      <c r="A1667" s="384" t="str">
        <f t="shared" si="159"/>
        <v>TWM.-()-K</v>
      </c>
      <c r="B1667" s="384"/>
      <c r="C1667" s="368"/>
      <c r="D1667" s="368"/>
      <c r="E1667" s="368"/>
      <c r="F1667" s="368"/>
      <c r="G1667" s="343">
        <f t="shared" si="160"/>
        <v>0</v>
      </c>
      <c r="H1667" t="s">
        <v>1163</v>
      </c>
      <c r="I1667" s="337"/>
      <c r="J1667" s="337"/>
      <c r="K1667" s="338">
        <f>((PI()*C1667^2)/4)*(63.407+(E1667-11.5)*2+((2/SQRT(3))*((D1667-E1667)-C1667/4))*2*1.055)</f>
        <v>0</v>
      </c>
      <c r="L1667" s="796"/>
    </row>
    <row r="1668" spans="1:15" customFormat="1" ht="15" thickBot="1">
      <c r="A1668" s="427" t="str">
        <f>H1668&amp;"."&amp;C1668&amp;"-"&amp;D1668&amp;"-"&amp;"("&amp;E1668&amp;")"&amp;"-"&amp;F1668&amp;"K"</f>
        <v>YHA.6-100-(30)-Material?K</v>
      </c>
      <c r="B1668" s="345"/>
      <c r="C1668" s="368">
        <v>6</v>
      </c>
      <c r="D1668" s="368">
        <v>100</v>
      </c>
      <c r="E1668" s="368">
        <v>30</v>
      </c>
      <c r="F1668" s="358" t="s">
        <v>1180</v>
      </c>
      <c r="G1668" s="343">
        <f t="shared" si="160"/>
        <v>3.4789242961527835E-2</v>
      </c>
      <c r="H1668" t="s">
        <v>1169</v>
      </c>
      <c r="I1668" s="337"/>
      <c r="J1668" s="337"/>
      <c r="K1668" s="338">
        <f>((32*C1668)*((E1668+((2/SQRT(3))*((D1668-(E1668+C1668/4))))*2)-7))</f>
        <v>34789.242961527838</v>
      </c>
      <c r="L1668" s="796"/>
      <c r="O1668" s="3"/>
    </row>
    <row r="1669" spans="1:15" customFormat="1" ht="15" thickBot="1">
      <c r="A1669" s="427" t="str">
        <f>H1669&amp;"."&amp;C1669&amp;"-"&amp;D1669&amp;"-"&amp;"("&amp;E1669&amp;")"&amp;"-"&amp;F1669&amp;"K"</f>
        <v>YHA.--()-K</v>
      </c>
      <c r="B1669" s="345"/>
      <c r="C1669" s="368"/>
      <c r="D1669" s="368"/>
      <c r="E1669" s="368"/>
      <c r="F1669" s="368"/>
      <c r="G1669" s="343">
        <f t="shared" si="160"/>
        <v>0</v>
      </c>
      <c r="H1669" t="s">
        <v>1169</v>
      </c>
      <c r="I1669" s="337"/>
      <c r="J1669" s="337"/>
      <c r="K1669" s="338">
        <f>((32*C1669)*((E1669+((2/SQRT(3))*((D1669-(E1669+C1669/4))))*2)-7))</f>
        <v>0</v>
      </c>
      <c r="L1669" s="796"/>
      <c r="O1669" s="3"/>
    </row>
    <row r="1670" spans="1:15" customFormat="1" ht="14.4">
      <c r="A1670" s="427" t="str">
        <f>H1670&amp;"."&amp;C1670&amp;"-"&amp;D1670&amp;"-"&amp;"("&amp;E1670&amp;")"&amp;"-"&amp;F1670&amp;"K"</f>
        <v>YHA.--()-K</v>
      </c>
      <c r="B1670" s="345"/>
      <c r="C1670" s="368"/>
      <c r="D1670" s="368"/>
      <c r="E1670" s="368"/>
      <c r="F1670" s="368"/>
      <c r="G1670" s="343">
        <f t="shared" si="160"/>
        <v>0</v>
      </c>
      <c r="H1670" t="s">
        <v>1169</v>
      </c>
      <c r="I1670" s="337"/>
      <c r="J1670" s="337"/>
      <c r="K1670" s="338">
        <f>((32*C1670)*((E1670+((2/SQRT(3))*((D1670-(E1670+C1670/4))))*2)-7))</f>
        <v>0</v>
      </c>
      <c r="L1670" s="796"/>
      <c r="O1670" s="3"/>
    </row>
    <row r="1671" spans="1:15">
      <c r="L1671" s="796"/>
    </row>
    <row r="1672" spans="1:15">
      <c r="A1672" s="349" t="s">
        <v>1147</v>
      </c>
      <c r="C1672" s="344" t="s">
        <v>1149</v>
      </c>
      <c r="E1672" s="339" t="s">
        <v>1150</v>
      </c>
      <c r="F1672" s="339" t="s">
        <v>1155</v>
      </c>
      <c r="G1672" s="339" t="s">
        <v>1165</v>
      </c>
      <c r="L1672" s="796"/>
    </row>
    <row r="1673" spans="1:15" ht="14.4">
      <c r="A1673" s="448" t="str">
        <f t="shared" ref="A1673:A1683" si="161">F1673&amp;C1673&amp;"-"&amp;E1673</f>
        <v>SLA12-Material?</v>
      </c>
      <c r="B1673" s="448"/>
      <c r="C1673" s="358">
        <v>12</v>
      </c>
      <c r="D1673" s="345"/>
      <c r="E1673" s="358" t="s">
        <v>1180</v>
      </c>
      <c r="F1673" s="345" t="s">
        <v>1172</v>
      </c>
      <c r="G1673" s="17">
        <f t="shared" ref="G1673:G1683" si="162">(541.67282+(C1673-2.5)*6*2)*50/10^6</f>
        <v>3.2783641000000002E-2</v>
      </c>
      <c r="L1673" s="796"/>
    </row>
    <row r="1674" spans="1:15" ht="14.4">
      <c r="A1674" s="448" t="str">
        <f t="shared" si="161"/>
        <v>SLA25-Material?</v>
      </c>
      <c r="B1674" s="448"/>
      <c r="C1674" s="358">
        <v>25</v>
      </c>
      <c r="D1674" s="345"/>
      <c r="E1674" s="358" t="s">
        <v>1180</v>
      </c>
      <c r="F1674" s="345" t="s">
        <v>1172</v>
      </c>
      <c r="G1674" s="17">
        <f t="shared" si="162"/>
        <v>4.0583641000000004E-2</v>
      </c>
      <c r="L1674" s="796"/>
    </row>
    <row r="1675" spans="1:15" ht="14.4">
      <c r="A1675" s="448" t="str">
        <f t="shared" si="161"/>
        <v>SLA28-Material?</v>
      </c>
      <c r="B1675" s="448"/>
      <c r="C1675" s="358">
        <v>28</v>
      </c>
      <c r="D1675" s="345"/>
      <c r="E1675" s="358" t="s">
        <v>1180</v>
      </c>
      <c r="F1675" s="345" t="s">
        <v>1172</v>
      </c>
      <c r="G1675" s="17">
        <f t="shared" si="162"/>
        <v>4.2383641000000007E-2</v>
      </c>
      <c r="L1675" s="796"/>
    </row>
    <row r="1676" spans="1:15" ht="14.4">
      <c r="A1676" s="448" t="str">
        <f t="shared" si="161"/>
        <v>SLA32-Material?</v>
      </c>
      <c r="B1676" s="448"/>
      <c r="C1676" s="358">
        <v>32</v>
      </c>
      <c r="D1676" s="345"/>
      <c r="E1676" s="358" t="s">
        <v>1180</v>
      </c>
      <c r="F1676" s="345" t="s">
        <v>1172</v>
      </c>
      <c r="G1676" s="17">
        <f t="shared" si="162"/>
        <v>4.4783641000000006E-2</v>
      </c>
      <c r="L1676" s="796"/>
    </row>
    <row r="1677" spans="1:15" ht="14.4">
      <c r="A1677" s="448" t="str">
        <f t="shared" si="161"/>
        <v>SLA36-Material?</v>
      </c>
      <c r="B1677" s="448"/>
      <c r="C1677" s="358">
        <v>36</v>
      </c>
      <c r="D1677" s="345"/>
      <c r="E1677" s="358" t="s">
        <v>1180</v>
      </c>
      <c r="F1677" s="345" t="s">
        <v>1172</v>
      </c>
      <c r="G1677" s="17">
        <f t="shared" si="162"/>
        <v>4.7183641000000005E-2</v>
      </c>
      <c r="L1677" s="796"/>
    </row>
    <row r="1678" spans="1:15" ht="14.4">
      <c r="A1678" s="448" t="str">
        <f t="shared" si="161"/>
        <v>SLA45-Material?</v>
      </c>
      <c r="B1678" s="448"/>
      <c r="C1678" s="358">
        <v>45</v>
      </c>
      <c r="D1678" s="345"/>
      <c r="E1678" s="358" t="s">
        <v>1180</v>
      </c>
      <c r="F1678" s="345" t="s">
        <v>1172</v>
      </c>
      <c r="G1678" s="17">
        <f t="shared" si="162"/>
        <v>5.2583641E-2</v>
      </c>
      <c r="L1678" s="796"/>
    </row>
    <row r="1679" spans="1:15" ht="14.4">
      <c r="A1679" s="448" t="str">
        <f t="shared" si="161"/>
        <v>SLA50-Material?</v>
      </c>
      <c r="B1679" s="448"/>
      <c r="C1679" s="358">
        <v>50</v>
      </c>
      <c r="D1679" s="345"/>
      <c r="E1679" s="358" t="s">
        <v>1180</v>
      </c>
      <c r="F1679" s="345" t="s">
        <v>1172</v>
      </c>
      <c r="G1679" s="17">
        <f t="shared" si="162"/>
        <v>5.5583641000000003E-2</v>
      </c>
      <c r="L1679" s="796"/>
    </row>
    <row r="1680" spans="1:15" ht="14.4">
      <c r="A1680" s="448" t="str">
        <f t="shared" si="161"/>
        <v>SLA55-Material?</v>
      </c>
      <c r="B1680" s="448"/>
      <c r="C1680" s="358">
        <v>55</v>
      </c>
      <c r="D1680" s="345"/>
      <c r="E1680" s="358" t="s">
        <v>1180</v>
      </c>
      <c r="F1680" s="345" t="s">
        <v>1172</v>
      </c>
      <c r="G1680" s="17">
        <f t="shared" si="162"/>
        <v>5.8583641000000006E-2</v>
      </c>
      <c r="L1680" s="796"/>
    </row>
    <row r="1681" spans="1:12" ht="14.4">
      <c r="A1681" s="448" t="str">
        <f t="shared" si="161"/>
        <v>SLA75-Material?</v>
      </c>
      <c r="B1681" s="448"/>
      <c r="C1681" s="358">
        <v>75</v>
      </c>
      <c r="D1681" s="345"/>
      <c r="E1681" s="358" t="s">
        <v>1180</v>
      </c>
      <c r="F1681" s="345" t="s">
        <v>1172</v>
      </c>
      <c r="G1681" s="17">
        <f t="shared" si="162"/>
        <v>7.0583641000000003E-2</v>
      </c>
      <c r="L1681" s="796"/>
    </row>
    <row r="1682" spans="1:12" ht="14.4">
      <c r="A1682" s="448" t="str">
        <f t="shared" si="161"/>
        <v>SLA105-Material?</v>
      </c>
      <c r="B1682" s="448"/>
      <c r="C1682" s="358">
        <v>105</v>
      </c>
      <c r="D1682" s="345"/>
      <c r="E1682" s="358" t="s">
        <v>1180</v>
      </c>
      <c r="F1682" s="345" t="s">
        <v>1172</v>
      </c>
      <c r="G1682" s="17">
        <f t="shared" si="162"/>
        <v>8.8583641000000005E-2</v>
      </c>
      <c r="L1682" s="796"/>
    </row>
    <row r="1683" spans="1:12" ht="14.4">
      <c r="A1683" s="448" t="str">
        <f t="shared" si="161"/>
        <v>SLA110-Material?</v>
      </c>
      <c r="B1683" s="448"/>
      <c r="C1683" s="358">
        <v>110</v>
      </c>
      <c r="D1683" s="345"/>
      <c r="E1683" s="358" t="s">
        <v>1180</v>
      </c>
      <c r="F1683" s="345" t="s">
        <v>1172</v>
      </c>
      <c r="G1683" s="17">
        <f t="shared" si="162"/>
        <v>9.1583641000000007E-2</v>
      </c>
      <c r="L1683" s="796"/>
    </row>
    <row r="1684" spans="1:12">
      <c r="L1684" s="796"/>
    </row>
    <row r="1685" spans="1:12" ht="14.4">
      <c r="A1685" s="448" t="str">
        <f>F1685&amp;"-"&amp;E1685</f>
        <v>SKL-Material?</v>
      </c>
      <c r="B1685" s="448"/>
      <c r="C1685" s="345"/>
      <c r="D1685" s="345"/>
      <c r="E1685" s="358" t="s">
        <v>1180</v>
      </c>
      <c r="F1685" s="345" t="s">
        <v>1173</v>
      </c>
      <c r="G1685" s="17">
        <f>2630.43242*70/10^6</f>
        <v>0.18413026940000002</v>
      </c>
      <c r="L1685" s="796"/>
    </row>
    <row r="1686" spans="1:12">
      <c r="L1686" s="796"/>
    </row>
    <row r="1687" spans="1:12" ht="14.4">
      <c r="A1687" s="447" t="str">
        <f t="shared" ref="A1687:A1694" si="163">F1687&amp;C1687&amp;"-"&amp;E1687</f>
        <v>BU27-Material?</v>
      </c>
      <c r="B1687" s="447"/>
      <c r="C1687" s="358">
        <v>27</v>
      </c>
      <c r="D1687" s="345"/>
      <c r="E1687" s="358" t="s">
        <v>1180</v>
      </c>
      <c r="F1687" s="345" t="s">
        <v>1174</v>
      </c>
      <c r="G1687" s="17">
        <f t="shared" ref="G1687:G1694" si="164">(1643.68135+(C1687-27)*12*2)*20/10^6</f>
        <v>3.2873627000000002E-2</v>
      </c>
      <c r="L1687" s="796"/>
    </row>
    <row r="1688" spans="1:12" ht="14.4">
      <c r="A1688" s="447" t="str">
        <f t="shared" si="163"/>
        <v>BU42-Material?</v>
      </c>
      <c r="B1688" s="447"/>
      <c r="C1688" s="358">
        <v>42</v>
      </c>
      <c r="D1688" s="345"/>
      <c r="E1688" s="358" t="s">
        <v>1180</v>
      </c>
      <c r="F1688" s="345" t="s">
        <v>1174</v>
      </c>
      <c r="G1688" s="17">
        <f t="shared" si="164"/>
        <v>4.0073627000000001E-2</v>
      </c>
      <c r="L1688" s="796"/>
    </row>
    <row r="1689" spans="1:12" ht="14.4">
      <c r="A1689" s="447" t="str">
        <f t="shared" si="163"/>
        <v>BU52-Material?</v>
      </c>
      <c r="B1689" s="447"/>
      <c r="C1689" s="358">
        <v>52</v>
      </c>
      <c r="D1689" s="345"/>
      <c r="E1689" s="358" t="s">
        <v>1180</v>
      </c>
      <c r="F1689" s="345" t="s">
        <v>1174</v>
      </c>
      <c r="G1689" s="17">
        <f t="shared" si="164"/>
        <v>4.4873626999999992E-2</v>
      </c>
      <c r="L1689" s="796"/>
    </row>
    <row r="1690" spans="1:12" ht="14.4">
      <c r="A1690" s="447" t="str">
        <f t="shared" si="163"/>
        <v>BU77-Material?</v>
      </c>
      <c r="B1690" s="447"/>
      <c r="C1690" s="358">
        <v>77</v>
      </c>
      <c r="D1690" s="345"/>
      <c r="E1690" s="358" t="s">
        <v>1180</v>
      </c>
      <c r="F1690" s="345" t="s">
        <v>1174</v>
      </c>
      <c r="G1690" s="17">
        <f t="shared" si="164"/>
        <v>5.6873626999999996E-2</v>
      </c>
      <c r="L1690" s="796"/>
    </row>
    <row r="1691" spans="1:12" ht="14.4">
      <c r="A1691" s="447" t="str">
        <f t="shared" si="163"/>
        <v>BU102-Material?</v>
      </c>
      <c r="B1691" s="447"/>
      <c r="C1691" s="358">
        <v>102</v>
      </c>
      <c r="D1691" s="345"/>
      <c r="E1691" s="358" t="s">
        <v>1180</v>
      </c>
      <c r="F1691" s="345" t="s">
        <v>1174</v>
      </c>
      <c r="G1691" s="17">
        <f t="shared" si="164"/>
        <v>6.8873626999999993E-2</v>
      </c>
      <c r="L1691" s="796"/>
    </row>
    <row r="1692" spans="1:12" ht="14.4">
      <c r="A1692" s="447" t="str">
        <f t="shared" si="163"/>
        <v>BU127-Material?</v>
      </c>
      <c r="B1692" s="447"/>
      <c r="C1692" s="358">
        <v>127</v>
      </c>
      <c r="D1692" s="345"/>
      <c r="E1692" s="358" t="s">
        <v>1180</v>
      </c>
      <c r="F1692" s="345" t="s">
        <v>1174</v>
      </c>
      <c r="G1692" s="17">
        <f t="shared" si="164"/>
        <v>8.087362699999999E-2</v>
      </c>
      <c r="L1692" s="796"/>
    </row>
    <row r="1693" spans="1:12" ht="14.4">
      <c r="A1693" s="447" t="str">
        <f t="shared" si="163"/>
        <v>BU157-Material?</v>
      </c>
      <c r="B1693" s="447"/>
      <c r="C1693" s="358">
        <v>157</v>
      </c>
      <c r="D1693" s="345"/>
      <c r="E1693" s="358" t="s">
        <v>1180</v>
      </c>
      <c r="F1693" s="345" t="s">
        <v>1174</v>
      </c>
      <c r="G1693" s="17">
        <f t="shared" si="164"/>
        <v>9.5273627E-2</v>
      </c>
      <c r="L1693" s="796"/>
    </row>
    <row r="1694" spans="1:12" ht="14.4">
      <c r="A1694" s="447" t="str">
        <f t="shared" si="163"/>
        <v>BU177-Material?</v>
      </c>
      <c r="B1694" s="447"/>
      <c r="C1694" s="358">
        <v>177</v>
      </c>
      <c r="D1694" s="345"/>
      <c r="E1694" s="358" t="s">
        <v>1180</v>
      </c>
      <c r="F1694" s="345" t="s">
        <v>1174</v>
      </c>
      <c r="G1694" s="17">
        <f t="shared" si="164"/>
        <v>0.104873627</v>
      </c>
      <c r="L1694" s="796"/>
    </row>
    <row r="1695" spans="1:12">
      <c r="L1695" s="796"/>
    </row>
    <row r="1696" spans="1:12" ht="14.4">
      <c r="A1696" s="447" t="str">
        <f>F1696&amp;"-"&amp;E1696</f>
        <v>GKB-Material?</v>
      </c>
      <c r="B1696" s="447"/>
      <c r="C1696" s="345"/>
      <c r="D1696" s="345"/>
      <c r="E1696" s="358" t="s">
        <v>1180</v>
      </c>
      <c r="F1696" s="345" t="s">
        <v>1175</v>
      </c>
      <c r="G1696" s="17">
        <f>1.17/7.85</f>
        <v>0.14904458598726114</v>
      </c>
      <c r="L1696" s="796"/>
    </row>
    <row r="1697" spans="1:14">
      <c r="L1697" s="796"/>
    </row>
    <row r="1698" spans="1:14" ht="14.4">
      <c r="A1698" s="419" t="str">
        <f>F1698&amp;C1698&amp;"-"&amp;E1698</f>
        <v>KSET48-Material?</v>
      </c>
      <c r="B1698" s="345"/>
      <c r="C1698" s="363">
        <v>48</v>
      </c>
      <c r="D1698" s="419"/>
      <c r="E1698" s="363" t="s">
        <v>1180</v>
      </c>
      <c r="F1698" s="419" t="s">
        <v>1176</v>
      </c>
      <c r="G1698" s="346">
        <f>2/7.85</f>
        <v>0.25477707006369427</v>
      </c>
      <c r="L1698" s="796"/>
    </row>
    <row r="1699" spans="1:14" ht="14.4">
      <c r="A1699" s="419" t="str">
        <f>F1699&amp;C1699&amp;"-"&amp;E1699</f>
        <v>KSET53-Material?</v>
      </c>
      <c r="B1699" s="345"/>
      <c r="C1699" s="363">
        <v>53</v>
      </c>
      <c r="D1699" s="419"/>
      <c r="E1699" s="363" t="s">
        <v>1180</v>
      </c>
      <c r="F1699" s="419" t="s">
        <v>1176</v>
      </c>
      <c r="G1699" s="346">
        <f>2/7.85</f>
        <v>0.25477707006369427</v>
      </c>
      <c r="L1699" s="796"/>
    </row>
    <row r="1700" spans="1:14" ht="14.4">
      <c r="A1700" s="419" t="str">
        <f>F1700&amp;C1700&amp;"-"&amp;E1700</f>
        <v>KSET58-Material?</v>
      </c>
      <c r="B1700" s="345"/>
      <c r="C1700" s="363">
        <v>58</v>
      </c>
      <c r="D1700" s="419"/>
      <c r="E1700" s="363" t="s">
        <v>1180</v>
      </c>
      <c r="F1700" s="419" t="s">
        <v>1176</v>
      </c>
      <c r="G1700" s="346">
        <f>2/7.85</f>
        <v>0.25477707006369427</v>
      </c>
      <c r="L1700" s="796"/>
    </row>
    <row r="1701" spans="1:14" ht="14.4">
      <c r="A1701" s="419" t="str">
        <f>F1701&amp;C1701&amp;"-"&amp;E1701</f>
        <v>KSET63-Material?</v>
      </c>
      <c r="B1701" s="345"/>
      <c r="C1701" s="363">
        <v>63</v>
      </c>
      <c r="D1701" s="419"/>
      <c r="E1701" s="363" t="s">
        <v>1180</v>
      </c>
      <c r="F1701" s="419" t="s">
        <v>1176</v>
      </c>
      <c r="G1701" s="346">
        <f>2/7.85</f>
        <v>0.25477707006369427</v>
      </c>
      <c r="L1701" s="796"/>
    </row>
    <row r="1702" spans="1:14" ht="14.4">
      <c r="A1702" s="419" t="str">
        <f>F1702&amp;C1702&amp;"-"&amp;E1702</f>
        <v>KSET68-Material?</v>
      </c>
      <c r="B1702" s="345"/>
      <c r="C1702" s="363">
        <v>68</v>
      </c>
      <c r="D1702" s="419"/>
      <c r="E1702" s="363" t="s">
        <v>1180</v>
      </c>
      <c r="F1702" s="419" t="s">
        <v>1176</v>
      </c>
      <c r="G1702" s="346">
        <f>2/7.85</f>
        <v>0.25477707006369427</v>
      </c>
      <c r="L1702" s="796"/>
    </row>
    <row r="1703" spans="1:14">
      <c r="L1703" s="796"/>
    </row>
    <row r="1704" spans="1:14" ht="14.4">
      <c r="A1704" s="449" t="str">
        <f>F1704&amp;"-"&amp;E1704</f>
        <v>UAH01-Material?</v>
      </c>
      <c r="B1704" s="449"/>
      <c r="C1704" s="345"/>
      <c r="D1704" s="345"/>
      <c r="E1704" s="358" t="s">
        <v>1180</v>
      </c>
      <c r="F1704" s="336" t="s">
        <v>1177</v>
      </c>
      <c r="G1704" s="17">
        <v>0.108</v>
      </c>
      <c r="L1704" s="796"/>
    </row>
    <row r="1705" spans="1:14">
      <c r="A1705" s="1"/>
      <c r="F1705" s="290"/>
      <c r="L1705" s="796"/>
    </row>
    <row r="1706" spans="1:14" ht="14.4">
      <c r="A1706" s="357" t="str">
        <f>F1706&amp;"-"&amp;150&amp;"-"&amp;E1706</f>
        <v>UAH02-150-Material?</v>
      </c>
      <c r="B1706" s="357"/>
      <c r="C1706" s="345"/>
      <c r="D1706" s="345"/>
      <c r="E1706" s="358" t="s">
        <v>1180</v>
      </c>
      <c r="F1706" s="336" t="s">
        <v>1178</v>
      </c>
      <c r="G1706" s="17">
        <v>0.11394813843027231</v>
      </c>
      <c r="J1706" s="347"/>
      <c r="K1706" s="347"/>
      <c r="L1706" s="796"/>
      <c r="N1706" s="16"/>
    </row>
    <row r="1707" spans="1:14" ht="14.4">
      <c r="A1707" s="357" t="str">
        <f>F1707&amp;"-"&amp;200&amp;"-"&amp;E1707</f>
        <v>UAH02-200-Material?</v>
      </c>
      <c r="B1707" s="357"/>
      <c r="C1707" s="345"/>
      <c r="D1707" s="345"/>
      <c r="E1707" s="358" t="s">
        <v>1180</v>
      </c>
      <c r="F1707" s="336" t="s">
        <v>1178</v>
      </c>
      <c r="G1707" s="17">
        <v>0.12661582540770977</v>
      </c>
      <c r="J1707" s="347"/>
      <c r="K1707" s="347"/>
      <c r="L1707" s="796"/>
      <c r="N1707" s="16"/>
    </row>
    <row r="1708" spans="1:14" ht="14.4">
      <c r="A1708" s="357" t="str">
        <f>F1708&amp;"-"&amp;250&amp;"-"&amp;E1708</f>
        <v>UAH02-250-Material?</v>
      </c>
      <c r="B1708" s="357"/>
      <c r="C1708" s="345"/>
      <c r="D1708" s="345"/>
      <c r="E1708" s="358" t="s">
        <v>1180</v>
      </c>
      <c r="F1708" s="336" t="s">
        <v>1178</v>
      </c>
      <c r="G1708" s="17">
        <v>0.13928351238514719</v>
      </c>
      <c r="J1708" s="347"/>
      <c r="K1708" s="347"/>
      <c r="L1708" s="796"/>
      <c r="N1708" s="16"/>
    </row>
    <row r="1709" spans="1:14" ht="14.4">
      <c r="A1709" s="357" t="str">
        <f>F1709&amp;"-"&amp;300&amp;"-"&amp;E1709</f>
        <v>UAH02-300-Material?</v>
      </c>
      <c r="B1709" s="357"/>
      <c r="C1709" s="345"/>
      <c r="D1709" s="345"/>
      <c r="E1709" s="358" t="s">
        <v>1180</v>
      </c>
      <c r="F1709" s="336" t="s">
        <v>1178</v>
      </c>
      <c r="G1709" s="17">
        <v>0.15195119936258461</v>
      </c>
      <c r="J1709" s="347"/>
      <c r="K1709" s="347"/>
      <c r="L1709" s="796"/>
      <c r="N1709" s="16"/>
    </row>
    <row r="1710" spans="1:14" ht="14.4">
      <c r="A1710" s="357" t="str">
        <f>F1710&amp;"-"&amp;350&amp;"-"&amp;E1710</f>
        <v>UAH02-350-Material?</v>
      </c>
      <c r="B1710" s="357"/>
      <c r="C1710" s="345"/>
      <c r="D1710" s="345"/>
      <c r="E1710" s="358" t="s">
        <v>1180</v>
      </c>
      <c r="F1710" s="336" t="s">
        <v>1178</v>
      </c>
      <c r="G1710" s="17">
        <v>0.16461888634002209</v>
      </c>
      <c r="J1710" s="347"/>
      <c r="K1710" s="347"/>
      <c r="L1710" s="796"/>
      <c r="N1710" s="16"/>
    </row>
    <row r="1711" spans="1:14" ht="14.4">
      <c r="A1711" s="357" t="str">
        <f>F1711&amp;"-"&amp;400&amp;"-"&amp;E1711</f>
        <v>UAH02-400-Material?</v>
      </c>
      <c r="B1711" s="357"/>
      <c r="C1711" s="345"/>
      <c r="D1711" s="345"/>
      <c r="E1711" s="358" t="s">
        <v>1180</v>
      </c>
      <c r="F1711" s="336" t="s">
        <v>1178</v>
      </c>
      <c r="G1711" s="17">
        <v>0.17728657331745951</v>
      </c>
      <c r="J1711" s="347"/>
      <c r="K1711" s="347"/>
      <c r="L1711" s="796"/>
      <c r="N1711" s="16"/>
    </row>
    <row r="1712" spans="1:14" ht="14.4">
      <c r="A1712" s="357" t="str">
        <f>F1712&amp;"-"&amp;450&amp;"-"&amp;E1712</f>
        <v>UAH02-450-Material?</v>
      </c>
      <c r="B1712" s="357"/>
      <c r="C1712" s="345"/>
      <c r="D1712" s="345"/>
      <c r="E1712" s="358" t="s">
        <v>1180</v>
      </c>
      <c r="F1712" s="336" t="s">
        <v>1178</v>
      </c>
      <c r="G1712" s="17">
        <v>0.18995426029489698</v>
      </c>
      <c r="J1712" s="347"/>
      <c r="K1712" s="347"/>
      <c r="L1712" s="796"/>
      <c r="N1712" s="16"/>
    </row>
    <row r="1713" spans="1:14" ht="14.4">
      <c r="A1713" s="357" t="str">
        <f>F1713&amp;"-"&amp;500&amp;"-"&amp;E1713</f>
        <v>UAH02-500-Material?</v>
      </c>
      <c r="B1713" s="357"/>
      <c r="C1713" s="345"/>
      <c r="D1713" s="345"/>
      <c r="E1713" s="358" t="s">
        <v>1180</v>
      </c>
      <c r="F1713" s="336" t="s">
        <v>1178</v>
      </c>
      <c r="G1713" s="17">
        <v>0.2026219472723344</v>
      </c>
      <c r="J1713" s="347"/>
      <c r="K1713" s="347"/>
      <c r="L1713" s="796"/>
      <c r="N1713" s="16"/>
    </row>
    <row r="1714" spans="1:14" ht="14.4">
      <c r="A1714" s="357" t="str">
        <f>F1714&amp;"-"&amp;550&amp;"-"&amp;E1714</f>
        <v>UAH02-550-Material?</v>
      </c>
      <c r="B1714" s="357"/>
      <c r="C1714" s="345"/>
      <c r="D1714" s="345"/>
      <c r="E1714" s="358" t="s">
        <v>1180</v>
      </c>
      <c r="F1714" s="336" t="s">
        <v>1178</v>
      </c>
      <c r="G1714" s="17">
        <v>0.21528963424977182</v>
      </c>
      <c r="J1714" s="347"/>
      <c r="K1714" s="347"/>
      <c r="L1714" s="796"/>
      <c r="N1714" s="16"/>
    </row>
    <row r="1715" spans="1:14">
      <c r="L1715" s="796"/>
    </row>
    <row r="1716" spans="1:14" ht="14.4">
      <c r="A1716" s="356" t="str">
        <f t="shared" ref="A1716:A1724" si="165">F1716&amp;C1716&amp;"-"&amp;E1716</f>
        <v>BL30-Material?</v>
      </c>
      <c r="B1716" s="356"/>
      <c r="C1716" s="358">
        <v>30</v>
      </c>
      <c r="D1716" s="345"/>
      <c r="E1716" s="358" t="s">
        <v>1180</v>
      </c>
      <c r="F1716" s="345" t="s">
        <v>1179</v>
      </c>
      <c r="G1716" s="17">
        <f t="shared" ref="G1716:G1724" si="166">(105.39+(C1716-24)*2)*(8*8*PI())/10^6</f>
        <v>2.3602659942713974E-2</v>
      </c>
      <c r="L1716" s="796"/>
    </row>
    <row r="1717" spans="1:14" ht="14.4">
      <c r="A1717" s="356" t="str">
        <f t="shared" si="165"/>
        <v>BL40-Material?</v>
      </c>
      <c r="B1717" s="356"/>
      <c r="C1717" s="358">
        <v>40</v>
      </c>
      <c r="D1717" s="345"/>
      <c r="E1717" s="358" t="s">
        <v>1180</v>
      </c>
      <c r="F1717" s="345" t="s">
        <v>1179</v>
      </c>
      <c r="G1717" s="17">
        <f t="shared" si="166"/>
        <v>2.7623898539308907E-2</v>
      </c>
      <c r="L1717" s="796"/>
    </row>
    <row r="1718" spans="1:14" ht="14.4">
      <c r="A1718" s="356" t="str">
        <f t="shared" si="165"/>
        <v>BL50-Material?</v>
      </c>
      <c r="B1718" s="356"/>
      <c r="C1718" s="358">
        <v>50</v>
      </c>
      <c r="D1718" s="345"/>
      <c r="E1718" s="358" t="s">
        <v>1180</v>
      </c>
      <c r="F1718" s="345" t="s">
        <v>1179</v>
      </c>
      <c r="G1718" s="17">
        <f t="shared" si="166"/>
        <v>3.1645137135903841E-2</v>
      </c>
      <c r="L1718" s="796"/>
    </row>
    <row r="1719" spans="1:14" ht="14.4">
      <c r="A1719" s="356" t="str">
        <f t="shared" si="165"/>
        <v>BL60-Material?</v>
      </c>
      <c r="B1719" s="356"/>
      <c r="C1719" s="358">
        <v>60</v>
      </c>
      <c r="D1719" s="345"/>
      <c r="E1719" s="358" t="s">
        <v>1180</v>
      </c>
      <c r="F1719" s="345" t="s">
        <v>1179</v>
      </c>
      <c r="G1719" s="17">
        <f t="shared" si="166"/>
        <v>3.5666375732498777E-2</v>
      </c>
      <c r="L1719" s="796"/>
    </row>
    <row r="1720" spans="1:14" ht="14.4">
      <c r="A1720" s="356" t="str">
        <f t="shared" si="165"/>
        <v>BL70-Material?</v>
      </c>
      <c r="B1720" s="356"/>
      <c r="C1720" s="358">
        <v>70</v>
      </c>
      <c r="D1720" s="345"/>
      <c r="E1720" s="358" t="s">
        <v>1180</v>
      </c>
      <c r="F1720" s="345" t="s">
        <v>1179</v>
      </c>
      <c r="G1720" s="17">
        <f t="shared" si="166"/>
        <v>3.9687614329093714E-2</v>
      </c>
      <c r="L1720" s="796"/>
    </row>
    <row r="1721" spans="1:14" ht="14.4">
      <c r="A1721" s="356" t="str">
        <f t="shared" si="165"/>
        <v>BL80-Material?</v>
      </c>
      <c r="B1721" s="356"/>
      <c r="C1721" s="358">
        <v>80</v>
      </c>
      <c r="D1721" s="345"/>
      <c r="E1721" s="358" t="s">
        <v>1180</v>
      </c>
      <c r="F1721" s="345" t="s">
        <v>1179</v>
      </c>
      <c r="G1721" s="17">
        <f t="shared" si="166"/>
        <v>4.370885292568865E-2</v>
      </c>
      <c r="L1721" s="796"/>
    </row>
    <row r="1722" spans="1:14" ht="14.4">
      <c r="A1722" s="356" t="str">
        <f t="shared" si="165"/>
        <v>BL90-Material?</v>
      </c>
      <c r="B1722" s="356"/>
      <c r="C1722" s="358">
        <v>90</v>
      </c>
      <c r="D1722" s="345"/>
      <c r="E1722" s="358" t="s">
        <v>1180</v>
      </c>
      <c r="F1722" s="345" t="s">
        <v>1179</v>
      </c>
      <c r="G1722" s="17">
        <f t="shared" si="166"/>
        <v>4.773009152228358E-2</v>
      </c>
      <c r="L1722" s="796"/>
    </row>
    <row r="1723" spans="1:14" ht="14.4">
      <c r="A1723" s="356" t="str">
        <f t="shared" si="165"/>
        <v>BL100-Material?</v>
      </c>
      <c r="B1723" s="356"/>
      <c r="C1723" s="358">
        <v>100</v>
      </c>
      <c r="D1723" s="345"/>
      <c r="E1723" s="358" t="s">
        <v>1180</v>
      </c>
      <c r="F1723" s="345" t="s">
        <v>1179</v>
      </c>
      <c r="G1723" s="17">
        <f t="shared" si="166"/>
        <v>5.1751330118878516E-2</v>
      </c>
      <c r="L1723" s="796"/>
    </row>
    <row r="1724" spans="1:14" ht="14.4">
      <c r="A1724" s="356" t="str">
        <f t="shared" si="165"/>
        <v>BL110-Material?</v>
      </c>
      <c r="B1724" s="356"/>
      <c r="C1724" s="358">
        <v>110</v>
      </c>
      <c r="D1724" s="345"/>
      <c r="E1724" s="358" t="s">
        <v>1180</v>
      </c>
      <c r="F1724" s="345" t="s">
        <v>1179</v>
      </c>
      <c r="G1724" s="17">
        <f t="shared" si="166"/>
        <v>5.5772568715473446E-2</v>
      </c>
      <c r="L1724" s="796"/>
    </row>
    <row r="1725" spans="1:14">
      <c r="L1725" s="796"/>
    </row>
    <row r="1726" spans="1:14" ht="14.4">
      <c r="A1726" s="356" t="str">
        <f>F1726&amp;C1726&amp;"-"&amp;E1726</f>
        <v>GK70-Material?</v>
      </c>
      <c r="B1726" s="356"/>
      <c r="C1726" s="345">
        <v>70</v>
      </c>
      <c r="D1726" s="345"/>
      <c r="E1726" s="358" t="s">
        <v>1180</v>
      </c>
      <c r="F1726" s="345" t="s">
        <v>1181</v>
      </c>
      <c r="G1726" s="17">
        <f>0.65/8</f>
        <v>8.1250000000000003E-2</v>
      </c>
      <c r="L1726" s="796"/>
    </row>
    <row r="1727" spans="1:14" ht="14.4">
      <c r="A1727" s="356" t="str">
        <f t="shared" ref="A1727:A1732" si="167">F1727&amp;C1727&amp;"-"&amp;E1727</f>
        <v>GK75-Material?</v>
      </c>
      <c r="B1727" s="356"/>
      <c r="C1727" s="345">
        <v>75</v>
      </c>
      <c r="D1727" s="345"/>
      <c r="E1727" s="358" t="s">
        <v>1180</v>
      </c>
      <c r="F1727" s="345" t="s">
        <v>1181</v>
      </c>
      <c r="G1727" s="17">
        <f>0.67/8</f>
        <v>8.3750000000000005E-2</v>
      </c>
      <c r="L1727" s="796"/>
    </row>
    <row r="1728" spans="1:14" ht="14.4">
      <c r="A1728" s="356" t="str">
        <f t="shared" si="167"/>
        <v>GK80-Material?</v>
      </c>
      <c r="B1728" s="356"/>
      <c r="C1728" s="345">
        <v>80</v>
      </c>
      <c r="D1728" s="345"/>
      <c r="E1728" s="358" t="s">
        <v>1180</v>
      </c>
      <c r="F1728" s="345" t="s">
        <v>1181</v>
      </c>
      <c r="G1728" s="17">
        <f>0.69/8</f>
        <v>8.6249999999999993E-2</v>
      </c>
      <c r="L1728" s="796"/>
    </row>
    <row r="1729" spans="1:22" ht="14.4">
      <c r="A1729" s="356" t="str">
        <f t="shared" si="167"/>
        <v>GK90-Material?</v>
      </c>
      <c r="B1729" s="356"/>
      <c r="C1729" s="345">
        <v>90</v>
      </c>
      <c r="D1729" s="345"/>
      <c r="E1729" s="358" t="s">
        <v>1180</v>
      </c>
      <c r="F1729" s="345" t="s">
        <v>1181</v>
      </c>
      <c r="G1729" s="17">
        <f>0.73/8</f>
        <v>9.1249999999999998E-2</v>
      </c>
      <c r="L1729" s="796"/>
    </row>
    <row r="1730" spans="1:22" ht="14.4">
      <c r="A1730" s="356" t="str">
        <f t="shared" si="167"/>
        <v>GK100-Material?</v>
      </c>
      <c r="B1730" s="356"/>
      <c r="C1730" s="345">
        <v>100</v>
      </c>
      <c r="D1730" s="345"/>
      <c r="E1730" s="358" t="s">
        <v>1180</v>
      </c>
      <c r="F1730" s="345" t="s">
        <v>1181</v>
      </c>
      <c r="G1730" s="17">
        <f>0.77/8</f>
        <v>9.6250000000000002E-2</v>
      </c>
      <c r="L1730" s="796"/>
    </row>
    <row r="1731" spans="1:22" ht="14.4">
      <c r="A1731" s="356" t="str">
        <f t="shared" si="167"/>
        <v>GK110-Material?</v>
      </c>
      <c r="B1731" s="356"/>
      <c r="C1731" s="345">
        <v>110</v>
      </c>
      <c r="D1731" s="345"/>
      <c r="E1731" s="358" t="s">
        <v>1180</v>
      </c>
      <c r="F1731" s="345" t="s">
        <v>1181</v>
      </c>
      <c r="G1731" s="17">
        <f>0.81/8</f>
        <v>0.10125000000000001</v>
      </c>
      <c r="L1731" s="796"/>
    </row>
    <row r="1732" spans="1:22" ht="14.4">
      <c r="A1732" s="356" t="str">
        <f t="shared" si="167"/>
        <v>GK150-Material?</v>
      </c>
      <c r="B1732" s="356"/>
      <c r="C1732" s="345">
        <v>150</v>
      </c>
      <c r="D1732" s="345"/>
      <c r="E1732" s="358" t="s">
        <v>1180</v>
      </c>
      <c r="F1732" s="345" t="s">
        <v>1181</v>
      </c>
      <c r="G1732" s="17">
        <f>0.96/8</f>
        <v>0.12</v>
      </c>
      <c r="I1732" s="17"/>
      <c r="L1732" s="796"/>
    </row>
    <row r="1733" spans="1:22" ht="13.8" thickBot="1">
      <c r="I1733" s="17"/>
      <c r="L1733" s="797"/>
    </row>
    <row r="1734" spans="1:22" ht="25.2" thickBot="1">
      <c r="A1734" s="352" t="s">
        <v>1183</v>
      </c>
      <c r="B1734" s="372"/>
      <c r="C1734" s="372"/>
      <c r="D1734" s="372"/>
      <c r="E1734" s="372"/>
      <c r="F1734" s="372"/>
      <c r="G1734" s="103"/>
      <c r="H1734" s="92"/>
      <c r="I1734" s="92"/>
      <c r="J1734" s="92"/>
      <c r="K1734" s="92"/>
      <c r="L1734" s="92"/>
      <c r="R1734" s="22"/>
      <c r="S1734" s="22"/>
      <c r="T1734" s="20"/>
      <c r="U1734" s="20"/>
      <c r="V1734" s="20"/>
    </row>
    <row r="1735" spans="1:22">
      <c r="A1735" s="336" t="s">
        <v>1182</v>
      </c>
      <c r="B1735" s="345"/>
      <c r="C1735" s="345"/>
      <c r="D1735" s="345"/>
      <c r="E1735" s="345"/>
      <c r="F1735" s="345"/>
      <c r="G1735" s="17">
        <v>1.4219999999999999</v>
      </c>
      <c r="I1735" s="17"/>
      <c r="L1735" s="795"/>
    </row>
    <row r="1736" spans="1:22">
      <c r="A1736" s="336" t="s">
        <v>1184</v>
      </c>
      <c r="B1736" s="345"/>
      <c r="C1736" s="345"/>
      <c r="D1736" s="345"/>
      <c r="E1736" s="345"/>
      <c r="F1736" s="345"/>
      <c r="G1736" s="17">
        <v>1.665</v>
      </c>
      <c r="L1736" s="796"/>
    </row>
    <row r="1737" spans="1:22">
      <c r="A1737" s="336" t="s">
        <v>1185</v>
      </c>
      <c r="B1737" s="345"/>
      <c r="C1737" s="345"/>
      <c r="D1737" s="345"/>
      <c r="E1737" s="345"/>
      <c r="F1737" s="345"/>
      <c r="G1737" s="17">
        <v>1.9079999999999999</v>
      </c>
      <c r="L1737" s="796"/>
    </row>
    <row r="1738" spans="1:22">
      <c r="A1738" s="336" t="s">
        <v>1186</v>
      </c>
      <c r="B1738" s="345"/>
      <c r="C1738" s="345"/>
      <c r="D1738" s="345"/>
      <c r="E1738" s="345"/>
      <c r="F1738" s="345"/>
      <c r="G1738" s="17">
        <v>2.1509999999999998</v>
      </c>
      <c r="L1738" s="796"/>
    </row>
    <row r="1739" spans="1:22">
      <c r="A1739" s="336" t="s">
        <v>1187</v>
      </c>
      <c r="B1739" s="345"/>
      <c r="C1739" s="345"/>
      <c r="D1739" s="345"/>
      <c r="E1739" s="345"/>
      <c r="F1739" s="345"/>
      <c r="G1739" s="17">
        <v>2.3940000000000001</v>
      </c>
      <c r="L1739" s="796"/>
    </row>
    <row r="1740" spans="1:22">
      <c r="A1740" s="336" t="s">
        <v>1188</v>
      </c>
      <c r="B1740" s="376"/>
      <c r="C1740" s="345"/>
      <c r="D1740" s="345"/>
      <c r="E1740" s="345"/>
      <c r="F1740" s="345"/>
      <c r="G1740" s="17">
        <v>2.637</v>
      </c>
      <c r="L1740" s="796"/>
    </row>
    <row r="1741" spans="1:22">
      <c r="A1741" s="336" t="s">
        <v>1189</v>
      </c>
      <c r="B1741" s="345"/>
      <c r="C1741" s="345"/>
      <c r="D1741" s="345"/>
      <c r="E1741" s="345"/>
      <c r="F1741" s="345"/>
      <c r="G1741" s="17">
        <v>2.8809999999999998</v>
      </c>
      <c r="L1741" s="796"/>
    </row>
    <row r="1742" spans="1:22">
      <c r="A1742" s="336" t="s">
        <v>1190</v>
      </c>
      <c r="B1742" s="345"/>
      <c r="C1742" s="345"/>
      <c r="D1742" s="345"/>
      <c r="E1742" s="345"/>
      <c r="F1742" s="345"/>
      <c r="G1742" s="17">
        <v>3.1240000000000001</v>
      </c>
      <c r="L1742" s="796"/>
    </row>
    <row r="1743" spans="1:22">
      <c r="A1743" s="336" t="s">
        <v>1191</v>
      </c>
      <c r="B1743" s="345"/>
      <c r="C1743" s="345"/>
      <c r="D1743" s="345"/>
      <c r="E1743" s="345"/>
      <c r="F1743" s="345"/>
      <c r="G1743" s="17">
        <v>3.367</v>
      </c>
      <c r="L1743" s="796"/>
    </row>
    <row r="1744" spans="1:22">
      <c r="A1744" s="336" t="s">
        <v>1192</v>
      </c>
      <c r="B1744" s="345"/>
      <c r="C1744" s="345"/>
      <c r="D1744" s="345"/>
      <c r="E1744" s="345"/>
      <c r="F1744" s="345"/>
      <c r="G1744" s="17">
        <v>3.61</v>
      </c>
      <c r="L1744" s="796"/>
    </row>
    <row r="1745" spans="1:22">
      <c r="A1745" s="336" t="s">
        <v>1193</v>
      </c>
      <c r="B1745" s="345"/>
      <c r="C1745" s="345"/>
      <c r="D1745" s="345"/>
      <c r="E1745" s="345"/>
      <c r="F1745" s="345"/>
      <c r="G1745" s="17">
        <v>3.8530000000000002</v>
      </c>
      <c r="L1745" s="796"/>
    </row>
    <row r="1746" spans="1:22">
      <c r="A1746" s="336" t="s">
        <v>1194</v>
      </c>
      <c r="B1746" s="345"/>
      <c r="C1746" s="345"/>
      <c r="D1746" s="345"/>
      <c r="E1746" s="345"/>
      <c r="F1746" s="345"/>
      <c r="G1746" s="17">
        <v>4.048</v>
      </c>
      <c r="L1746" s="796"/>
    </row>
    <row r="1747" spans="1:22">
      <c r="A1747" s="336" t="s">
        <v>1195</v>
      </c>
      <c r="B1747" s="345"/>
      <c r="C1747" s="345"/>
      <c r="D1747" s="345"/>
      <c r="E1747" s="345"/>
      <c r="F1747" s="345"/>
      <c r="G1747" s="17">
        <v>4.34</v>
      </c>
      <c r="L1747" s="796"/>
    </row>
    <row r="1748" spans="1:22">
      <c r="A1748" s="336" t="s">
        <v>1196</v>
      </c>
      <c r="B1748" s="345"/>
      <c r="C1748" s="345"/>
      <c r="D1748" s="345"/>
      <c r="E1748" s="345"/>
      <c r="F1748" s="345"/>
      <c r="G1748" s="341">
        <v>4.59</v>
      </c>
      <c r="L1748" s="796"/>
    </row>
    <row r="1749" spans="1:22" ht="13.8" thickBot="1">
      <c r="A1749" s="336" t="s">
        <v>1197</v>
      </c>
      <c r="B1749" s="345"/>
      <c r="C1749" s="345"/>
      <c r="D1749" s="345"/>
      <c r="E1749" s="345"/>
      <c r="F1749" s="345"/>
      <c r="G1749" s="341">
        <v>4.8259999999999996</v>
      </c>
      <c r="L1749" s="796"/>
    </row>
    <row r="1750" spans="1:22" ht="25.2" thickBot="1">
      <c r="A1750" s="370" t="s">
        <v>1585</v>
      </c>
      <c r="B1750" s="362"/>
      <c r="C1750" s="362"/>
      <c r="D1750" s="362"/>
      <c r="E1750" s="362"/>
      <c r="F1750" s="362"/>
      <c r="G1750" s="103"/>
      <c r="H1750" s="92"/>
      <c r="I1750" s="92"/>
      <c r="J1750" s="92"/>
      <c r="K1750" s="92"/>
      <c r="L1750" s="96"/>
      <c r="R1750" s="22"/>
      <c r="S1750" s="22"/>
      <c r="T1750" s="20"/>
      <c r="U1750" s="20"/>
      <c r="V1750" s="20"/>
    </row>
    <row r="1751" spans="1:22">
      <c r="A1751" s="290"/>
      <c r="D1751" s="344" t="s">
        <v>1203</v>
      </c>
      <c r="L1751" s="795"/>
    </row>
    <row r="1752" spans="1:22">
      <c r="A1752" s="371" t="s">
        <v>1210</v>
      </c>
      <c r="B1752" s="361"/>
      <c r="C1752" s="373">
        <v>230</v>
      </c>
      <c r="D1752" s="365">
        <v>172</v>
      </c>
      <c r="E1752" s="345"/>
      <c r="F1752" s="345"/>
      <c r="G1752" s="2">
        <v>2.21</v>
      </c>
      <c r="L1752" s="796"/>
    </row>
    <row r="1753" spans="1:22">
      <c r="A1753" s="371" t="s">
        <v>1209</v>
      </c>
      <c r="B1753" s="361"/>
      <c r="C1753" s="373">
        <v>230</v>
      </c>
      <c r="D1753" s="365">
        <v>172</v>
      </c>
      <c r="E1753" s="345"/>
      <c r="F1753" s="345"/>
      <c r="G1753" s="2">
        <v>2.62</v>
      </c>
      <c r="L1753" s="796"/>
    </row>
    <row r="1754" spans="1:22">
      <c r="A1754" s="371" t="s">
        <v>1207</v>
      </c>
      <c r="B1754" s="361"/>
      <c r="C1754" s="373">
        <v>230</v>
      </c>
      <c r="D1754" s="365">
        <v>230</v>
      </c>
      <c r="E1754" s="345"/>
      <c r="F1754" s="345"/>
      <c r="G1754" s="2">
        <v>2.96</v>
      </c>
      <c r="L1754" s="796"/>
    </row>
    <row r="1755" spans="1:22">
      <c r="A1755" s="371" t="s">
        <v>1206</v>
      </c>
      <c r="B1755" s="361"/>
      <c r="C1755" s="373">
        <v>230</v>
      </c>
      <c r="D1755" s="365">
        <v>230</v>
      </c>
      <c r="E1755" s="345"/>
      <c r="F1755" s="345"/>
      <c r="G1755" s="2">
        <v>3.5089999999999999</v>
      </c>
      <c r="L1755" s="796"/>
    </row>
    <row r="1756" spans="1:22">
      <c r="A1756" s="371" t="s">
        <v>1205</v>
      </c>
      <c r="B1756" s="361"/>
      <c r="C1756" s="373">
        <v>250</v>
      </c>
      <c r="D1756" s="365">
        <v>187</v>
      </c>
      <c r="E1756" s="345"/>
      <c r="F1756" s="345"/>
      <c r="G1756" s="2">
        <v>2.609</v>
      </c>
      <c r="L1756" s="796"/>
    </row>
    <row r="1757" spans="1:22">
      <c r="A1757" s="371" t="s">
        <v>1211</v>
      </c>
      <c r="B1757" s="361"/>
      <c r="C1757" s="373">
        <v>250</v>
      </c>
      <c r="D1757" s="365">
        <v>187</v>
      </c>
      <c r="E1757" s="345"/>
      <c r="F1757" s="345"/>
      <c r="G1757" s="2">
        <v>3.1</v>
      </c>
      <c r="L1757" s="796"/>
    </row>
    <row r="1758" spans="1:22">
      <c r="A1758" s="371" t="s">
        <v>1204</v>
      </c>
      <c r="B1758" s="361"/>
      <c r="C1758" s="373">
        <v>250</v>
      </c>
      <c r="D1758" s="365">
        <v>250</v>
      </c>
      <c r="E1758" s="345"/>
      <c r="F1758" s="345"/>
      <c r="G1758" s="2">
        <v>3.49</v>
      </c>
      <c r="L1758" s="796"/>
    </row>
    <row r="1759" spans="1:22">
      <c r="A1759" s="371" t="s">
        <v>1208</v>
      </c>
      <c r="B1759" s="361"/>
      <c r="C1759" s="373">
        <v>250</v>
      </c>
      <c r="D1759" s="365">
        <v>250</v>
      </c>
      <c r="E1759" s="345"/>
      <c r="F1759" s="345"/>
      <c r="G1759" s="2">
        <v>4.1500000000000004</v>
      </c>
      <c r="L1759" s="796"/>
    </row>
    <row r="1760" spans="1:22">
      <c r="B1760" s="3"/>
      <c r="G1760" s="2"/>
      <c r="L1760" s="796"/>
    </row>
    <row r="1761" spans="1:12">
      <c r="A1761" s="359" t="s">
        <v>1218</v>
      </c>
      <c r="B1761" s="361"/>
      <c r="C1761" s="373">
        <v>172</v>
      </c>
      <c r="D1761" s="365">
        <v>172</v>
      </c>
      <c r="E1761" s="361"/>
      <c r="F1761" s="345"/>
      <c r="G1761" s="2">
        <v>1.57</v>
      </c>
      <c r="H1761" s="348"/>
      <c r="L1761" s="796"/>
    </row>
    <row r="1762" spans="1:12">
      <c r="A1762" s="359" t="s">
        <v>1217</v>
      </c>
      <c r="B1762" s="361"/>
      <c r="C1762" s="373">
        <v>172</v>
      </c>
      <c r="D1762" s="365">
        <v>172</v>
      </c>
      <c r="E1762" s="361"/>
      <c r="F1762" s="345"/>
      <c r="G1762" s="2">
        <v>1.87</v>
      </c>
      <c r="H1762" s="348"/>
      <c r="L1762" s="796"/>
    </row>
    <row r="1763" spans="1:12">
      <c r="A1763" s="359" t="s">
        <v>1216</v>
      </c>
      <c r="B1763" s="361"/>
      <c r="C1763" s="373">
        <v>172</v>
      </c>
      <c r="D1763" s="365">
        <v>230</v>
      </c>
      <c r="E1763" s="361"/>
      <c r="F1763" s="345"/>
      <c r="G1763" s="2">
        <v>2.1</v>
      </c>
      <c r="H1763" s="348"/>
      <c r="L1763" s="796"/>
    </row>
    <row r="1764" spans="1:12">
      <c r="A1764" s="359" t="s">
        <v>1214</v>
      </c>
      <c r="B1764" s="361"/>
      <c r="C1764" s="373">
        <v>172</v>
      </c>
      <c r="D1764" s="365">
        <v>230</v>
      </c>
      <c r="E1764" s="361"/>
      <c r="F1764" s="345"/>
      <c r="G1764" s="2">
        <v>2.496</v>
      </c>
      <c r="H1764" s="348"/>
      <c r="L1764" s="796"/>
    </row>
    <row r="1765" spans="1:12">
      <c r="A1765" s="359" t="s">
        <v>1213</v>
      </c>
      <c r="B1765" s="361"/>
      <c r="C1765" s="373">
        <v>187</v>
      </c>
      <c r="D1765" s="365">
        <v>187</v>
      </c>
      <c r="E1765" s="361"/>
      <c r="F1765" s="345"/>
      <c r="G1765" s="2">
        <v>1.855</v>
      </c>
      <c r="H1765" s="348"/>
      <c r="L1765" s="796"/>
    </row>
    <row r="1766" spans="1:12">
      <c r="A1766" s="359" t="s">
        <v>1219</v>
      </c>
      <c r="B1766" s="361"/>
      <c r="C1766" s="373">
        <v>187</v>
      </c>
      <c r="D1766" s="365">
        <v>187</v>
      </c>
      <c r="E1766" s="361"/>
      <c r="F1766" s="345"/>
      <c r="G1766" s="2">
        <v>2.2000000000000002</v>
      </c>
      <c r="H1766" s="348"/>
      <c r="L1766" s="796"/>
    </row>
    <row r="1767" spans="1:12">
      <c r="A1767" s="359" t="s">
        <v>1212</v>
      </c>
      <c r="B1767" s="361"/>
      <c r="C1767" s="373">
        <v>187</v>
      </c>
      <c r="D1767" s="365">
        <v>250</v>
      </c>
      <c r="E1767" s="361"/>
      <c r="F1767" s="345"/>
      <c r="G1767" s="2">
        <v>2.48</v>
      </c>
      <c r="H1767" s="348"/>
      <c r="L1767" s="796"/>
    </row>
    <row r="1768" spans="1:12">
      <c r="A1768" s="359" t="s">
        <v>1215</v>
      </c>
      <c r="B1768" s="361"/>
      <c r="C1768" s="373">
        <v>187</v>
      </c>
      <c r="D1768" s="365">
        <v>250</v>
      </c>
      <c r="E1768" s="361"/>
      <c r="F1768" s="345"/>
      <c r="G1768" s="2">
        <v>2.95</v>
      </c>
      <c r="H1768" s="348"/>
      <c r="L1768" s="796"/>
    </row>
    <row r="1769" spans="1:12">
      <c r="B1769" s="3"/>
      <c r="G1769" s="2"/>
      <c r="L1769" s="796"/>
    </row>
    <row r="1770" spans="1:12">
      <c r="A1770" s="364" t="s">
        <v>1220</v>
      </c>
      <c r="B1770" s="361"/>
      <c r="C1770" s="373">
        <v>230</v>
      </c>
      <c r="D1770" s="365">
        <v>172</v>
      </c>
      <c r="E1770" s="345"/>
      <c r="F1770" s="345"/>
      <c r="G1770" s="2">
        <v>2.56</v>
      </c>
      <c r="H1770" s="348"/>
      <c r="L1770" s="796"/>
    </row>
    <row r="1771" spans="1:12">
      <c r="A1771" s="364" t="s">
        <v>1223</v>
      </c>
      <c r="B1771" s="361"/>
      <c r="C1771" s="373">
        <v>230</v>
      </c>
      <c r="D1771" s="365">
        <v>230</v>
      </c>
      <c r="E1771" s="345"/>
      <c r="F1771" s="345"/>
      <c r="G1771" s="2">
        <v>2.89</v>
      </c>
      <c r="H1771" s="348"/>
      <c r="L1771" s="796"/>
    </row>
    <row r="1772" spans="1:12">
      <c r="A1772" s="364" t="s">
        <v>1222</v>
      </c>
      <c r="B1772" s="361"/>
      <c r="C1772" s="373">
        <v>230</v>
      </c>
      <c r="D1772" s="365">
        <v>230</v>
      </c>
      <c r="E1772" s="345"/>
      <c r="F1772" s="345"/>
      <c r="G1772" s="2">
        <v>3.4409999999999998</v>
      </c>
      <c r="H1772" s="348"/>
      <c r="L1772" s="796"/>
    </row>
    <row r="1773" spans="1:12">
      <c r="A1773" s="364" t="s">
        <v>1221</v>
      </c>
      <c r="B1773" s="361"/>
      <c r="C1773" s="373">
        <v>250</v>
      </c>
      <c r="D1773" s="365">
        <v>187</v>
      </c>
      <c r="E1773" s="345"/>
      <c r="F1773" s="345"/>
      <c r="G1773" s="2">
        <v>2.5499999999999998</v>
      </c>
      <c r="H1773" s="348"/>
      <c r="L1773" s="796"/>
    </row>
    <row r="1774" spans="1:12">
      <c r="A1774" s="364" t="s">
        <v>1225</v>
      </c>
      <c r="B1774" s="361"/>
      <c r="C1774" s="373">
        <v>250</v>
      </c>
      <c r="D1774" s="365">
        <v>187</v>
      </c>
      <c r="E1774" s="345"/>
      <c r="F1774" s="345"/>
      <c r="G1774" s="2">
        <v>3.04</v>
      </c>
      <c r="H1774" s="348"/>
      <c r="L1774" s="796"/>
    </row>
    <row r="1775" spans="1:12">
      <c r="A1775" s="364" t="s">
        <v>1198</v>
      </c>
      <c r="B1775" s="361"/>
      <c r="C1775" s="373">
        <v>250</v>
      </c>
      <c r="D1775" s="365">
        <v>250</v>
      </c>
      <c r="E1775" s="345"/>
      <c r="F1775" s="345"/>
      <c r="G1775" s="2">
        <v>3.42</v>
      </c>
      <c r="H1775" s="348"/>
      <c r="L1775" s="796"/>
    </row>
    <row r="1776" spans="1:12">
      <c r="A1776" s="364" t="s">
        <v>1224</v>
      </c>
      <c r="B1776" s="361"/>
      <c r="C1776" s="373">
        <v>250</v>
      </c>
      <c r="D1776" s="365">
        <v>250</v>
      </c>
      <c r="E1776" s="345"/>
      <c r="F1776" s="345"/>
      <c r="G1776" s="2">
        <v>4.07</v>
      </c>
      <c r="H1776" s="348"/>
      <c r="L1776" s="796"/>
    </row>
    <row r="1777" spans="1:12">
      <c r="B1777" s="3"/>
      <c r="G1777" s="2"/>
      <c r="L1777" s="796"/>
    </row>
    <row r="1778" spans="1:12">
      <c r="A1778" s="360" t="s">
        <v>1226</v>
      </c>
      <c r="B1778" s="361"/>
      <c r="C1778" s="373">
        <v>172</v>
      </c>
      <c r="D1778" s="365">
        <v>172</v>
      </c>
      <c r="E1778" s="361"/>
      <c r="F1778" s="345"/>
      <c r="G1778" s="2">
        <v>1.8</v>
      </c>
      <c r="H1778" s="348"/>
      <c r="L1778" s="796"/>
    </row>
    <row r="1779" spans="1:12">
      <c r="A1779" s="360" t="s">
        <v>1231</v>
      </c>
      <c r="B1779" s="361"/>
      <c r="C1779" s="373">
        <v>172</v>
      </c>
      <c r="D1779" s="365">
        <v>230</v>
      </c>
      <c r="E1779" s="361"/>
      <c r="F1779" s="345"/>
      <c r="G1779" s="2">
        <v>2.0299999999999998</v>
      </c>
      <c r="H1779" s="348"/>
      <c r="L1779" s="796"/>
    </row>
    <row r="1780" spans="1:12">
      <c r="A1780" s="360" t="s">
        <v>1228</v>
      </c>
      <c r="B1780" s="361"/>
      <c r="C1780" s="373">
        <v>172</v>
      </c>
      <c r="D1780" s="365">
        <v>230</v>
      </c>
      <c r="E1780" s="361"/>
      <c r="F1780" s="345"/>
      <c r="G1780" s="2">
        <v>2.4279999999999999</v>
      </c>
      <c r="H1780" s="348"/>
      <c r="L1780" s="796"/>
    </row>
    <row r="1781" spans="1:12">
      <c r="A1781" s="360" t="s">
        <v>1227</v>
      </c>
      <c r="B1781" s="361"/>
      <c r="C1781" s="373">
        <v>187</v>
      </c>
      <c r="D1781" s="365">
        <v>187</v>
      </c>
      <c r="E1781" s="361"/>
      <c r="F1781" s="345"/>
      <c r="G1781" s="2">
        <v>1.79</v>
      </c>
      <c r="H1781" s="348"/>
      <c r="L1781" s="796"/>
    </row>
    <row r="1782" spans="1:12">
      <c r="A1782" s="360" t="s">
        <v>1230</v>
      </c>
      <c r="B1782" s="361"/>
      <c r="C1782" s="373">
        <v>187</v>
      </c>
      <c r="D1782" s="365">
        <v>187</v>
      </c>
      <c r="E1782" s="361"/>
      <c r="F1782" s="345"/>
      <c r="G1782" s="2">
        <v>2.14</v>
      </c>
      <c r="H1782" s="348"/>
      <c r="L1782" s="796"/>
    </row>
    <row r="1783" spans="1:12">
      <c r="A1783" s="360" t="s">
        <v>1199</v>
      </c>
      <c r="B1783" s="361"/>
      <c r="C1783" s="373">
        <v>187</v>
      </c>
      <c r="D1783" s="365">
        <v>250</v>
      </c>
      <c r="E1783" s="361"/>
      <c r="F1783" s="345"/>
      <c r="G1783" s="2">
        <v>2.41</v>
      </c>
      <c r="H1783" s="348"/>
      <c r="L1783" s="796"/>
    </row>
    <row r="1784" spans="1:12">
      <c r="A1784" s="360" t="s">
        <v>1229</v>
      </c>
      <c r="B1784" s="361"/>
      <c r="C1784" s="373">
        <v>187</v>
      </c>
      <c r="D1784" s="365">
        <v>250</v>
      </c>
      <c r="E1784" s="361"/>
      <c r="F1784" s="345"/>
      <c r="G1784" s="2">
        <v>2.89</v>
      </c>
      <c r="H1784" s="348"/>
      <c r="L1784" s="796"/>
    </row>
    <row r="1785" spans="1:12">
      <c r="B1785" s="3"/>
      <c r="G1785" s="2"/>
      <c r="L1785" s="796"/>
    </row>
    <row r="1786" spans="1:12">
      <c r="A1786" s="366" t="s">
        <v>1239</v>
      </c>
      <c r="B1786" s="361"/>
      <c r="C1786" s="373">
        <v>230</v>
      </c>
      <c r="D1786" s="365">
        <v>172</v>
      </c>
      <c r="E1786" s="345"/>
      <c r="F1786" s="345"/>
      <c r="G1786" s="2">
        <v>2.4700000000000002</v>
      </c>
      <c r="L1786" s="796"/>
    </row>
    <row r="1787" spans="1:12">
      <c r="A1787" s="366" t="s">
        <v>1240</v>
      </c>
      <c r="B1787" s="361"/>
      <c r="C1787" s="373">
        <v>230</v>
      </c>
      <c r="D1787" s="365">
        <v>172</v>
      </c>
      <c r="E1787" s="345"/>
      <c r="F1787" s="345"/>
      <c r="G1787" s="2">
        <v>2.94</v>
      </c>
      <c r="L1787" s="796"/>
    </row>
    <row r="1788" spans="1:12">
      <c r="A1788" s="366" t="s">
        <v>1263</v>
      </c>
      <c r="B1788" s="361"/>
      <c r="C1788" s="373">
        <v>230</v>
      </c>
      <c r="D1788" s="365">
        <v>230</v>
      </c>
      <c r="E1788" s="345"/>
      <c r="F1788" s="345"/>
      <c r="G1788" s="2">
        <v>3.32</v>
      </c>
      <c r="L1788" s="796"/>
    </row>
    <row r="1789" spans="1:12">
      <c r="A1789" s="366" t="s">
        <v>1264</v>
      </c>
      <c r="B1789" s="361"/>
      <c r="C1789" s="373">
        <v>230</v>
      </c>
      <c r="D1789" s="365">
        <v>230</v>
      </c>
      <c r="E1789" s="345"/>
      <c r="F1789" s="345"/>
      <c r="G1789" s="2">
        <v>3.95</v>
      </c>
      <c r="L1789" s="796"/>
    </row>
    <row r="1790" spans="1:12">
      <c r="A1790" s="366" t="s">
        <v>1233</v>
      </c>
      <c r="B1790" s="361"/>
      <c r="C1790" s="373">
        <v>230</v>
      </c>
      <c r="D1790" s="365">
        <v>114</v>
      </c>
      <c r="E1790" s="345"/>
      <c r="F1790" s="345"/>
      <c r="G1790" s="2">
        <v>1.62</v>
      </c>
      <c r="L1790" s="796"/>
    </row>
    <row r="1791" spans="1:12">
      <c r="A1791" s="366" t="s">
        <v>1238</v>
      </c>
      <c r="B1791" s="361"/>
      <c r="C1791" s="373">
        <v>230</v>
      </c>
      <c r="D1791" s="365">
        <v>114</v>
      </c>
      <c r="E1791" s="345"/>
      <c r="F1791" s="345"/>
      <c r="G1791" s="2">
        <v>1.9339999999999999</v>
      </c>
      <c r="L1791" s="796"/>
    </row>
    <row r="1792" spans="1:12">
      <c r="A1792" s="366" t="s">
        <v>1236</v>
      </c>
      <c r="B1792" s="361"/>
      <c r="C1792" s="373">
        <v>250</v>
      </c>
      <c r="D1792" s="365">
        <v>187</v>
      </c>
      <c r="E1792" s="345"/>
      <c r="F1792" s="345"/>
      <c r="G1792" s="2">
        <v>2.93</v>
      </c>
      <c r="L1792" s="796"/>
    </row>
    <row r="1793" spans="1:12">
      <c r="A1793" s="366" t="s">
        <v>1237</v>
      </c>
      <c r="B1793" s="361"/>
      <c r="C1793" s="373">
        <v>250</v>
      </c>
      <c r="D1793" s="365">
        <v>187</v>
      </c>
      <c r="E1793" s="345"/>
      <c r="F1793" s="345"/>
      <c r="G1793" s="2">
        <v>3.49</v>
      </c>
      <c r="L1793" s="796"/>
    </row>
    <row r="1794" spans="1:12">
      <c r="A1794" s="366" t="s">
        <v>1265</v>
      </c>
      <c r="B1794" s="361"/>
      <c r="C1794" s="373">
        <v>250</v>
      </c>
      <c r="D1794" s="365">
        <v>250</v>
      </c>
      <c r="E1794" s="345"/>
      <c r="F1794" s="345"/>
      <c r="G1794" s="2">
        <v>3.93</v>
      </c>
      <c r="L1794" s="796"/>
    </row>
    <row r="1795" spans="1:12">
      <c r="A1795" s="366" t="s">
        <v>1266</v>
      </c>
      <c r="B1795" s="361"/>
      <c r="C1795" s="373">
        <v>250</v>
      </c>
      <c r="D1795" s="365">
        <v>250</v>
      </c>
      <c r="E1795" s="345"/>
      <c r="F1795" s="345"/>
      <c r="G1795" s="2">
        <v>4.68</v>
      </c>
      <c r="L1795" s="796"/>
    </row>
    <row r="1796" spans="1:12">
      <c r="A1796" s="366" t="s">
        <v>1267</v>
      </c>
      <c r="B1796" s="361"/>
      <c r="C1796" s="373">
        <v>300</v>
      </c>
      <c r="D1796" s="365">
        <v>300</v>
      </c>
      <c r="E1796" s="345"/>
      <c r="F1796" s="345"/>
      <c r="G1796" s="2">
        <v>6.76</v>
      </c>
      <c r="L1796" s="796"/>
    </row>
    <row r="1797" spans="1:12">
      <c r="A1797" s="366" t="s">
        <v>1235</v>
      </c>
      <c r="B1797" s="361"/>
      <c r="C1797" s="373">
        <v>300</v>
      </c>
      <c r="D1797" s="365">
        <v>150</v>
      </c>
      <c r="E1797" s="345"/>
      <c r="F1797" s="345"/>
      <c r="G1797" s="2">
        <v>2.82</v>
      </c>
      <c r="L1797" s="796"/>
    </row>
    <row r="1798" spans="1:12">
      <c r="A1798" s="366" t="s">
        <v>1232</v>
      </c>
      <c r="B1798" s="361"/>
      <c r="C1798" s="373">
        <v>300</v>
      </c>
      <c r="D1798" s="365">
        <v>150</v>
      </c>
      <c r="E1798" s="345"/>
      <c r="F1798" s="345"/>
      <c r="G1798" s="2">
        <v>3.36</v>
      </c>
      <c r="L1798" s="796"/>
    </row>
    <row r="1799" spans="1:12">
      <c r="A1799" s="366" t="s">
        <v>1200</v>
      </c>
      <c r="B1799" s="361"/>
      <c r="C1799" s="373">
        <v>250</v>
      </c>
      <c r="D1799" s="365">
        <v>124</v>
      </c>
      <c r="E1799" s="345"/>
      <c r="F1799" s="345"/>
      <c r="G1799" s="2">
        <v>1.92</v>
      </c>
      <c r="L1799" s="796"/>
    </row>
    <row r="1800" spans="1:12">
      <c r="A1800" s="366" t="s">
        <v>1234</v>
      </c>
      <c r="B1800" s="361"/>
      <c r="C1800" s="373">
        <v>250</v>
      </c>
      <c r="D1800" s="365">
        <v>124</v>
      </c>
      <c r="E1800" s="345"/>
      <c r="F1800" s="345"/>
      <c r="G1800" s="2">
        <v>2.29</v>
      </c>
      <c r="L1800" s="796"/>
    </row>
    <row r="1801" spans="1:12">
      <c r="B1801" s="3"/>
      <c r="G1801" s="2"/>
      <c r="L1801" s="796"/>
    </row>
    <row r="1802" spans="1:12">
      <c r="A1802" s="371" t="s">
        <v>1245</v>
      </c>
      <c r="B1802" s="361"/>
      <c r="C1802" s="373">
        <v>172</v>
      </c>
      <c r="D1802" s="365">
        <v>114</v>
      </c>
      <c r="E1802" s="345"/>
      <c r="F1802" s="345"/>
      <c r="G1802" s="2">
        <v>1.04</v>
      </c>
      <c r="L1802" s="796"/>
    </row>
    <row r="1803" spans="1:12">
      <c r="A1803" s="371" t="s">
        <v>1244</v>
      </c>
      <c r="B1803" s="361"/>
      <c r="C1803" s="373">
        <v>172</v>
      </c>
      <c r="D1803" s="365">
        <v>114</v>
      </c>
      <c r="E1803" s="345"/>
      <c r="F1803" s="345"/>
      <c r="G1803" s="2">
        <v>1.2350000000000001</v>
      </c>
      <c r="L1803" s="796"/>
    </row>
    <row r="1804" spans="1:12">
      <c r="A1804" s="371" t="s">
        <v>1242</v>
      </c>
      <c r="B1804" s="361"/>
      <c r="C1804" s="373">
        <v>225</v>
      </c>
      <c r="D1804" s="365">
        <v>150</v>
      </c>
      <c r="E1804" s="345"/>
      <c r="F1804" s="345"/>
      <c r="G1804" s="2">
        <v>1.8</v>
      </c>
      <c r="L1804" s="796"/>
    </row>
    <row r="1805" spans="1:12">
      <c r="A1805" s="371" t="s">
        <v>1246</v>
      </c>
      <c r="B1805" s="361"/>
      <c r="C1805" s="373">
        <v>225</v>
      </c>
      <c r="D1805" s="365">
        <v>150</v>
      </c>
      <c r="E1805" s="345"/>
      <c r="F1805" s="345"/>
      <c r="G1805" s="2">
        <v>2.13</v>
      </c>
      <c r="L1805" s="796"/>
    </row>
    <row r="1806" spans="1:12">
      <c r="A1806" s="371" t="s">
        <v>1243</v>
      </c>
      <c r="B1806" s="361"/>
      <c r="C1806" s="373">
        <v>187</v>
      </c>
      <c r="D1806" s="365">
        <v>124</v>
      </c>
      <c r="E1806" s="345"/>
      <c r="F1806" s="345"/>
      <c r="G1806" s="2">
        <v>1.23</v>
      </c>
      <c r="L1806" s="796"/>
    </row>
    <row r="1807" spans="1:12">
      <c r="A1807" s="371" t="s">
        <v>1241</v>
      </c>
      <c r="B1807" s="361"/>
      <c r="C1807" s="373">
        <v>187</v>
      </c>
      <c r="D1807" s="365">
        <v>124</v>
      </c>
      <c r="E1807" s="345"/>
      <c r="F1807" s="345"/>
      <c r="G1807" s="2">
        <v>1.46</v>
      </c>
      <c r="L1807" s="796"/>
    </row>
    <row r="1808" spans="1:12">
      <c r="B1808" s="3"/>
      <c r="G1808" s="2"/>
      <c r="L1808" s="796"/>
    </row>
    <row r="1809" spans="1:12">
      <c r="A1809" s="359" t="s">
        <v>1251</v>
      </c>
      <c r="B1809" s="361"/>
      <c r="C1809" s="373">
        <v>230</v>
      </c>
      <c r="D1809" s="365">
        <v>114</v>
      </c>
      <c r="E1809" s="345"/>
      <c r="F1809" s="345"/>
      <c r="G1809" s="2">
        <v>1.46</v>
      </c>
      <c r="L1809" s="796"/>
    </row>
    <row r="1810" spans="1:12">
      <c r="A1810" s="359" t="s">
        <v>1250</v>
      </c>
      <c r="B1810" s="361"/>
      <c r="C1810" s="373">
        <v>230</v>
      </c>
      <c r="D1810" s="365">
        <v>114</v>
      </c>
      <c r="E1810" s="345"/>
      <c r="F1810" s="345"/>
      <c r="G1810" s="2">
        <v>1.7370000000000001</v>
      </c>
      <c r="L1810" s="796"/>
    </row>
    <row r="1811" spans="1:12">
      <c r="A1811" s="359" t="s">
        <v>1249</v>
      </c>
      <c r="B1811" s="361"/>
      <c r="C1811" s="373">
        <v>300</v>
      </c>
      <c r="D1811" s="365">
        <v>150</v>
      </c>
      <c r="E1811" s="345"/>
      <c r="F1811" s="345"/>
      <c r="G1811" s="2">
        <v>2.52</v>
      </c>
      <c r="L1811" s="796"/>
    </row>
    <row r="1812" spans="1:12">
      <c r="A1812" s="359" t="s">
        <v>1252</v>
      </c>
      <c r="B1812" s="361"/>
      <c r="C1812" s="373">
        <v>300</v>
      </c>
      <c r="D1812" s="365">
        <v>150</v>
      </c>
      <c r="E1812" s="345"/>
      <c r="F1812" s="345"/>
      <c r="G1812" s="2">
        <v>2.99</v>
      </c>
      <c r="L1812" s="796"/>
    </row>
    <row r="1813" spans="1:12">
      <c r="A1813" s="359" t="s">
        <v>1247</v>
      </c>
      <c r="B1813" s="361"/>
      <c r="C1813" s="373">
        <v>250</v>
      </c>
      <c r="D1813" s="365">
        <v>124</v>
      </c>
      <c r="E1813" s="345"/>
      <c r="F1813" s="345"/>
      <c r="G1813" s="2">
        <v>1.73</v>
      </c>
      <c r="L1813" s="796"/>
    </row>
    <row r="1814" spans="1:12">
      <c r="A1814" s="359" t="s">
        <v>1248</v>
      </c>
      <c r="B1814" s="361"/>
      <c r="C1814" s="373">
        <v>250</v>
      </c>
      <c r="D1814" s="365">
        <v>124</v>
      </c>
      <c r="E1814" s="345"/>
      <c r="F1814" s="345"/>
      <c r="G1814" s="2">
        <v>2.0499999999999998</v>
      </c>
      <c r="L1814" s="796"/>
    </row>
    <row r="1815" spans="1:12">
      <c r="B1815" s="3"/>
      <c r="G1815" s="2"/>
      <c r="L1815" s="796"/>
    </row>
    <row r="1816" spans="1:12">
      <c r="A1816" s="364" t="s">
        <v>1256</v>
      </c>
      <c r="B1816" s="361"/>
      <c r="C1816" s="373">
        <v>172</v>
      </c>
      <c r="D1816" s="365">
        <v>114</v>
      </c>
      <c r="E1816" s="345"/>
      <c r="F1816" s="345"/>
      <c r="G1816" s="2">
        <v>0.98</v>
      </c>
      <c r="L1816" s="796"/>
    </row>
    <row r="1817" spans="1:12">
      <c r="A1817" s="364" t="s">
        <v>1255</v>
      </c>
      <c r="B1817" s="361"/>
      <c r="C1817" s="373">
        <v>172</v>
      </c>
      <c r="D1817" s="365">
        <v>114</v>
      </c>
      <c r="E1817" s="345"/>
      <c r="F1817" s="345"/>
      <c r="G1817" s="2">
        <v>0.98199999999999998</v>
      </c>
      <c r="L1817" s="796"/>
    </row>
    <row r="1818" spans="1:12">
      <c r="A1818" s="364" t="s">
        <v>1254</v>
      </c>
      <c r="B1818" s="361"/>
      <c r="C1818" s="373">
        <v>225</v>
      </c>
      <c r="D1818" s="365">
        <v>150</v>
      </c>
      <c r="E1818" s="345"/>
      <c r="F1818" s="345"/>
      <c r="G1818" s="2">
        <v>1.73</v>
      </c>
      <c r="L1818" s="796"/>
    </row>
    <row r="1819" spans="1:12">
      <c r="A1819" s="364" t="s">
        <v>1257</v>
      </c>
      <c r="B1819" s="361"/>
      <c r="C1819" s="373">
        <v>225</v>
      </c>
      <c r="D1819" s="365">
        <v>150</v>
      </c>
      <c r="E1819" s="345"/>
      <c r="F1819" s="345"/>
      <c r="G1819" s="2">
        <v>2.0699999999999998</v>
      </c>
      <c r="L1819" s="796"/>
    </row>
    <row r="1820" spans="1:12">
      <c r="A1820" s="364" t="s">
        <v>1201</v>
      </c>
      <c r="B1820" s="361"/>
      <c r="C1820" s="373">
        <v>187</v>
      </c>
      <c r="D1820" s="365">
        <v>124</v>
      </c>
      <c r="E1820" s="345"/>
      <c r="F1820" s="345"/>
      <c r="G1820" s="2">
        <v>1.17</v>
      </c>
      <c r="L1820" s="796"/>
    </row>
    <row r="1821" spans="1:12">
      <c r="A1821" s="364" t="s">
        <v>1253</v>
      </c>
      <c r="B1821" s="361"/>
      <c r="C1821" s="373">
        <v>187</v>
      </c>
      <c r="D1821" s="365">
        <v>124</v>
      </c>
      <c r="E1821" s="345"/>
      <c r="F1821" s="345"/>
      <c r="G1821" s="2">
        <v>1.4</v>
      </c>
      <c r="L1821" s="796"/>
    </row>
    <row r="1822" spans="1:12">
      <c r="B1822" s="3"/>
      <c r="G1822" s="2"/>
      <c r="L1822" s="796"/>
    </row>
    <row r="1823" spans="1:12">
      <c r="A1823" s="360" t="s">
        <v>1258</v>
      </c>
      <c r="B1823" s="361"/>
      <c r="C1823" s="373">
        <v>230</v>
      </c>
      <c r="D1823" s="365">
        <v>114</v>
      </c>
      <c r="E1823" s="345"/>
      <c r="F1823" s="345"/>
      <c r="G1823" s="2">
        <v>1.4</v>
      </c>
      <c r="L1823" s="796"/>
    </row>
    <row r="1824" spans="1:12">
      <c r="A1824" s="360" t="s">
        <v>1261</v>
      </c>
      <c r="B1824" s="361"/>
      <c r="C1824" s="373">
        <v>230</v>
      </c>
      <c r="D1824" s="365">
        <v>114</v>
      </c>
      <c r="E1824" s="345"/>
      <c r="F1824" s="345"/>
      <c r="G1824" s="2">
        <v>1.679</v>
      </c>
      <c r="L1824" s="796"/>
    </row>
    <row r="1825" spans="1:22">
      <c r="A1825" s="360" t="s">
        <v>1260</v>
      </c>
      <c r="B1825" s="361"/>
      <c r="C1825" s="373">
        <v>300</v>
      </c>
      <c r="D1825" s="365">
        <v>150</v>
      </c>
      <c r="E1825" s="345"/>
      <c r="F1825" s="345"/>
      <c r="G1825" s="2">
        <v>2.4500000000000002</v>
      </c>
      <c r="L1825" s="796"/>
    </row>
    <row r="1826" spans="1:22">
      <c r="A1826" s="360" t="s">
        <v>1262</v>
      </c>
      <c r="B1826" s="361"/>
      <c r="C1826" s="373">
        <v>300</v>
      </c>
      <c r="D1826" s="365">
        <v>150</v>
      </c>
      <c r="E1826" s="345"/>
      <c r="F1826" s="345"/>
      <c r="G1826" s="2">
        <v>2.92</v>
      </c>
      <c r="L1826" s="796"/>
    </row>
    <row r="1827" spans="1:22">
      <c r="A1827" s="360" t="s">
        <v>1202</v>
      </c>
      <c r="B1827" s="361"/>
      <c r="C1827" s="373">
        <v>250</v>
      </c>
      <c r="D1827" s="365">
        <v>124</v>
      </c>
      <c r="E1827" s="345"/>
      <c r="F1827" s="345"/>
      <c r="G1827" s="2">
        <v>1.67</v>
      </c>
      <c r="L1827" s="796"/>
    </row>
    <row r="1828" spans="1:22">
      <c r="A1828" s="360" t="s">
        <v>1259</v>
      </c>
      <c r="B1828" s="361"/>
      <c r="C1828" s="373">
        <v>250</v>
      </c>
      <c r="D1828" s="365">
        <v>124</v>
      </c>
      <c r="E1828" s="345"/>
      <c r="F1828" s="345"/>
      <c r="G1828" s="2">
        <v>1.99</v>
      </c>
      <c r="L1828" s="796"/>
    </row>
    <row r="1829" spans="1:22" ht="13.8" thickBot="1">
      <c r="L1829" s="796"/>
    </row>
    <row r="1830" spans="1:22" ht="25.2" thickBot="1">
      <c r="A1830" s="370" t="s">
        <v>2278</v>
      </c>
      <c r="B1830" s="362"/>
      <c r="C1830" s="362"/>
      <c r="D1830" s="362"/>
      <c r="E1830" s="362"/>
      <c r="F1830" s="362"/>
      <c r="G1830" s="103"/>
      <c r="H1830" s="92"/>
      <c r="I1830" s="92"/>
      <c r="J1830" s="92"/>
      <c r="K1830" s="92"/>
      <c r="L1830" s="96"/>
      <c r="R1830" s="22"/>
      <c r="S1830" s="22"/>
      <c r="T1830" s="20"/>
      <c r="U1830" s="20"/>
      <c r="V1830" s="20"/>
    </row>
    <row r="1831" spans="1:22" s="290" customFormat="1">
      <c r="A1831" s="289" t="s">
        <v>1978</v>
      </c>
      <c r="B1831" s="2" t="s">
        <v>1979</v>
      </c>
      <c r="C1831" s="2">
        <v>228.6</v>
      </c>
      <c r="D1831" s="2">
        <v>100</v>
      </c>
      <c r="E1831" s="2">
        <v>152.4</v>
      </c>
      <c r="F1831" s="2">
        <v>139.69999999999999</v>
      </c>
      <c r="G1831" s="21">
        <f t="shared" ref="G1831:G1869" si="168">IF(B1831="","",AVERAGE(E1831:F1831)*D1831*C1831/10^6)</f>
        <v>3.3387030000000006</v>
      </c>
      <c r="H1831" s="20">
        <f t="shared" ref="H1831:H1833" si="169">ROUND(C1831*E1831*F1831/10^6,3)</f>
        <v>4.867</v>
      </c>
      <c r="I1831" s="20">
        <f t="shared" ref="I1831:I1833" si="170">IF(D1831="","-",ROUND((F1831+D1831)*C1831/2*E1831/10^6,3))</f>
        <v>4.1749999999999998</v>
      </c>
      <c r="J1831" s="72">
        <f t="shared" ref="J1831:J1833" si="171">IF(D1831="","-",ROUND((E1831+F1831)*C1831/2*D1831/10^6,3))</f>
        <v>3.339</v>
      </c>
      <c r="L1831" s="20"/>
      <c r="M1831" s="20"/>
      <c r="N1831" s="20"/>
      <c r="O1831" s="20"/>
      <c r="P1831" s="20"/>
      <c r="Q1831" s="21"/>
      <c r="R1831" s="22" t="s">
        <v>16</v>
      </c>
      <c r="S1831" s="22">
        <v>2</v>
      </c>
      <c r="T1831" s="20">
        <f t="shared" ref="T1831:T1833" si="172">(E1831+U1831)/2/(SIN(RADIANS((ATAN(((E1831+U1831)-(F1831+U1831))/2/C1831)*180/PI()))))*2</f>
        <v>5488.5162585164971</v>
      </c>
      <c r="U1831" s="22">
        <f>U1826</f>
        <v>0</v>
      </c>
      <c r="V1831" s="20" t="str">
        <f t="shared" ref="V1831:V1833" si="173">B1831&amp;"-"&amp;C1831&amp;"x"&amp;E1831&amp;"x"&amp;D1831</f>
        <v>RE-228,6x152,4x100</v>
      </c>
    </row>
    <row r="1832" spans="1:22" s="290" customFormat="1">
      <c r="A1832" s="289" t="s">
        <v>1980</v>
      </c>
      <c r="B1832" s="2" t="s">
        <v>1979</v>
      </c>
      <c r="C1832" s="2">
        <v>228.6</v>
      </c>
      <c r="D1832" s="2">
        <v>100</v>
      </c>
      <c r="E1832" s="2">
        <v>152.4</v>
      </c>
      <c r="F1832" s="2">
        <v>114.3</v>
      </c>
      <c r="G1832" s="21">
        <f t="shared" si="168"/>
        <v>3.048381</v>
      </c>
      <c r="H1832" s="20">
        <f t="shared" si="169"/>
        <v>3.9820000000000002</v>
      </c>
      <c r="I1832" s="20">
        <f t="shared" si="170"/>
        <v>3.7330000000000001</v>
      </c>
      <c r="J1832" s="72">
        <f t="shared" si="171"/>
        <v>3.048</v>
      </c>
      <c r="L1832" s="20"/>
      <c r="M1832" s="20"/>
      <c r="N1832" s="20"/>
      <c r="O1832" s="20"/>
      <c r="P1832" s="20"/>
      <c r="Q1832" s="21"/>
      <c r="R1832" s="22" t="s">
        <v>16</v>
      </c>
      <c r="S1832" s="22">
        <v>2</v>
      </c>
      <c r="T1832" s="20">
        <f t="shared" si="172"/>
        <v>1835.1390138079453</v>
      </c>
      <c r="U1832" s="22">
        <f>U1825</f>
        <v>0</v>
      </c>
      <c r="V1832" s="20" t="str">
        <f t="shared" si="173"/>
        <v>RE-228,6x152,4x100</v>
      </c>
    </row>
    <row r="1833" spans="1:22" s="290" customFormat="1">
      <c r="A1833" s="289" t="s">
        <v>1981</v>
      </c>
      <c r="B1833" s="2" t="s">
        <v>1979</v>
      </c>
      <c r="C1833" s="2">
        <v>228.6</v>
      </c>
      <c r="D1833" s="2">
        <v>100</v>
      </c>
      <c r="E1833" s="2">
        <v>152.4</v>
      </c>
      <c r="F1833" s="2">
        <v>76.2</v>
      </c>
      <c r="G1833" s="21">
        <f t="shared" si="168"/>
        <v>2.6128980000000004</v>
      </c>
      <c r="H1833" s="20">
        <f t="shared" si="169"/>
        <v>2.6549999999999998</v>
      </c>
      <c r="I1833" s="20">
        <f t="shared" si="170"/>
        <v>3.069</v>
      </c>
      <c r="J1833" s="72">
        <f t="shared" si="171"/>
        <v>2.613</v>
      </c>
      <c r="L1833" s="20"/>
      <c r="M1833" s="20"/>
      <c r="N1833" s="20"/>
      <c r="O1833" s="20"/>
      <c r="P1833" s="20"/>
      <c r="Q1833" s="21"/>
      <c r="R1833" s="22" t="s">
        <v>16</v>
      </c>
      <c r="S1833" s="22">
        <v>2</v>
      </c>
      <c r="T1833" s="20">
        <f t="shared" si="172"/>
        <v>927.01300961744869</v>
      </c>
      <c r="U1833" s="22">
        <f>U1826</f>
        <v>0</v>
      </c>
      <c r="V1833" s="20" t="str">
        <f t="shared" si="173"/>
        <v>RE-228,6x152,4x100</v>
      </c>
    </row>
    <row r="1834" spans="1:22" s="290" customFormat="1">
      <c r="B1834" s="2"/>
      <c r="C1834" s="2"/>
      <c r="D1834" s="2"/>
      <c r="E1834" s="2"/>
      <c r="F1834" s="2"/>
      <c r="G1834" s="341"/>
      <c r="Q1834" s="535"/>
      <c r="R1834" s="2"/>
    </row>
    <row r="1835" spans="1:22" s="290" customFormat="1">
      <c r="A1835" s="289" t="s">
        <v>1982</v>
      </c>
      <c r="B1835" s="2" t="s">
        <v>1979</v>
      </c>
      <c r="C1835" s="2">
        <v>304.8</v>
      </c>
      <c r="D1835" s="2">
        <v>100</v>
      </c>
      <c r="E1835" s="2">
        <v>152.4</v>
      </c>
      <c r="F1835" s="2">
        <v>139.69999999999999</v>
      </c>
      <c r="G1835" s="21">
        <f t="shared" si="168"/>
        <v>4.4516040000000006</v>
      </c>
      <c r="H1835" s="20">
        <f t="shared" ref="H1835:H1869" si="174">ROUND(C1835*E1835*F1835/10^6,3)</f>
        <v>6.4889999999999999</v>
      </c>
      <c r="I1835" s="20">
        <f t="shared" ref="I1835:I1869" si="175">IF(D1835="","-",ROUND((F1835+D1835)*C1835/2*E1835/10^6,3))</f>
        <v>5.5670000000000002</v>
      </c>
      <c r="J1835" s="72">
        <f t="shared" ref="J1835:J1869" si="176">IF(D1835="","-",ROUND((E1835+F1835)*C1835/2*D1835/10^6,3))</f>
        <v>4.452</v>
      </c>
      <c r="L1835" s="20"/>
      <c r="M1835" s="20"/>
      <c r="N1835" s="20"/>
      <c r="O1835" s="20"/>
      <c r="P1835" s="20"/>
      <c r="Q1835" s="21"/>
      <c r="R1835" s="22" t="s">
        <v>16</v>
      </c>
      <c r="S1835" s="22">
        <v>2</v>
      </c>
      <c r="T1835" s="20">
        <f t="shared" ref="T1835:T1869" si="177">(E1835+U1835)/2/(SIN(RADIANS((ATAN(((E1835+U1835)-(F1835+U1835))/2/C1835)*180/PI()))))*2</f>
        <v>7316.7873277825884</v>
      </c>
      <c r="U1835" s="22">
        <f>U1831</f>
        <v>0</v>
      </c>
      <c r="V1835" s="20" t="str">
        <f t="shared" ref="V1835:V1869" si="178">B1835&amp;"-"&amp;C1835&amp;"x"&amp;E1835&amp;"x"&amp;D1835</f>
        <v>RE-304,8x152,4x100</v>
      </c>
    </row>
    <row r="1836" spans="1:22" s="290" customFormat="1">
      <c r="A1836" s="289" t="s">
        <v>1983</v>
      </c>
      <c r="B1836" s="2" t="s">
        <v>1979</v>
      </c>
      <c r="C1836" s="2">
        <v>304.8</v>
      </c>
      <c r="D1836" s="2">
        <v>100</v>
      </c>
      <c r="E1836" s="2">
        <v>152.4</v>
      </c>
      <c r="F1836" s="2">
        <v>127</v>
      </c>
      <c r="G1836" s="21">
        <f t="shared" si="168"/>
        <v>4.2580559999999998</v>
      </c>
      <c r="H1836" s="20">
        <f t="shared" si="174"/>
        <v>5.899</v>
      </c>
      <c r="I1836" s="20">
        <f t="shared" si="175"/>
        <v>5.2720000000000002</v>
      </c>
      <c r="J1836" s="72">
        <f t="shared" si="176"/>
        <v>4.258</v>
      </c>
      <c r="L1836" s="20"/>
      <c r="M1836" s="20"/>
      <c r="N1836" s="20"/>
      <c r="O1836" s="20"/>
      <c r="P1836" s="20"/>
      <c r="Q1836" s="21"/>
      <c r="R1836" s="22" t="s">
        <v>16</v>
      </c>
      <c r="S1836" s="22">
        <v>2</v>
      </c>
      <c r="T1836" s="20">
        <f t="shared" si="177"/>
        <v>3660.7736231567228</v>
      </c>
      <c r="U1836" s="22">
        <f>U1833</f>
        <v>0</v>
      </c>
      <c r="V1836" s="20" t="str">
        <f t="shared" si="178"/>
        <v>RE-304,8x152,4x100</v>
      </c>
    </row>
    <row r="1837" spans="1:22" s="290" customFormat="1">
      <c r="A1837" s="289" t="s">
        <v>1984</v>
      </c>
      <c r="B1837" s="2" t="s">
        <v>1979</v>
      </c>
      <c r="C1837" s="2">
        <v>304.8</v>
      </c>
      <c r="D1837" s="2">
        <v>100</v>
      </c>
      <c r="E1837" s="2">
        <v>152.4</v>
      </c>
      <c r="F1837" s="2">
        <v>114.3</v>
      </c>
      <c r="G1837" s="21">
        <f t="shared" si="168"/>
        <v>4.064508</v>
      </c>
      <c r="H1837" s="20">
        <f t="shared" si="174"/>
        <v>5.3090000000000002</v>
      </c>
      <c r="I1837" s="20">
        <f t="shared" si="175"/>
        <v>4.9770000000000003</v>
      </c>
      <c r="J1837" s="72">
        <f t="shared" si="176"/>
        <v>4.0650000000000004</v>
      </c>
      <c r="L1837" s="20"/>
      <c r="M1837" s="20"/>
      <c r="N1837" s="20"/>
      <c r="O1837" s="20"/>
      <c r="P1837" s="20"/>
      <c r="Q1837" s="21"/>
      <c r="R1837" s="22" t="s">
        <v>16</v>
      </c>
      <c r="S1837" s="22">
        <v>2</v>
      </c>
      <c r="T1837" s="20">
        <f t="shared" si="177"/>
        <v>2443.1578581827243</v>
      </c>
      <c r="U1837" s="22">
        <f>U1834</f>
        <v>0</v>
      </c>
      <c r="V1837" s="20" t="str">
        <f t="shared" si="178"/>
        <v>RE-304,8x152,4x100</v>
      </c>
    </row>
    <row r="1838" spans="1:22" s="290" customFormat="1">
      <c r="A1838" s="289" t="s">
        <v>1985</v>
      </c>
      <c r="B1838" s="2" t="s">
        <v>1979</v>
      </c>
      <c r="C1838" s="2">
        <v>304.8</v>
      </c>
      <c r="D1838" s="2">
        <v>100</v>
      </c>
      <c r="E1838" s="2">
        <v>152.4</v>
      </c>
      <c r="F1838" s="2">
        <v>76.2</v>
      </c>
      <c r="G1838" s="21">
        <f t="shared" si="168"/>
        <v>3.4838640000000005</v>
      </c>
      <c r="H1838" s="20">
        <f>ROUND(C1838*E1838*F1838/10^6,3)</f>
        <v>3.54</v>
      </c>
      <c r="I1838" s="20">
        <f>IF(D1838="","-",ROUND((F1838+D1838)*C1838/2*E1838/10^6,3))</f>
        <v>4.0919999999999996</v>
      </c>
      <c r="J1838" s="72">
        <f>IF(D1838="","-",ROUND((E1838+F1838)*C1838/2*D1838/10^6,3))</f>
        <v>3.484</v>
      </c>
      <c r="L1838" s="20"/>
      <c r="M1838" s="20"/>
      <c r="N1838" s="20"/>
      <c r="O1838" s="20"/>
      <c r="P1838" s="20"/>
      <c r="Q1838" s="21"/>
      <c r="R1838" s="22" t="s">
        <v>16</v>
      </c>
      <c r="S1838" s="22">
        <v>2</v>
      </c>
      <c r="T1838" s="20">
        <f>(E1838+U1838)/2/(SIN(RADIANS((ATAN(((E1838+U1838)-(F1838+U1838))/2/C1838)*180/PI()))))*2</f>
        <v>1228.6880808406991</v>
      </c>
      <c r="U1838" s="22">
        <f>U1832</f>
        <v>0</v>
      </c>
      <c r="V1838" s="20" t="str">
        <f>B1838&amp;"-"&amp;C1838&amp;"x"&amp;E1838&amp;"x"&amp;D1838</f>
        <v>RE-304,8x152,4x100</v>
      </c>
    </row>
    <row r="1839" spans="1:22" s="290" customFormat="1">
      <c r="A1839" s="289"/>
      <c r="B1839" s="2"/>
      <c r="C1839" s="2"/>
      <c r="D1839" s="2"/>
      <c r="E1839" s="2"/>
      <c r="F1839" s="2"/>
      <c r="G1839" s="21"/>
      <c r="H1839" s="20"/>
      <c r="I1839" s="20"/>
      <c r="L1839" s="20"/>
      <c r="M1839" s="20"/>
      <c r="N1839" s="20"/>
      <c r="O1839" s="20"/>
      <c r="P1839" s="20"/>
      <c r="Q1839" s="21"/>
      <c r="R1839" s="22"/>
      <c r="S1839" s="22"/>
      <c r="T1839" s="20"/>
      <c r="U1839" s="22"/>
      <c r="V1839" s="20"/>
    </row>
    <row r="1840" spans="1:22" s="290" customFormat="1">
      <c r="A1840" s="289" t="s">
        <v>1986</v>
      </c>
      <c r="B1840" s="2" t="s">
        <v>1979</v>
      </c>
      <c r="C1840" s="2">
        <v>342.9</v>
      </c>
      <c r="D1840" s="2">
        <v>100</v>
      </c>
      <c r="E1840" s="2">
        <v>152.4</v>
      </c>
      <c r="F1840" s="2">
        <v>127</v>
      </c>
      <c r="G1840" s="21">
        <f t="shared" si="168"/>
        <v>4.7903129999999994</v>
      </c>
      <c r="H1840" s="20">
        <f t="shared" si="174"/>
        <v>6.6369999999999996</v>
      </c>
      <c r="I1840" s="20">
        <f t="shared" si="175"/>
        <v>5.931</v>
      </c>
      <c r="J1840" s="72">
        <f t="shared" si="176"/>
        <v>4.79</v>
      </c>
      <c r="L1840" s="20"/>
      <c r="M1840" s="20"/>
      <c r="N1840" s="20"/>
      <c r="O1840" s="20"/>
      <c r="P1840" s="20"/>
      <c r="Q1840" s="21"/>
      <c r="R1840" s="22" t="s">
        <v>16</v>
      </c>
      <c r="S1840" s="22">
        <v>2</v>
      </c>
      <c r="T1840" s="20">
        <f t="shared" si="177"/>
        <v>4117.6212550451983</v>
      </c>
      <c r="U1840" s="22">
        <f t="shared" ref="U1840:U1841" si="179">U1834</f>
        <v>0</v>
      </c>
      <c r="V1840" s="20" t="str">
        <f t="shared" si="178"/>
        <v>RE-342,9x152,4x100</v>
      </c>
    </row>
    <row r="1841" spans="1:22" s="290" customFormat="1">
      <c r="A1841" s="289" t="s">
        <v>1987</v>
      </c>
      <c r="B1841" s="2" t="s">
        <v>1979</v>
      </c>
      <c r="C1841" s="2">
        <v>342.9</v>
      </c>
      <c r="D1841" s="2">
        <v>100</v>
      </c>
      <c r="E1841" s="2">
        <v>152.4</v>
      </c>
      <c r="F1841" s="2">
        <v>101.6</v>
      </c>
      <c r="G1841" s="21">
        <f t="shared" si="168"/>
        <v>4.3548299999999998</v>
      </c>
      <c r="H1841" s="20">
        <f t="shared" si="174"/>
        <v>5.3090000000000002</v>
      </c>
      <c r="I1841" s="20">
        <f t="shared" si="175"/>
        <v>5.2679999999999998</v>
      </c>
      <c r="J1841" s="72">
        <f t="shared" si="176"/>
        <v>4.3550000000000004</v>
      </c>
      <c r="L1841" s="20"/>
      <c r="M1841" s="20"/>
      <c r="N1841" s="20"/>
      <c r="O1841" s="20"/>
      <c r="P1841" s="20"/>
      <c r="Q1841" s="21"/>
      <c r="R1841" s="22" t="s">
        <v>16</v>
      </c>
      <c r="S1841" s="22">
        <v>2</v>
      </c>
      <c r="T1841" s="20">
        <f t="shared" si="177"/>
        <v>2063.0367228917662</v>
      </c>
      <c r="U1841" s="22">
        <f t="shared" si="179"/>
        <v>0</v>
      </c>
      <c r="V1841" s="20" t="str">
        <f t="shared" si="178"/>
        <v>RE-342,9x152,4x100</v>
      </c>
    </row>
    <row r="1842" spans="1:22" s="290" customFormat="1">
      <c r="A1842" s="289" t="s">
        <v>1988</v>
      </c>
      <c r="B1842" s="2" t="s">
        <v>1979</v>
      </c>
      <c r="C1842" s="2">
        <v>342.9</v>
      </c>
      <c r="D1842" s="2">
        <v>100</v>
      </c>
      <c r="E1842" s="2">
        <v>152.4</v>
      </c>
      <c r="F1842" s="2">
        <v>76.2</v>
      </c>
      <c r="G1842" s="21">
        <f t="shared" si="168"/>
        <v>3.9193470000000006</v>
      </c>
      <c r="H1842" s="20">
        <f t="shared" si="174"/>
        <v>3.9820000000000002</v>
      </c>
      <c r="I1842" s="20">
        <f t="shared" si="175"/>
        <v>4.6040000000000001</v>
      </c>
      <c r="J1842" s="72">
        <f t="shared" si="176"/>
        <v>3.919</v>
      </c>
      <c r="L1842" s="20"/>
      <c r="M1842" s="20"/>
      <c r="N1842" s="20"/>
      <c r="O1842" s="20"/>
      <c r="P1842" s="20"/>
      <c r="Q1842" s="21"/>
      <c r="R1842" s="22" t="s">
        <v>16</v>
      </c>
      <c r="S1842" s="22">
        <v>2</v>
      </c>
      <c r="T1842" s="20">
        <f t="shared" si="177"/>
        <v>1380.0406950521424</v>
      </c>
      <c r="U1842" s="22">
        <f>U1835</f>
        <v>0</v>
      </c>
      <c r="V1842" s="20" t="str">
        <f t="shared" si="178"/>
        <v>RE-342,9x152,4x100</v>
      </c>
    </row>
    <row r="1843" spans="1:22" s="290" customFormat="1">
      <c r="A1843" s="289"/>
      <c r="B1843" s="2"/>
      <c r="C1843" s="2"/>
      <c r="D1843" s="2"/>
      <c r="E1843" s="2"/>
      <c r="F1843" s="2"/>
      <c r="G1843" s="21"/>
      <c r="H1843" s="20"/>
      <c r="I1843" s="20"/>
      <c r="L1843" s="20"/>
      <c r="M1843" s="20"/>
      <c r="N1843" s="20"/>
      <c r="O1843" s="20"/>
      <c r="P1843" s="20"/>
      <c r="Q1843" s="21"/>
      <c r="R1843" s="22"/>
      <c r="S1843" s="22"/>
      <c r="T1843" s="20"/>
      <c r="U1843" s="22"/>
      <c r="V1843" s="20"/>
    </row>
    <row r="1844" spans="1:22" s="290" customFormat="1">
      <c r="A1844" s="289" t="s">
        <v>1989</v>
      </c>
      <c r="B1844" s="2" t="s">
        <v>1979</v>
      </c>
      <c r="C1844" s="2">
        <v>381</v>
      </c>
      <c r="D1844" s="2">
        <v>100</v>
      </c>
      <c r="E1844" s="2">
        <v>152.4</v>
      </c>
      <c r="F1844" s="2">
        <v>139.69999999999999</v>
      </c>
      <c r="G1844" s="21">
        <f t="shared" si="168"/>
        <v>5.5645050000000014</v>
      </c>
      <c r="H1844" s="20">
        <f t="shared" si="174"/>
        <v>8.1120000000000001</v>
      </c>
      <c r="I1844" s="20">
        <f t="shared" si="175"/>
        <v>6.9589999999999996</v>
      </c>
      <c r="J1844" s="72">
        <f t="shared" si="176"/>
        <v>5.5650000000000004</v>
      </c>
      <c r="L1844" s="20"/>
      <c r="M1844" s="20"/>
      <c r="N1844" s="20"/>
      <c r="O1844" s="20"/>
      <c r="P1844" s="20"/>
      <c r="Q1844" s="21"/>
      <c r="R1844" s="22" t="s">
        <v>16</v>
      </c>
      <c r="S1844" s="22">
        <v>2</v>
      </c>
      <c r="T1844" s="20">
        <f t="shared" si="177"/>
        <v>9145.2699118177916</v>
      </c>
      <c r="U1844" s="22">
        <f>U1838</f>
        <v>0</v>
      </c>
      <c r="V1844" s="20" t="str">
        <f t="shared" si="178"/>
        <v>RE-381x152,4x100</v>
      </c>
    </row>
    <row r="1845" spans="1:22" s="290" customFormat="1">
      <c r="A1845" s="289" t="s">
        <v>1990</v>
      </c>
      <c r="B1845" s="2" t="s">
        <v>1979</v>
      </c>
      <c r="C1845" s="2">
        <v>381</v>
      </c>
      <c r="D1845" s="2">
        <v>100</v>
      </c>
      <c r="E1845" s="2">
        <v>152.4</v>
      </c>
      <c r="F1845" s="2">
        <v>127</v>
      </c>
      <c r="G1845" s="21">
        <f t="shared" si="168"/>
        <v>5.3225699999999989</v>
      </c>
      <c r="H1845" s="20">
        <f t="shared" si="174"/>
        <v>7.3739999999999997</v>
      </c>
      <c r="I1845" s="20">
        <f t="shared" si="175"/>
        <v>6.59</v>
      </c>
      <c r="J1845" s="72">
        <f t="shared" si="176"/>
        <v>5.3230000000000004</v>
      </c>
      <c r="L1845" s="20"/>
      <c r="M1845" s="20"/>
      <c r="N1845" s="20"/>
      <c r="O1845" s="20"/>
      <c r="P1845" s="20"/>
      <c r="Q1845" s="21"/>
      <c r="R1845" s="22" t="s">
        <v>16</v>
      </c>
      <c r="S1845" s="22">
        <v>2</v>
      </c>
      <c r="T1845" s="20">
        <f t="shared" si="177"/>
        <v>4574.5392948361477</v>
      </c>
      <c r="U1845" s="22">
        <f t="shared" ref="U1845:U1847" si="180">U1836</f>
        <v>0</v>
      </c>
      <c r="V1845" s="20" t="str">
        <f t="shared" si="178"/>
        <v>RE-381x152,4x100</v>
      </c>
    </row>
    <row r="1846" spans="1:22" s="290" customFormat="1">
      <c r="A1846" s="289" t="s">
        <v>1991</v>
      </c>
      <c r="B1846" s="2" t="s">
        <v>1979</v>
      </c>
      <c r="C1846" s="2">
        <v>381</v>
      </c>
      <c r="D1846" s="2">
        <v>100</v>
      </c>
      <c r="E1846" s="2">
        <v>152.4</v>
      </c>
      <c r="F1846" s="2">
        <v>101.6</v>
      </c>
      <c r="G1846" s="21">
        <f t="shared" si="168"/>
        <v>4.8387000000000002</v>
      </c>
      <c r="H1846" s="20">
        <f t="shared" si="174"/>
        <v>5.899</v>
      </c>
      <c r="I1846" s="20">
        <f t="shared" si="175"/>
        <v>5.8529999999999998</v>
      </c>
      <c r="J1846" s="72">
        <f t="shared" si="176"/>
        <v>4.8390000000000004</v>
      </c>
      <c r="L1846" s="20"/>
      <c r="M1846" s="20"/>
      <c r="N1846" s="20"/>
      <c r="O1846" s="20"/>
      <c r="P1846" s="20"/>
      <c r="Q1846" s="21"/>
      <c r="R1846" s="22" t="s">
        <v>16</v>
      </c>
      <c r="S1846" s="22">
        <v>2</v>
      </c>
      <c r="T1846" s="20">
        <f t="shared" si="177"/>
        <v>2291.0743680640308</v>
      </c>
      <c r="U1846" s="22">
        <f t="shared" si="180"/>
        <v>0</v>
      </c>
      <c r="V1846" s="20" t="str">
        <f t="shared" si="178"/>
        <v>RE-381x152,4x100</v>
      </c>
    </row>
    <row r="1847" spans="1:22" s="290" customFormat="1">
      <c r="A1847" s="289" t="s">
        <v>1992</v>
      </c>
      <c r="B1847" s="2" t="s">
        <v>1979</v>
      </c>
      <c r="C1847" s="2">
        <v>381</v>
      </c>
      <c r="D1847" s="2">
        <v>100</v>
      </c>
      <c r="E1847" s="2">
        <v>152.4</v>
      </c>
      <c r="F1847" s="2">
        <v>76.2</v>
      </c>
      <c r="G1847" s="21">
        <f t="shared" si="168"/>
        <v>4.3548300000000006</v>
      </c>
      <c r="H1847" s="20">
        <f t="shared" si="174"/>
        <v>4.4249999999999998</v>
      </c>
      <c r="I1847" s="20">
        <f t="shared" si="175"/>
        <v>5.1150000000000002</v>
      </c>
      <c r="J1847" s="72">
        <f t="shared" si="176"/>
        <v>4.3550000000000004</v>
      </c>
      <c r="L1847" s="20"/>
      <c r="M1847" s="20"/>
      <c r="N1847" s="20"/>
      <c r="O1847" s="20"/>
      <c r="P1847" s="20"/>
      <c r="Q1847" s="21"/>
      <c r="R1847" s="22" t="s">
        <v>16</v>
      </c>
      <c r="S1847" s="22">
        <v>2</v>
      </c>
      <c r="T1847" s="20">
        <f t="shared" si="177"/>
        <v>1531.6010446588234</v>
      </c>
      <c r="U1847" s="22">
        <f t="shared" si="180"/>
        <v>0</v>
      </c>
      <c r="V1847" s="20" t="str">
        <f t="shared" si="178"/>
        <v>RE-381x152,4x100</v>
      </c>
    </row>
    <row r="1848" spans="1:22" s="290" customFormat="1">
      <c r="A1848" s="289"/>
      <c r="B1848" s="2"/>
      <c r="C1848" s="2"/>
      <c r="D1848" s="2"/>
      <c r="E1848" s="2"/>
      <c r="F1848" s="2"/>
      <c r="G1848" s="21"/>
      <c r="H1848" s="20"/>
      <c r="I1848" s="20"/>
      <c r="L1848" s="20"/>
      <c r="M1848" s="20"/>
      <c r="N1848" s="20"/>
      <c r="O1848" s="20"/>
      <c r="P1848" s="20"/>
      <c r="Q1848" s="21"/>
      <c r="R1848" s="22"/>
      <c r="S1848" s="22"/>
      <c r="T1848" s="20"/>
      <c r="U1848" s="22"/>
      <c r="V1848" s="20"/>
    </row>
    <row r="1849" spans="1:22" s="290" customFormat="1">
      <c r="A1849" s="289" t="s">
        <v>1993</v>
      </c>
      <c r="B1849" s="2" t="s">
        <v>1979</v>
      </c>
      <c r="C1849" s="2">
        <v>457.2</v>
      </c>
      <c r="D1849" s="2">
        <v>100</v>
      </c>
      <c r="E1849" s="2">
        <v>152.4</v>
      </c>
      <c r="F1849" s="2">
        <v>139.69999999999999</v>
      </c>
      <c r="G1849" s="21">
        <f t="shared" si="168"/>
        <v>6.6774060000000013</v>
      </c>
      <c r="H1849" s="20">
        <f t="shared" si="174"/>
        <v>9.734</v>
      </c>
      <c r="I1849" s="20">
        <f t="shared" si="175"/>
        <v>8.3510000000000009</v>
      </c>
      <c r="J1849" s="72">
        <f t="shared" si="176"/>
        <v>6.6769999999999996</v>
      </c>
      <c r="L1849" s="20"/>
      <c r="M1849" s="20"/>
      <c r="N1849" s="20"/>
      <c r="O1849" s="20"/>
      <c r="P1849" s="20"/>
      <c r="Q1849" s="21"/>
      <c r="R1849" s="22" t="s">
        <v>16</v>
      </c>
      <c r="S1849" s="22">
        <v>2</v>
      </c>
      <c r="T1849" s="20">
        <f t="shared" si="177"/>
        <v>10973.858282299791</v>
      </c>
      <c r="U1849" s="22">
        <f>U1839</f>
        <v>0</v>
      </c>
      <c r="V1849" s="20" t="str">
        <f t="shared" si="178"/>
        <v>RE-457,2x152,4x100</v>
      </c>
    </row>
    <row r="1850" spans="1:22" s="290" customFormat="1">
      <c r="A1850" s="289" t="s">
        <v>1994</v>
      </c>
      <c r="B1850" s="2" t="s">
        <v>1979</v>
      </c>
      <c r="C1850" s="2">
        <v>457.2</v>
      </c>
      <c r="D1850" s="2">
        <v>100</v>
      </c>
      <c r="E1850" s="2">
        <v>152.4</v>
      </c>
      <c r="F1850" s="2">
        <v>127</v>
      </c>
      <c r="G1850" s="21">
        <f t="shared" si="168"/>
        <v>6.3870839999999989</v>
      </c>
      <c r="H1850" s="20">
        <f t="shared" si="174"/>
        <v>8.8490000000000002</v>
      </c>
      <c r="I1850" s="20">
        <f t="shared" si="175"/>
        <v>7.9080000000000004</v>
      </c>
      <c r="J1850" s="72">
        <f t="shared" si="176"/>
        <v>6.3869999999999996</v>
      </c>
      <c r="L1850" s="20"/>
      <c r="M1850" s="20"/>
      <c r="N1850" s="20"/>
      <c r="O1850" s="20"/>
      <c r="P1850" s="20"/>
      <c r="Q1850" s="21"/>
      <c r="R1850" s="22" t="s">
        <v>16</v>
      </c>
      <c r="S1850" s="22">
        <v>2</v>
      </c>
      <c r="T1850" s="20">
        <f t="shared" si="177"/>
        <v>5488.5162585165026</v>
      </c>
      <c r="U1850" s="22">
        <f>U1840</f>
        <v>0</v>
      </c>
      <c r="V1850" s="20" t="str">
        <f t="shared" si="178"/>
        <v>RE-457,2x152,4x100</v>
      </c>
    </row>
    <row r="1851" spans="1:22" s="290" customFormat="1">
      <c r="A1851" s="289" t="s">
        <v>1995</v>
      </c>
      <c r="B1851" s="2" t="s">
        <v>1979</v>
      </c>
      <c r="C1851" s="2">
        <v>457.2</v>
      </c>
      <c r="D1851" s="2">
        <v>100</v>
      </c>
      <c r="E1851" s="2">
        <v>152.4</v>
      </c>
      <c r="F1851" s="2">
        <v>101.6</v>
      </c>
      <c r="G1851" s="21">
        <f t="shared" si="168"/>
        <v>5.8064400000000003</v>
      </c>
      <c r="H1851" s="20">
        <f t="shared" si="174"/>
        <v>7.0789999999999997</v>
      </c>
      <c r="I1851" s="20">
        <f t="shared" si="175"/>
        <v>7.0229999999999997</v>
      </c>
      <c r="J1851" s="72">
        <f t="shared" si="176"/>
        <v>5.806</v>
      </c>
      <c r="L1851" s="20"/>
      <c r="M1851" s="20"/>
      <c r="N1851" s="20"/>
      <c r="O1851" s="20"/>
      <c r="P1851" s="20"/>
      <c r="Q1851" s="21"/>
      <c r="R1851" s="22" t="s">
        <v>16</v>
      </c>
      <c r="S1851" s="22">
        <v>2</v>
      </c>
      <c r="T1851" s="20">
        <f t="shared" si="177"/>
        <v>2747.4300719035591</v>
      </c>
      <c r="U1851" s="22">
        <f>U1841</f>
        <v>0</v>
      </c>
      <c r="V1851" s="20" t="str">
        <f t="shared" si="178"/>
        <v>RE-457,2x152,4x100</v>
      </c>
    </row>
    <row r="1852" spans="1:22" s="290" customFormat="1">
      <c r="A1852" s="289" t="s">
        <v>1996</v>
      </c>
      <c r="B1852" s="2" t="s">
        <v>1979</v>
      </c>
      <c r="C1852" s="2">
        <v>457.2</v>
      </c>
      <c r="D1852" s="2">
        <v>100</v>
      </c>
      <c r="E1852" s="2">
        <v>152.4</v>
      </c>
      <c r="F1852" s="2">
        <v>85.7</v>
      </c>
      <c r="G1852" s="21">
        <f t="shared" si="168"/>
        <v>5.4429660000000011</v>
      </c>
      <c r="H1852" s="20">
        <f t="shared" si="174"/>
        <v>5.9710000000000001</v>
      </c>
      <c r="I1852" s="20">
        <f t="shared" si="175"/>
        <v>6.47</v>
      </c>
      <c r="J1852" s="72">
        <f t="shared" si="176"/>
        <v>5.4429999999999996</v>
      </c>
      <c r="L1852" s="20"/>
      <c r="M1852" s="20"/>
      <c r="N1852" s="20"/>
      <c r="O1852" s="20"/>
      <c r="P1852" s="20"/>
      <c r="Q1852" s="21"/>
      <c r="R1852" s="22" t="s">
        <v>16</v>
      </c>
      <c r="S1852" s="22">
        <v>2</v>
      </c>
      <c r="T1852" s="20">
        <f t="shared" si="177"/>
        <v>2094.8247223228705</v>
      </c>
      <c r="U1852" s="22">
        <f>U1842</f>
        <v>0</v>
      </c>
      <c r="V1852" s="20" t="str">
        <f t="shared" si="178"/>
        <v>RE-457,2x152,4x100</v>
      </c>
    </row>
    <row r="1853" spans="1:22" s="290" customFormat="1">
      <c r="A1853" s="289"/>
      <c r="B1853" s="2"/>
      <c r="C1853" s="2"/>
      <c r="D1853" s="2"/>
      <c r="E1853" s="2"/>
      <c r="F1853" s="2"/>
      <c r="G1853" s="21"/>
      <c r="H1853" s="20"/>
      <c r="I1853" s="20"/>
      <c r="L1853" s="20"/>
      <c r="M1853" s="20"/>
      <c r="N1853" s="20"/>
      <c r="O1853" s="20"/>
      <c r="P1853" s="20"/>
      <c r="Q1853" s="21"/>
      <c r="R1853" s="22"/>
      <c r="S1853" s="22"/>
      <c r="T1853" s="20"/>
      <c r="U1853" s="22"/>
      <c r="V1853" s="20"/>
    </row>
    <row r="1854" spans="1:22" s="290" customFormat="1">
      <c r="A1854" s="289" t="s">
        <v>1997</v>
      </c>
      <c r="B1854" s="2" t="s">
        <v>1979</v>
      </c>
      <c r="C1854" s="2">
        <v>533.4</v>
      </c>
      <c r="D1854" s="2">
        <v>100</v>
      </c>
      <c r="E1854" s="2">
        <v>152.4</v>
      </c>
      <c r="F1854" s="2">
        <v>127</v>
      </c>
      <c r="G1854" s="21">
        <f t="shared" si="168"/>
        <v>7.4515979999999988</v>
      </c>
      <c r="H1854" s="20">
        <f t="shared" si="174"/>
        <v>10.324</v>
      </c>
      <c r="I1854" s="20">
        <f t="shared" si="175"/>
        <v>9.2260000000000009</v>
      </c>
      <c r="J1854" s="72">
        <f t="shared" si="176"/>
        <v>7.452</v>
      </c>
      <c r="L1854" s="20"/>
      <c r="M1854" s="20"/>
      <c r="N1854" s="20"/>
      <c r="O1854" s="20"/>
      <c r="P1854" s="20"/>
      <c r="Q1854" s="21"/>
      <c r="R1854" s="22" t="s">
        <v>16</v>
      </c>
      <c r="S1854" s="22">
        <v>2</v>
      </c>
      <c r="T1854" s="20">
        <f t="shared" si="177"/>
        <v>6402.6140286604805</v>
      </c>
      <c r="U1854" s="22">
        <f>U1843</f>
        <v>0</v>
      </c>
      <c r="V1854" s="20" t="str">
        <f t="shared" si="178"/>
        <v>RE-533,4x152,4x100</v>
      </c>
    </row>
    <row r="1855" spans="1:22" s="290" customFormat="1">
      <c r="A1855" s="289" t="s">
        <v>1998</v>
      </c>
      <c r="B1855" s="2" t="s">
        <v>1979</v>
      </c>
      <c r="C1855" s="2">
        <v>533.4</v>
      </c>
      <c r="D1855" s="2">
        <v>100</v>
      </c>
      <c r="E1855" s="2">
        <v>152.4</v>
      </c>
      <c r="F1855" s="2">
        <v>101.6</v>
      </c>
      <c r="G1855" s="21">
        <f t="shared" si="168"/>
        <v>6.7741800000000003</v>
      </c>
      <c r="H1855" s="20">
        <f t="shared" si="174"/>
        <v>8.2590000000000003</v>
      </c>
      <c r="I1855" s="20">
        <f t="shared" si="175"/>
        <v>8.1940000000000008</v>
      </c>
      <c r="J1855" s="72">
        <f t="shared" si="176"/>
        <v>6.774</v>
      </c>
      <c r="L1855" s="20"/>
      <c r="M1855" s="20"/>
      <c r="N1855" s="20"/>
      <c r="O1855" s="20"/>
      <c r="P1855" s="20"/>
      <c r="Q1855" s="21"/>
      <c r="R1855" s="22" t="s">
        <v>16</v>
      </c>
      <c r="S1855" s="22">
        <v>2</v>
      </c>
      <c r="T1855" s="20">
        <f t="shared" si="177"/>
        <v>3204.0265167442039</v>
      </c>
      <c r="U1855" s="22">
        <f t="shared" ref="U1855:U1856" si="181">U1844</f>
        <v>0</v>
      </c>
      <c r="V1855" s="20" t="str">
        <f t="shared" si="178"/>
        <v>RE-533,4x152,4x100</v>
      </c>
    </row>
    <row r="1856" spans="1:22" s="290" customFormat="1">
      <c r="A1856" s="289" t="s">
        <v>1999</v>
      </c>
      <c r="B1856" s="2" t="s">
        <v>1979</v>
      </c>
      <c r="C1856" s="2">
        <v>533.4</v>
      </c>
      <c r="D1856" s="2">
        <v>100</v>
      </c>
      <c r="E1856" s="2">
        <v>152.4</v>
      </c>
      <c r="F1856" s="2">
        <v>76.2</v>
      </c>
      <c r="G1856" s="21">
        <f t="shared" si="168"/>
        <v>6.0967620000000009</v>
      </c>
      <c r="H1856" s="20">
        <f t="shared" si="174"/>
        <v>6.194</v>
      </c>
      <c r="I1856" s="20">
        <f t="shared" si="175"/>
        <v>7.1619999999999999</v>
      </c>
      <c r="J1856" s="72">
        <f t="shared" si="176"/>
        <v>6.0970000000000004</v>
      </c>
      <c r="L1856" s="20"/>
      <c r="M1856" s="20"/>
      <c r="N1856" s="20"/>
      <c r="O1856" s="20"/>
      <c r="P1856" s="20"/>
      <c r="Q1856" s="21"/>
      <c r="R1856" s="22" t="s">
        <v>16</v>
      </c>
      <c r="S1856" s="22">
        <v>2</v>
      </c>
      <c r="T1856" s="20">
        <f t="shared" si="177"/>
        <v>2139.0359323770131</v>
      </c>
      <c r="U1856" s="22">
        <f t="shared" si="181"/>
        <v>0</v>
      </c>
      <c r="V1856" s="20" t="str">
        <f t="shared" si="178"/>
        <v>RE-533,4x152,4x100</v>
      </c>
    </row>
    <row r="1857" spans="1:22" s="290" customFormat="1">
      <c r="A1857" s="289"/>
      <c r="B1857" s="2"/>
      <c r="C1857" s="2"/>
      <c r="D1857" s="2"/>
      <c r="E1857" s="2"/>
      <c r="F1857" s="2"/>
      <c r="G1857" s="21"/>
      <c r="H1857" s="20"/>
      <c r="I1857" s="20"/>
      <c r="L1857" s="20"/>
      <c r="M1857" s="20"/>
      <c r="N1857" s="20"/>
      <c r="O1857" s="20"/>
      <c r="P1857" s="20"/>
      <c r="Q1857" s="21"/>
      <c r="R1857" s="22"/>
      <c r="S1857" s="22"/>
      <c r="T1857" s="20"/>
      <c r="U1857" s="22"/>
      <c r="V1857" s="20"/>
    </row>
    <row r="1858" spans="1:22" s="290" customFormat="1">
      <c r="A1858" s="289" t="s">
        <v>2000</v>
      </c>
      <c r="B1858" s="2" t="s">
        <v>1979</v>
      </c>
      <c r="C1858" s="2">
        <v>609.6</v>
      </c>
      <c r="D1858" s="2">
        <v>100</v>
      </c>
      <c r="E1858" s="2">
        <v>152.4</v>
      </c>
      <c r="F1858" s="2">
        <v>127</v>
      </c>
      <c r="G1858" s="21">
        <f t="shared" si="168"/>
        <v>8.5161119999999997</v>
      </c>
      <c r="H1858" s="20">
        <f t="shared" si="174"/>
        <v>11.798999999999999</v>
      </c>
      <c r="I1858" s="20">
        <f t="shared" si="175"/>
        <v>10.544</v>
      </c>
      <c r="J1858" s="72">
        <f t="shared" si="176"/>
        <v>8.516</v>
      </c>
      <c r="L1858" s="20"/>
      <c r="M1858" s="20"/>
      <c r="N1858" s="20"/>
      <c r="O1858" s="20"/>
      <c r="P1858" s="20"/>
      <c r="Q1858" s="21"/>
      <c r="R1858" s="22" t="s">
        <v>16</v>
      </c>
      <c r="S1858" s="22">
        <v>2</v>
      </c>
      <c r="T1858" s="20">
        <f t="shared" si="177"/>
        <v>7316.7873277825956</v>
      </c>
      <c r="U1858" s="22">
        <f>U1846</f>
        <v>0</v>
      </c>
      <c r="V1858" s="20" t="str">
        <f t="shared" si="178"/>
        <v>RE-609,6x152,4x100</v>
      </c>
    </row>
    <row r="1859" spans="1:22" s="290" customFormat="1">
      <c r="A1859" s="289" t="s">
        <v>2001</v>
      </c>
      <c r="B1859" s="2" t="s">
        <v>1979</v>
      </c>
      <c r="C1859" s="2">
        <v>609.6</v>
      </c>
      <c r="D1859" s="2">
        <v>100</v>
      </c>
      <c r="E1859" s="2">
        <v>152.4</v>
      </c>
      <c r="F1859" s="2">
        <v>101.6</v>
      </c>
      <c r="G1859" s="21">
        <f t="shared" si="168"/>
        <v>7.7419200000000004</v>
      </c>
      <c r="H1859" s="20">
        <f t="shared" si="174"/>
        <v>9.4390000000000001</v>
      </c>
      <c r="I1859" s="20">
        <f t="shared" si="175"/>
        <v>9.3650000000000002</v>
      </c>
      <c r="J1859" s="72">
        <f t="shared" si="176"/>
        <v>7.742</v>
      </c>
      <c r="L1859" s="20"/>
      <c r="M1859" s="20"/>
      <c r="N1859" s="20"/>
      <c r="O1859" s="20"/>
      <c r="P1859" s="20"/>
      <c r="Q1859" s="21"/>
      <c r="R1859" s="22" t="s">
        <v>16</v>
      </c>
      <c r="S1859" s="22">
        <v>2</v>
      </c>
      <c r="T1859" s="20">
        <f t="shared" si="177"/>
        <v>3660.7736231567228</v>
      </c>
      <c r="U1859" s="22">
        <f>U1847</f>
        <v>0</v>
      </c>
      <c r="V1859" s="20" t="str">
        <f t="shared" si="178"/>
        <v>RE-609,6x152,4x100</v>
      </c>
    </row>
    <row r="1860" spans="1:22" s="290" customFormat="1">
      <c r="A1860" s="289" t="s">
        <v>2002</v>
      </c>
      <c r="B1860" s="2" t="s">
        <v>1979</v>
      </c>
      <c r="C1860" s="2">
        <v>609.6</v>
      </c>
      <c r="D1860" s="2">
        <v>100</v>
      </c>
      <c r="E1860" s="2">
        <v>152.4</v>
      </c>
      <c r="F1860" s="2">
        <v>76.2</v>
      </c>
      <c r="G1860" s="21">
        <f t="shared" si="168"/>
        <v>6.967728000000001</v>
      </c>
      <c r="H1860" s="20">
        <f t="shared" si="174"/>
        <v>7.0789999999999997</v>
      </c>
      <c r="I1860" s="20">
        <f t="shared" si="175"/>
        <v>8.1850000000000005</v>
      </c>
      <c r="J1860" s="72">
        <f t="shared" si="176"/>
        <v>6.968</v>
      </c>
      <c r="L1860" s="20"/>
      <c r="M1860" s="20"/>
      <c r="N1860" s="20"/>
      <c r="O1860" s="20"/>
      <c r="P1860" s="20"/>
      <c r="Q1860" s="21"/>
      <c r="R1860" s="22" t="s">
        <v>16</v>
      </c>
      <c r="S1860" s="22">
        <v>2</v>
      </c>
      <c r="T1860" s="20">
        <f t="shared" si="177"/>
        <v>2443.1578581827248</v>
      </c>
      <c r="U1860" s="22">
        <f>U1848</f>
        <v>0</v>
      </c>
      <c r="V1860" s="20" t="str">
        <f t="shared" si="178"/>
        <v>RE-609,6x152,4x100</v>
      </c>
    </row>
    <row r="1861" spans="1:22" s="290" customFormat="1">
      <c r="A1861" s="289"/>
      <c r="B1861" s="2"/>
      <c r="C1861" s="2"/>
      <c r="D1861" s="2"/>
      <c r="E1861" s="2"/>
      <c r="F1861" s="2"/>
      <c r="G1861" s="21"/>
      <c r="H1861" s="20"/>
      <c r="I1861" s="20"/>
      <c r="L1861" s="20"/>
      <c r="M1861" s="20"/>
      <c r="N1861" s="20"/>
      <c r="O1861" s="20"/>
      <c r="P1861" s="20"/>
      <c r="Q1861" s="21"/>
      <c r="R1861" s="22"/>
      <c r="S1861" s="22"/>
      <c r="T1861" s="20"/>
      <c r="U1861" s="22"/>
      <c r="V1861" s="20"/>
    </row>
    <row r="1862" spans="1:22" s="290" customFormat="1">
      <c r="A1862" s="289" t="s">
        <v>2003</v>
      </c>
      <c r="B1862" s="2" t="s">
        <v>1979</v>
      </c>
      <c r="C1862" s="2">
        <v>685.8</v>
      </c>
      <c r="D1862" s="2">
        <v>100</v>
      </c>
      <c r="E1862" s="2">
        <v>152.4</v>
      </c>
      <c r="F1862" s="2">
        <v>127</v>
      </c>
      <c r="G1862" s="21">
        <f t="shared" si="168"/>
        <v>9.5806259999999988</v>
      </c>
      <c r="H1862" s="20">
        <f t="shared" si="174"/>
        <v>13.273999999999999</v>
      </c>
      <c r="I1862" s="20">
        <f t="shared" si="175"/>
        <v>11.863</v>
      </c>
      <c r="J1862" s="72">
        <f t="shared" si="176"/>
        <v>9.5809999999999995</v>
      </c>
      <c r="L1862" s="20"/>
      <c r="M1862" s="20"/>
      <c r="N1862" s="20"/>
      <c r="O1862" s="20"/>
      <c r="P1862" s="20"/>
      <c r="Q1862" s="21"/>
      <c r="R1862" s="22" t="s">
        <v>16</v>
      </c>
      <c r="S1862" s="22">
        <v>2</v>
      </c>
      <c r="T1862" s="20">
        <f t="shared" si="177"/>
        <v>8231.0109901518153</v>
      </c>
      <c r="U1862" s="22">
        <f>U1849</f>
        <v>0</v>
      </c>
      <c r="V1862" s="20" t="str">
        <f t="shared" si="178"/>
        <v>RE-685,8x152,4x100</v>
      </c>
    </row>
    <row r="1863" spans="1:22" s="290" customFormat="1">
      <c r="A1863" s="289" t="s">
        <v>2004</v>
      </c>
      <c r="B1863" s="2" t="s">
        <v>1979</v>
      </c>
      <c r="C1863" s="2">
        <v>685.8</v>
      </c>
      <c r="D1863" s="2">
        <v>100</v>
      </c>
      <c r="E1863" s="2">
        <v>152.4</v>
      </c>
      <c r="F1863" s="2">
        <v>101.6</v>
      </c>
      <c r="G1863" s="21">
        <f t="shared" si="168"/>
        <v>8.7096599999999995</v>
      </c>
      <c r="H1863" s="20">
        <f t="shared" si="174"/>
        <v>10.619</v>
      </c>
      <c r="I1863" s="20">
        <f t="shared" si="175"/>
        <v>10.535</v>
      </c>
      <c r="J1863" s="72">
        <f t="shared" si="176"/>
        <v>8.7100000000000009</v>
      </c>
      <c r="L1863" s="20"/>
      <c r="M1863" s="20"/>
      <c r="N1863" s="20"/>
      <c r="O1863" s="20"/>
      <c r="P1863" s="20"/>
      <c r="Q1863" s="21"/>
      <c r="R1863" s="22" t="s">
        <v>16</v>
      </c>
      <c r="S1863" s="22">
        <v>2</v>
      </c>
      <c r="T1863" s="20">
        <f t="shared" si="177"/>
        <v>4117.6212550451983</v>
      </c>
      <c r="U1863" s="22">
        <f>U1850</f>
        <v>0</v>
      </c>
      <c r="V1863" s="20" t="str">
        <f t="shared" si="178"/>
        <v>RE-685,8x152,4x100</v>
      </c>
    </row>
    <row r="1864" spans="1:22" s="290" customFormat="1">
      <c r="A1864" s="289" t="s">
        <v>2005</v>
      </c>
      <c r="B1864" s="2" t="s">
        <v>1979</v>
      </c>
      <c r="C1864" s="2">
        <v>685.8</v>
      </c>
      <c r="D1864" s="2">
        <v>100</v>
      </c>
      <c r="E1864" s="2">
        <v>152.4</v>
      </c>
      <c r="F1864" s="2">
        <v>76.2</v>
      </c>
      <c r="G1864" s="21">
        <f t="shared" si="168"/>
        <v>7.8386940000000012</v>
      </c>
      <c r="H1864" s="20">
        <f t="shared" si="174"/>
        <v>7.9640000000000004</v>
      </c>
      <c r="I1864" s="20">
        <f t="shared" si="175"/>
        <v>9.2080000000000002</v>
      </c>
      <c r="J1864" s="72">
        <f t="shared" si="176"/>
        <v>7.8390000000000004</v>
      </c>
      <c r="L1864" s="20"/>
      <c r="M1864" s="20"/>
      <c r="N1864" s="20"/>
      <c r="O1864" s="20"/>
      <c r="P1864" s="20"/>
      <c r="Q1864" s="21"/>
      <c r="R1864" s="22" t="s">
        <v>16</v>
      </c>
      <c r="S1864" s="22">
        <v>2</v>
      </c>
      <c r="T1864" s="20">
        <f t="shared" si="177"/>
        <v>2747.4300719035596</v>
      </c>
      <c r="U1864" s="22">
        <f>U1851</f>
        <v>0</v>
      </c>
      <c r="V1864" s="20" t="str">
        <f t="shared" si="178"/>
        <v>RE-685,8x152,4x100</v>
      </c>
    </row>
    <row r="1865" spans="1:22" s="290" customFormat="1">
      <c r="A1865" s="289" t="s">
        <v>2006</v>
      </c>
      <c r="B1865" s="2" t="s">
        <v>1979</v>
      </c>
      <c r="C1865" s="2">
        <v>685.8</v>
      </c>
      <c r="D1865" s="2">
        <v>100</v>
      </c>
      <c r="E1865" s="2">
        <v>152.4</v>
      </c>
      <c r="F1865" s="2">
        <v>50.8</v>
      </c>
      <c r="G1865" s="21">
        <f t="shared" si="168"/>
        <v>6.9677280000000001</v>
      </c>
      <c r="H1865" s="20">
        <f t="shared" si="174"/>
        <v>5.3090000000000002</v>
      </c>
      <c r="I1865" s="20">
        <f t="shared" si="175"/>
        <v>7.8810000000000002</v>
      </c>
      <c r="J1865" s="72">
        <f t="shared" si="176"/>
        <v>6.968</v>
      </c>
      <c r="L1865" s="20"/>
      <c r="M1865" s="20"/>
      <c r="N1865" s="20"/>
      <c r="O1865" s="20"/>
      <c r="P1865" s="20"/>
      <c r="Q1865" s="21"/>
      <c r="R1865" s="22" t="s">
        <v>16</v>
      </c>
      <c r="S1865" s="22">
        <v>2</v>
      </c>
      <c r="T1865" s="20">
        <f t="shared" si="177"/>
        <v>2063.0367228917667</v>
      </c>
      <c r="U1865" s="22">
        <f>U1852</f>
        <v>0</v>
      </c>
      <c r="V1865" s="20" t="str">
        <f t="shared" si="178"/>
        <v>RE-685,8x152,4x100</v>
      </c>
    </row>
    <row r="1866" spans="1:22" s="290" customFormat="1">
      <c r="B1866" s="2"/>
      <c r="C1866" s="2"/>
      <c r="D1866" s="2"/>
      <c r="E1866" s="2"/>
      <c r="F1866" s="2"/>
      <c r="G1866" s="341"/>
      <c r="Q1866" s="535"/>
      <c r="R1866" s="2"/>
    </row>
    <row r="1867" spans="1:22" s="290" customFormat="1">
      <c r="A1867" s="289" t="s">
        <v>2273</v>
      </c>
      <c r="B1867" s="2" t="s">
        <v>1979</v>
      </c>
      <c r="C1867" s="2">
        <v>762</v>
      </c>
      <c r="D1867" s="2">
        <v>100</v>
      </c>
      <c r="E1867" s="2">
        <v>152.4</v>
      </c>
      <c r="F1867" s="2">
        <v>127</v>
      </c>
      <c r="G1867" s="21">
        <f t="shared" si="168"/>
        <v>10.645139999999998</v>
      </c>
      <c r="H1867" s="20">
        <f t="shared" si="174"/>
        <v>14.747999999999999</v>
      </c>
      <c r="I1867" s="20">
        <f t="shared" si="175"/>
        <v>13.180999999999999</v>
      </c>
      <c r="J1867" s="72">
        <f t="shared" si="176"/>
        <v>10.645</v>
      </c>
      <c r="L1867" s="20"/>
      <c r="M1867" s="20"/>
      <c r="N1867" s="20"/>
      <c r="O1867" s="20"/>
      <c r="P1867" s="20"/>
      <c r="Q1867" s="21"/>
      <c r="R1867" s="22" t="s">
        <v>16</v>
      </c>
      <c r="S1867" s="22">
        <v>2</v>
      </c>
      <c r="T1867" s="20">
        <f t="shared" si="177"/>
        <v>9145.2699118178025</v>
      </c>
      <c r="U1867" s="22">
        <f>U1853</f>
        <v>0</v>
      </c>
      <c r="V1867" s="20" t="str">
        <f t="shared" si="178"/>
        <v>RE-762x152,4x100</v>
      </c>
    </row>
    <row r="1868" spans="1:22" s="290" customFormat="1">
      <c r="A1868" s="289" t="s">
        <v>2279</v>
      </c>
      <c r="B1868" s="2" t="s">
        <v>1979</v>
      </c>
      <c r="C1868" s="2">
        <v>762</v>
      </c>
      <c r="D1868" s="2">
        <v>100</v>
      </c>
      <c r="E1868" s="2">
        <v>152.4</v>
      </c>
      <c r="F1868" s="2">
        <v>101.6</v>
      </c>
      <c r="G1868" s="21">
        <f t="shared" si="168"/>
        <v>9.6774000000000004</v>
      </c>
      <c r="H1868" s="20">
        <f t="shared" si="174"/>
        <v>11.798999999999999</v>
      </c>
      <c r="I1868" s="20">
        <f t="shared" si="175"/>
        <v>11.706</v>
      </c>
      <c r="J1868" s="72">
        <f t="shared" si="176"/>
        <v>9.6769999999999996</v>
      </c>
      <c r="L1868" s="20"/>
      <c r="M1868" s="20"/>
      <c r="N1868" s="20"/>
      <c r="O1868" s="20"/>
      <c r="P1868" s="20"/>
      <c r="Q1868" s="21"/>
      <c r="R1868" s="22" t="s">
        <v>16</v>
      </c>
      <c r="S1868" s="22">
        <v>2</v>
      </c>
      <c r="T1868" s="20">
        <f t="shared" si="177"/>
        <v>4574.5392948361477</v>
      </c>
      <c r="U1868" s="22">
        <f>U1854</f>
        <v>0</v>
      </c>
      <c r="V1868" s="20" t="str">
        <f t="shared" si="178"/>
        <v>RE-762x152,4x100</v>
      </c>
    </row>
    <row r="1869" spans="1:22" s="290" customFormat="1">
      <c r="A1869" s="289" t="s">
        <v>2270</v>
      </c>
      <c r="B1869" s="2" t="s">
        <v>1979</v>
      </c>
      <c r="C1869" s="2">
        <v>762</v>
      </c>
      <c r="D1869" s="2">
        <v>100</v>
      </c>
      <c r="E1869" s="2">
        <v>152.4</v>
      </c>
      <c r="F1869" s="2">
        <v>76.2</v>
      </c>
      <c r="G1869" s="21">
        <f t="shared" si="168"/>
        <v>8.7096600000000013</v>
      </c>
      <c r="H1869" s="20">
        <f t="shared" si="174"/>
        <v>8.8490000000000002</v>
      </c>
      <c r="I1869" s="20">
        <f t="shared" si="175"/>
        <v>10.231</v>
      </c>
      <c r="J1869" s="72">
        <f t="shared" si="176"/>
        <v>8.7100000000000009</v>
      </c>
      <c r="L1869" s="20"/>
      <c r="M1869" s="20"/>
      <c r="N1869" s="20"/>
      <c r="O1869" s="20"/>
      <c r="P1869" s="20"/>
      <c r="Q1869" s="21"/>
      <c r="R1869" s="22" t="s">
        <v>16</v>
      </c>
      <c r="S1869" s="22">
        <v>2</v>
      </c>
      <c r="T1869" s="20">
        <f t="shared" si="177"/>
        <v>3051.80762172192</v>
      </c>
      <c r="U1869" s="22">
        <f>U1855</f>
        <v>0</v>
      </c>
      <c r="V1869" s="20" t="str">
        <f t="shared" si="178"/>
        <v>RE-762x152,4x100</v>
      </c>
    </row>
    <row r="1870" spans="1:22" s="290" customFormat="1">
      <c r="B1870" s="2"/>
      <c r="C1870" s="2"/>
      <c r="D1870" s="2"/>
      <c r="E1870" s="2"/>
      <c r="F1870" s="2"/>
      <c r="G1870" s="341"/>
      <c r="Q1870" s="535"/>
      <c r="R1870" s="2"/>
    </row>
    <row r="1871" spans="1:22" s="592" customFormat="1">
      <c r="A1871" s="588" t="s">
        <v>2007</v>
      </c>
      <c r="B1871" s="458" t="s">
        <v>1979</v>
      </c>
      <c r="C1871" s="458">
        <v>252</v>
      </c>
      <c r="D1871" s="458">
        <v>100</v>
      </c>
      <c r="E1871" s="458">
        <v>114.3</v>
      </c>
      <c r="F1871" s="458">
        <v>114.3</v>
      </c>
      <c r="G1871" s="589">
        <v>2.3450000000000002</v>
      </c>
      <c r="H1871" s="589"/>
      <c r="I1871" s="590"/>
      <c r="J1871" s="591"/>
      <c r="L1871" s="590"/>
      <c r="M1871" s="590"/>
      <c r="N1871" s="590"/>
      <c r="O1871" s="590"/>
      <c r="P1871" s="590"/>
      <c r="Q1871" s="515"/>
      <c r="R1871" s="593" t="s">
        <v>16</v>
      </c>
      <c r="S1871" s="593">
        <v>2</v>
      </c>
      <c r="T1871" s="590" t="e">
        <f t="shared" ref="T1871:T1874" si="182">(E1871+U1871)/2/(SIN(RADIANS((ATAN(((E1871+U1871)-(F1871+U1871))/2/C1871)*180/PI()))))*2</f>
        <v>#DIV/0!</v>
      </c>
      <c r="U1871" s="593">
        <f>U1855</f>
        <v>0</v>
      </c>
      <c r="V1871" s="590" t="str">
        <f t="shared" ref="V1871:V1874" si="183">B1871&amp;"-"&amp;C1871&amp;"x"&amp;E1871&amp;"x"&amp;D1871</f>
        <v>RE-252x114,3x100</v>
      </c>
    </row>
    <row r="1872" spans="1:22" s="592" customFormat="1">
      <c r="A1872" s="588" t="s">
        <v>2008</v>
      </c>
      <c r="B1872" s="458" t="s">
        <v>1979</v>
      </c>
      <c r="C1872" s="458">
        <v>252</v>
      </c>
      <c r="D1872" s="458">
        <v>100</v>
      </c>
      <c r="E1872" s="594">
        <v>117.6</v>
      </c>
      <c r="F1872" s="458">
        <v>101.6</v>
      </c>
      <c r="G1872" s="595">
        <v>2.2490000000000001</v>
      </c>
      <c r="H1872" s="589"/>
      <c r="I1872" s="590"/>
      <c r="J1872" s="591"/>
      <c r="L1872" s="590"/>
      <c r="M1872" s="590"/>
      <c r="N1872" s="590"/>
      <c r="O1872" s="590"/>
      <c r="P1872" s="590"/>
      <c r="Q1872" s="515"/>
      <c r="R1872" s="593" t="s">
        <v>16</v>
      </c>
      <c r="S1872" s="593">
        <v>2</v>
      </c>
      <c r="T1872" s="590">
        <f>(E1872+U1872)/2/(SIN(RADIANS((ATAN(((E1872+U1872)-(F1872+U1872))/2/C1872)*180/PI()))))*2</f>
        <v>3706.2661965919287</v>
      </c>
      <c r="U1872" s="593">
        <f>U1857</f>
        <v>0</v>
      </c>
      <c r="V1872" s="590" t="str">
        <f>B1872&amp;"-"&amp;C1872&amp;"x"&amp;E1872&amp;"x"&amp;D1872</f>
        <v>RE-252x117,6x100</v>
      </c>
    </row>
    <row r="1873" spans="1:22" s="592" customFormat="1">
      <c r="A1873" s="588" t="s">
        <v>2009</v>
      </c>
      <c r="B1873" s="458" t="s">
        <v>1979</v>
      </c>
      <c r="C1873" s="458">
        <v>252</v>
      </c>
      <c r="D1873" s="458">
        <v>100</v>
      </c>
      <c r="E1873" s="594">
        <v>124.2</v>
      </c>
      <c r="F1873" s="458">
        <v>76.2</v>
      </c>
      <c r="G1873" s="595">
        <v>2.056</v>
      </c>
      <c r="H1873" s="589"/>
      <c r="I1873" s="590"/>
      <c r="J1873" s="591"/>
      <c r="L1873" s="590"/>
      <c r="M1873" s="590"/>
      <c r="N1873" s="590"/>
      <c r="O1873" s="590"/>
      <c r="P1873" s="590"/>
      <c r="Q1873" s="515"/>
      <c r="R1873" s="593" t="s">
        <v>16</v>
      </c>
      <c r="S1873" s="593">
        <v>2</v>
      </c>
      <c r="T1873" s="590">
        <f t="shared" si="182"/>
        <v>1310.00093511417</v>
      </c>
      <c r="U1873" s="593">
        <f>U1856</f>
        <v>0</v>
      </c>
      <c r="V1873" s="590" t="str">
        <f t="shared" si="183"/>
        <v>RE-252x124,2x100</v>
      </c>
    </row>
    <row r="1874" spans="1:22" s="592" customFormat="1">
      <c r="A1874" s="596" t="s">
        <v>2143</v>
      </c>
      <c r="B1874" s="458" t="s">
        <v>1979</v>
      </c>
      <c r="C1874" s="458">
        <v>252</v>
      </c>
      <c r="D1874" s="458">
        <v>100</v>
      </c>
      <c r="E1874" s="594">
        <v>127.5</v>
      </c>
      <c r="F1874" s="458">
        <v>76.2</v>
      </c>
      <c r="G1874" s="595">
        <v>1.96</v>
      </c>
      <c r="H1874" s="589"/>
      <c r="I1874" s="590"/>
      <c r="J1874" s="591"/>
      <c r="L1874" s="590"/>
      <c r="M1874" s="590"/>
      <c r="N1874" s="590"/>
      <c r="O1874" s="590"/>
      <c r="P1874" s="590"/>
      <c r="Q1874" s="515"/>
      <c r="R1874" s="593" t="s">
        <v>16</v>
      </c>
      <c r="S1874" s="593">
        <v>2</v>
      </c>
      <c r="T1874" s="590">
        <f t="shared" si="182"/>
        <v>1259.1036981028121</v>
      </c>
      <c r="U1874" s="593">
        <f>U1857</f>
        <v>0</v>
      </c>
      <c r="V1874" s="590" t="str">
        <f t="shared" si="183"/>
        <v>RE-252x127,5x100</v>
      </c>
    </row>
    <row r="1875" spans="1:22" s="597" customFormat="1">
      <c r="B1875" s="598"/>
      <c r="C1875" s="598"/>
      <c r="D1875" s="598"/>
      <c r="E1875" s="598"/>
      <c r="F1875" s="598"/>
      <c r="G1875" s="599"/>
      <c r="H1875" s="599"/>
      <c r="Q1875" s="600"/>
      <c r="R1875" s="598"/>
    </row>
    <row r="1876" spans="1:22" s="592" customFormat="1">
      <c r="A1876" s="588" t="s">
        <v>2010</v>
      </c>
      <c r="B1876" s="458" t="s">
        <v>1979</v>
      </c>
      <c r="C1876" s="458">
        <v>302</v>
      </c>
      <c r="D1876" s="458">
        <v>100</v>
      </c>
      <c r="E1876" s="594">
        <v>116.9</v>
      </c>
      <c r="F1876" s="458">
        <v>101.6</v>
      </c>
      <c r="G1876" s="595">
        <v>2.7879999999999998</v>
      </c>
      <c r="H1876" s="589"/>
      <c r="I1876" s="590"/>
      <c r="J1876" s="591"/>
      <c r="L1876" s="590"/>
      <c r="M1876" s="590"/>
      <c r="N1876" s="590"/>
      <c r="O1876" s="590"/>
      <c r="P1876" s="590"/>
      <c r="Q1876" s="515"/>
      <c r="R1876" s="593" t="s">
        <v>16</v>
      </c>
      <c r="S1876" s="593">
        <v>2</v>
      </c>
      <c r="T1876" s="590">
        <f t="shared" ref="T1876:T1878" si="184">(E1876+U1876)/2/(SIN(RADIANS((ATAN(((E1876+U1876)-(F1876+U1876))/2/C1876)*180/PI()))))*2</f>
        <v>4616.3561838609312</v>
      </c>
      <c r="U1876" s="593">
        <f>U1859</f>
        <v>0</v>
      </c>
      <c r="V1876" s="590" t="str">
        <f t="shared" ref="V1876:V1878" si="185">B1876&amp;"-"&amp;C1876&amp;"x"&amp;E1876&amp;"x"&amp;D1876</f>
        <v>RE-302x116,9x100</v>
      </c>
    </row>
    <row r="1877" spans="1:22" s="592" customFormat="1">
      <c r="A1877" s="588" t="s">
        <v>2011</v>
      </c>
      <c r="B1877" s="458" t="s">
        <v>1979</v>
      </c>
      <c r="C1877" s="458">
        <v>302</v>
      </c>
      <c r="D1877" s="458">
        <v>100</v>
      </c>
      <c r="E1877" s="594">
        <v>122.2</v>
      </c>
      <c r="F1877" s="458">
        <v>76.2</v>
      </c>
      <c r="G1877" s="595">
        <v>2.532</v>
      </c>
      <c r="H1877" s="589"/>
      <c r="I1877" s="590"/>
      <c r="J1877" s="591"/>
      <c r="L1877" s="590"/>
      <c r="M1877" s="590"/>
      <c r="N1877" s="590"/>
      <c r="O1877" s="590"/>
      <c r="P1877" s="590"/>
      <c r="Q1877" s="515"/>
      <c r="R1877" s="593" t="s">
        <v>16</v>
      </c>
      <c r="S1877" s="593">
        <v>2</v>
      </c>
      <c r="T1877" s="590">
        <f t="shared" si="184"/>
        <v>1609.1857136752142</v>
      </c>
      <c r="U1877" s="593">
        <f>U1860</f>
        <v>0</v>
      </c>
      <c r="V1877" s="590" t="str">
        <f t="shared" si="185"/>
        <v>RE-302x122,2x100</v>
      </c>
    </row>
    <row r="1878" spans="1:22" s="592" customFormat="1">
      <c r="A1878" s="596" t="s">
        <v>2144</v>
      </c>
      <c r="B1878" s="458" t="s">
        <v>1979</v>
      </c>
      <c r="C1878" s="458">
        <v>302</v>
      </c>
      <c r="D1878" s="458">
        <v>100</v>
      </c>
      <c r="E1878" s="594">
        <v>127.5</v>
      </c>
      <c r="F1878" s="458">
        <v>76.2</v>
      </c>
      <c r="G1878" s="595">
        <v>2.2749999999999999</v>
      </c>
      <c r="H1878" s="589"/>
      <c r="I1878" s="590"/>
      <c r="J1878" s="591"/>
      <c r="L1878" s="590"/>
      <c r="M1878" s="590"/>
      <c r="N1878" s="590"/>
      <c r="O1878" s="590"/>
      <c r="P1878" s="590"/>
      <c r="Q1878" s="515"/>
      <c r="R1878" s="593" t="s">
        <v>16</v>
      </c>
      <c r="S1878" s="593">
        <v>2</v>
      </c>
      <c r="T1878" s="590">
        <f t="shared" si="184"/>
        <v>1506.5743890933823</v>
      </c>
      <c r="U1878" s="593">
        <f>U1861</f>
        <v>0</v>
      </c>
      <c r="V1878" s="590" t="str">
        <f t="shared" si="185"/>
        <v>RE-302x127,5x100</v>
      </c>
    </row>
    <row r="1879" spans="1:22" s="597" customFormat="1">
      <c r="B1879" s="598"/>
      <c r="C1879" s="598"/>
      <c r="D1879" s="598"/>
      <c r="E1879" s="598"/>
      <c r="F1879" s="598"/>
      <c r="G1879" s="599"/>
      <c r="H1879" s="599"/>
      <c r="Q1879" s="600"/>
      <c r="R1879" s="598"/>
    </row>
    <row r="1880" spans="1:22" s="592" customFormat="1">
      <c r="A1880" s="588" t="s">
        <v>2012</v>
      </c>
      <c r="B1880" s="458" t="s">
        <v>1979</v>
      </c>
      <c r="C1880" s="458">
        <v>352</v>
      </c>
      <c r="D1880" s="458">
        <v>100</v>
      </c>
      <c r="E1880" s="594">
        <v>154.6</v>
      </c>
      <c r="F1880" s="458">
        <v>139.69999999999999</v>
      </c>
      <c r="G1880" s="595">
        <v>4.4909999999999997</v>
      </c>
      <c r="H1880" s="589"/>
      <c r="I1880" s="590"/>
      <c r="J1880" s="591"/>
      <c r="L1880" s="590"/>
      <c r="M1880" s="590"/>
      <c r="N1880" s="590"/>
      <c r="O1880" s="590"/>
      <c r="P1880" s="590"/>
      <c r="Q1880" s="515"/>
      <c r="R1880" s="593" t="s">
        <v>16</v>
      </c>
      <c r="S1880" s="593">
        <v>2</v>
      </c>
      <c r="T1880" s="590">
        <f t="shared" ref="T1880:T1882" si="186">(E1880+U1880)/2/(SIN(RADIANS((ATAN(((E1880+U1880)-(F1880+U1880))/2/C1880)*180/PI()))))*2</f>
        <v>7306.2264577849783</v>
      </c>
      <c r="U1880" s="593">
        <f>U1863</f>
        <v>0</v>
      </c>
      <c r="V1880" s="590" t="str">
        <f t="shared" ref="V1880:V1882" si="187">B1880&amp;"-"&amp;C1880&amp;"x"&amp;E1880&amp;"x"&amp;D1880</f>
        <v>RE-352x154,6x100</v>
      </c>
    </row>
    <row r="1881" spans="1:22" s="592" customFormat="1">
      <c r="A1881" s="588" t="s">
        <v>2013</v>
      </c>
      <c r="B1881" s="458" t="s">
        <v>1979</v>
      </c>
      <c r="C1881" s="458">
        <v>352</v>
      </c>
      <c r="D1881" s="458">
        <v>100</v>
      </c>
      <c r="E1881" s="594">
        <v>159</v>
      </c>
      <c r="F1881" s="458">
        <v>114.3</v>
      </c>
      <c r="G1881" s="595">
        <v>4.1710000000000003</v>
      </c>
      <c r="H1881" s="589"/>
      <c r="I1881" s="590"/>
      <c r="J1881" s="591"/>
      <c r="L1881" s="590"/>
      <c r="M1881" s="590"/>
      <c r="N1881" s="590"/>
      <c r="O1881" s="590"/>
      <c r="P1881" s="590"/>
      <c r="Q1881" s="515"/>
      <c r="R1881" s="593" t="s">
        <v>16</v>
      </c>
      <c r="S1881" s="593">
        <v>2</v>
      </c>
      <c r="T1881" s="590">
        <f t="shared" si="186"/>
        <v>2509.2037947649646</v>
      </c>
      <c r="U1881" s="593">
        <f>U1864</f>
        <v>0</v>
      </c>
      <c r="V1881" s="590" t="str">
        <f t="shared" si="187"/>
        <v>RE-352x159x100</v>
      </c>
    </row>
    <row r="1882" spans="1:22" s="592" customFormat="1">
      <c r="A1882" s="588" t="s">
        <v>2014</v>
      </c>
      <c r="B1882" s="458" t="s">
        <v>1979</v>
      </c>
      <c r="C1882" s="458">
        <v>352</v>
      </c>
      <c r="D1882" s="458">
        <v>100</v>
      </c>
      <c r="E1882" s="594">
        <v>165.6</v>
      </c>
      <c r="F1882" s="458">
        <v>76.2</v>
      </c>
      <c r="G1882" s="595">
        <v>3.69</v>
      </c>
      <c r="H1882" s="589"/>
      <c r="I1882" s="590"/>
      <c r="J1882" s="591"/>
      <c r="L1882" s="590"/>
      <c r="M1882" s="590"/>
      <c r="N1882" s="590"/>
      <c r="O1882" s="590"/>
      <c r="P1882" s="590"/>
      <c r="Q1882" s="515"/>
      <c r="R1882" s="593" t="s">
        <v>16</v>
      </c>
      <c r="S1882" s="593">
        <v>2</v>
      </c>
      <c r="T1882" s="590">
        <f t="shared" si="186"/>
        <v>1314.5262986066084</v>
      </c>
      <c r="U1882" s="593">
        <f>U1865</f>
        <v>0</v>
      </c>
      <c r="V1882" s="590" t="str">
        <f t="shared" si="187"/>
        <v>RE-352x165,6x100</v>
      </c>
    </row>
    <row r="1883" spans="1:22" s="597" customFormat="1">
      <c r="B1883" s="598"/>
      <c r="C1883" s="598"/>
      <c r="D1883" s="598"/>
      <c r="E1883" s="598"/>
      <c r="F1883" s="598"/>
      <c r="G1883" s="599"/>
      <c r="H1883" s="599"/>
      <c r="Q1883" s="600"/>
      <c r="R1883" s="598"/>
    </row>
    <row r="1884" spans="1:22" s="592" customFormat="1">
      <c r="A1884" s="588" t="s">
        <v>2015</v>
      </c>
      <c r="B1884" s="458" t="s">
        <v>1979</v>
      </c>
      <c r="C1884" s="458">
        <v>196.2</v>
      </c>
      <c r="D1884" s="458">
        <v>100</v>
      </c>
      <c r="E1884" s="458">
        <v>114.3</v>
      </c>
      <c r="F1884" s="458">
        <v>88.9</v>
      </c>
      <c r="G1884" s="589">
        <v>1.518</v>
      </c>
      <c r="H1884" s="589"/>
      <c r="I1884" s="590"/>
      <c r="J1884" s="591"/>
      <c r="L1884" s="590"/>
      <c r="M1884" s="590"/>
      <c r="N1884" s="590"/>
      <c r="O1884" s="590"/>
      <c r="P1884" s="590"/>
      <c r="Q1884" s="515"/>
      <c r="R1884" s="593" t="s">
        <v>16</v>
      </c>
      <c r="S1884" s="593">
        <v>2</v>
      </c>
      <c r="T1884" s="590">
        <f t="shared" ref="T1884:T1886" si="188">(E1884+U1884)/2/(SIN(RADIANS((ATAN(((E1884+U1884)-(F1884+U1884))/2/C1884)*180/PI()))))*2</f>
        <v>1769.4954450351097</v>
      </c>
      <c r="U1884" s="593">
        <f>U1871</f>
        <v>0</v>
      </c>
      <c r="V1884" s="590" t="str">
        <f t="shared" ref="V1884:V1886" si="189">B1884&amp;"-"&amp;C1884&amp;"x"&amp;E1884&amp;"x"&amp;D1884</f>
        <v>RE-196,2x114,3x100</v>
      </c>
    </row>
    <row r="1885" spans="1:22" s="592" customFormat="1">
      <c r="A1885" s="588" t="s">
        <v>2016</v>
      </c>
      <c r="B1885" s="458" t="s">
        <v>1979</v>
      </c>
      <c r="C1885" s="458">
        <v>196.2</v>
      </c>
      <c r="D1885" s="458">
        <v>100</v>
      </c>
      <c r="E1885" s="458">
        <v>114.3</v>
      </c>
      <c r="F1885" s="458">
        <v>114.3</v>
      </c>
      <c r="G1885" s="589">
        <v>1.708</v>
      </c>
      <c r="H1885" s="589"/>
      <c r="I1885" s="590"/>
      <c r="J1885" s="591"/>
      <c r="L1885" s="590"/>
      <c r="M1885" s="590"/>
      <c r="N1885" s="590"/>
      <c r="O1885" s="590"/>
      <c r="P1885" s="590"/>
      <c r="Q1885" s="515"/>
      <c r="R1885" s="593" t="s">
        <v>16</v>
      </c>
      <c r="S1885" s="593">
        <v>2</v>
      </c>
      <c r="T1885" s="590" t="e">
        <f t="shared" si="188"/>
        <v>#DIV/0!</v>
      </c>
      <c r="U1885" s="593">
        <f>U1872</f>
        <v>0</v>
      </c>
      <c r="V1885" s="590" t="str">
        <f t="shared" si="189"/>
        <v>RE-196,2x114,3x100</v>
      </c>
    </row>
    <row r="1886" spans="1:22" s="592" customFormat="1">
      <c r="A1886" s="588" t="s">
        <v>2017</v>
      </c>
      <c r="B1886" s="458" t="s">
        <v>1979</v>
      </c>
      <c r="C1886" s="458">
        <v>196.2</v>
      </c>
      <c r="D1886" s="458">
        <v>100</v>
      </c>
      <c r="E1886" s="458">
        <v>114.3</v>
      </c>
      <c r="F1886" s="458">
        <v>101.6</v>
      </c>
      <c r="G1886" s="589">
        <v>1.613</v>
      </c>
      <c r="H1886" s="589"/>
      <c r="I1886" s="590"/>
      <c r="J1886" s="591"/>
      <c r="L1886" s="590"/>
      <c r="M1886" s="590"/>
      <c r="N1886" s="590"/>
      <c r="O1886" s="590"/>
      <c r="P1886" s="590"/>
      <c r="Q1886" s="515"/>
      <c r="R1886" s="593" t="s">
        <v>16</v>
      </c>
      <c r="S1886" s="593">
        <v>2</v>
      </c>
      <c r="T1886" s="590">
        <f t="shared" si="188"/>
        <v>3533.4491718432841</v>
      </c>
      <c r="U1886" s="593">
        <f>U1873</f>
        <v>0</v>
      </c>
      <c r="V1886" s="590" t="str">
        <f t="shared" si="189"/>
        <v>RE-196,2x114,3x100</v>
      </c>
    </row>
  </sheetData>
  <sortState xmlns:xlrd2="http://schemas.microsoft.com/office/spreadsheetml/2017/richdata2" ref="A1054:F1094">
    <sortCondition ref="A1054"/>
  </sortState>
  <mergeCells count="35">
    <mergeCell ref="L1494:L1587"/>
    <mergeCell ref="L1453:L1492"/>
    <mergeCell ref="L934:L978"/>
    <mergeCell ref="L1041:L1052"/>
    <mergeCell ref="L1343:L1416"/>
    <mergeCell ref="L980:L1039"/>
    <mergeCell ref="L1418:L1444"/>
    <mergeCell ref="L1097:L1341"/>
    <mergeCell ref="H1362:K1372"/>
    <mergeCell ref="K67:K117"/>
    <mergeCell ref="K186:K216"/>
    <mergeCell ref="K619:K724"/>
    <mergeCell ref="K726:K758"/>
    <mergeCell ref="K119:K184"/>
    <mergeCell ref="K3:K65"/>
    <mergeCell ref="H1343:K1349"/>
    <mergeCell ref="H1350:K1355"/>
    <mergeCell ref="H1356:K1361"/>
    <mergeCell ref="L760:L931"/>
    <mergeCell ref="L1054:L1095"/>
    <mergeCell ref="H1436:K1444"/>
    <mergeCell ref="H1418:K1429"/>
    <mergeCell ref="H1430:K1435"/>
    <mergeCell ref="H1373:K1381"/>
    <mergeCell ref="H1390:K1395"/>
    <mergeCell ref="H1408:K1409"/>
    <mergeCell ref="H1396:K1400"/>
    <mergeCell ref="H1382:K1389"/>
    <mergeCell ref="H1401:K1407"/>
    <mergeCell ref="H1410:K1416"/>
    <mergeCell ref="L1751:L1829"/>
    <mergeCell ref="L1613:L1733"/>
    <mergeCell ref="L1735:L1749"/>
    <mergeCell ref="L1589:L1595"/>
    <mergeCell ref="L1597:L1611"/>
  </mergeCells>
  <phoneticPr fontId="4" type="noConversion"/>
  <conditionalFormatting sqref="D1588:F1588 R1588:S1588 D1449:F1449 D1452:F1452 R1452:S1452 R218:R249 R1346:S1347 F1346:F1347 F1349:F1361 R1349:S1372 D1445:F1445 R1424:S1438 R618:S618 F465:F494 F218:F265 F407:F461 S540 R1445:S1449 F934:F1055 D934:D1055 D1057:D1065 R1057:S1065 R1073:S1073 D1073 D1075 R1075:S1075 R1077:S1079 R1081:S1081 D1085 R1085:S1085 R1087:S1087 D1087 D1089 R1089:S1089 R1091:S1093 D1091:D1093 D1081 D1077:D1079 R1083:S1083 D1083 R1067:S1067 D1069:D1071 R1069:S1071 D1067 F188:F216 R188:S217 R185:S186 F185:F186 R759:S1055 D759:D931 F759:F932 F1342:F1343 R1342:S1343 D1342 F4 D1095:D1209 F1095:F1209 R1095:S1209 S218:S460 F496:F617 R461:S539 R119:S119 F119">
    <cfRule type="cellIs" dxfId="1078" priority="603" stopIfTrue="1" operator="equal">
      <formula>"?????"</formula>
    </cfRule>
  </conditionalFormatting>
  <conditionalFormatting sqref="F1589">
    <cfRule type="cellIs" dxfId="1077" priority="430" stopIfTrue="1" operator="equal">
      <formula>"?????"</formula>
    </cfRule>
  </conditionalFormatting>
  <conditionalFormatting sqref="D1493:F1493 R1493:S1493">
    <cfRule type="cellIs" dxfId="1076" priority="429" stopIfTrue="1" operator="equal">
      <formula>"?????"</formula>
    </cfRule>
  </conditionalFormatting>
  <conditionalFormatting sqref="F1590">
    <cfRule type="cellIs" dxfId="1075" priority="428" stopIfTrue="1" operator="equal">
      <formula>"?????"</formula>
    </cfRule>
  </conditionalFormatting>
  <conditionalFormatting sqref="D1596:F1596 R1596:S1596">
    <cfRule type="cellIs" dxfId="1074" priority="427" stopIfTrue="1" operator="equal">
      <formula>"?????"</formula>
    </cfRule>
  </conditionalFormatting>
  <conditionalFormatting sqref="D1612:F1612 R1612:S1612">
    <cfRule type="cellIs" dxfId="1073" priority="426" stopIfTrue="1" operator="equal">
      <formula>"?????"</formula>
    </cfRule>
  </conditionalFormatting>
  <conditionalFormatting sqref="D1734:F1734 R1734:S1734">
    <cfRule type="cellIs" dxfId="1072" priority="425" stopIfTrue="1" operator="equal">
      <formula>"?????"</formula>
    </cfRule>
  </conditionalFormatting>
  <conditionalFormatting sqref="R254:S254">
    <cfRule type="cellIs" dxfId="1071" priority="424" stopIfTrue="1" operator="equal">
      <formula>"?????"</formula>
    </cfRule>
  </conditionalFormatting>
  <conditionalFormatting sqref="R460:S460">
    <cfRule type="cellIs" dxfId="1070" priority="423" stopIfTrue="1" operator="equal">
      <formula>"?????"</formula>
    </cfRule>
  </conditionalFormatting>
  <conditionalFormatting sqref="R540:S540">
    <cfRule type="cellIs" dxfId="1069" priority="422" stopIfTrue="1" operator="equal">
      <formula>"?????"</formula>
    </cfRule>
  </conditionalFormatting>
  <conditionalFormatting sqref="D1750:F1750 R1750:S1750">
    <cfRule type="cellIs" dxfId="1068" priority="421" stopIfTrue="1" operator="equal">
      <formula>"?????"</formula>
    </cfRule>
  </conditionalFormatting>
  <conditionalFormatting sqref="R1096:S1096">
    <cfRule type="cellIs" dxfId="1067" priority="417" stopIfTrue="1" operator="equal">
      <formula>"?????"</formula>
    </cfRule>
  </conditionalFormatting>
  <conditionalFormatting sqref="F1097 R1097:S1097">
    <cfRule type="cellIs" dxfId="1066" priority="416" stopIfTrue="1" operator="equal">
      <formula>"?????"</formula>
    </cfRule>
  </conditionalFormatting>
  <conditionalFormatting sqref="D1209">
    <cfRule type="cellIs" dxfId="1065" priority="413" stopIfTrue="1" operator="equal">
      <formula>"?????"</formula>
    </cfRule>
  </conditionalFormatting>
  <conditionalFormatting sqref="R1344:S1344 F1344">
    <cfRule type="cellIs" dxfId="1064" priority="412" stopIfTrue="1" operator="equal">
      <formula>"?????"</formula>
    </cfRule>
  </conditionalFormatting>
  <conditionalFormatting sqref="R1345:S1345 F1345">
    <cfRule type="cellIs" dxfId="1063" priority="411" stopIfTrue="1" operator="equal">
      <formula>"?????"</formula>
    </cfRule>
  </conditionalFormatting>
  <conditionalFormatting sqref="R1348:S1348 F1348">
    <cfRule type="cellIs" dxfId="1062" priority="410" stopIfTrue="1" operator="equal">
      <formula>"?????"</formula>
    </cfRule>
  </conditionalFormatting>
  <conditionalFormatting sqref="F1362">
    <cfRule type="cellIs" dxfId="1061" priority="409" stopIfTrue="1" operator="equal">
      <formula>"?????"</formula>
    </cfRule>
  </conditionalFormatting>
  <conditionalFormatting sqref="F1363">
    <cfRule type="cellIs" dxfId="1060" priority="408" stopIfTrue="1" operator="equal">
      <formula>"?????"</formula>
    </cfRule>
  </conditionalFormatting>
  <conditionalFormatting sqref="F1364">
    <cfRule type="cellIs" dxfId="1059" priority="407" stopIfTrue="1" operator="equal">
      <formula>"?????"</formula>
    </cfRule>
  </conditionalFormatting>
  <conditionalFormatting sqref="F1365">
    <cfRule type="cellIs" dxfId="1058" priority="406" stopIfTrue="1" operator="equal">
      <formula>"?????"</formula>
    </cfRule>
  </conditionalFormatting>
  <conditionalFormatting sqref="F1366">
    <cfRule type="cellIs" dxfId="1057" priority="405" stopIfTrue="1" operator="equal">
      <formula>"?????"</formula>
    </cfRule>
  </conditionalFormatting>
  <conditionalFormatting sqref="F1367">
    <cfRule type="cellIs" dxfId="1056" priority="404" stopIfTrue="1" operator="equal">
      <formula>"?????"</formula>
    </cfRule>
  </conditionalFormatting>
  <conditionalFormatting sqref="F1368">
    <cfRule type="cellIs" dxfId="1055" priority="403" stopIfTrue="1" operator="equal">
      <formula>"?????"</formula>
    </cfRule>
  </conditionalFormatting>
  <conditionalFormatting sqref="F1369">
    <cfRule type="cellIs" dxfId="1054" priority="402" stopIfTrue="1" operator="equal">
      <formula>"?????"</formula>
    </cfRule>
  </conditionalFormatting>
  <conditionalFormatting sqref="F1370">
    <cfRule type="cellIs" dxfId="1053" priority="401" stopIfTrue="1" operator="equal">
      <formula>"?????"</formula>
    </cfRule>
  </conditionalFormatting>
  <conditionalFormatting sqref="F1371">
    <cfRule type="cellIs" dxfId="1052" priority="400" stopIfTrue="1" operator="equal">
      <formula>"?????"</formula>
    </cfRule>
  </conditionalFormatting>
  <conditionalFormatting sqref="F1372">
    <cfRule type="cellIs" dxfId="1051" priority="399" stopIfTrue="1" operator="equal">
      <formula>"?????"</formula>
    </cfRule>
  </conditionalFormatting>
  <conditionalFormatting sqref="R1392:S1392">
    <cfRule type="cellIs" dxfId="1050" priority="367" stopIfTrue="1" operator="equal">
      <formula>"?????"</formula>
    </cfRule>
  </conditionalFormatting>
  <conditionalFormatting sqref="F1392">
    <cfRule type="cellIs" dxfId="1049" priority="366" stopIfTrue="1" operator="equal">
      <formula>"?????"</formula>
    </cfRule>
  </conditionalFormatting>
  <conditionalFormatting sqref="R1373:S1373">
    <cfRule type="cellIs" dxfId="1048" priority="395" stopIfTrue="1" operator="equal">
      <formula>"?????"</formula>
    </cfRule>
  </conditionalFormatting>
  <conditionalFormatting sqref="F1373">
    <cfRule type="cellIs" dxfId="1047" priority="394" stopIfTrue="1" operator="equal">
      <formula>"?????"</formula>
    </cfRule>
  </conditionalFormatting>
  <conditionalFormatting sqref="R1374:S1374">
    <cfRule type="cellIs" dxfId="1046" priority="393" stopIfTrue="1" operator="equal">
      <formula>"?????"</formula>
    </cfRule>
  </conditionalFormatting>
  <conditionalFormatting sqref="F1374">
    <cfRule type="cellIs" dxfId="1045" priority="392" stopIfTrue="1" operator="equal">
      <formula>"?????"</formula>
    </cfRule>
  </conditionalFormatting>
  <conditionalFormatting sqref="R1375:S1375">
    <cfRule type="cellIs" dxfId="1044" priority="391" stopIfTrue="1" operator="equal">
      <formula>"?????"</formula>
    </cfRule>
  </conditionalFormatting>
  <conditionalFormatting sqref="F1375">
    <cfRule type="cellIs" dxfId="1043" priority="390" stopIfTrue="1" operator="equal">
      <formula>"?????"</formula>
    </cfRule>
  </conditionalFormatting>
  <conditionalFormatting sqref="F1409">
    <cfRule type="cellIs" dxfId="1042" priority="356" stopIfTrue="1" operator="equal">
      <formula>"?????"</formula>
    </cfRule>
  </conditionalFormatting>
  <conditionalFormatting sqref="F1389">
    <cfRule type="cellIs" dxfId="1041" priority="326" stopIfTrue="1" operator="equal">
      <formula>"?????"</formula>
    </cfRule>
  </conditionalFormatting>
  <conditionalFormatting sqref="R1376:S1376">
    <cfRule type="cellIs" dxfId="1040" priority="389" stopIfTrue="1" operator="equal">
      <formula>"?????"</formula>
    </cfRule>
  </conditionalFormatting>
  <conditionalFormatting sqref="F1376">
    <cfRule type="cellIs" dxfId="1039" priority="388" stopIfTrue="1" operator="equal">
      <formula>"?????"</formula>
    </cfRule>
  </conditionalFormatting>
  <conditionalFormatting sqref="R1377:S1377">
    <cfRule type="cellIs" dxfId="1038" priority="387" stopIfTrue="1" operator="equal">
      <formula>"?????"</formula>
    </cfRule>
  </conditionalFormatting>
  <conditionalFormatting sqref="F1377">
    <cfRule type="cellIs" dxfId="1037" priority="386" stopIfTrue="1" operator="equal">
      <formula>"?????"</formula>
    </cfRule>
  </conditionalFormatting>
  <conditionalFormatting sqref="R1391:S1391">
    <cfRule type="cellIs" dxfId="1036" priority="369" stopIfTrue="1" operator="equal">
      <formula>"?????"</formula>
    </cfRule>
  </conditionalFormatting>
  <conditionalFormatting sqref="F1391">
    <cfRule type="cellIs" dxfId="1035" priority="368" stopIfTrue="1" operator="equal">
      <formula>"?????"</formula>
    </cfRule>
  </conditionalFormatting>
  <conditionalFormatting sqref="R1378:S1378">
    <cfRule type="cellIs" dxfId="1034" priority="383" stopIfTrue="1" operator="equal">
      <formula>"?????"</formula>
    </cfRule>
  </conditionalFormatting>
  <conditionalFormatting sqref="F1378">
    <cfRule type="cellIs" dxfId="1033" priority="382" stopIfTrue="1" operator="equal">
      <formula>"?????"</formula>
    </cfRule>
  </conditionalFormatting>
  <conditionalFormatting sqref="R1393:S1393">
    <cfRule type="cellIs" dxfId="1032" priority="365" stopIfTrue="1" operator="equal">
      <formula>"?????"</formula>
    </cfRule>
  </conditionalFormatting>
  <conditionalFormatting sqref="F1393">
    <cfRule type="cellIs" dxfId="1031" priority="364" stopIfTrue="1" operator="equal">
      <formula>"?????"</formula>
    </cfRule>
  </conditionalFormatting>
  <conditionalFormatting sqref="R1379:S1379">
    <cfRule type="cellIs" dxfId="1030" priority="379" stopIfTrue="1" operator="equal">
      <formula>"?????"</formula>
    </cfRule>
  </conditionalFormatting>
  <conditionalFormatting sqref="F1379">
    <cfRule type="cellIs" dxfId="1029" priority="378" stopIfTrue="1" operator="equal">
      <formula>"?????"</formula>
    </cfRule>
  </conditionalFormatting>
  <conditionalFormatting sqref="R1380:S1380">
    <cfRule type="cellIs" dxfId="1028" priority="377" stopIfTrue="1" operator="equal">
      <formula>"?????"</formula>
    </cfRule>
  </conditionalFormatting>
  <conditionalFormatting sqref="F1380">
    <cfRule type="cellIs" dxfId="1027" priority="376" stopIfTrue="1" operator="equal">
      <formula>"?????"</formula>
    </cfRule>
  </conditionalFormatting>
  <conditionalFormatting sqref="R1381:S1381">
    <cfRule type="cellIs" dxfId="1026" priority="375" stopIfTrue="1" operator="equal">
      <formula>"?????"</formula>
    </cfRule>
  </conditionalFormatting>
  <conditionalFormatting sqref="F1381">
    <cfRule type="cellIs" dxfId="1025" priority="374" stopIfTrue="1" operator="equal">
      <formula>"?????"</formula>
    </cfRule>
  </conditionalFormatting>
  <conditionalFormatting sqref="R1409:S1409">
    <cfRule type="cellIs" dxfId="1024" priority="357" stopIfTrue="1" operator="equal">
      <formula>"?????"</formula>
    </cfRule>
  </conditionalFormatting>
  <conditionalFormatting sqref="F1401:F1407 R1401:S1407">
    <cfRule type="cellIs" dxfId="1023" priority="325" stopIfTrue="1" operator="equal">
      <formula>"?????"</formula>
    </cfRule>
  </conditionalFormatting>
  <conditionalFormatting sqref="R1390:S1390">
    <cfRule type="cellIs" dxfId="1022" priority="371" stopIfTrue="1" operator="equal">
      <formula>"?????"</formula>
    </cfRule>
  </conditionalFormatting>
  <conditionalFormatting sqref="F1390">
    <cfRule type="cellIs" dxfId="1021" priority="370" stopIfTrue="1" operator="equal">
      <formula>"?????"</formula>
    </cfRule>
  </conditionalFormatting>
  <conditionalFormatting sqref="R1396:S1396">
    <cfRule type="cellIs" dxfId="1020" priority="355" stopIfTrue="1" operator="equal">
      <formula>"?????"</formula>
    </cfRule>
  </conditionalFormatting>
  <conditionalFormatting sqref="F1396">
    <cfRule type="cellIs" dxfId="1019" priority="354" stopIfTrue="1" operator="equal">
      <formula>"?????"</formula>
    </cfRule>
  </conditionalFormatting>
  <conditionalFormatting sqref="R1398:S1398">
    <cfRule type="cellIs" dxfId="1018" priority="351" stopIfTrue="1" operator="equal">
      <formula>"?????"</formula>
    </cfRule>
  </conditionalFormatting>
  <conditionalFormatting sqref="F1398">
    <cfRule type="cellIs" dxfId="1017" priority="350" stopIfTrue="1" operator="equal">
      <formula>"?????"</formula>
    </cfRule>
  </conditionalFormatting>
  <conditionalFormatting sqref="R1399:S1399">
    <cfRule type="cellIs" dxfId="1016" priority="349" stopIfTrue="1" operator="equal">
      <formula>"?????"</formula>
    </cfRule>
  </conditionalFormatting>
  <conditionalFormatting sqref="R1394:S1394">
    <cfRule type="cellIs" dxfId="1015" priority="363" stopIfTrue="1" operator="equal">
      <formula>"?????"</formula>
    </cfRule>
  </conditionalFormatting>
  <conditionalFormatting sqref="F1394">
    <cfRule type="cellIs" dxfId="1014" priority="362" stopIfTrue="1" operator="equal">
      <formula>"?????"</formula>
    </cfRule>
  </conditionalFormatting>
  <conditionalFormatting sqref="R1395:S1395">
    <cfRule type="cellIs" dxfId="1013" priority="361" stopIfTrue="1" operator="equal">
      <formula>"?????"</formula>
    </cfRule>
  </conditionalFormatting>
  <conditionalFormatting sqref="F1395">
    <cfRule type="cellIs" dxfId="1012" priority="360" stopIfTrue="1" operator="equal">
      <formula>"?????"</formula>
    </cfRule>
  </conditionalFormatting>
  <conditionalFormatting sqref="R1408:S1408">
    <cfRule type="cellIs" dxfId="1011" priority="359" stopIfTrue="1" operator="equal">
      <formula>"?????"</formula>
    </cfRule>
  </conditionalFormatting>
  <conditionalFormatting sqref="F1408">
    <cfRule type="cellIs" dxfId="1010" priority="358" stopIfTrue="1" operator="equal">
      <formula>"?????"</formula>
    </cfRule>
  </conditionalFormatting>
  <conditionalFormatting sqref="R1389:S1389">
    <cfRule type="cellIs" dxfId="1009" priority="327" stopIfTrue="1" operator="equal">
      <formula>"?????"</formula>
    </cfRule>
  </conditionalFormatting>
  <conditionalFormatting sqref="F1410:F1416 R1410:S1416">
    <cfRule type="cellIs" dxfId="1008" priority="324" stopIfTrue="1" operator="equal">
      <formula>"?????"</formula>
    </cfRule>
  </conditionalFormatting>
  <conditionalFormatting sqref="R1383:S1383">
    <cfRule type="cellIs" dxfId="1007" priority="339" stopIfTrue="1" operator="equal">
      <formula>"?????"</formula>
    </cfRule>
  </conditionalFormatting>
  <conditionalFormatting sqref="F1383">
    <cfRule type="cellIs" dxfId="1006" priority="338" stopIfTrue="1" operator="equal">
      <formula>"?????"</formula>
    </cfRule>
  </conditionalFormatting>
  <conditionalFormatting sqref="R1397:S1397">
    <cfRule type="cellIs" dxfId="1005" priority="353" stopIfTrue="1" operator="equal">
      <formula>"?????"</formula>
    </cfRule>
  </conditionalFormatting>
  <conditionalFormatting sqref="F1397">
    <cfRule type="cellIs" dxfId="1004" priority="352" stopIfTrue="1" operator="equal">
      <formula>"?????"</formula>
    </cfRule>
  </conditionalFormatting>
  <conditionalFormatting sqref="R1385:S1385">
    <cfRule type="cellIs" dxfId="1003" priority="335" stopIfTrue="1" operator="equal">
      <formula>"?????"</formula>
    </cfRule>
  </conditionalFormatting>
  <conditionalFormatting sqref="F1385">
    <cfRule type="cellIs" dxfId="1002" priority="334" stopIfTrue="1" operator="equal">
      <formula>"?????"</formula>
    </cfRule>
  </conditionalFormatting>
  <conditionalFormatting sqref="F1399">
    <cfRule type="cellIs" dxfId="1001" priority="348" stopIfTrue="1" operator="equal">
      <formula>"?????"</formula>
    </cfRule>
  </conditionalFormatting>
  <conditionalFormatting sqref="R1400:S1400">
    <cfRule type="cellIs" dxfId="1000" priority="347" stopIfTrue="1" operator="equal">
      <formula>"?????"</formula>
    </cfRule>
  </conditionalFormatting>
  <conditionalFormatting sqref="F1400">
    <cfRule type="cellIs" dxfId="999" priority="346" stopIfTrue="1" operator="equal">
      <formula>"?????"</formula>
    </cfRule>
  </conditionalFormatting>
  <conditionalFormatting sqref="R1388:S1388">
    <cfRule type="cellIs" dxfId="998" priority="329" stopIfTrue="1" operator="equal">
      <formula>"?????"</formula>
    </cfRule>
  </conditionalFormatting>
  <conditionalFormatting sqref="F1388">
    <cfRule type="cellIs" dxfId="997" priority="328" stopIfTrue="1" operator="equal">
      <formula>"?????"</formula>
    </cfRule>
  </conditionalFormatting>
  <conditionalFormatting sqref="R1382:S1382">
    <cfRule type="cellIs" dxfId="996" priority="341" stopIfTrue="1" operator="equal">
      <formula>"?????"</formula>
    </cfRule>
  </conditionalFormatting>
  <conditionalFormatting sqref="F1382">
    <cfRule type="cellIs" dxfId="995" priority="340" stopIfTrue="1" operator="equal">
      <formula>"?????"</formula>
    </cfRule>
  </conditionalFormatting>
  <conditionalFormatting sqref="R1384:S1384">
    <cfRule type="cellIs" dxfId="994" priority="337" stopIfTrue="1" operator="equal">
      <formula>"?????"</formula>
    </cfRule>
  </conditionalFormatting>
  <conditionalFormatting sqref="F1384">
    <cfRule type="cellIs" dxfId="993" priority="336" stopIfTrue="1" operator="equal">
      <formula>"?????"</formula>
    </cfRule>
  </conditionalFormatting>
  <conditionalFormatting sqref="R1386:S1386">
    <cfRule type="cellIs" dxfId="992" priority="333" stopIfTrue="1" operator="equal">
      <formula>"?????"</formula>
    </cfRule>
  </conditionalFormatting>
  <conditionalFormatting sqref="F1386">
    <cfRule type="cellIs" dxfId="991" priority="332" stopIfTrue="1" operator="equal">
      <formula>"?????"</formula>
    </cfRule>
  </conditionalFormatting>
  <conditionalFormatting sqref="R1387:S1387">
    <cfRule type="cellIs" dxfId="990" priority="331" stopIfTrue="1" operator="equal">
      <formula>"?????"</formula>
    </cfRule>
  </conditionalFormatting>
  <conditionalFormatting sqref="F1387">
    <cfRule type="cellIs" dxfId="989" priority="330" stopIfTrue="1" operator="equal">
      <formula>"?????"</formula>
    </cfRule>
  </conditionalFormatting>
  <conditionalFormatting sqref="D1417 F1417 R1417:S1418 R1421:S1422">
    <cfRule type="cellIs" dxfId="988" priority="323" stopIfTrue="1" operator="equal">
      <formula>"?????"</formula>
    </cfRule>
  </conditionalFormatting>
  <conditionalFormatting sqref="R1419:S1419">
    <cfRule type="cellIs" dxfId="987" priority="322" stopIfTrue="1" operator="equal">
      <formula>"?????"</formula>
    </cfRule>
  </conditionalFormatting>
  <conditionalFormatting sqref="R1420:S1420">
    <cfRule type="cellIs" dxfId="986" priority="321" stopIfTrue="1" operator="equal">
      <formula>"?????"</formula>
    </cfRule>
  </conditionalFormatting>
  <conditionalFormatting sqref="R1423:S1423">
    <cfRule type="cellIs" dxfId="985" priority="320" stopIfTrue="1" operator="equal">
      <formula>"?????"</formula>
    </cfRule>
  </conditionalFormatting>
  <conditionalFormatting sqref="F1418:F1429">
    <cfRule type="cellIs" dxfId="984" priority="319" stopIfTrue="1" operator="equal">
      <formula>"?????"</formula>
    </cfRule>
  </conditionalFormatting>
  <conditionalFormatting sqref="R1439:S1439">
    <cfRule type="cellIs" dxfId="983" priority="318" stopIfTrue="1" operator="equal">
      <formula>"?????"</formula>
    </cfRule>
  </conditionalFormatting>
  <conditionalFormatting sqref="R1440:S1440">
    <cfRule type="cellIs" dxfId="982" priority="317" stopIfTrue="1" operator="equal">
      <formula>"?????"</formula>
    </cfRule>
  </conditionalFormatting>
  <conditionalFormatting sqref="R1441:S1441">
    <cfRule type="cellIs" dxfId="981" priority="316" stopIfTrue="1" operator="equal">
      <formula>"?????"</formula>
    </cfRule>
  </conditionalFormatting>
  <conditionalFormatting sqref="R1442:S1442">
    <cfRule type="cellIs" dxfId="980" priority="315" stopIfTrue="1" operator="equal">
      <formula>"?????"</formula>
    </cfRule>
  </conditionalFormatting>
  <conditionalFormatting sqref="F1430">
    <cfRule type="cellIs" dxfId="979" priority="314" stopIfTrue="1" operator="equal">
      <formula>"?????"</formula>
    </cfRule>
  </conditionalFormatting>
  <conditionalFormatting sqref="F1431">
    <cfRule type="cellIs" dxfId="978" priority="313" stopIfTrue="1" operator="equal">
      <formula>"?????"</formula>
    </cfRule>
  </conditionalFormatting>
  <conditionalFormatting sqref="F1432">
    <cfRule type="cellIs" dxfId="977" priority="312" stopIfTrue="1" operator="equal">
      <formula>"?????"</formula>
    </cfRule>
  </conditionalFormatting>
  <conditionalFormatting sqref="F1433">
    <cfRule type="cellIs" dxfId="976" priority="311" stopIfTrue="1" operator="equal">
      <formula>"?????"</formula>
    </cfRule>
  </conditionalFormatting>
  <conditionalFormatting sqref="F1434">
    <cfRule type="cellIs" dxfId="975" priority="310" stopIfTrue="1" operator="equal">
      <formula>"?????"</formula>
    </cfRule>
  </conditionalFormatting>
  <conditionalFormatting sqref="F1435">
    <cfRule type="cellIs" dxfId="974" priority="309" stopIfTrue="1" operator="equal">
      <formula>"?????"</formula>
    </cfRule>
  </conditionalFormatting>
  <conditionalFormatting sqref="R1443:S1443">
    <cfRule type="cellIs" dxfId="973" priority="308" stopIfTrue="1" operator="equal">
      <formula>"?????"</formula>
    </cfRule>
  </conditionalFormatting>
  <conditionalFormatting sqref="R1444:S1444">
    <cfRule type="cellIs" dxfId="972" priority="307" stopIfTrue="1" operator="equal">
      <formula>"?????"</formula>
    </cfRule>
  </conditionalFormatting>
  <conditionalFormatting sqref="R725:S725">
    <cfRule type="cellIs" dxfId="971" priority="306" stopIfTrue="1" operator="equal">
      <formula>"?????"</formula>
    </cfRule>
  </conditionalFormatting>
  <conditionalFormatting sqref="F495">
    <cfRule type="cellIs" dxfId="970" priority="305" stopIfTrue="1" operator="equal">
      <formula>"?????"</formula>
    </cfRule>
  </conditionalFormatting>
  <conditionalFormatting sqref="R1056:S1056">
    <cfRule type="cellIs" dxfId="969" priority="302" stopIfTrue="1" operator="equal">
      <formula>"?????"</formula>
    </cfRule>
  </conditionalFormatting>
  <conditionalFormatting sqref="D1056">
    <cfRule type="cellIs" dxfId="968" priority="301" stopIfTrue="1" operator="equal">
      <formula>"?????"</formula>
    </cfRule>
  </conditionalFormatting>
  <conditionalFormatting sqref="R1072:S1072">
    <cfRule type="cellIs" dxfId="967" priority="300" stopIfTrue="1" operator="equal">
      <formula>"?????"</formula>
    </cfRule>
  </conditionalFormatting>
  <conditionalFormatting sqref="D1072">
    <cfRule type="cellIs" dxfId="966" priority="299" stopIfTrue="1" operator="equal">
      <formula>"?????"</formula>
    </cfRule>
  </conditionalFormatting>
  <conditionalFormatting sqref="R1074:S1074">
    <cfRule type="cellIs" dxfId="965" priority="298" stopIfTrue="1" operator="equal">
      <formula>"?????"</formula>
    </cfRule>
  </conditionalFormatting>
  <conditionalFormatting sqref="R1076:S1076 D1076">
    <cfRule type="cellIs" dxfId="964" priority="296" stopIfTrue="1" operator="equal">
      <formula>"?????"</formula>
    </cfRule>
  </conditionalFormatting>
  <conditionalFormatting sqref="D1080 R1080:S1080">
    <cfRule type="cellIs" dxfId="963" priority="295" stopIfTrue="1" operator="equal">
      <formula>"?????"</formula>
    </cfRule>
  </conditionalFormatting>
  <conditionalFormatting sqref="R1082:S1082 D1082">
    <cfRule type="cellIs" dxfId="962" priority="294" stopIfTrue="1" operator="equal">
      <formula>"?????"</formula>
    </cfRule>
  </conditionalFormatting>
  <conditionalFormatting sqref="R1084:S1084">
    <cfRule type="cellIs" dxfId="961" priority="293" stopIfTrue="1" operator="equal">
      <formula>"?????"</formula>
    </cfRule>
  </conditionalFormatting>
  <conditionalFormatting sqref="R1086:S1086">
    <cfRule type="cellIs" dxfId="960" priority="292" stopIfTrue="1" operator="equal">
      <formula>"?????"</formula>
    </cfRule>
  </conditionalFormatting>
  <conditionalFormatting sqref="R1088:S1088">
    <cfRule type="cellIs" dxfId="959" priority="291" stopIfTrue="1" operator="equal">
      <formula>"?????"</formula>
    </cfRule>
  </conditionalFormatting>
  <conditionalFormatting sqref="R1090:S1090">
    <cfRule type="cellIs" dxfId="958" priority="290" stopIfTrue="1" operator="equal">
      <formula>"?????"</formula>
    </cfRule>
  </conditionalFormatting>
  <conditionalFormatting sqref="R1094:S1094">
    <cfRule type="cellIs" dxfId="957" priority="289" stopIfTrue="1" operator="equal">
      <formula>"?????"</formula>
    </cfRule>
  </conditionalFormatting>
  <conditionalFormatting sqref="D1094">
    <cfRule type="cellIs" dxfId="956" priority="288" stopIfTrue="1" operator="equal">
      <formula>"?????"</formula>
    </cfRule>
  </conditionalFormatting>
  <conditionalFormatting sqref="D1090">
    <cfRule type="cellIs" dxfId="955" priority="287" stopIfTrue="1" operator="equal">
      <formula>"?????"</formula>
    </cfRule>
  </conditionalFormatting>
  <conditionalFormatting sqref="D1088">
    <cfRule type="cellIs" dxfId="954" priority="286" stopIfTrue="1" operator="equal">
      <formula>"?????"</formula>
    </cfRule>
  </conditionalFormatting>
  <conditionalFormatting sqref="D1086">
    <cfRule type="cellIs" dxfId="953" priority="285" stopIfTrue="1" operator="equal">
      <formula>"?????"</formula>
    </cfRule>
  </conditionalFormatting>
  <conditionalFormatting sqref="D1084">
    <cfRule type="cellIs" dxfId="952" priority="284" stopIfTrue="1" operator="equal">
      <formula>"?????"</formula>
    </cfRule>
  </conditionalFormatting>
  <conditionalFormatting sqref="D1074">
    <cfRule type="cellIs" dxfId="951" priority="282" stopIfTrue="1" operator="equal">
      <formula>"?????"</formula>
    </cfRule>
  </conditionalFormatting>
  <conditionalFormatting sqref="F1057:F1065 F1067 F1069:F1094">
    <cfRule type="cellIs" dxfId="950" priority="281" stopIfTrue="1" operator="equal">
      <formula>"?????"</formula>
    </cfRule>
  </conditionalFormatting>
  <conditionalFormatting sqref="F1056">
    <cfRule type="cellIs" dxfId="949" priority="280" stopIfTrue="1" operator="equal">
      <formula>"?????"</formula>
    </cfRule>
  </conditionalFormatting>
  <conditionalFormatting sqref="R1066:S1066 D1066">
    <cfRule type="cellIs" dxfId="948" priority="279" stopIfTrue="1" operator="equal">
      <formula>"?????"</formula>
    </cfRule>
  </conditionalFormatting>
  <conditionalFormatting sqref="F1066">
    <cfRule type="cellIs" dxfId="947" priority="277" stopIfTrue="1" operator="equal">
      <formula>"?????"</formula>
    </cfRule>
  </conditionalFormatting>
  <conditionalFormatting sqref="F1068">
    <cfRule type="cellIs" dxfId="946" priority="275" stopIfTrue="1" operator="equal">
      <formula>"?????"</formula>
    </cfRule>
  </conditionalFormatting>
  <conditionalFormatting sqref="R1068:S1068 D1068">
    <cfRule type="cellIs" dxfId="945" priority="276" stopIfTrue="1" operator="equal">
      <formula>"?????"</formula>
    </cfRule>
  </conditionalFormatting>
  <conditionalFormatting sqref="F187 R187:S187">
    <cfRule type="cellIs" dxfId="944" priority="271" stopIfTrue="1" operator="equal">
      <formula>"?????"</formula>
    </cfRule>
  </conditionalFormatting>
  <conditionalFormatting sqref="F720 D720 D724 F724 D621 F621:F641">
    <cfRule type="cellIs" dxfId="943" priority="268" stopIfTrue="1" operator="equal">
      <formula>"?????"</formula>
    </cfRule>
  </conditionalFormatting>
  <conditionalFormatting sqref="D719 F719">
    <cfRule type="cellIs" dxfId="942" priority="267" stopIfTrue="1" operator="equal">
      <formula>"?????"</formula>
    </cfRule>
  </conditionalFormatting>
  <conditionalFormatting sqref="F721 D721">
    <cfRule type="cellIs" dxfId="941" priority="266" stopIfTrue="1" operator="equal">
      <formula>"?????"</formula>
    </cfRule>
  </conditionalFormatting>
  <conditionalFormatting sqref="F722 D722">
    <cfRule type="cellIs" dxfId="940" priority="265" stopIfTrue="1" operator="equal">
      <formula>"?????"</formula>
    </cfRule>
  </conditionalFormatting>
  <conditionalFormatting sqref="F723 D723">
    <cfRule type="cellIs" dxfId="939" priority="264" stopIfTrue="1" operator="equal">
      <formula>"?????"</formula>
    </cfRule>
  </conditionalFormatting>
  <conditionalFormatting sqref="D620 F620">
    <cfRule type="cellIs" dxfId="938" priority="199" stopIfTrue="1" operator="equal">
      <formula>"?????"</formula>
    </cfRule>
  </conditionalFormatting>
  <conditionalFormatting sqref="D619 F619">
    <cfRule type="cellIs" dxfId="937" priority="198" stopIfTrue="1" operator="equal">
      <formula>"?????"</formula>
    </cfRule>
  </conditionalFormatting>
  <conditionalFormatting sqref="F646:F654">
    <cfRule type="cellIs" dxfId="936" priority="197" stopIfTrue="1" operator="equal">
      <formula>"?????"</formula>
    </cfRule>
  </conditionalFormatting>
  <conditionalFormatting sqref="F642:F645">
    <cfRule type="cellIs" dxfId="935" priority="193" stopIfTrue="1" operator="equal">
      <formula>"?????"</formula>
    </cfRule>
  </conditionalFormatting>
  <conditionalFormatting sqref="F681:F695">
    <cfRule type="cellIs" dxfId="934" priority="182" stopIfTrue="1" operator="equal">
      <formula>"?????"</formula>
    </cfRule>
  </conditionalFormatting>
  <conditionalFormatting sqref="F669:F680">
    <cfRule type="cellIs" dxfId="933" priority="183" stopIfTrue="1" operator="equal">
      <formula>"?????"</formula>
    </cfRule>
  </conditionalFormatting>
  <conditionalFormatting sqref="F1835:F1845 D1835:D1845 R1835:S1845">
    <cfRule type="cellIs" dxfId="932" priority="181" stopIfTrue="1" operator="equal">
      <formula>"?????"</formula>
    </cfRule>
  </conditionalFormatting>
  <conditionalFormatting sqref="F1832 D1832 R1832:S1832">
    <cfRule type="cellIs" dxfId="931" priority="180" stopIfTrue="1" operator="equal">
      <formula>"?????"</formula>
    </cfRule>
  </conditionalFormatting>
  <conditionalFormatting sqref="F1831:F1832 D1831:D1832 R1831:S1832">
    <cfRule type="cellIs" dxfId="930" priority="179" stopIfTrue="1" operator="equal">
      <formula>"?????"</formula>
    </cfRule>
  </conditionalFormatting>
  <conditionalFormatting sqref="F1833 D1833 R1833:S1833">
    <cfRule type="cellIs" dxfId="929" priority="178" stopIfTrue="1" operator="equal">
      <formula>"?????"</formula>
    </cfRule>
  </conditionalFormatting>
  <conditionalFormatting sqref="F1833 D1833 R1833:S1833">
    <cfRule type="cellIs" dxfId="928" priority="177" stopIfTrue="1" operator="equal">
      <formula>"?????"</formula>
    </cfRule>
  </conditionalFormatting>
  <conditionalFormatting sqref="F1846:F1847 D1846:D1847 R1846:S1847 R1849:S1852 D1849:D1852 F1849:F1852 F1854 D1854 R1854:S1854">
    <cfRule type="cellIs" dxfId="927" priority="176" stopIfTrue="1" operator="equal">
      <formula>"?????"</formula>
    </cfRule>
  </conditionalFormatting>
  <conditionalFormatting sqref="F1848 D1848 R1848:S1848">
    <cfRule type="cellIs" dxfId="926" priority="175" stopIfTrue="1" operator="equal">
      <formula>"?????"</formula>
    </cfRule>
  </conditionalFormatting>
  <conditionalFormatting sqref="F1853 D1853 R1853:S1853">
    <cfRule type="cellIs" dxfId="925" priority="174" stopIfTrue="1" operator="equal">
      <formula>"?????"</formula>
    </cfRule>
  </conditionalFormatting>
  <conditionalFormatting sqref="F1855:F1856 D1855:D1856 R1855:S1856 R1858:S1860 D1858:D1860 F1858:F1860 F1862:F1863 D1862:D1863 R1862:S1863">
    <cfRule type="cellIs" dxfId="924" priority="173" stopIfTrue="1" operator="equal">
      <formula>"?????"</formula>
    </cfRule>
  </conditionalFormatting>
  <conditionalFormatting sqref="F1857 D1857 R1857:S1857">
    <cfRule type="cellIs" dxfId="923" priority="172" stopIfTrue="1" operator="equal">
      <formula>"?????"</formula>
    </cfRule>
  </conditionalFormatting>
  <conditionalFormatting sqref="F1861 D1861 R1861:S1861">
    <cfRule type="cellIs" dxfId="922" priority="171" stopIfTrue="1" operator="equal">
      <formula>"?????"</formula>
    </cfRule>
  </conditionalFormatting>
  <conditionalFormatting sqref="F1864:F1865 D1864:D1865 R1864:S1865">
    <cfRule type="cellIs" dxfId="921" priority="170" stopIfTrue="1" operator="equal">
      <formula>"?????"</formula>
    </cfRule>
  </conditionalFormatting>
  <conditionalFormatting sqref="F5:F19 F21:F32 F46:F55 F34:F40 F42:F44 F59:F65">
    <cfRule type="cellIs" dxfId="920" priority="166" stopIfTrue="1" operator="equal">
      <formula>"?????"</formula>
    </cfRule>
  </conditionalFormatting>
  <conditionalFormatting sqref="F20">
    <cfRule type="cellIs" dxfId="919" priority="164" stopIfTrue="1" operator="equal">
      <formula>"?????"</formula>
    </cfRule>
  </conditionalFormatting>
  <conditionalFormatting sqref="F33">
    <cfRule type="cellIs" dxfId="918" priority="163" stopIfTrue="1" operator="equal">
      <formula>"?????"</formula>
    </cfRule>
  </conditionalFormatting>
  <conditionalFormatting sqref="F45">
    <cfRule type="cellIs" dxfId="917" priority="162" stopIfTrue="1" operator="equal">
      <formula>"?????"</formula>
    </cfRule>
  </conditionalFormatting>
  <conditionalFormatting sqref="F41">
    <cfRule type="cellIs" dxfId="916" priority="161" stopIfTrue="1" operator="equal">
      <formula>"?????"</formula>
    </cfRule>
  </conditionalFormatting>
  <conditionalFormatting sqref="F56">
    <cfRule type="cellIs" dxfId="915" priority="160" stopIfTrue="1" operator="equal">
      <formula>"?????"</formula>
    </cfRule>
  </conditionalFormatting>
  <conditionalFormatting sqref="F57">
    <cfRule type="cellIs" dxfId="914" priority="159" stopIfTrue="1" operator="equal">
      <formula>"?????"</formula>
    </cfRule>
  </conditionalFormatting>
  <conditionalFormatting sqref="F58">
    <cfRule type="cellIs" dxfId="913" priority="158" stopIfTrue="1" operator="equal">
      <formula>"?????"</formula>
    </cfRule>
  </conditionalFormatting>
  <conditionalFormatting sqref="S69 F67 F69 F71 S71 S73 F73 F75:F77 S75:S77 S79 F79 F92:F93 S92:S93 S95 F95 F97 S97 S99:S101 F99:F101 F103 S103 F81 S81 S83 F83 F85 S85 S87 F87 F90 S90 S105:S107 F105:F107 F109:F110 S109:S110 S112 F112 F114:F116 S114:S116">
    <cfRule type="cellIs" dxfId="912" priority="157" stopIfTrue="1" operator="equal">
      <formula>"?????"</formula>
    </cfRule>
  </conditionalFormatting>
  <conditionalFormatting sqref="F68">
    <cfRule type="cellIs" dxfId="911" priority="156" stopIfTrue="1" operator="equal">
      <formula>"?????"</formula>
    </cfRule>
  </conditionalFormatting>
  <conditionalFormatting sqref="S70 F70">
    <cfRule type="cellIs" dxfId="910" priority="155" stopIfTrue="1" operator="equal">
      <formula>"?????"</formula>
    </cfRule>
  </conditionalFormatting>
  <conditionalFormatting sqref="F72 S72">
    <cfRule type="cellIs" dxfId="909" priority="154" stopIfTrue="1" operator="equal">
      <formula>"?????"</formula>
    </cfRule>
  </conditionalFormatting>
  <conditionalFormatting sqref="S91 F91">
    <cfRule type="cellIs" dxfId="908" priority="151" stopIfTrue="1" operator="equal">
      <formula>"?????"</formula>
    </cfRule>
  </conditionalFormatting>
  <conditionalFormatting sqref="S74 F74">
    <cfRule type="cellIs" dxfId="907" priority="153" stopIfTrue="1" operator="equal">
      <formula>"?????"</formula>
    </cfRule>
  </conditionalFormatting>
  <conditionalFormatting sqref="F78 S78">
    <cfRule type="cellIs" dxfId="906" priority="152" stopIfTrue="1" operator="equal">
      <formula>"?????"</formula>
    </cfRule>
  </conditionalFormatting>
  <conditionalFormatting sqref="S96 F96">
    <cfRule type="cellIs" dxfId="905" priority="149" stopIfTrue="1" operator="equal">
      <formula>"?????"</formula>
    </cfRule>
  </conditionalFormatting>
  <conditionalFormatting sqref="F94 S94">
    <cfRule type="cellIs" dxfId="904" priority="150" stopIfTrue="1" operator="equal">
      <formula>"?????"</formula>
    </cfRule>
  </conditionalFormatting>
  <conditionalFormatting sqref="F98 S98">
    <cfRule type="cellIs" dxfId="903" priority="148" stopIfTrue="1" operator="equal">
      <formula>"?????"</formula>
    </cfRule>
  </conditionalFormatting>
  <conditionalFormatting sqref="S102 F102">
    <cfRule type="cellIs" dxfId="902" priority="147" stopIfTrue="1" operator="equal">
      <formula>"?????"</formula>
    </cfRule>
  </conditionalFormatting>
  <conditionalFormatting sqref="S80 F80">
    <cfRule type="cellIs" dxfId="901" priority="140" stopIfTrue="1" operator="equal">
      <formula>"?????"</formula>
    </cfRule>
  </conditionalFormatting>
  <conditionalFormatting sqref="F82 S82">
    <cfRule type="cellIs" dxfId="900" priority="139" stopIfTrue="1" operator="equal">
      <formula>"?????"</formula>
    </cfRule>
  </conditionalFormatting>
  <conditionalFormatting sqref="S84 F84">
    <cfRule type="cellIs" dxfId="899" priority="138" stopIfTrue="1" operator="equal">
      <formula>"?????"</formula>
    </cfRule>
  </conditionalFormatting>
  <conditionalFormatting sqref="F86 S86">
    <cfRule type="cellIs" dxfId="898" priority="137" stopIfTrue="1" operator="equal">
      <formula>"?????"</formula>
    </cfRule>
  </conditionalFormatting>
  <conditionalFormatting sqref="S88 F88">
    <cfRule type="cellIs" dxfId="897" priority="136" stopIfTrue="1" operator="equal">
      <formula>"?????"</formula>
    </cfRule>
  </conditionalFormatting>
  <conditionalFormatting sqref="S89 F89">
    <cfRule type="cellIs" dxfId="896" priority="135" stopIfTrue="1" operator="equal">
      <formula>"?????"</formula>
    </cfRule>
  </conditionalFormatting>
  <conditionalFormatting sqref="F104 S104">
    <cfRule type="cellIs" dxfId="895" priority="134" stopIfTrue="1" operator="equal">
      <formula>"?????"</formula>
    </cfRule>
  </conditionalFormatting>
  <conditionalFormatting sqref="S108 F108">
    <cfRule type="cellIs" dxfId="894" priority="133" stopIfTrue="1" operator="equal">
      <formula>"?????"</formula>
    </cfRule>
  </conditionalFormatting>
  <conditionalFormatting sqref="F111 S111">
    <cfRule type="cellIs" dxfId="893" priority="132" stopIfTrue="1" operator="equal">
      <formula>"?????"</formula>
    </cfRule>
  </conditionalFormatting>
  <conditionalFormatting sqref="S113 F113">
    <cfRule type="cellIs" dxfId="892" priority="131" stopIfTrue="1" operator="equal">
      <formula>"?????"</formula>
    </cfRule>
  </conditionalFormatting>
  <conditionalFormatting sqref="F117 S117">
    <cfRule type="cellIs" dxfId="891" priority="130" stopIfTrue="1" operator="equal">
      <formula>"?????"</formula>
    </cfRule>
  </conditionalFormatting>
  <conditionalFormatting sqref="R122:S122 F122 F124 R124:S124 R126:S126 F126 F128:F129 R128:S129 R131 F131 F144 R144:S144 R146:S146 F146 F148 R148:S148 R150:S152 F150:F152 F154 R154:S154 R176:S176 F176 F178 R178:S178 R180:S180 F180 F182 R182:S182 R184:S184 F184 F141:F142 R141:S142 R156:S156 F156 F158 R158:S158 R160:S160 F160 F174 R174:S174 S131:S140">
    <cfRule type="cellIs" dxfId="890" priority="129" stopIfTrue="1" operator="equal">
      <formula>"?????"</formula>
    </cfRule>
  </conditionalFormatting>
  <conditionalFormatting sqref="F120 R120:S120">
    <cfRule type="cellIs" dxfId="889" priority="128" stopIfTrue="1" operator="equal">
      <formula>"?????"</formula>
    </cfRule>
  </conditionalFormatting>
  <conditionalFormatting sqref="F121 R121:S121">
    <cfRule type="cellIs" dxfId="888" priority="127" stopIfTrue="1" operator="equal">
      <formula>"?????"</formula>
    </cfRule>
  </conditionalFormatting>
  <conditionalFormatting sqref="R123:S123 F123">
    <cfRule type="cellIs" dxfId="887" priority="126" stopIfTrue="1" operator="equal">
      <formula>"?????"</formula>
    </cfRule>
  </conditionalFormatting>
  <conditionalFormatting sqref="F125 R125:S125">
    <cfRule type="cellIs" dxfId="886" priority="125" stopIfTrue="1" operator="equal">
      <formula>"?????"</formula>
    </cfRule>
  </conditionalFormatting>
  <conditionalFormatting sqref="R127:S127 F127">
    <cfRule type="cellIs" dxfId="885" priority="124" stopIfTrue="1" operator="equal">
      <formula>"?????"</formula>
    </cfRule>
  </conditionalFormatting>
  <conditionalFormatting sqref="F130 R130:S130">
    <cfRule type="cellIs" dxfId="884" priority="123" stopIfTrue="1" operator="equal">
      <formula>"?????"</formula>
    </cfRule>
  </conditionalFormatting>
  <conditionalFormatting sqref="R143:S143 F143">
    <cfRule type="cellIs" dxfId="883" priority="122" stopIfTrue="1" operator="equal">
      <formula>"?????"</formula>
    </cfRule>
  </conditionalFormatting>
  <conditionalFormatting sqref="R147:S147 F147">
    <cfRule type="cellIs" dxfId="882" priority="120" stopIfTrue="1" operator="equal">
      <formula>"?????"</formula>
    </cfRule>
  </conditionalFormatting>
  <conditionalFormatting sqref="F145 R145:S145">
    <cfRule type="cellIs" dxfId="881" priority="121" stopIfTrue="1" operator="equal">
      <formula>"?????"</formula>
    </cfRule>
  </conditionalFormatting>
  <conditionalFormatting sqref="R153:S153 F153">
    <cfRule type="cellIs" dxfId="880" priority="118" stopIfTrue="1" operator="equal">
      <formula>"?????"</formula>
    </cfRule>
  </conditionalFormatting>
  <conditionalFormatting sqref="R177:S177 F177">
    <cfRule type="cellIs" dxfId="879" priority="116" stopIfTrue="1" operator="equal">
      <formula>"?????"</formula>
    </cfRule>
  </conditionalFormatting>
  <conditionalFormatting sqref="F149 R149:S149">
    <cfRule type="cellIs" dxfId="878" priority="119" stopIfTrue="1" operator="equal">
      <formula>"?????"</formula>
    </cfRule>
  </conditionalFormatting>
  <conditionalFormatting sqref="F175 R175:S175">
    <cfRule type="cellIs" dxfId="877" priority="117" stopIfTrue="1" operator="equal">
      <formula>"?????"</formula>
    </cfRule>
  </conditionalFormatting>
  <conditionalFormatting sqref="R181:S181 F181">
    <cfRule type="cellIs" dxfId="876" priority="114" stopIfTrue="1" operator="equal">
      <formula>"?????"</formula>
    </cfRule>
  </conditionalFormatting>
  <conditionalFormatting sqref="F183 R183:S183">
    <cfRule type="cellIs" dxfId="875" priority="113" stopIfTrue="1" operator="equal">
      <formula>"?????"</formula>
    </cfRule>
  </conditionalFormatting>
  <conditionalFormatting sqref="F179 R179:S179">
    <cfRule type="cellIs" dxfId="874" priority="115" stopIfTrue="1" operator="equal">
      <formula>"?????"</formula>
    </cfRule>
  </conditionalFormatting>
  <conditionalFormatting sqref="R132 F132">
    <cfRule type="cellIs" dxfId="873" priority="112" stopIfTrue="1" operator="equal">
      <formula>"?????"</formula>
    </cfRule>
  </conditionalFormatting>
  <conditionalFormatting sqref="R133 F133">
    <cfRule type="cellIs" dxfId="872" priority="111" stopIfTrue="1" operator="equal">
      <formula>"?????"</formula>
    </cfRule>
  </conditionalFormatting>
  <conditionalFormatting sqref="R134 F134">
    <cfRule type="cellIs" dxfId="871" priority="110" stopIfTrue="1" operator="equal">
      <formula>"?????"</formula>
    </cfRule>
  </conditionalFormatting>
  <conditionalFormatting sqref="R136 F136">
    <cfRule type="cellIs" dxfId="870" priority="108" stopIfTrue="1" operator="equal">
      <formula>"?????"</formula>
    </cfRule>
  </conditionalFormatting>
  <conditionalFormatting sqref="R135 F135">
    <cfRule type="cellIs" dxfId="869" priority="109" stopIfTrue="1" operator="equal">
      <formula>"?????"</formula>
    </cfRule>
  </conditionalFormatting>
  <conditionalFormatting sqref="R138 F138">
    <cfRule type="cellIs" dxfId="868" priority="106" stopIfTrue="1" operator="equal">
      <formula>"?????"</formula>
    </cfRule>
  </conditionalFormatting>
  <conditionalFormatting sqref="R140 F140">
    <cfRule type="cellIs" dxfId="867" priority="104" stopIfTrue="1" operator="equal">
      <formula>"?????"</formula>
    </cfRule>
  </conditionalFormatting>
  <conditionalFormatting sqref="R137 F137">
    <cfRule type="cellIs" dxfId="866" priority="107" stopIfTrue="1" operator="equal">
      <formula>"?????"</formula>
    </cfRule>
  </conditionalFormatting>
  <conditionalFormatting sqref="R139 F139">
    <cfRule type="cellIs" dxfId="865" priority="105" stopIfTrue="1" operator="equal">
      <formula>"?????"</formula>
    </cfRule>
  </conditionalFormatting>
  <conditionalFormatting sqref="R161:S161 F161">
    <cfRule type="cellIs" dxfId="864" priority="100" stopIfTrue="1" operator="equal">
      <formula>"?????"</formula>
    </cfRule>
  </conditionalFormatting>
  <conditionalFormatting sqref="R157:S157 F157">
    <cfRule type="cellIs" dxfId="863" priority="102" stopIfTrue="1" operator="equal">
      <formula>"?????"</formula>
    </cfRule>
  </conditionalFormatting>
  <conditionalFormatting sqref="F155 R155:S155">
    <cfRule type="cellIs" dxfId="862" priority="103" stopIfTrue="1" operator="equal">
      <formula>"?????"</formula>
    </cfRule>
  </conditionalFormatting>
  <conditionalFormatting sqref="F159 R159:S159">
    <cfRule type="cellIs" dxfId="861" priority="101" stopIfTrue="1" operator="equal">
      <formula>"?????"</formula>
    </cfRule>
  </conditionalFormatting>
  <conditionalFormatting sqref="R163:S163 F163">
    <cfRule type="cellIs" dxfId="860" priority="98" stopIfTrue="1" operator="equal">
      <formula>"?????"</formula>
    </cfRule>
  </conditionalFormatting>
  <conditionalFormatting sqref="R162:S162 F162">
    <cfRule type="cellIs" dxfId="859" priority="99" stopIfTrue="1" operator="equal">
      <formula>"?????"</formula>
    </cfRule>
  </conditionalFormatting>
  <conditionalFormatting sqref="F164 R164:S164">
    <cfRule type="cellIs" dxfId="858" priority="97" stopIfTrue="1" operator="equal">
      <formula>"?????"</formula>
    </cfRule>
  </conditionalFormatting>
  <conditionalFormatting sqref="F165 R165:S165">
    <cfRule type="cellIs" dxfId="857" priority="96" stopIfTrue="1" operator="equal">
      <formula>"?????"</formula>
    </cfRule>
  </conditionalFormatting>
  <conditionalFormatting sqref="R166:S166 F166">
    <cfRule type="cellIs" dxfId="856" priority="95" stopIfTrue="1" operator="equal">
      <formula>"?????"</formula>
    </cfRule>
  </conditionalFormatting>
  <conditionalFormatting sqref="R167:S167 F167">
    <cfRule type="cellIs" dxfId="855" priority="94" stopIfTrue="1" operator="equal">
      <formula>"?????"</formula>
    </cfRule>
  </conditionalFormatting>
  <conditionalFormatting sqref="F168 R168:S168 R170:S170 F170 F172 R172:S172">
    <cfRule type="cellIs" dxfId="854" priority="93" stopIfTrue="1" operator="equal">
      <formula>"?????"</formula>
    </cfRule>
  </conditionalFormatting>
  <conditionalFormatting sqref="F169 R169:S169">
    <cfRule type="cellIs" dxfId="853" priority="92" stopIfTrue="1" operator="equal">
      <formula>"?????"</formula>
    </cfRule>
  </conditionalFormatting>
  <conditionalFormatting sqref="R171:S171 F171">
    <cfRule type="cellIs" dxfId="852" priority="91" stopIfTrue="1" operator="equal">
      <formula>"?????"</formula>
    </cfRule>
  </conditionalFormatting>
  <conditionalFormatting sqref="F173 R173:S173">
    <cfRule type="cellIs" dxfId="851" priority="90" stopIfTrue="1" operator="equal">
      <formula>"?????"</formula>
    </cfRule>
  </conditionalFormatting>
  <conditionalFormatting sqref="F726:F727 D726:D727 R726:S727 R729:S729 D729 F729 F731 D731 R731:S731 R733:S733 D733 F733 F739:F740 D739:D740 R739:S740 R749:S754 D749:D754 F749:F754 R743:S743 D743 F743 F745:F747 D745:D747 R745:S747 F758 D758 R758:S758">
    <cfRule type="cellIs" dxfId="850" priority="89" stopIfTrue="1" operator="equal">
      <formula>"?????"</formula>
    </cfRule>
  </conditionalFormatting>
  <conditionalFormatting sqref="R728:S728 D728 F728">
    <cfRule type="cellIs" dxfId="849" priority="88" stopIfTrue="1" operator="equal">
      <formula>"?????"</formula>
    </cfRule>
  </conditionalFormatting>
  <conditionalFormatting sqref="F730 D730 R730:S730">
    <cfRule type="cellIs" dxfId="848" priority="87" stopIfTrue="1" operator="equal">
      <formula>"?????"</formula>
    </cfRule>
  </conditionalFormatting>
  <conditionalFormatting sqref="R732:S732 D732 F732">
    <cfRule type="cellIs" dxfId="847" priority="86" stopIfTrue="1" operator="equal">
      <formula>"?????"</formula>
    </cfRule>
  </conditionalFormatting>
  <conditionalFormatting sqref="R734:S734 D734 F734">
    <cfRule type="cellIs" dxfId="846" priority="85" stopIfTrue="1" operator="equal">
      <formula>"?????"</formula>
    </cfRule>
  </conditionalFormatting>
  <conditionalFormatting sqref="R736:S736 D736 F736">
    <cfRule type="cellIs" dxfId="845" priority="84" stopIfTrue="1" operator="equal">
      <formula>"?????"</formula>
    </cfRule>
  </conditionalFormatting>
  <conditionalFormatting sqref="F738 D738 R738:S738">
    <cfRule type="cellIs" dxfId="844" priority="83" stopIfTrue="1" operator="equal">
      <formula>"?????"</formula>
    </cfRule>
  </conditionalFormatting>
  <conditionalFormatting sqref="R748:S748 D748 F748">
    <cfRule type="cellIs" dxfId="843" priority="82" stopIfTrue="1" operator="equal">
      <formula>"?????"</formula>
    </cfRule>
  </conditionalFormatting>
  <conditionalFormatting sqref="R735:S735 D735 F735">
    <cfRule type="cellIs" dxfId="842" priority="81" stopIfTrue="1" operator="equal">
      <formula>"?????"</formula>
    </cfRule>
  </conditionalFormatting>
  <conditionalFormatting sqref="R737:S737 D737 F737">
    <cfRule type="cellIs" dxfId="841" priority="80" stopIfTrue="1" operator="equal">
      <formula>"?????"</formula>
    </cfRule>
  </conditionalFormatting>
  <conditionalFormatting sqref="R741:S741 D741 F741">
    <cfRule type="cellIs" dxfId="840" priority="79" stopIfTrue="1" operator="equal">
      <formula>"?????"</formula>
    </cfRule>
  </conditionalFormatting>
  <conditionalFormatting sqref="R742:S742 D742 F742">
    <cfRule type="cellIs" dxfId="839" priority="78" stopIfTrue="1" operator="equal">
      <formula>"?????"</formula>
    </cfRule>
  </conditionalFormatting>
  <conditionalFormatting sqref="F744 D744 R744:S744">
    <cfRule type="cellIs" dxfId="838" priority="77" stopIfTrue="1" operator="equal">
      <formula>"?????"</formula>
    </cfRule>
  </conditionalFormatting>
  <conditionalFormatting sqref="R755:S755 D755 F755">
    <cfRule type="cellIs" dxfId="837" priority="76" stopIfTrue="1" operator="equal">
      <formula>"?????"</formula>
    </cfRule>
  </conditionalFormatting>
  <conditionalFormatting sqref="R756:S756 D756 F756">
    <cfRule type="cellIs" dxfId="836" priority="75" stopIfTrue="1" operator="equal">
      <formula>"?????"</formula>
    </cfRule>
  </conditionalFormatting>
  <conditionalFormatting sqref="R757:S757 D757 F757">
    <cfRule type="cellIs" dxfId="835" priority="74" stopIfTrue="1" operator="equal">
      <formula>"?????"</formula>
    </cfRule>
  </conditionalFormatting>
  <conditionalFormatting sqref="F1217:F1222 D1217:D1222 D1229:D1236 F1229:F1236">
    <cfRule type="cellIs" dxfId="834" priority="73" stopIfTrue="1" operator="equal">
      <formula>"?????"</formula>
    </cfRule>
  </conditionalFormatting>
  <conditionalFormatting sqref="F1211 D1211">
    <cfRule type="cellIs" dxfId="833" priority="71" stopIfTrue="1" operator="equal">
      <formula>"?????"</formula>
    </cfRule>
  </conditionalFormatting>
  <conditionalFormatting sqref="F1210 D1210">
    <cfRule type="cellIs" dxfId="832" priority="69" stopIfTrue="1" operator="equal">
      <formula>"?????"</formula>
    </cfRule>
  </conditionalFormatting>
  <conditionalFormatting sqref="F1212 D1212">
    <cfRule type="cellIs" dxfId="831" priority="67" stopIfTrue="1" operator="equal">
      <formula>"?????"</formula>
    </cfRule>
  </conditionalFormatting>
  <conditionalFormatting sqref="F1213 D1213">
    <cfRule type="cellIs" dxfId="830" priority="65" stopIfTrue="1" operator="equal">
      <formula>"?????"</formula>
    </cfRule>
  </conditionalFormatting>
  <conditionalFormatting sqref="F1214 D1214">
    <cfRule type="cellIs" dxfId="829" priority="63" stopIfTrue="1" operator="equal">
      <formula>"?????"</formula>
    </cfRule>
  </conditionalFormatting>
  <conditionalFormatting sqref="F1215 D1215">
    <cfRule type="cellIs" dxfId="828" priority="62" stopIfTrue="1" operator="equal">
      <formula>"?????"</formula>
    </cfRule>
  </conditionalFormatting>
  <conditionalFormatting sqref="F1216 D1216">
    <cfRule type="cellIs" dxfId="827" priority="61" stopIfTrue="1" operator="equal">
      <formula>"?????"</formula>
    </cfRule>
  </conditionalFormatting>
  <conditionalFormatting sqref="F1223 D1223">
    <cfRule type="cellIs" dxfId="826" priority="59" stopIfTrue="1" operator="equal">
      <formula>"?????"</formula>
    </cfRule>
  </conditionalFormatting>
  <conditionalFormatting sqref="F1226:F1227 D1226:D1227">
    <cfRule type="cellIs" dxfId="825" priority="56" stopIfTrue="1" operator="equal">
      <formula>"?????"</formula>
    </cfRule>
  </conditionalFormatting>
  <conditionalFormatting sqref="F1224:F1225 D1224:D1225">
    <cfRule type="cellIs" dxfId="824" priority="60" stopIfTrue="1" operator="equal">
      <formula>"?????"</formula>
    </cfRule>
  </conditionalFormatting>
  <conditionalFormatting sqref="D1228 F1228">
    <cfRule type="cellIs" dxfId="823" priority="55" stopIfTrue="1" operator="equal">
      <formula>"?????"</formula>
    </cfRule>
  </conditionalFormatting>
  <conditionalFormatting sqref="D1237 F1237">
    <cfRule type="cellIs" dxfId="822" priority="52" stopIfTrue="1" operator="equal">
      <formula>"?????"</formula>
    </cfRule>
  </conditionalFormatting>
  <conditionalFormatting sqref="D1238 F1238">
    <cfRule type="cellIs" dxfId="821" priority="51" stopIfTrue="1" operator="equal">
      <formula>"?????"</formula>
    </cfRule>
  </conditionalFormatting>
  <conditionalFormatting sqref="F1240:F1246 D1240:D1246 D1250:D1256 F1250:F1256">
    <cfRule type="cellIs" dxfId="820" priority="49" stopIfTrue="1" operator="equal">
      <formula>"?????"</formula>
    </cfRule>
  </conditionalFormatting>
  <conditionalFormatting sqref="F1239 D1239">
    <cfRule type="cellIs" dxfId="819" priority="48" stopIfTrue="1" operator="equal">
      <formula>"?????"</formula>
    </cfRule>
  </conditionalFormatting>
  <conditionalFormatting sqref="F1247:F1248 D1247:D1248">
    <cfRule type="cellIs" dxfId="818" priority="45" stopIfTrue="1" operator="equal">
      <formula>"?????"</formula>
    </cfRule>
  </conditionalFormatting>
  <conditionalFormatting sqref="D1249 F1249">
    <cfRule type="cellIs" dxfId="817" priority="44" stopIfTrue="1" operator="equal">
      <formula>"?????"</formula>
    </cfRule>
  </conditionalFormatting>
  <conditionalFormatting sqref="D1257:D1258 F1257:F1258">
    <cfRule type="cellIs" dxfId="816" priority="41" stopIfTrue="1" operator="equal">
      <formula>"?????"</formula>
    </cfRule>
  </conditionalFormatting>
  <conditionalFormatting sqref="F1260:F1266 D1260:D1266 D1278:D1284 F1278:F1284">
    <cfRule type="cellIs" dxfId="815" priority="40" stopIfTrue="1" operator="equal">
      <formula>"?????"</formula>
    </cfRule>
  </conditionalFormatting>
  <conditionalFormatting sqref="F1259 D1259">
    <cfRule type="cellIs" dxfId="814" priority="39" stopIfTrue="1" operator="equal">
      <formula>"?????"</formula>
    </cfRule>
  </conditionalFormatting>
  <conditionalFormatting sqref="F1267:F1268 D1267:D1268">
    <cfRule type="cellIs" dxfId="813" priority="36" stopIfTrue="1" operator="equal">
      <formula>"?????"</formula>
    </cfRule>
  </conditionalFormatting>
  <conditionalFormatting sqref="D1277 F1277">
    <cfRule type="cellIs" dxfId="812" priority="35" stopIfTrue="1" operator="equal">
      <formula>"?????"</formula>
    </cfRule>
  </conditionalFormatting>
  <conditionalFormatting sqref="D1285:D1286 F1285:F1286">
    <cfRule type="cellIs" dxfId="811" priority="32" stopIfTrue="1" operator="equal">
      <formula>"?????"</formula>
    </cfRule>
  </conditionalFormatting>
  <conditionalFormatting sqref="D1276 F1276">
    <cfRule type="cellIs" dxfId="810" priority="29" stopIfTrue="1" operator="equal">
      <formula>"?????"</formula>
    </cfRule>
  </conditionalFormatting>
  <conditionalFormatting sqref="F1269 D1269">
    <cfRule type="cellIs" dxfId="809" priority="28" stopIfTrue="1" operator="equal">
      <formula>"?????"</formula>
    </cfRule>
  </conditionalFormatting>
  <conditionalFormatting sqref="F1270:F1274 D1270:D1274">
    <cfRule type="cellIs" dxfId="808" priority="31" stopIfTrue="1" operator="equal">
      <formula>"?????"</formula>
    </cfRule>
  </conditionalFormatting>
  <conditionalFormatting sqref="D1275 F1275">
    <cfRule type="cellIs" dxfId="807" priority="30" stopIfTrue="1" operator="equal">
      <formula>"?????"</formula>
    </cfRule>
  </conditionalFormatting>
  <conditionalFormatting sqref="F1294:F1297 D1294:D1297 D1301:D1311 F1301:F1311 F1287:F1291 D1287:D1291">
    <cfRule type="cellIs" dxfId="806" priority="27" stopIfTrue="1" operator="equal">
      <formula>"?????"</formula>
    </cfRule>
  </conditionalFormatting>
  <conditionalFormatting sqref="D1292 F1292">
    <cfRule type="cellIs" dxfId="805" priority="26" stopIfTrue="1" operator="equal">
      <formula>"?????"</formula>
    </cfRule>
  </conditionalFormatting>
  <conditionalFormatting sqref="D1293 F1293">
    <cfRule type="cellIs" dxfId="804" priority="25" stopIfTrue="1" operator="equal">
      <formula>"?????"</formula>
    </cfRule>
  </conditionalFormatting>
  <conditionalFormatting sqref="F1298 D1298">
    <cfRule type="cellIs" dxfId="803" priority="24" stopIfTrue="1" operator="equal">
      <formula>"?????"</formula>
    </cfRule>
  </conditionalFormatting>
  <conditionalFormatting sqref="F1299 D1299">
    <cfRule type="cellIs" dxfId="802" priority="23" stopIfTrue="1" operator="equal">
      <formula>"?????"</formula>
    </cfRule>
  </conditionalFormatting>
  <conditionalFormatting sqref="F1300 D1300">
    <cfRule type="cellIs" dxfId="801" priority="22" stopIfTrue="1" operator="equal">
      <formula>"?????"</formula>
    </cfRule>
  </conditionalFormatting>
  <conditionalFormatting sqref="D1312:D1341 R1341:S1341 F1312:F1341">
    <cfRule type="cellIs" dxfId="800" priority="21" stopIfTrue="1" operator="equal">
      <formula>"?????"</formula>
    </cfRule>
  </conditionalFormatting>
  <conditionalFormatting sqref="R1871:S1873 D1871:D1873 F1871:F1873">
    <cfRule type="cellIs" dxfId="799" priority="20" stopIfTrue="1" operator="equal">
      <formula>"?????"</formula>
    </cfRule>
  </conditionalFormatting>
  <conditionalFormatting sqref="R1876:S1877 D1876:D1877 F1876:F1877">
    <cfRule type="cellIs" dxfId="798" priority="19" stopIfTrue="1" operator="equal">
      <formula>"?????"</formula>
    </cfRule>
  </conditionalFormatting>
  <conditionalFormatting sqref="R1880:S1882 D1880:D1882 F1880:F1882">
    <cfRule type="cellIs" dxfId="797" priority="18" stopIfTrue="1" operator="equal">
      <formula>"?????"</formula>
    </cfRule>
  </conditionalFormatting>
  <conditionalFormatting sqref="R1884:S1886 D1884:D1886 F1884:F1886">
    <cfRule type="cellIs" dxfId="796" priority="17" stopIfTrue="1" operator="equal">
      <formula>"?????"</formula>
    </cfRule>
  </conditionalFormatting>
  <conditionalFormatting sqref="R1874:S1874 D1874 F1874">
    <cfRule type="cellIs" dxfId="795" priority="16" stopIfTrue="1" operator="equal">
      <formula>"?????"</formula>
    </cfRule>
  </conditionalFormatting>
  <conditionalFormatting sqref="R1878:S1878 D1878 F1878">
    <cfRule type="cellIs" dxfId="794" priority="15" stopIfTrue="1" operator="equal">
      <formula>"?????"</formula>
    </cfRule>
  </conditionalFormatting>
  <conditionalFormatting sqref="D1830:F1830 R1830:S1830">
    <cfRule type="cellIs" dxfId="793" priority="13" stopIfTrue="1" operator="equal">
      <formula>"?????"</formula>
    </cfRule>
  </conditionalFormatting>
  <conditionalFormatting sqref="D1867 R1867:S1867">
    <cfRule type="cellIs" dxfId="792" priority="11" stopIfTrue="1" operator="equal">
      <formula>"?????"</formula>
    </cfRule>
  </conditionalFormatting>
  <conditionalFormatting sqref="D1868:D1869 R1868:S1869">
    <cfRule type="cellIs" dxfId="791" priority="10" stopIfTrue="1" operator="equal">
      <formula>"?????"</formula>
    </cfRule>
  </conditionalFormatting>
  <conditionalFormatting sqref="F1867:F1868">
    <cfRule type="cellIs" dxfId="790" priority="9" stopIfTrue="1" operator="equal">
      <formula>"?????"</formula>
    </cfRule>
  </conditionalFormatting>
  <conditionalFormatting sqref="F1869">
    <cfRule type="cellIs" dxfId="789" priority="8" stopIfTrue="1" operator="equal">
      <formula>"?????"</formula>
    </cfRule>
  </conditionalFormatting>
  <conditionalFormatting sqref="R1098:S1208">
    <cfRule type="cellIs" dxfId="788" priority="7" stopIfTrue="1" operator="equal">
      <formula>"?????"</formula>
    </cfRule>
  </conditionalFormatting>
  <conditionalFormatting sqref="R1210:S1340">
    <cfRule type="cellIs" dxfId="787" priority="6" stopIfTrue="1" operator="equal">
      <formula>"?????"</formula>
    </cfRule>
  </conditionalFormatting>
  <conditionalFormatting sqref="R1210:S1340">
    <cfRule type="cellIs" dxfId="786" priority="5" stopIfTrue="1" operator="equal">
      <formula>"?????"</formula>
    </cfRule>
  </conditionalFormatting>
  <conditionalFormatting sqref="R541:S617">
    <cfRule type="cellIs" dxfId="785" priority="3" stopIfTrue="1" operator="equal">
      <formula>"?????"</formula>
    </cfRule>
  </conditionalFormatting>
  <conditionalFormatting sqref="R619:S724">
    <cfRule type="cellIs" dxfId="784" priority="2" stopIfTrue="1" operator="equal">
      <formula>"?????"</formula>
    </cfRule>
  </conditionalFormatting>
  <conditionalFormatting sqref="A1:A1048576">
    <cfRule type="duplicateValues" dxfId="783" priority="1"/>
  </conditionalFormatting>
  <pageMargins left="0.78740157499999996" right="0.78740157499999996" top="0.984251969" bottom="0.984251969" header="0.49212598499999999" footer="0.49212598499999999"/>
  <pageSetup paperSize="9" orientation="portrait" verticalDpi="1200" r:id="rId1"/>
  <headerFooter alignWithMargins="0">
    <oddFooter>&amp;L
&amp;K808080&amp;"Trebuchet MS"CLASSIFICAÇÃO DO DOCUMENTO: INTERNO</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16">
    <tabColor theme="9" tint="-0.249977111117893"/>
    <pageSetUpPr fitToPage="1"/>
  </sheetPr>
  <dimension ref="A1:AB1281"/>
  <sheetViews>
    <sheetView showGridLines="0" tabSelected="1" zoomScale="85" zoomScaleNormal="85" workbookViewId="0">
      <pane xSplit="2" ySplit="1" topLeftCell="C2" activePane="bottomRight" state="frozen"/>
      <selection pane="topRight" activeCell="C1" sqref="C1"/>
      <selection pane="bottomLeft" activeCell="A2" sqref="A2"/>
      <selection pane="bottomRight" activeCell="T11" sqref="T11"/>
    </sheetView>
  </sheetViews>
  <sheetFormatPr defaultColWidth="9.33203125" defaultRowHeight="15" customHeight="1" outlineLevelCol="1"/>
  <cols>
    <col min="1" max="1" width="4.33203125" style="199" customWidth="1"/>
    <col min="2" max="2" width="30.33203125" style="200" customWidth="1"/>
    <col min="3" max="3" width="8.6640625" style="200" customWidth="1"/>
    <col min="4" max="4" width="5.33203125" style="200" hidden="1" customWidth="1" outlineLevel="1"/>
    <col min="5" max="5" width="9.33203125" style="200" hidden="1" customWidth="1" outlineLevel="1"/>
    <col min="6" max="6" width="7" style="200" hidden="1" customWidth="1" outlineLevel="1"/>
    <col min="7" max="7" width="8.6640625" style="200" hidden="1" customWidth="1" outlineLevel="1"/>
    <col min="8" max="8" width="10.33203125" style="200" hidden="1" customWidth="1" outlineLevel="1"/>
    <col min="9" max="9" width="12.33203125" style="200" hidden="1" customWidth="1" outlineLevel="1"/>
    <col min="10" max="10" width="5.6640625" style="200" hidden="1" customWidth="1" outlineLevel="1"/>
    <col min="11" max="11" width="14.44140625" style="200" hidden="1" customWidth="1" outlineLevel="1"/>
    <col min="12" max="12" width="9.44140625" style="200" customWidth="1" collapsed="1"/>
    <col min="13" max="13" width="12.33203125" style="200" customWidth="1"/>
    <col min="14" max="14" width="8.44140625" style="200" customWidth="1"/>
    <col min="15" max="15" width="11.6640625" style="200" customWidth="1"/>
    <col min="16" max="16" width="9" style="200" customWidth="1"/>
    <col min="17" max="17" width="9.5546875" style="200" customWidth="1"/>
    <col min="18" max="18" width="15.5546875" style="200" bestFit="1" customWidth="1"/>
    <col min="19" max="19" width="9.6640625" style="200" customWidth="1"/>
    <col min="20" max="20" width="8.6640625" style="200" customWidth="1"/>
    <col min="21" max="21" width="8" style="200" customWidth="1"/>
    <col min="22" max="22" width="10.33203125" style="200" bestFit="1" customWidth="1"/>
    <col min="23" max="23" width="8" style="201" bestFit="1" customWidth="1"/>
    <col min="24" max="24" width="22.6640625" style="201" customWidth="1"/>
    <col min="25" max="25" width="26.44140625" style="127" bestFit="1" customWidth="1"/>
    <col min="26" max="27" width="8.5546875" style="128" customWidth="1"/>
    <col min="28" max="28" width="33.44140625" style="127" customWidth="1"/>
    <col min="29" max="29" width="19.21875" style="127" customWidth="1"/>
    <col min="30" max="16384" width="9.33203125" style="127"/>
  </cols>
  <sheetData>
    <row r="1" spans="1:28" ht="30" customHeight="1" thickBot="1">
      <c r="A1" s="836" t="str">
        <f>'FRONT SHEET'!I1&amp;" - "&amp;'FRONT SHEET'!I3&amp;" - "&amp;'FRONT SHEET'!I7&amp;" - "&amp;'FRONT SHEET'!E10&amp;""</f>
        <v xml:space="preserve"> -  -  -  - CS - </v>
      </c>
      <c r="B1" s="837"/>
      <c r="C1" s="837"/>
      <c r="D1" s="837"/>
      <c r="E1" s="837"/>
      <c r="F1" s="837"/>
      <c r="G1" s="837"/>
      <c r="H1" s="837"/>
      <c r="I1" s="837"/>
      <c r="J1" s="837"/>
      <c r="K1" s="837"/>
      <c r="L1" s="837"/>
      <c r="M1" s="837"/>
      <c r="N1" s="837"/>
      <c r="O1" s="837"/>
      <c r="P1" s="837"/>
      <c r="Q1" s="837"/>
      <c r="R1" s="837"/>
      <c r="S1" s="837"/>
      <c r="T1" s="837"/>
      <c r="U1" s="837"/>
      <c r="V1" s="837"/>
      <c r="W1" s="837"/>
      <c r="X1" s="838"/>
    </row>
    <row r="2" spans="1:28" ht="38.4" customHeight="1" thickBot="1">
      <c r="A2" s="203"/>
      <c r="B2" s="204"/>
      <c r="C2" s="204"/>
      <c r="D2" s="204"/>
      <c r="E2" s="204"/>
      <c r="F2" s="204"/>
      <c r="G2" s="204"/>
      <c r="H2" s="204"/>
      <c r="I2" s="204"/>
      <c r="J2" s="204"/>
      <c r="K2" s="204"/>
      <c r="L2" s="204"/>
      <c r="M2" s="204"/>
      <c r="N2" s="204"/>
      <c r="O2" s="204"/>
      <c r="P2" s="204"/>
      <c r="Q2" s="204"/>
      <c r="R2" s="204"/>
      <c r="S2" s="204"/>
      <c r="T2" s="204"/>
      <c r="U2" s="204"/>
      <c r="V2" s="204"/>
      <c r="W2" s="204"/>
      <c r="X2" s="205"/>
      <c r="AB2" s="708" t="s">
        <v>2261</v>
      </c>
    </row>
    <row r="3" spans="1:28" ht="15" customHeight="1" thickBot="1">
      <c r="A3" s="698"/>
      <c r="B3" s="699" t="s">
        <v>2386</v>
      </c>
      <c r="C3" s="700"/>
      <c r="D3" s="700"/>
      <c r="E3" s="700"/>
      <c r="F3" s="700"/>
      <c r="G3" s="700"/>
      <c r="H3" s="700"/>
      <c r="I3" s="700"/>
      <c r="J3" s="700"/>
      <c r="K3" s="700"/>
      <c r="L3" s="700"/>
      <c r="M3" s="700"/>
      <c r="N3" s="700"/>
      <c r="O3" s="700"/>
      <c r="P3" s="700"/>
      <c r="Q3" s="700"/>
      <c r="R3" s="700"/>
      <c r="S3" s="700"/>
      <c r="T3" s="700"/>
      <c r="U3" s="701"/>
      <c r="V3" s="700"/>
      <c r="W3" s="699"/>
      <c r="X3" s="702"/>
      <c r="Y3" s="127" t="str">
        <f>B3</f>
        <v>REGIÃO DO EQUIPAMENTO</v>
      </c>
    </row>
    <row r="4" spans="1:28" ht="15" customHeight="1" thickBot="1">
      <c r="A4" s="725"/>
      <c r="B4" s="693"/>
      <c r="C4" s="694"/>
      <c r="D4" s="694"/>
      <c r="E4" s="694"/>
      <c r="F4" s="694"/>
      <c r="G4" s="694"/>
      <c r="H4" s="694"/>
      <c r="I4" s="694"/>
      <c r="J4" s="694"/>
      <c r="K4" s="694"/>
      <c r="L4" s="694"/>
      <c r="M4" s="694"/>
      <c r="N4" s="694"/>
      <c r="O4" s="694"/>
      <c r="P4" s="694"/>
      <c r="Q4" s="694"/>
      <c r="R4" s="694"/>
      <c r="S4" s="694"/>
      <c r="T4" s="694"/>
      <c r="U4" s="695"/>
      <c r="V4" s="694"/>
      <c r="W4" s="696"/>
      <c r="X4" s="697"/>
    </row>
    <row r="5" spans="1:28" ht="15" customHeight="1" thickBot="1">
      <c r="A5" s="726" t="s">
        <v>295</v>
      </c>
      <c r="B5" s="688"/>
      <c r="C5" s="689"/>
      <c r="D5" s="689"/>
      <c r="E5" s="689"/>
      <c r="F5" s="689"/>
      <c r="G5" s="689"/>
      <c r="H5" s="689"/>
      <c r="I5" s="689"/>
      <c r="J5" s="689"/>
      <c r="K5" s="689"/>
      <c r="L5" s="689"/>
      <c r="M5" s="689"/>
      <c r="N5" s="689"/>
      <c r="O5" s="689"/>
      <c r="P5" s="689"/>
      <c r="Q5" s="689"/>
      <c r="R5" s="689"/>
      <c r="S5" s="689"/>
      <c r="T5" s="689"/>
      <c r="U5" s="690"/>
      <c r="V5" s="689"/>
      <c r="W5" s="691"/>
      <c r="X5" s="692"/>
    </row>
    <row r="6" spans="1:28" ht="15" customHeight="1" thickBot="1">
      <c r="A6" s="725"/>
      <c r="B6" s="693"/>
      <c r="C6" s="694"/>
      <c r="D6" s="694"/>
      <c r="E6" s="694"/>
      <c r="F6" s="694"/>
      <c r="G6" s="694"/>
      <c r="H6" s="694"/>
      <c r="I6" s="694"/>
      <c r="J6" s="694"/>
      <c r="K6" s="694"/>
      <c r="L6" s="694"/>
      <c r="M6" s="694"/>
      <c r="N6" s="694"/>
      <c r="O6" s="694"/>
      <c r="P6" s="694"/>
      <c r="Q6" s="694"/>
      <c r="R6" s="694"/>
      <c r="S6" s="694"/>
      <c r="T6" s="694"/>
      <c r="U6" s="695"/>
      <c r="V6" s="694"/>
      <c r="W6" s="696"/>
      <c r="X6" s="697"/>
    </row>
    <row r="7" spans="1:28" ht="15" customHeight="1">
      <c r="A7" s="703"/>
      <c r="B7" s="704"/>
      <c r="C7" s="127"/>
      <c r="D7" s="127"/>
      <c r="E7" s="127"/>
      <c r="F7" s="127"/>
      <c r="G7" s="127"/>
      <c r="H7" s="127"/>
      <c r="I7" s="127"/>
      <c r="J7" s="127"/>
      <c r="K7" s="127"/>
      <c r="L7" s="127"/>
      <c r="M7" s="127"/>
      <c r="N7" s="127"/>
      <c r="O7" s="127"/>
      <c r="P7" s="127"/>
      <c r="Q7" s="127"/>
      <c r="R7" s="127"/>
      <c r="S7" s="127"/>
      <c r="T7" s="127"/>
      <c r="U7" s="705"/>
      <c r="V7" s="127"/>
      <c r="W7" s="706"/>
      <c r="X7" s="707"/>
    </row>
    <row r="8" spans="1:28" ht="15" customHeight="1">
      <c r="A8" s="703"/>
      <c r="B8" s="704"/>
      <c r="C8" s="127"/>
      <c r="D8" s="127"/>
      <c r="E8" s="127"/>
      <c r="F8" s="127"/>
      <c r="G8" s="127"/>
      <c r="H8" s="127"/>
      <c r="I8" s="127"/>
      <c r="J8" s="127"/>
      <c r="K8" s="127"/>
      <c r="L8" s="127"/>
      <c r="M8" s="127"/>
      <c r="N8" s="127"/>
      <c r="O8" s="127"/>
      <c r="P8" s="127"/>
      <c r="Q8" s="127"/>
      <c r="R8" s="127"/>
      <c r="S8" s="127"/>
      <c r="T8" s="127"/>
      <c r="U8" s="705"/>
      <c r="V8" s="127"/>
      <c r="W8" s="706"/>
      <c r="X8" s="707"/>
    </row>
    <row r="9" spans="1:28" ht="15" customHeight="1">
      <c r="A9" s="703"/>
      <c r="B9" s="704"/>
      <c r="C9" s="127"/>
      <c r="D9" s="127"/>
      <c r="E9" s="127"/>
      <c r="F9" s="127"/>
      <c r="G9" s="127"/>
      <c r="H9" s="127"/>
      <c r="I9" s="127"/>
      <c r="J9" s="127"/>
      <c r="K9" s="127"/>
      <c r="L9" s="127"/>
      <c r="M9" s="127"/>
      <c r="N9" s="127"/>
      <c r="O9" s="127"/>
      <c r="P9" s="127"/>
      <c r="Q9" s="127"/>
      <c r="R9" s="127"/>
      <c r="S9" s="127"/>
      <c r="T9" s="127"/>
      <c r="U9" s="705"/>
      <c r="V9" s="127"/>
      <c r="W9" s="706"/>
      <c r="X9" s="707"/>
    </row>
    <row r="10" spans="1:28" ht="15" customHeight="1">
      <c r="A10" s="703"/>
      <c r="B10" s="704"/>
      <c r="C10" s="127"/>
      <c r="D10" s="127"/>
      <c r="E10" s="127"/>
      <c r="F10" s="127"/>
      <c r="G10" s="127"/>
      <c r="H10" s="127"/>
      <c r="I10" s="127"/>
      <c r="J10" s="127"/>
      <c r="K10" s="127"/>
      <c r="L10" s="127"/>
      <c r="M10" s="127"/>
      <c r="N10" s="127"/>
      <c r="O10" s="127"/>
      <c r="P10" s="127"/>
      <c r="Q10" s="127"/>
      <c r="S10" s="127"/>
      <c r="T10" s="127"/>
      <c r="U10" s="705"/>
      <c r="V10" s="127"/>
      <c r="W10" s="706"/>
      <c r="X10" s="707"/>
    </row>
    <row r="11" spans="1:28" ht="15" customHeight="1">
      <c r="A11" s="703"/>
      <c r="B11" s="704"/>
      <c r="C11" s="127"/>
      <c r="D11" s="127"/>
      <c r="E11" s="127"/>
      <c r="F11" s="127"/>
      <c r="G11" s="127"/>
      <c r="H11" s="127"/>
      <c r="I11" s="127"/>
      <c r="J11" s="127"/>
      <c r="K11" s="127"/>
      <c r="L11" s="127"/>
      <c r="M11" s="127"/>
      <c r="N11" s="127"/>
      <c r="O11" s="127"/>
      <c r="P11" s="127"/>
      <c r="Q11" s="127"/>
      <c r="R11" s="127"/>
      <c r="S11" s="127"/>
      <c r="T11" s="127"/>
      <c r="U11" s="705"/>
      <c r="V11" s="127"/>
      <c r="W11" s="706"/>
      <c r="X11" s="707"/>
    </row>
    <row r="12" spans="1:28" ht="15" customHeight="1">
      <c r="A12" s="703"/>
      <c r="B12" s="704"/>
      <c r="C12" s="127"/>
      <c r="D12" s="127"/>
      <c r="E12" s="127"/>
      <c r="F12" s="127"/>
      <c r="G12" s="127"/>
      <c r="H12" s="127"/>
      <c r="I12" s="127"/>
      <c r="J12" s="127"/>
      <c r="K12" s="127"/>
      <c r="L12" s="127"/>
      <c r="M12" s="127"/>
      <c r="N12" s="127"/>
      <c r="O12" s="127"/>
      <c r="P12" s="127"/>
      <c r="Q12" s="127"/>
      <c r="R12" s="127"/>
      <c r="S12" s="127"/>
      <c r="T12" s="127"/>
      <c r="U12" s="705"/>
      <c r="V12" s="127"/>
      <c r="W12" s="706"/>
      <c r="X12" s="707"/>
    </row>
    <row r="13" spans="1:28" ht="15" customHeight="1">
      <c r="A13" s="703"/>
      <c r="B13" s="704"/>
      <c r="C13" s="127"/>
      <c r="D13" s="127"/>
      <c r="E13" s="127"/>
      <c r="F13" s="127"/>
      <c r="G13" s="127"/>
      <c r="H13" s="127"/>
      <c r="I13" s="127"/>
      <c r="J13" s="127"/>
      <c r="K13" s="127"/>
      <c r="L13" s="127"/>
      <c r="M13" s="127"/>
      <c r="N13" s="127"/>
      <c r="O13" s="127"/>
      <c r="P13" s="127"/>
      <c r="Q13" s="127"/>
      <c r="R13" s="127"/>
      <c r="S13" s="127"/>
      <c r="T13" s="127"/>
      <c r="U13" s="705"/>
      <c r="V13" s="127"/>
      <c r="W13" s="706"/>
      <c r="X13" s="707"/>
    </row>
    <row r="14" spans="1:28" ht="15" customHeight="1">
      <c r="A14" s="703"/>
      <c r="B14" s="704"/>
      <c r="C14" s="127"/>
      <c r="D14" s="127"/>
      <c r="E14" s="127"/>
      <c r="F14" s="127"/>
      <c r="G14" s="127"/>
      <c r="H14" s="127"/>
      <c r="I14" s="127"/>
      <c r="J14" s="127"/>
      <c r="K14" s="127"/>
      <c r="L14" s="127"/>
      <c r="M14" s="127"/>
      <c r="N14" s="127"/>
      <c r="O14" s="127"/>
      <c r="P14" s="127"/>
      <c r="Q14" s="127"/>
      <c r="R14" s="127"/>
      <c r="S14" s="127"/>
      <c r="T14" s="127"/>
      <c r="U14" s="705"/>
      <c r="V14" s="127"/>
      <c r="W14" s="706"/>
      <c r="X14" s="707"/>
    </row>
    <row r="15" spans="1:28" ht="15" customHeight="1" thickBot="1">
      <c r="A15" s="703"/>
      <c r="B15" s="704"/>
      <c r="C15" s="127"/>
      <c r="D15" s="127"/>
      <c r="E15" s="127"/>
      <c r="F15" s="127"/>
      <c r="G15" s="127"/>
      <c r="H15" s="127"/>
      <c r="I15" s="127"/>
      <c r="J15" s="127"/>
      <c r="K15" s="127"/>
      <c r="L15" s="127"/>
      <c r="M15" s="127"/>
      <c r="N15" s="127"/>
      <c r="O15" s="127"/>
      <c r="P15" s="127"/>
      <c r="Q15" s="127"/>
      <c r="R15" s="127"/>
      <c r="S15" s="127"/>
      <c r="T15" s="127"/>
      <c r="U15" s="705"/>
      <c r="V15" s="127"/>
      <c r="W15" s="706"/>
      <c r="X15" s="707"/>
    </row>
    <row r="16" spans="1:28" ht="15" customHeight="1">
      <c r="A16" s="698"/>
      <c r="B16" s="699" t="s">
        <v>2386</v>
      </c>
      <c r="C16" s="700"/>
      <c r="D16" s="700"/>
      <c r="E16" s="700"/>
      <c r="F16" s="700"/>
      <c r="G16" s="700"/>
      <c r="H16" s="700"/>
      <c r="I16" s="700"/>
      <c r="J16" s="700"/>
      <c r="K16" s="700"/>
      <c r="L16" s="700"/>
      <c r="M16" s="700"/>
      <c r="N16" s="700"/>
      <c r="O16" s="700"/>
      <c r="P16" s="700"/>
      <c r="Q16" s="700"/>
      <c r="R16" s="700"/>
      <c r="S16" s="700"/>
      <c r="T16" s="700"/>
      <c r="U16" s="701"/>
      <c r="V16" s="700"/>
      <c r="W16" s="699"/>
      <c r="X16" s="702"/>
    </row>
    <row r="17" spans="1:27" ht="15" customHeight="1" thickBot="1">
      <c r="A17" s="274"/>
      <c r="B17" s="268" t="str">
        <f>IF(X18="","PLACA ISOLANTE",X18)</f>
        <v>PLACA ISOLANTE</v>
      </c>
      <c r="C17" s="269" t="s">
        <v>101</v>
      </c>
      <c r="D17" s="270" t="s">
        <v>102</v>
      </c>
      <c r="E17" s="270" t="s">
        <v>42</v>
      </c>
      <c r="F17" s="270" t="s">
        <v>42</v>
      </c>
      <c r="G17" s="270" t="s">
        <v>43</v>
      </c>
      <c r="H17" s="270" t="s">
        <v>44</v>
      </c>
      <c r="I17" s="270" t="s">
        <v>47</v>
      </c>
      <c r="J17" s="270" t="s">
        <v>103</v>
      </c>
      <c r="K17" s="270" t="s">
        <v>37</v>
      </c>
      <c r="L17" s="270" t="s">
        <v>39</v>
      </c>
      <c r="M17" s="270" t="s">
        <v>41</v>
      </c>
      <c r="N17" s="270" t="s">
        <v>46</v>
      </c>
      <c r="O17" s="270" t="s">
        <v>67</v>
      </c>
      <c r="P17" s="270" t="s">
        <v>113</v>
      </c>
      <c r="Q17" s="270"/>
      <c r="R17" s="270"/>
      <c r="S17" s="270" t="s">
        <v>70</v>
      </c>
      <c r="T17" s="270" t="s">
        <v>26</v>
      </c>
      <c r="U17" s="270" t="s">
        <v>38</v>
      </c>
      <c r="V17" s="271" t="s">
        <v>27</v>
      </c>
      <c r="W17" s="272"/>
      <c r="X17" s="273"/>
    </row>
    <row r="18" spans="1:27" ht="15" customHeight="1" thickBot="1">
      <c r="A18" s="210"/>
      <c r="B18" s="206"/>
      <c r="C18" s="129">
        <f>SUMIF(Densidades!A:A,'Memória TOTAL'!X18,Densidades!B:B)</f>
        <v>0</v>
      </c>
      <c r="D18" s="130">
        <f>SUMIF(Densidades!A:A,'Memória TOTAL'!X18,Densidades!C:C)</f>
        <v>0</v>
      </c>
      <c r="E18" s="131">
        <f>SUMIF(Formatos!A:A,'Memória TOTAL'!X19,Formatos!E:E)</f>
        <v>0</v>
      </c>
      <c r="F18" s="131">
        <f>SUMIF(Formatos!A:A,'Memória TOTAL'!X19,Formatos!F:F)</f>
        <v>0</v>
      </c>
      <c r="G18" s="131">
        <f>SUMIF(Formatos!A:A,'Memória TOTAL'!X19,Formatos!C:C)</f>
        <v>0</v>
      </c>
      <c r="H18" s="131">
        <f>SUMIF(Formatos!A:A,'Memória TOTAL'!X19,Formatos!D:D)</f>
        <v>0</v>
      </c>
      <c r="I18" s="131">
        <f>SUMIF(Densidades!A:A,'Memória TOTAL'!X18,Densidades!H:H)</f>
        <v>0</v>
      </c>
      <c r="J18" s="132">
        <f>SUMIF(Formatos!A:A,'Memória TOTAL'!X19,Formatos!G:G)</f>
        <v>0</v>
      </c>
      <c r="K18" s="133">
        <f>SUMIF(Densidades!A:A,'Memória TOTAL'!X18,Densidades!I:I)</f>
        <v>0</v>
      </c>
      <c r="L18" s="134">
        <v>0</v>
      </c>
      <c r="M18" s="135"/>
      <c r="N18" s="625"/>
      <c r="O18" s="135"/>
      <c r="P18" s="135"/>
      <c r="Q18" s="135"/>
      <c r="R18" s="135"/>
      <c r="S18" s="135"/>
      <c r="T18" s="135"/>
      <c r="U18" s="135"/>
      <c r="V18" s="141"/>
      <c r="W18" s="189" t="str">
        <f>IF(C18=0,"",ROUNDUP(SUM(V21:V23)*(1+L18),0))</f>
        <v/>
      </c>
      <c r="X18" s="259"/>
      <c r="Y18" s="182"/>
    </row>
    <row r="19" spans="1:27" ht="15" customHeight="1" thickBot="1">
      <c r="A19" s="210"/>
      <c r="B19" s="207"/>
      <c r="C19" s="138"/>
      <c r="D19" s="135"/>
      <c r="E19" s="131">
        <f t="shared" ref="E19:K19" si="0">E18</f>
        <v>0</v>
      </c>
      <c r="F19" s="131">
        <f t="shared" si="0"/>
        <v>0</v>
      </c>
      <c r="G19" s="131">
        <f t="shared" si="0"/>
        <v>0</v>
      </c>
      <c r="H19" s="131">
        <f t="shared" si="0"/>
        <v>0</v>
      </c>
      <c r="I19" s="131">
        <f t="shared" si="0"/>
        <v>0</v>
      </c>
      <c r="J19" s="131">
        <f t="shared" si="0"/>
        <v>0</v>
      </c>
      <c r="K19" s="133">
        <f t="shared" si="0"/>
        <v>0</v>
      </c>
      <c r="L19" s="140"/>
      <c r="M19" s="135"/>
      <c r="N19" s="131">
        <f>N18</f>
        <v>0</v>
      </c>
      <c r="O19" s="135"/>
      <c r="P19" s="135"/>
      <c r="Q19" s="135"/>
      <c r="R19" s="135"/>
      <c r="S19" s="135"/>
      <c r="T19" s="135"/>
      <c r="U19" s="135"/>
      <c r="V19" s="141"/>
      <c r="W19" s="142"/>
      <c r="X19" s="259"/>
      <c r="Y19" s="182"/>
    </row>
    <row r="20" spans="1:27" ht="15" customHeight="1" thickBot="1">
      <c r="A20" s="210"/>
      <c r="B20" s="208" t="s">
        <v>71</v>
      </c>
      <c r="C20" s="138"/>
      <c r="D20" s="135"/>
      <c r="E20" s="131">
        <f t="shared" ref="E20:K20" si="1">E19</f>
        <v>0</v>
      </c>
      <c r="F20" s="131">
        <f t="shared" si="1"/>
        <v>0</v>
      </c>
      <c r="G20" s="131">
        <f t="shared" si="1"/>
        <v>0</v>
      </c>
      <c r="H20" s="131">
        <f t="shared" si="1"/>
        <v>0</v>
      </c>
      <c r="I20" s="131">
        <f t="shared" si="1"/>
        <v>0</v>
      </c>
      <c r="J20" s="131">
        <f t="shared" si="1"/>
        <v>0</v>
      </c>
      <c r="K20" s="133">
        <f t="shared" si="1"/>
        <v>0</v>
      </c>
      <c r="L20" s="140"/>
      <c r="M20" s="135"/>
      <c r="N20" s="131">
        <f>N19</f>
        <v>0</v>
      </c>
      <c r="O20" s="135"/>
      <c r="P20" s="135"/>
      <c r="Q20" s="135"/>
      <c r="R20" s="135"/>
      <c r="S20" s="135"/>
      <c r="T20" s="135"/>
      <c r="U20" s="191" t="s">
        <v>669</v>
      </c>
      <c r="V20" s="141"/>
      <c r="W20" s="142"/>
      <c r="X20" s="143" t="s">
        <v>520</v>
      </c>
    </row>
    <row r="21" spans="1:27" ht="15" customHeight="1" thickBot="1">
      <c r="A21" s="210"/>
      <c r="B21" s="327"/>
      <c r="C21" s="155"/>
      <c r="D21" s="156"/>
      <c r="E21" s="172">
        <f t="shared" ref="E21:K21" si="2">E20</f>
        <v>0</v>
      </c>
      <c r="F21" s="172">
        <f t="shared" si="2"/>
        <v>0</v>
      </c>
      <c r="G21" s="172">
        <f t="shared" si="2"/>
        <v>0</v>
      </c>
      <c r="H21" s="172">
        <f t="shared" si="2"/>
        <v>0</v>
      </c>
      <c r="I21" s="172">
        <f t="shared" si="2"/>
        <v>0</v>
      </c>
      <c r="J21" s="172">
        <f t="shared" si="2"/>
        <v>0</v>
      </c>
      <c r="K21" s="173">
        <f t="shared" si="2"/>
        <v>0</v>
      </c>
      <c r="L21" s="158"/>
      <c r="M21" s="156"/>
      <c r="N21" s="172">
        <f>N20</f>
        <v>0</v>
      </c>
      <c r="O21" s="156"/>
      <c r="P21" s="253"/>
      <c r="Q21" s="156"/>
      <c r="R21" s="156"/>
      <c r="S21" s="253"/>
      <c r="T21" s="174" t="str">
        <f>IF(S21="","-",IF(COUNTIF(E21:H21,P21)&lt;1,"Esp. Errada",ROUNDUP(S21/((G21+N21)*(H21+N21)*((E21+N21)+(F21+N21))/2/(P21+N21)),0)))</f>
        <v>-</v>
      </c>
      <c r="U21" s="253"/>
      <c r="V21" s="175">
        <f>IF(S21="",0,IF(OR(P21=E21,P21=G21,P21=H21),T21*U21,"ESP. ERRADA"))</f>
        <v>0</v>
      </c>
      <c r="W21" s="176"/>
      <c r="X21" s="177"/>
    </row>
    <row r="22" spans="1:27" s="182" customFormat="1" ht="15" customHeight="1" thickBot="1">
      <c r="A22" s="210"/>
      <c r="B22" s="328"/>
      <c r="C22" s="220"/>
      <c r="D22" s="197"/>
      <c r="E22" s="172">
        <f t="shared" ref="E22:K22" si="3">E20</f>
        <v>0</v>
      </c>
      <c r="F22" s="172">
        <f t="shared" si="3"/>
        <v>0</v>
      </c>
      <c r="G22" s="172">
        <f t="shared" si="3"/>
        <v>0</v>
      </c>
      <c r="H22" s="172">
        <f t="shared" si="3"/>
        <v>0</v>
      </c>
      <c r="I22" s="172">
        <f t="shared" si="3"/>
        <v>0</v>
      </c>
      <c r="J22" s="172">
        <f t="shared" si="3"/>
        <v>0</v>
      </c>
      <c r="K22" s="221">
        <f t="shared" si="3"/>
        <v>0</v>
      </c>
      <c r="L22" s="158"/>
      <c r="M22" s="266"/>
      <c r="N22" s="172">
        <f>N20</f>
        <v>0</v>
      </c>
      <c r="O22" s="197"/>
      <c r="P22" s="253"/>
      <c r="Q22" s="197"/>
      <c r="R22" s="197"/>
      <c r="S22" s="197"/>
      <c r="T22" s="223" t="str">
        <f>IF(M22="","-",IF(COUNTIF(E22:H22,P22)&lt;1,"Esp. Errada",ROUNDUP(M22/IF(G22=P22,G22,(G22+N22))/IF(H22=P22,H22,(H22+N22))/IF(E22=P22,E22,(E22+N22)),0)))</f>
        <v>-</v>
      </c>
      <c r="U22" s="253"/>
      <c r="V22" s="175">
        <f>IF(M22="",0,IF(OR(P22=E22,P22=G22,P22=H22),T22*U22,"ESP. ERRADA"))</f>
        <v>0</v>
      </c>
      <c r="W22" s="225"/>
      <c r="X22" s="226"/>
      <c r="Z22" s="183"/>
      <c r="AA22" s="183"/>
    </row>
    <row r="23" spans="1:27" s="182" customFormat="1" ht="15" customHeight="1">
      <c r="A23" s="211"/>
      <c r="B23" s="206"/>
      <c r="C23" s="196"/>
      <c r="D23" s="191"/>
      <c r="E23" s="191"/>
      <c r="F23" s="191"/>
      <c r="G23" s="191"/>
      <c r="H23" s="191"/>
      <c r="I23" s="191"/>
      <c r="J23" s="192"/>
      <c r="K23" s="192"/>
      <c r="L23" s="140"/>
      <c r="M23" s="191"/>
      <c r="N23" s="191"/>
      <c r="O23" s="191"/>
      <c r="P23" s="191"/>
      <c r="Q23" s="191"/>
      <c r="R23" s="191"/>
      <c r="S23" s="191"/>
      <c r="T23" s="191"/>
      <c r="U23" s="191"/>
      <c r="V23" s="193"/>
      <c r="W23" s="181"/>
      <c r="X23" s="137"/>
      <c r="Z23" s="183"/>
      <c r="AA23" s="183"/>
    </row>
    <row r="24" spans="1:27" s="182" customFormat="1" ht="15" customHeight="1" thickBot="1">
      <c r="A24" s="211"/>
      <c r="B24" s="275" t="s">
        <v>1810</v>
      </c>
      <c r="C24" s="276"/>
      <c r="D24" s="277"/>
      <c r="E24" s="277"/>
      <c r="F24" s="277"/>
      <c r="G24" s="277"/>
      <c r="H24" s="277"/>
      <c r="I24" s="277"/>
      <c r="J24" s="278"/>
      <c r="K24" s="278"/>
      <c r="L24" s="279"/>
      <c r="M24" s="277"/>
      <c r="N24" s="277"/>
      <c r="O24" s="277"/>
      <c r="P24" s="277"/>
      <c r="Q24" s="277"/>
      <c r="R24" s="277"/>
      <c r="S24" s="280"/>
      <c r="T24" s="277" t="s">
        <v>634</v>
      </c>
      <c r="U24" s="277" t="s">
        <v>38</v>
      </c>
      <c r="V24" s="281" t="s">
        <v>27</v>
      </c>
      <c r="W24" s="282"/>
      <c r="X24" s="283"/>
      <c r="Z24" s="183"/>
      <c r="AA24" s="183"/>
    </row>
    <row r="25" spans="1:27" s="182" customFormat="1" ht="15" customHeight="1" thickBot="1">
      <c r="A25" s="211"/>
      <c r="B25" s="209" t="s">
        <v>1809</v>
      </c>
      <c r="C25" s="129">
        <f>SUMIF(Densidades!A:A,'Memória TOTAL'!X25,Densidades!B:B)</f>
        <v>0</v>
      </c>
      <c r="D25" s="130">
        <f>SUMIF(Densidades!A:A,'Memória TOTAL'!X25,Densidades!C:C)</f>
        <v>0</v>
      </c>
      <c r="E25" s="130" t="str">
        <f>IF(I25=15,"FIRECLAY MORTAR",IF(I25=16,"ALUMINA MORTAR",IF(I25=17,"BASIC MORTAR",IF(I25=18,"MORTAR","-"))))</f>
        <v>-</v>
      </c>
      <c r="F25" s="130" t="str">
        <f>IF(I25=15,"FIRECLAY MORTAR",IF(I25=16,"ALUMINA MORTAR",IF(I25=17,"BASIC MORTAR",IF(I25=18,"MORTAR","-"))))</f>
        <v>-</v>
      </c>
      <c r="G25" s="130" t="str">
        <f>IF(I25=15,"FIRECLAY MORTAR",IF(I25=16,"ALUMINA MORTAR",IF(I25=17,"BASIC MORTAR",IF(I25=18,"MORTAR","-"))))</f>
        <v>-</v>
      </c>
      <c r="H25" s="130" t="str">
        <f>IF(I25=15,"FIRECLAY MORTAR",IF(I25=16,"ALUMINA MORTAR",IF(I25=17,"BASIC MORTAR",IF(I25=18,"MORTAR","-"))))</f>
        <v>-</v>
      </c>
      <c r="I25" s="130">
        <f>SUMIF(Densidades!A:A,'Memória TOTAL'!X25,Densidades!G:G)</f>
        <v>0</v>
      </c>
      <c r="J25" s="132">
        <f>SUMIF(Formatos!A:A,'Memória TOTAL'!X26,Formatos!G:G)</f>
        <v>0</v>
      </c>
      <c r="K25" s="218">
        <f>SUMIF(Densidades!A:A,'Memória TOTAL'!X25,Densidades!I:I)</f>
        <v>0</v>
      </c>
      <c r="L25" s="184">
        <v>0</v>
      </c>
      <c r="M25" s="185"/>
      <c r="N25" s="185"/>
      <c r="O25" s="185"/>
      <c r="P25" s="185"/>
      <c r="Q25" s="185"/>
      <c r="R25" s="186"/>
      <c r="S25" s="185"/>
      <c r="T25" s="186" t="e">
        <f>(W18*G18*H18)/10^6*2</f>
        <v>#VALUE!</v>
      </c>
      <c r="U25" s="253"/>
      <c r="V25" s="188" t="e">
        <f>T25*U25</f>
        <v>#VALUE!</v>
      </c>
      <c r="W25" s="136" t="str">
        <f>IF(C25=0,"",ROUNDUP(SUM(V25:V26)*(1+L25),0))</f>
        <v/>
      </c>
      <c r="X25" s="259"/>
      <c r="Z25" s="183"/>
      <c r="AA25" s="183"/>
    </row>
    <row r="26" spans="1:27" s="182" customFormat="1" ht="15" customHeight="1">
      <c r="A26" s="211"/>
      <c r="B26" s="206"/>
      <c r="C26" s="129"/>
      <c r="D26" s="191"/>
      <c r="E26" s="191"/>
      <c r="F26" s="191"/>
      <c r="G26" s="191"/>
      <c r="H26" s="191"/>
      <c r="I26" s="191"/>
      <c r="J26" s="192"/>
      <c r="K26" s="192"/>
      <c r="L26" s="140"/>
      <c r="M26" s="191"/>
      <c r="N26" s="191"/>
      <c r="O26" s="191"/>
      <c r="P26" s="191"/>
      <c r="Q26" s="191"/>
      <c r="R26" s="191"/>
      <c r="S26" s="191"/>
      <c r="T26" s="191"/>
      <c r="U26" s="191"/>
      <c r="V26" s="193"/>
      <c r="W26" s="181"/>
      <c r="X26" s="137" t="str">
        <f>IF(AND(H25="-",G25="-",F25="-"),E25,IF(AND(H25="-",G25="-",E25="-"),F25,IF(AND(H25="-",F25="-",E25="-"),G25,H25)))</f>
        <v>-</v>
      </c>
      <c r="Z26" s="183"/>
      <c r="AA26" s="183"/>
    </row>
    <row r="27" spans="1:27" s="182" customFormat="1" ht="15" customHeight="1">
      <c r="A27" s="211"/>
      <c r="B27" s="209"/>
      <c r="C27" s="129"/>
      <c r="D27" s="191"/>
      <c r="E27" s="191"/>
      <c r="F27" s="191"/>
      <c r="G27" s="191"/>
      <c r="H27" s="191"/>
      <c r="I27" s="191"/>
      <c r="J27" s="192"/>
      <c r="K27" s="192"/>
      <c r="L27" s="140"/>
      <c r="M27" s="191"/>
      <c r="N27" s="191"/>
      <c r="O27" s="191"/>
      <c r="P27" s="191"/>
      <c r="Q27" s="191"/>
      <c r="R27" s="191"/>
      <c r="S27" s="191"/>
      <c r="T27" s="191"/>
      <c r="U27" s="191"/>
      <c r="V27" s="193"/>
      <c r="W27" s="181"/>
      <c r="X27" s="137" t="s">
        <v>2</v>
      </c>
      <c r="Z27" s="183"/>
      <c r="AA27" s="183"/>
    </row>
    <row r="28" spans="1:27" s="182" customFormat="1" ht="15" customHeight="1">
      <c r="A28" s="211"/>
      <c r="B28" s="209"/>
      <c r="C28" s="129"/>
      <c r="D28" s="191"/>
      <c r="E28" s="191"/>
      <c r="F28" s="191"/>
      <c r="G28" s="191"/>
      <c r="H28" s="191"/>
      <c r="I28" s="191"/>
      <c r="J28" s="192"/>
      <c r="K28" s="192"/>
      <c r="L28" s="140"/>
      <c r="M28" s="191"/>
      <c r="N28" s="191"/>
      <c r="O28" s="191"/>
      <c r="P28" s="191"/>
      <c r="Q28" s="191"/>
      <c r="R28" s="191"/>
      <c r="S28" s="191"/>
      <c r="T28" s="191"/>
      <c r="U28" s="191"/>
      <c r="V28" s="193"/>
      <c r="W28" s="181"/>
      <c r="X28" s="137"/>
      <c r="Z28" s="183"/>
      <c r="AA28" s="183"/>
    </row>
    <row r="29" spans="1:27" s="182" customFormat="1" ht="15" customHeight="1" thickBot="1">
      <c r="A29" s="211"/>
      <c r="B29" s="268" t="str">
        <f>IF(X30="","WATERPROOFING",X30)</f>
        <v>DIVASIL</v>
      </c>
      <c r="C29" s="276"/>
      <c r="D29" s="277"/>
      <c r="E29" s="277"/>
      <c r="F29" s="277"/>
      <c r="G29" s="277"/>
      <c r="H29" s="277"/>
      <c r="I29" s="277"/>
      <c r="J29" s="278"/>
      <c r="K29" s="278"/>
      <c r="L29" s="279"/>
      <c r="M29" s="277"/>
      <c r="N29" s="277"/>
      <c r="O29" s="277"/>
      <c r="P29" s="277"/>
      <c r="Q29" s="277"/>
      <c r="R29" s="277"/>
      <c r="S29" s="280"/>
      <c r="T29" s="277" t="s">
        <v>634</v>
      </c>
      <c r="U29" s="277" t="s">
        <v>38</v>
      </c>
      <c r="V29" s="281" t="s">
        <v>27</v>
      </c>
      <c r="W29" s="282"/>
      <c r="X29" s="283"/>
      <c r="Z29" s="183"/>
      <c r="AA29" s="183"/>
    </row>
    <row r="30" spans="1:27" s="182" customFormat="1" ht="15" customHeight="1" thickBot="1">
      <c r="A30" s="211"/>
      <c r="B30" s="209" t="s">
        <v>1811</v>
      </c>
      <c r="C30" s="129">
        <f>SUMIF(Densidades!A:A,'Memória TOTAL'!X30,Densidades!B:B)</f>
        <v>1.3</v>
      </c>
      <c r="D30" s="130">
        <f>SUMIF(Densidades!A:A,'Memória TOTAL'!X30,Densidades!C:C)</f>
        <v>20</v>
      </c>
      <c r="E30" s="130" t="str">
        <f>IF(I30=15,"FIRECLAY MORTAR",IF(I30=16,"ALUMINA MORTAR",IF(I30=17,"BASIC MORTAR",IF(I30=18,"MORTAR","-"))))</f>
        <v>-</v>
      </c>
      <c r="F30" s="130" t="str">
        <f>IF(I30=15,"FIRECLAY MORTAR",IF(I30=16,"ALUMINA MORTAR",IF(I30=17,"BASIC MORTAR",IF(I30=18,"MORTAR","-"))))</f>
        <v>-</v>
      </c>
      <c r="G30" s="130" t="str">
        <f>IF(I30=15,"FIRECLAY MORTAR",IF(I30=16,"ALUMINA MORTAR",IF(I30=17,"BASIC MORTAR",IF(I30=18,"MORTAR","-"))))</f>
        <v>-</v>
      </c>
      <c r="H30" s="130" t="str">
        <f>IF(I30=15,"FIRECLAY MORTAR",IF(I30=16,"ALUMINA MORTAR",IF(I30=17,"BASIC MORTAR",IF(I30=18,"MORTAR","-"))))</f>
        <v>-</v>
      </c>
      <c r="I30" s="130">
        <f>SUMIF(Densidades!A:A,'Memória TOTAL'!X30,Densidades!G:G)</f>
        <v>0</v>
      </c>
      <c r="J30" s="132">
        <f>SUMIF(Formatos!A:A,'Memória TOTAL'!X31,Formatos!G:G)</f>
        <v>0</v>
      </c>
      <c r="K30" s="218">
        <f>SUMIF(Densidades!A:A,'Memória TOTAL'!X30,Densidades!I:I)</f>
        <v>8</v>
      </c>
      <c r="L30" s="184">
        <v>0</v>
      </c>
      <c r="M30" s="185"/>
      <c r="N30" s="185"/>
      <c r="O30" s="185"/>
      <c r="P30" s="185"/>
      <c r="Q30" s="185"/>
      <c r="R30" s="186"/>
      <c r="S30" s="185"/>
      <c r="T30" s="186" t="e">
        <f>(W18*G18*H18)/10^6/2</f>
        <v>#VALUE!</v>
      </c>
      <c r="U30" s="253"/>
      <c r="V30" s="188" t="e">
        <f>T30*C30*U30</f>
        <v>#VALUE!</v>
      </c>
      <c r="W30" s="136" t="str">
        <f>IFERROR(IF(C30=0,"",ROUNDUP(SUM(V30:V31)*(1+L30),0)),"")</f>
        <v/>
      </c>
      <c r="X30" s="259" t="s">
        <v>1094</v>
      </c>
      <c r="Z30" s="183"/>
      <c r="AA30" s="183"/>
    </row>
    <row r="31" spans="1:27" s="182" customFormat="1" ht="15" customHeight="1">
      <c r="A31" s="211"/>
      <c r="B31" s="206"/>
      <c r="C31" s="129"/>
      <c r="D31" s="191"/>
      <c r="E31" s="191"/>
      <c r="F31" s="191"/>
      <c r="G31" s="191"/>
      <c r="H31" s="191"/>
      <c r="I31" s="191"/>
      <c r="J31" s="192"/>
      <c r="K31" s="192"/>
      <c r="L31" s="140"/>
      <c r="M31" s="191"/>
      <c r="N31" s="191"/>
      <c r="O31" s="191"/>
      <c r="P31" s="191"/>
      <c r="Q31" s="191"/>
      <c r="R31" s="191"/>
      <c r="S31" s="191"/>
      <c r="T31" s="191"/>
      <c r="U31" s="191"/>
      <c r="V31" s="193"/>
      <c r="W31" s="181"/>
      <c r="X31" s="137" t="str">
        <f>IF(AND(H30="-",G30="-",F30="-"),E30,IF(AND(H30="-",G30="-",E30="-"),F30,IF(AND(H30="-",F30="-",E30="-"),G30,H30)))</f>
        <v>-</v>
      </c>
      <c r="Z31" s="183"/>
      <c r="AA31" s="183"/>
    </row>
    <row r="32" spans="1:27" s="182" customFormat="1" ht="15" customHeight="1">
      <c r="A32" s="211"/>
      <c r="B32" s="209"/>
      <c r="C32" s="129"/>
      <c r="D32" s="191"/>
      <c r="E32" s="191"/>
      <c r="F32" s="191"/>
      <c r="G32" s="191"/>
      <c r="H32" s="191"/>
      <c r="I32" s="191"/>
      <c r="J32" s="192"/>
      <c r="K32" s="192"/>
      <c r="L32" s="140"/>
      <c r="M32" s="191"/>
      <c r="N32" s="191"/>
      <c r="O32" s="191"/>
      <c r="P32" s="191"/>
      <c r="Q32" s="191"/>
      <c r="R32" s="191"/>
      <c r="S32" s="191"/>
      <c r="T32" s="191"/>
      <c r="U32" s="191"/>
      <c r="V32" s="193"/>
      <c r="W32" s="181"/>
      <c r="X32" s="137" t="s">
        <v>2</v>
      </c>
      <c r="Z32" s="183"/>
      <c r="AA32" s="183"/>
    </row>
    <row r="33" spans="1:27" s="182" customFormat="1" ht="15" customHeight="1">
      <c r="A33" s="211"/>
      <c r="B33" s="209"/>
      <c r="C33" s="129"/>
      <c r="D33" s="191"/>
      <c r="E33" s="191"/>
      <c r="F33" s="191"/>
      <c r="G33" s="191"/>
      <c r="H33" s="191"/>
      <c r="I33" s="191"/>
      <c r="J33" s="192"/>
      <c r="K33" s="192"/>
      <c r="L33" s="140"/>
      <c r="M33" s="191"/>
      <c r="N33" s="191"/>
      <c r="O33" s="191"/>
      <c r="P33" s="191"/>
      <c r="Q33" s="191"/>
      <c r="R33" s="191"/>
      <c r="S33" s="191"/>
      <c r="T33" s="191"/>
      <c r="U33" s="191"/>
      <c r="V33" s="193"/>
      <c r="W33" s="181"/>
      <c r="X33" s="137"/>
      <c r="Z33" s="183"/>
      <c r="AA33" s="183"/>
    </row>
    <row r="34" spans="1:27" s="182" customFormat="1" ht="15" customHeight="1" thickBot="1">
      <c r="A34" s="211"/>
      <c r="B34" s="268" t="str">
        <f>IF(X35="","WATERPROOFING",X35)</f>
        <v>LATEX PAINT</v>
      </c>
      <c r="C34" s="276"/>
      <c r="D34" s="277"/>
      <c r="E34" s="277"/>
      <c r="F34" s="277"/>
      <c r="G34" s="277"/>
      <c r="H34" s="277"/>
      <c r="I34" s="277"/>
      <c r="J34" s="278"/>
      <c r="K34" s="278"/>
      <c r="L34" s="279"/>
      <c r="M34" s="277"/>
      <c r="N34" s="277"/>
      <c r="O34" s="277"/>
      <c r="P34" s="277"/>
      <c r="Q34" s="277"/>
      <c r="R34" s="277"/>
      <c r="S34" s="280"/>
      <c r="T34" s="277" t="s">
        <v>634</v>
      </c>
      <c r="U34" s="277" t="s">
        <v>38</v>
      </c>
      <c r="V34" s="281" t="s">
        <v>27</v>
      </c>
      <c r="W34" s="282"/>
      <c r="X34" s="283"/>
      <c r="Z34" s="183"/>
      <c r="AA34" s="183"/>
    </row>
    <row r="35" spans="1:27" s="182" customFormat="1" ht="15" customHeight="1" thickBot="1">
      <c r="A35" s="211"/>
      <c r="B35" s="209" t="s">
        <v>1812</v>
      </c>
      <c r="C35" s="129">
        <f>SUMIF(Densidades!A:A,'Memória TOTAL'!X35,Densidades!B:B)</f>
        <v>1.5</v>
      </c>
      <c r="D35" s="130">
        <f>SUMIF(Densidades!A:A,'Memória TOTAL'!X35,Densidades!C:C)</f>
        <v>1</v>
      </c>
      <c r="E35" s="130" t="str">
        <f>IF(I35=15,"FIRECLAY MORTAR",IF(I35=16,"ALUMINA MORTAR",IF(I35=17,"BASIC MORTAR",IF(I35=18,"MORTAR","-"))))</f>
        <v>-</v>
      </c>
      <c r="F35" s="130" t="str">
        <f>IF(I35=15,"FIRECLAY MORTAR",IF(I35=16,"ALUMINA MORTAR",IF(I35=17,"BASIC MORTAR",IF(I35=18,"MORTAR","-"))))</f>
        <v>-</v>
      </c>
      <c r="G35" s="130" t="str">
        <f>IF(I35=15,"FIRECLAY MORTAR",IF(I35=16,"ALUMINA MORTAR",IF(I35=17,"BASIC MORTAR",IF(I35=18,"MORTAR","-"))))</f>
        <v>-</v>
      </c>
      <c r="H35" s="130" t="str">
        <f>IF(I35=15,"FIRECLAY MORTAR",IF(I35=16,"ALUMINA MORTAR",IF(I35=17,"BASIC MORTAR",IF(I35=18,"MORTAR","-"))))</f>
        <v>-</v>
      </c>
      <c r="I35" s="130">
        <f>SUMIF(Densidades!A:A,'Memória TOTAL'!X35,Densidades!G:G)</f>
        <v>24</v>
      </c>
      <c r="J35" s="132">
        <f>SUMIF(Formatos!A:A,'Memória TOTAL'!X36,Formatos!G:G)</f>
        <v>0</v>
      </c>
      <c r="K35" s="218">
        <f>SUMIF(Densidades!A:A,'Memória TOTAL'!X35,Densidades!I:I)</f>
        <v>9</v>
      </c>
      <c r="L35" s="184">
        <v>0</v>
      </c>
      <c r="M35" s="185"/>
      <c r="N35" s="185"/>
      <c r="O35" s="185"/>
      <c r="P35" s="185"/>
      <c r="Q35" s="185"/>
      <c r="R35" s="186"/>
      <c r="S35" s="185"/>
      <c r="T35" s="186" t="e">
        <f>(W18*G18*H18)/10^6/(200/18)</f>
        <v>#VALUE!</v>
      </c>
      <c r="U35" s="253"/>
      <c r="V35" s="188" t="e">
        <f>T35*U35</f>
        <v>#VALUE!</v>
      </c>
      <c r="W35" s="136" t="str">
        <f>IFERROR(IF(C35=0,"",ROUNDUP(SUM(V35:V36)*(1+L35),0)),"")</f>
        <v/>
      </c>
      <c r="X35" s="259" t="s">
        <v>519</v>
      </c>
      <c r="Z35" s="183"/>
      <c r="AA35" s="183"/>
    </row>
    <row r="36" spans="1:27" s="182" customFormat="1" ht="15" customHeight="1">
      <c r="A36" s="211"/>
      <c r="B36" s="206"/>
      <c r="C36" s="129"/>
      <c r="D36" s="191"/>
      <c r="E36" s="191"/>
      <c r="F36" s="191"/>
      <c r="G36" s="191"/>
      <c r="H36" s="191"/>
      <c r="I36" s="191"/>
      <c r="J36" s="192"/>
      <c r="K36" s="192"/>
      <c r="L36" s="140"/>
      <c r="M36" s="191"/>
      <c r="N36" s="191"/>
      <c r="O36" s="191"/>
      <c r="P36" s="191"/>
      <c r="Q36" s="191"/>
      <c r="R36" s="191"/>
      <c r="S36" s="191"/>
      <c r="T36" s="191"/>
      <c r="U36" s="191"/>
      <c r="V36" s="193"/>
      <c r="W36" s="181"/>
      <c r="X36" s="137" t="str">
        <f>IF(AND(H35="-",G35="-",F35="-"),E35,IF(AND(H35="-",G35="-",E35="-"),F35,IF(AND(H35="-",F35="-",E35="-"),G35,H35)))</f>
        <v>-</v>
      </c>
      <c r="Z36" s="183"/>
      <c r="AA36" s="183"/>
    </row>
    <row r="37" spans="1:27" s="182" customFormat="1" ht="15" customHeight="1">
      <c r="A37" s="211"/>
      <c r="B37" s="209"/>
      <c r="C37" s="129"/>
      <c r="D37" s="191"/>
      <c r="E37" s="191"/>
      <c r="F37" s="191"/>
      <c r="G37" s="191"/>
      <c r="H37" s="191"/>
      <c r="I37" s="191"/>
      <c r="J37" s="192"/>
      <c r="K37" s="192"/>
      <c r="L37" s="140"/>
      <c r="M37" s="191"/>
      <c r="N37" s="191"/>
      <c r="O37" s="191"/>
      <c r="P37" s="191"/>
      <c r="Q37" s="191"/>
      <c r="R37" s="191"/>
      <c r="S37" s="191"/>
      <c r="T37" s="191"/>
      <c r="U37" s="191"/>
      <c r="V37" s="193"/>
      <c r="W37" s="181"/>
      <c r="X37" s="137" t="s">
        <v>75</v>
      </c>
      <c r="Z37" s="183"/>
      <c r="AA37" s="183"/>
    </row>
    <row r="38" spans="1:27" s="182" customFormat="1" ht="15" customHeight="1">
      <c r="A38" s="211"/>
      <c r="B38" s="209"/>
      <c r="C38" s="129"/>
      <c r="D38" s="191"/>
      <c r="E38" s="191"/>
      <c r="F38" s="191"/>
      <c r="G38" s="191"/>
      <c r="H38" s="191"/>
      <c r="I38" s="191"/>
      <c r="J38" s="192"/>
      <c r="K38" s="192"/>
      <c r="L38" s="140"/>
      <c r="M38" s="191"/>
      <c r="N38" s="191"/>
      <c r="O38" s="191"/>
      <c r="P38" s="191"/>
      <c r="Q38" s="191"/>
      <c r="R38" s="191"/>
      <c r="S38" s="191"/>
      <c r="T38" s="191"/>
      <c r="U38" s="191"/>
      <c r="V38" s="193"/>
      <c r="W38" s="181"/>
      <c r="X38" s="137"/>
      <c r="Z38" s="183"/>
      <c r="AA38" s="183"/>
    </row>
    <row r="39" spans="1:27" s="182" customFormat="1" ht="15" customHeight="1" thickBot="1">
      <c r="A39" s="211"/>
      <c r="B39" s="505"/>
      <c r="C39" s="505"/>
      <c r="D39" s="508"/>
      <c r="E39" s="508"/>
      <c r="F39" s="508"/>
      <c r="G39" s="508"/>
      <c r="H39" s="508"/>
      <c r="I39" s="508"/>
      <c r="J39" s="508"/>
      <c r="K39" s="508"/>
      <c r="L39" s="508"/>
      <c r="M39" s="508"/>
      <c r="N39" s="508"/>
      <c r="O39" s="508"/>
      <c r="P39" s="508"/>
      <c r="Q39" s="508"/>
      <c r="R39" s="508"/>
      <c r="S39" s="508"/>
      <c r="T39" s="508"/>
      <c r="U39" s="508"/>
      <c r="V39" s="508"/>
      <c r="W39" s="508"/>
      <c r="X39" s="509"/>
      <c r="Z39" s="183"/>
      <c r="AA39" s="183"/>
    </row>
    <row r="40" spans="1:27" ht="15" customHeight="1" thickBot="1">
      <c r="A40" s="210"/>
      <c r="B40" s="268" t="str">
        <f>IF(X41="","MONOLÍTICO",X41)</f>
        <v>MONOLÍTICO</v>
      </c>
      <c r="C40" s="269" t="s">
        <v>101</v>
      </c>
      <c r="D40" s="270" t="s">
        <v>102</v>
      </c>
      <c r="E40" s="270" t="s">
        <v>109</v>
      </c>
      <c r="F40" s="270"/>
      <c r="G40" s="270"/>
      <c r="H40" s="270"/>
      <c r="I40" s="270"/>
      <c r="J40" s="270" t="s">
        <v>103</v>
      </c>
      <c r="K40" s="270" t="s">
        <v>37</v>
      </c>
      <c r="L40" s="270" t="s">
        <v>39</v>
      </c>
      <c r="M40" s="270" t="s">
        <v>41</v>
      </c>
      <c r="N40" s="270"/>
      <c r="O40" s="270"/>
      <c r="P40" s="270" t="s">
        <v>17</v>
      </c>
      <c r="Q40" s="270"/>
      <c r="R40" s="292" t="s">
        <v>12976</v>
      </c>
      <c r="S40" s="270" t="s">
        <v>40</v>
      </c>
      <c r="T40" s="270" t="s">
        <v>26</v>
      </c>
      <c r="U40" s="270" t="s">
        <v>38</v>
      </c>
      <c r="V40" s="271" t="s">
        <v>27</v>
      </c>
      <c r="W40" s="272"/>
      <c r="X40" s="273"/>
    </row>
    <row r="41" spans="1:27" ht="15" customHeight="1" thickBot="1">
      <c r="A41" s="210"/>
      <c r="B41" s="207"/>
      <c r="C41" s="129">
        <f>SUMIF(Densidades!A:A,'Memória TOTAL'!X41,Densidades!B:B)</f>
        <v>0</v>
      </c>
      <c r="D41" s="130">
        <f>SUMIF(Densidades!A:A,'Memória TOTAL'!X41,Densidades!C:C)</f>
        <v>0</v>
      </c>
      <c r="E41" s="130">
        <f>SUMIF(Densidades!A:A,'Memória TOTAL'!X41,Densidades!G:G)</f>
        <v>0</v>
      </c>
      <c r="F41" s="130" t="str">
        <f>IF(E41=1,"FIRECLAY CASTABLE",IF(E41=2,"ALUMINA CASTABLE",IF(E41=3,"ALUMINA MASS",IF(E41=4,"SILICA MASS","-"))))</f>
        <v>-</v>
      </c>
      <c r="G41" s="130" t="str">
        <f>IF(E41=5,"BASIC CASTABLE",IF(E41=6,"BASIC MASS",IF(E41=7,"CARBON MASS",IF(E41=8,"CHROMITE CASTABLE","-"))))</f>
        <v>-</v>
      </c>
      <c r="H41" s="130" t="str">
        <f>IF(E41=9,"INSULATING CASTABLE",IF(E41=10,"FIRECLAY MASS",IF(E41=11,"CHROMITE MASS",IF(E41=12,"FIRECLAY PLASTIC.","-"))))</f>
        <v>-</v>
      </c>
      <c r="I41" s="130" t="str">
        <f>IF(E41=13,"ALUMINA PLASTIC",IF(E41=14,"FILLING SAND",IF(E41=15,"FIRECLAY MORTAR",IF(E41=16,"ALUMINA MORTAR",IF(E41=17,"BASIC MORTAR",IF(E41=18,"MORTAR","-"))))))</f>
        <v>-</v>
      </c>
      <c r="J41" s="132">
        <f>SUMIF(Formatos!A:A,'Memória TOTAL'!X42,Formatos!G:G)</f>
        <v>0</v>
      </c>
      <c r="K41" s="133">
        <f>SUMIF(Densidades!A:A,'Memória TOTAL'!X41,Densidades!I:I)</f>
        <v>0</v>
      </c>
      <c r="L41" s="134">
        <v>0</v>
      </c>
      <c r="M41" s="135"/>
      <c r="N41" s="135"/>
      <c r="O41" s="135"/>
      <c r="P41" s="135"/>
      <c r="Q41" s="135"/>
      <c r="R41" s="745" t="str">
        <f>IF(X41="","-",_xlfn.XLOOKUP(X41,Densidades!A:A,Densidades!E:E,"-",0))</f>
        <v>-</v>
      </c>
      <c r="S41" s="135"/>
      <c r="T41" s="135"/>
      <c r="U41" s="135"/>
      <c r="V41" s="141"/>
      <c r="W41" s="136" t="str">
        <f>IF(C41=0,"",ROUNDUP(SUM(V43:V46)*(1+L41)/D41,0)*D41)</f>
        <v/>
      </c>
      <c r="X41" s="259"/>
    </row>
    <row r="42" spans="1:27" ht="15" customHeight="1">
      <c r="A42" s="210"/>
      <c r="B42" s="207"/>
      <c r="C42" s="129"/>
      <c r="D42" s="135"/>
      <c r="E42" s="135"/>
      <c r="F42" s="135"/>
      <c r="G42" s="135"/>
      <c r="H42" s="135"/>
      <c r="I42" s="135"/>
      <c r="J42" s="139"/>
      <c r="K42" s="139"/>
      <c r="L42" s="140"/>
      <c r="M42" s="135"/>
      <c r="N42" s="135"/>
      <c r="O42" s="135"/>
      <c r="P42" s="135"/>
      <c r="Q42" s="135"/>
      <c r="R42" s="135"/>
      <c r="S42" s="135"/>
      <c r="T42" s="135"/>
      <c r="U42" s="135"/>
      <c r="V42" s="141"/>
      <c r="W42" s="142"/>
      <c r="X42" s="143" t="str">
        <f>IF(AND(I41="-",H41="-",G41="-"),F41,IF(AND(I41="-",H41="-",F41="-"),G41,IF(AND(I41="-",G41="-",F41="-"),H41,I41)))</f>
        <v>-</v>
      </c>
    </row>
    <row r="43" spans="1:27" ht="15" customHeight="1" thickBot="1">
      <c r="A43" s="210"/>
      <c r="B43" s="208" t="s">
        <v>71</v>
      </c>
      <c r="C43" s="129"/>
      <c r="D43" s="135"/>
      <c r="E43" s="135"/>
      <c r="F43" s="135"/>
      <c r="G43" s="135"/>
      <c r="H43" s="135"/>
      <c r="I43" s="135"/>
      <c r="J43" s="139"/>
      <c r="K43" s="139"/>
      <c r="L43" s="140"/>
      <c r="M43" s="135"/>
      <c r="N43" s="135"/>
      <c r="O43" s="135"/>
      <c r="P43" s="135"/>
      <c r="Q43" s="135"/>
      <c r="R43" s="135"/>
      <c r="S43" s="135"/>
      <c r="T43" s="135"/>
      <c r="U43" s="135"/>
      <c r="V43" s="141"/>
      <c r="W43" s="142"/>
      <c r="X43" s="143" t="s">
        <v>2</v>
      </c>
    </row>
    <row r="44" spans="1:27" ht="15" customHeight="1" thickBot="1">
      <c r="A44" s="210"/>
      <c r="B44" s="327"/>
      <c r="C44" s="194">
        <f>C41</f>
        <v>0</v>
      </c>
      <c r="D44" s="156"/>
      <c r="E44" s="156"/>
      <c r="F44" s="156"/>
      <c r="G44" s="156"/>
      <c r="H44" s="156"/>
      <c r="I44" s="156"/>
      <c r="J44" s="157"/>
      <c r="K44" s="157"/>
      <c r="L44" s="195">
        <v>0</v>
      </c>
      <c r="M44" s="253"/>
      <c r="N44" s="156"/>
      <c r="O44" s="156"/>
      <c r="P44" s="156"/>
      <c r="Q44" s="156"/>
      <c r="R44" s="156"/>
      <c r="S44" s="156"/>
      <c r="T44" s="174">
        <f>M44/10^6</f>
        <v>0</v>
      </c>
      <c r="U44" s="253"/>
      <c r="V44" s="175">
        <f>ROUNDUP(T44*C44*(1+L44),0)*U44</f>
        <v>0</v>
      </c>
      <c r="W44" s="176"/>
      <c r="X44" s="177"/>
    </row>
    <row r="45" spans="1:27" s="182" customFormat="1" ht="15" customHeight="1" thickBot="1">
      <c r="A45" s="211"/>
      <c r="B45" s="328"/>
      <c r="C45" s="194">
        <f>C44</f>
        <v>0</v>
      </c>
      <c r="D45" s="197"/>
      <c r="E45" s="197"/>
      <c r="F45" s="197"/>
      <c r="G45" s="197"/>
      <c r="H45" s="197"/>
      <c r="I45" s="197"/>
      <c r="J45" s="230"/>
      <c r="K45" s="230"/>
      <c r="L45" s="233">
        <v>0</v>
      </c>
      <c r="M45" s="197"/>
      <c r="N45" s="197"/>
      <c r="O45" s="197"/>
      <c r="P45" s="253"/>
      <c r="Q45" s="156"/>
      <c r="R45" s="156"/>
      <c r="S45" s="253"/>
      <c r="T45" s="223">
        <f>S45*P45/10^6</f>
        <v>0</v>
      </c>
      <c r="U45" s="253"/>
      <c r="V45" s="224">
        <f>ROUNDUP(T45*C45*(1+L45),0)*U45</f>
        <v>0</v>
      </c>
      <c r="W45" s="225"/>
      <c r="X45" s="226"/>
      <c r="Z45" s="183"/>
      <c r="AA45" s="183"/>
    </row>
    <row r="46" spans="1:27" ht="15" customHeight="1">
      <c r="A46" s="211"/>
      <c r="B46" s="207"/>
      <c r="C46" s="138"/>
      <c r="D46" s="135"/>
      <c r="E46" s="135"/>
      <c r="F46" s="135"/>
      <c r="G46" s="135"/>
      <c r="H46" s="135"/>
      <c r="I46" s="135"/>
      <c r="J46" s="139"/>
      <c r="K46" s="139"/>
      <c r="L46" s="140"/>
      <c r="M46" s="135"/>
      <c r="N46" s="191"/>
      <c r="O46" s="191"/>
      <c r="P46" s="191"/>
      <c r="Q46" s="191"/>
      <c r="R46" s="135"/>
      <c r="S46" s="135"/>
      <c r="T46" s="135"/>
      <c r="U46" s="135"/>
      <c r="V46" s="141"/>
      <c r="W46" s="142"/>
      <c r="X46" s="143"/>
    </row>
    <row r="47" spans="1:27" ht="15" customHeight="1" thickBot="1">
      <c r="A47" s="211"/>
      <c r="B47" s="127"/>
      <c r="C47" s="165"/>
      <c r="D47" s="166"/>
      <c r="E47" s="166"/>
      <c r="F47" s="166"/>
      <c r="G47" s="166"/>
      <c r="H47" s="166"/>
      <c r="I47" s="166"/>
      <c r="J47" s="167"/>
      <c r="K47" s="167"/>
      <c r="L47" s="168"/>
      <c r="M47" s="166"/>
      <c r="N47" s="237"/>
      <c r="O47" s="237"/>
      <c r="P47" s="237"/>
      <c r="Q47" s="237"/>
      <c r="R47" s="166"/>
      <c r="S47" s="166"/>
      <c r="T47" s="166"/>
      <c r="U47" s="166"/>
      <c r="V47" s="169"/>
      <c r="W47" s="170"/>
      <c r="X47" s="171"/>
    </row>
    <row r="48" spans="1:27" ht="15" customHeight="1" thickBot="1">
      <c r="A48" s="210"/>
      <c r="B48" s="746" t="str">
        <f>IF(X49="","MONOLÍTICO+ADITIVO",X49)</f>
        <v>MONOLÍTICO+ADITIVO</v>
      </c>
      <c r="C48" s="747" t="s">
        <v>101</v>
      </c>
      <c r="D48" s="748" t="s">
        <v>102</v>
      </c>
      <c r="E48" s="748" t="s">
        <v>109</v>
      </c>
      <c r="F48" s="748"/>
      <c r="G48" s="748"/>
      <c r="H48" s="748"/>
      <c r="I48" s="748"/>
      <c r="J48" s="748" t="s">
        <v>103</v>
      </c>
      <c r="K48" s="748" t="s">
        <v>37</v>
      </c>
      <c r="L48" s="748" t="s">
        <v>39</v>
      </c>
      <c r="M48" s="748" t="s">
        <v>41</v>
      </c>
      <c r="N48" s="748"/>
      <c r="O48" s="748"/>
      <c r="P48" s="748" t="s">
        <v>17</v>
      </c>
      <c r="Q48" s="748"/>
      <c r="R48" s="748" t="s">
        <v>12976</v>
      </c>
      <c r="S48" s="748" t="s">
        <v>40</v>
      </c>
      <c r="T48" s="748" t="s">
        <v>26</v>
      </c>
      <c r="U48" s="748" t="s">
        <v>38</v>
      </c>
      <c r="V48" s="750" t="s">
        <v>27</v>
      </c>
      <c r="W48" s="751"/>
      <c r="X48" s="752"/>
    </row>
    <row r="49" spans="1:27" ht="15" customHeight="1" thickBot="1">
      <c r="A49" s="210"/>
      <c r="B49" s="207"/>
      <c r="C49" s="129">
        <f>SUMIF(Densidades!A:A,'Memória TOTAL'!X49,Densidades!B:B)</f>
        <v>0</v>
      </c>
      <c r="D49" s="130">
        <f>SUMIF(Densidades!A:A,'Memória TOTAL'!X49,Densidades!C:C)</f>
        <v>0</v>
      </c>
      <c r="E49" s="130">
        <f>SUMIF(Densidades!A:A,'Memória TOTAL'!X49,Densidades!G:G)</f>
        <v>0</v>
      </c>
      <c r="F49" s="130" t="str">
        <f>IF(E49=1,"FIRECLAY CASTABLE",IF(E49=2,"ALUMINA CASTABLE",IF(E49=3,"ALUMINA MASS",IF(E49=4,"SILICA MASS","-"))))</f>
        <v>-</v>
      </c>
      <c r="G49" s="130" t="str">
        <f>IF(E49=5,"BASIC CASTABLE",IF(E49=6,"BASIC MASS",IF(E49=7,"CARBON MASS",IF(E49=8,"CHROMITE CASTABLE","-"))))</f>
        <v>-</v>
      </c>
      <c r="H49" s="130" t="str">
        <f>IF(E49=9,"INSULATING CASTABLE",IF(E49=10,"FIRECLAY MASS",IF(E49=11,"CHROMITE MASS",IF(E49=12,"FIRECLAY PLASTIC.","-"))))</f>
        <v>-</v>
      </c>
      <c r="I49" s="130" t="str">
        <f>IF(E49=13,"ALUMINA PLASTIC",IF(E49=14,"FILLING SAND",IF(E49=15,"FIRECLAY MORTAR",IF(E49=16,"ALUMINA MORTAR",IF(E49=17,"BASIC MORTAR",IF(E49=18,"MORTAR","-"))))))</f>
        <v>-</v>
      </c>
      <c r="J49" s="132">
        <f>SUMIF(Formatos!A:A,'Memória TOTAL'!X50,Formatos!G:G)</f>
        <v>0</v>
      </c>
      <c r="K49" s="133">
        <f>SUMIF(Densidades!A:A,'Memória TOTAL'!X49,Densidades!I:I)</f>
        <v>0</v>
      </c>
      <c r="L49" s="134">
        <v>0</v>
      </c>
      <c r="M49" s="135"/>
      <c r="N49" s="135"/>
      <c r="O49" s="135"/>
      <c r="P49" s="135"/>
      <c r="Q49" s="135"/>
      <c r="R49" s="745" t="str">
        <f>IF(X49="","-",_xlfn.XLOOKUP(X49,Densidades!A:A,Densidades!E:E,"-",0))</f>
        <v>-</v>
      </c>
      <c r="S49" s="135"/>
      <c r="T49" s="135"/>
      <c r="U49" s="135"/>
      <c r="V49" s="141"/>
      <c r="W49" s="136" t="str">
        <f>IF(C49=0,"",ROUNDUP(SUM(V51:V54)*(1+L49)/D49,0)*D49)</f>
        <v/>
      </c>
      <c r="X49" s="259"/>
    </row>
    <row r="50" spans="1:27" ht="15" customHeight="1">
      <c r="A50" s="210"/>
      <c r="B50" s="207"/>
      <c r="C50" s="129"/>
      <c r="D50" s="135"/>
      <c r="E50" s="135"/>
      <c r="F50" s="135"/>
      <c r="G50" s="135"/>
      <c r="H50" s="135"/>
      <c r="I50" s="135"/>
      <c r="J50" s="139"/>
      <c r="K50" s="139"/>
      <c r="L50" s="140"/>
      <c r="M50" s="135"/>
      <c r="N50" s="135"/>
      <c r="O50" s="135"/>
      <c r="P50" s="135"/>
      <c r="Q50" s="135"/>
      <c r="R50" s="135"/>
      <c r="S50" s="135"/>
      <c r="T50" s="135"/>
      <c r="U50" s="135"/>
      <c r="V50" s="141"/>
      <c r="W50" s="142"/>
      <c r="X50" s="143" t="str">
        <f>IF(AND(I49="-",H49="-",G49="-"),F49,IF(AND(I49="-",H49="-",F49="-"),G49,IF(AND(I49="-",G49="-",F49="-"),H49,I49)))</f>
        <v>-</v>
      </c>
    </row>
    <row r="51" spans="1:27" ht="15" customHeight="1" thickBot="1">
      <c r="A51" s="210"/>
      <c r="B51" s="208" t="s">
        <v>71</v>
      </c>
      <c r="C51" s="129"/>
      <c r="D51" s="135"/>
      <c r="E51" s="135"/>
      <c r="F51" s="135"/>
      <c r="G51" s="135"/>
      <c r="H51" s="135"/>
      <c r="I51" s="135"/>
      <c r="J51" s="139"/>
      <c r="K51" s="139"/>
      <c r="L51" s="140"/>
      <c r="M51" s="135"/>
      <c r="N51" s="135"/>
      <c r="O51" s="135"/>
      <c r="P51" s="135"/>
      <c r="Q51" s="135"/>
      <c r="R51" s="135"/>
      <c r="S51" s="135"/>
      <c r="T51" s="135"/>
      <c r="U51" s="135"/>
      <c r="V51" s="141"/>
      <c r="W51" s="142"/>
      <c r="X51" s="143" t="s">
        <v>2</v>
      </c>
    </row>
    <row r="52" spans="1:27" ht="15" customHeight="1" thickBot="1">
      <c r="A52" s="210"/>
      <c r="B52" s="327"/>
      <c r="C52" s="194">
        <f>C49</f>
        <v>0</v>
      </c>
      <c r="D52" s="156"/>
      <c r="E52" s="156"/>
      <c r="F52" s="156"/>
      <c r="G52" s="156"/>
      <c r="H52" s="156"/>
      <c r="I52" s="156"/>
      <c r="J52" s="157"/>
      <c r="K52" s="157"/>
      <c r="L52" s="195">
        <v>0</v>
      </c>
      <c r="M52" s="253"/>
      <c r="N52" s="156"/>
      <c r="O52" s="156"/>
      <c r="P52" s="156"/>
      <c r="Q52" s="156"/>
      <c r="R52" s="156"/>
      <c r="S52" s="156"/>
      <c r="T52" s="174">
        <f>M52/10^6</f>
        <v>0</v>
      </c>
      <c r="U52" s="253"/>
      <c r="V52" s="175">
        <f>ROUNDUP(T52*C52*(1+L52),0)*U52</f>
        <v>0</v>
      </c>
      <c r="W52" s="176"/>
      <c r="X52" s="177"/>
    </row>
    <row r="53" spans="1:27" s="182" customFormat="1" ht="15" customHeight="1" thickBot="1">
      <c r="A53" s="211"/>
      <c r="B53" s="328"/>
      <c r="C53" s="194">
        <f>C52</f>
        <v>0</v>
      </c>
      <c r="D53" s="197"/>
      <c r="E53" s="197"/>
      <c r="F53" s="197"/>
      <c r="G53" s="197"/>
      <c r="H53" s="197"/>
      <c r="I53" s="197"/>
      <c r="J53" s="230"/>
      <c r="K53" s="230"/>
      <c r="L53" s="233">
        <v>0</v>
      </c>
      <c r="M53" s="197"/>
      <c r="N53" s="197"/>
      <c r="O53" s="197"/>
      <c r="P53" s="253"/>
      <c r="Q53" s="156"/>
      <c r="R53" s="156"/>
      <c r="S53" s="253"/>
      <c r="T53" s="223">
        <f>S53*P53/10^6</f>
        <v>0</v>
      </c>
      <c r="U53" s="253"/>
      <c r="V53" s="224">
        <f>ROUNDUP(T53*C53*(1+L53),0)*U53</f>
        <v>0</v>
      </c>
      <c r="W53" s="225"/>
      <c r="X53" s="226"/>
      <c r="Z53" s="183"/>
      <c r="AA53" s="183"/>
    </row>
    <row r="54" spans="1:27" ht="15" customHeight="1">
      <c r="A54" s="211"/>
      <c r="B54" s="207"/>
      <c r="C54" s="138"/>
      <c r="D54" s="135"/>
      <c r="E54" s="135"/>
      <c r="F54" s="135"/>
      <c r="G54" s="135"/>
      <c r="H54" s="135"/>
      <c r="I54" s="135"/>
      <c r="J54" s="139"/>
      <c r="K54" s="139"/>
      <c r="L54" s="140"/>
      <c r="M54" s="135"/>
      <c r="N54" s="191"/>
      <c r="O54" s="191"/>
      <c r="P54" s="191"/>
      <c r="Q54" s="191"/>
      <c r="R54" s="135"/>
      <c r="S54" s="135"/>
      <c r="T54" s="135"/>
      <c r="U54" s="135"/>
      <c r="V54" s="141"/>
      <c r="W54" s="142"/>
      <c r="X54" s="143"/>
    </row>
    <row r="55" spans="1:27" ht="15" customHeight="1">
      <c r="A55" s="211"/>
      <c r="B55" s="207"/>
      <c r="C55" s="138"/>
      <c r="D55" s="135"/>
      <c r="E55" s="135"/>
      <c r="F55" s="135"/>
      <c r="G55" s="135"/>
      <c r="H55" s="135"/>
      <c r="I55" s="135"/>
      <c r="J55" s="139"/>
      <c r="K55" s="139"/>
      <c r="L55" s="140"/>
      <c r="M55" s="135"/>
      <c r="N55" s="191"/>
      <c r="O55" s="191"/>
      <c r="P55" s="191"/>
      <c r="Q55" s="191"/>
      <c r="R55" s="135"/>
      <c r="S55" s="135"/>
      <c r="T55" s="135"/>
      <c r="U55" s="135"/>
      <c r="V55" s="141"/>
      <c r="W55" s="142"/>
      <c r="X55" s="143"/>
    </row>
    <row r="56" spans="1:27" ht="15" customHeight="1">
      <c r="A56" s="211"/>
      <c r="B56" s="207"/>
      <c r="C56" s="138"/>
      <c r="D56" s="135"/>
      <c r="E56" s="135"/>
      <c r="F56" s="135"/>
      <c r="G56" s="135"/>
      <c r="H56" s="135"/>
      <c r="I56" s="135"/>
      <c r="J56" s="139"/>
      <c r="K56" s="139"/>
      <c r="L56" s="140"/>
      <c r="M56" s="135"/>
      <c r="N56" s="191"/>
      <c r="O56" s="191"/>
      <c r="P56" s="191"/>
      <c r="Q56" s="191"/>
      <c r="R56" s="135"/>
      <c r="S56" s="135"/>
      <c r="T56" s="135"/>
      <c r="U56" s="135"/>
      <c r="V56" s="141"/>
      <c r="W56" s="142"/>
      <c r="X56" s="143"/>
    </row>
    <row r="57" spans="1:27" ht="15" customHeight="1">
      <c r="A57" s="211"/>
      <c r="B57" s="206"/>
      <c r="C57" s="138"/>
      <c r="D57" s="135"/>
      <c r="E57" s="135"/>
      <c r="F57" s="135"/>
      <c r="G57" s="135"/>
      <c r="H57" s="135"/>
      <c r="I57" s="135"/>
      <c r="J57" s="139"/>
      <c r="K57" s="139"/>
      <c r="L57" s="140"/>
      <c r="M57" s="135"/>
      <c r="N57" s="191"/>
      <c r="O57" s="191"/>
      <c r="P57" s="191"/>
      <c r="Q57" s="191"/>
      <c r="R57" s="135"/>
      <c r="S57" s="135"/>
      <c r="T57" s="135"/>
      <c r="U57" s="135"/>
      <c r="V57" s="141"/>
      <c r="W57" s="142"/>
      <c r="X57" s="143"/>
    </row>
    <row r="58" spans="1:27" ht="15" customHeight="1">
      <c r="A58" s="211"/>
      <c r="B58" s="207"/>
      <c r="C58" s="138"/>
      <c r="D58" s="135"/>
      <c r="E58" s="135"/>
      <c r="F58" s="135"/>
      <c r="G58" s="135"/>
      <c r="H58" s="135"/>
      <c r="I58" s="135"/>
      <c r="J58" s="139"/>
      <c r="K58" s="139"/>
      <c r="L58" s="140"/>
      <c r="M58" s="135"/>
      <c r="N58" s="191"/>
      <c r="O58" s="191"/>
      <c r="P58" s="191"/>
      <c r="Q58" s="191"/>
      <c r="R58" s="135"/>
      <c r="S58" s="135"/>
      <c r="T58" s="135"/>
      <c r="U58" s="135"/>
      <c r="V58" s="141"/>
      <c r="W58" s="142"/>
      <c r="X58" s="143"/>
    </row>
    <row r="59" spans="1:27" ht="15" customHeight="1" thickBot="1">
      <c r="A59" s="211"/>
      <c r="B59" s="207"/>
      <c r="C59" s="138"/>
      <c r="D59" s="135"/>
      <c r="E59" s="135"/>
      <c r="F59" s="135"/>
      <c r="G59" s="135"/>
      <c r="H59" s="135"/>
      <c r="I59" s="135"/>
      <c r="J59" s="139"/>
      <c r="K59" s="139"/>
      <c r="L59" s="140"/>
      <c r="M59" s="135"/>
      <c r="N59" s="191"/>
      <c r="O59" s="191"/>
      <c r="P59" s="191"/>
      <c r="Q59" s="191"/>
      <c r="R59" s="135"/>
      <c r="S59" s="135"/>
      <c r="T59" s="135"/>
      <c r="U59" s="135"/>
      <c r="V59" s="141"/>
      <c r="W59" s="142"/>
      <c r="X59" s="143"/>
    </row>
    <row r="60" spans="1:27" s="182" customFormat="1" ht="15" customHeight="1" thickBot="1">
      <c r="A60" s="274"/>
      <c r="B60" s="209" t="str">
        <f>X60</f>
        <v>DIVASIL</v>
      </c>
      <c r="C60" s="129">
        <f>SUMIF(Densidades!A:A,'Memória TOTAL'!X60,Densidades!B:B)</f>
        <v>1.3</v>
      </c>
      <c r="D60" s="130">
        <f>SUMIF(Densidades!A:A,'Memória TOTAL'!X60,Densidades!C:C)</f>
        <v>20</v>
      </c>
      <c r="E60" s="130"/>
      <c r="F60" s="130" t="str">
        <f>IF(E60=1,"FIRECLAY CASTABLE",IF(E60=2,"ALUMINA CASTABLE",IF(E60=3,"ALUMINA MASS",IF(E60=4,"SILICA MASS","-"))))</f>
        <v>-</v>
      </c>
      <c r="G60" s="130" t="str">
        <f>IF(E60=5,"BASIC CASTABLE",IF(E60=6,"BASIC MASS",IF(E60=7,"CARBON MASS",IF(E60=8,"CHROMITE CASTABLE","-"))))</f>
        <v>-</v>
      </c>
      <c r="H60" s="130" t="str">
        <f>IF(E60=9,"INSULATING CASTABLE",IF(E60=10,"FIRECLAY MASS",IF(E60=11,"CHROMITE MASS",IF(E60=12,"FIRECLAY PLASTIC.","-"))))</f>
        <v>-</v>
      </c>
      <c r="I60" s="130" t="str">
        <f>IF(E60=13,"ALUMINA PLASTIC",IF(E60=14,"FILLING SAND",IF(E60=15,"FIRECLAY MORTAR",IF(E60=16,"ALUMINA MORTAR",IF(E60=17,"BASIC MORTAR",IF(E60=18,"MORTAR","-"))))))</f>
        <v>-</v>
      </c>
      <c r="J60" s="132">
        <f>SUMIF(Formatos!A:A,'Memória TOTAL'!X61,Formatos!G:G)</f>
        <v>0</v>
      </c>
      <c r="K60" s="218">
        <f>SUMIF(Densidades!A:A,'Memória TOTAL'!X60,Densidades!I:I)</f>
        <v>8</v>
      </c>
      <c r="L60" s="219">
        <v>0</v>
      </c>
      <c r="M60" s="191"/>
      <c r="N60" s="191"/>
      <c r="O60" s="191"/>
      <c r="P60" s="191"/>
      <c r="Q60" s="191"/>
      <c r="R60" s="179" t="s">
        <v>1098</v>
      </c>
      <c r="S60" s="135"/>
      <c r="T60" s="179" t="s">
        <v>26</v>
      </c>
      <c r="U60" s="135"/>
      <c r="V60" s="180" t="s">
        <v>27</v>
      </c>
      <c r="W60" s="136" t="str">
        <f>IFERROR(IF(C60=0,"",ROUNDUP(SUM(V60:V61)*(1+L60),0)),"")</f>
        <v/>
      </c>
      <c r="X60" s="259" t="s">
        <v>1094</v>
      </c>
      <c r="Z60" s="183"/>
      <c r="AA60" s="183"/>
    </row>
    <row r="61" spans="1:27" s="182" customFormat="1" ht="15" customHeight="1" thickBot="1">
      <c r="A61" s="210"/>
      <c r="B61" s="190"/>
      <c r="C61" s="196"/>
      <c r="D61" s="191"/>
      <c r="E61" s="191"/>
      <c r="F61" s="191"/>
      <c r="G61" s="191"/>
      <c r="H61" s="191"/>
      <c r="I61" s="191"/>
      <c r="J61" s="192"/>
      <c r="K61" s="192"/>
      <c r="L61" s="140"/>
      <c r="M61" s="191"/>
      <c r="N61" s="191"/>
      <c r="O61" s="191"/>
      <c r="P61" s="191"/>
      <c r="Q61" s="191"/>
      <c r="R61" s="253"/>
      <c r="S61" s="135"/>
      <c r="T61" s="135" t="e">
        <f>W49/100*R61</f>
        <v>#VALUE!</v>
      </c>
      <c r="U61" s="135"/>
      <c r="V61" s="224" t="e">
        <f>ROUNDUP(T61*C60/D60,0)*D60</f>
        <v>#VALUE!</v>
      </c>
      <c r="W61" s="181"/>
      <c r="X61" s="143" t="str">
        <f>IF(AND(I60="-",H60="-",G60="-"),F60,IF(AND(I60="-",H60="-",F60="-"),G60,IF(AND(I60="-",G60="-",F60="-"),H60,I60)))</f>
        <v>-</v>
      </c>
      <c r="Z61" s="183"/>
      <c r="AA61" s="183"/>
    </row>
    <row r="62" spans="1:27" s="182" customFormat="1" ht="15" customHeight="1">
      <c r="A62" s="210"/>
      <c r="B62" s="853" t="s">
        <v>1869</v>
      </c>
      <c r="C62" s="196"/>
      <c r="D62" s="191"/>
      <c r="E62" s="191"/>
      <c r="F62" s="191"/>
      <c r="G62" s="191"/>
      <c r="H62" s="191"/>
      <c r="I62" s="191"/>
      <c r="J62" s="192"/>
      <c r="K62" s="192"/>
      <c r="L62" s="140"/>
      <c r="M62" s="191"/>
      <c r="N62" s="191"/>
      <c r="O62" s="191"/>
      <c r="P62" s="191"/>
      <c r="Q62" s="191"/>
      <c r="R62" s="191"/>
      <c r="S62" s="191"/>
      <c r="T62" s="191"/>
      <c r="U62" s="135"/>
      <c r="V62" s="193"/>
      <c r="W62" s="181"/>
      <c r="X62" s="137" t="s">
        <v>2</v>
      </c>
      <c r="Z62" s="183"/>
      <c r="AA62" s="183"/>
    </row>
    <row r="63" spans="1:27" s="182" customFormat="1" ht="15" customHeight="1">
      <c r="A63" s="210"/>
      <c r="B63" s="854"/>
      <c r="C63" s="196"/>
      <c r="D63" s="191"/>
      <c r="E63" s="191"/>
      <c r="F63" s="191"/>
      <c r="G63" s="191"/>
      <c r="H63" s="191"/>
      <c r="I63" s="191"/>
      <c r="J63" s="192"/>
      <c r="K63" s="192"/>
      <c r="L63" s="140"/>
      <c r="M63" s="191"/>
      <c r="N63" s="191"/>
      <c r="O63" s="191"/>
      <c r="P63" s="191"/>
      <c r="Q63" s="191"/>
      <c r="R63" s="191"/>
      <c r="S63" s="191"/>
      <c r="T63" s="191"/>
      <c r="U63" s="191"/>
      <c r="V63" s="193"/>
      <c r="W63" s="181"/>
      <c r="X63" s="137"/>
      <c r="Z63" s="183"/>
      <c r="AA63" s="183"/>
    </row>
    <row r="64" spans="1:27" ht="15" customHeight="1">
      <c r="A64" s="211"/>
      <c r="B64" s="207"/>
      <c r="C64" s="138"/>
      <c r="D64" s="135"/>
      <c r="E64" s="135"/>
      <c r="F64" s="135"/>
      <c r="G64" s="135"/>
      <c r="H64" s="135"/>
      <c r="I64" s="135"/>
      <c r="J64" s="139"/>
      <c r="K64" s="139"/>
      <c r="L64" s="140"/>
      <c r="M64" s="135"/>
      <c r="N64" s="191"/>
      <c r="O64" s="191"/>
      <c r="P64" s="191"/>
      <c r="Q64" s="191"/>
      <c r="R64" s="135"/>
      <c r="S64" s="135"/>
      <c r="T64" s="135"/>
      <c r="U64" s="135"/>
      <c r="V64" s="141"/>
      <c r="W64" s="142"/>
      <c r="X64" s="143"/>
    </row>
    <row r="65" spans="1:27" ht="15" customHeight="1" thickBot="1">
      <c r="A65" s="211"/>
      <c r="B65" s="505"/>
      <c r="C65" s="505"/>
      <c r="D65" s="508"/>
      <c r="E65" s="508"/>
      <c r="F65" s="508"/>
      <c r="G65" s="508"/>
      <c r="H65" s="508"/>
      <c r="I65" s="508"/>
      <c r="J65" s="508"/>
      <c r="K65" s="508"/>
      <c r="L65" s="508"/>
      <c r="M65" s="508"/>
      <c r="N65" s="508"/>
      <c r="O65" s="508"/>
      <c r="P65" s="508"/>
      <c r="Q65" s="508"/>
      <c r="R65" s="508"/>
      <c r="S65" s="508"/>
      <c r="T65" s="508"/>
      <c r="U65" s="508"/>
      <c r="V65" s="508"/>
      <c r="W65" s="508"/>
      <c r="X65" s="509"/>
    </row>
    <row r="66" spans="1:27" s="182" customFormat="1" ht="15" customHeight="1" thickBot="1">
      <c r="A66" s="274"/>
      <c r="B66" s="268" t="str">
        <f>IF(X67="","ÂNCORA METÁLICA",X67)</f>
        <v>ÂNCORA METÁLICA</v>
      </c>
      <c r="C66" s="215" t="s">
        <v>101</v>
      </c>
      <c r="D66" s="179" t="s">
        <v>102</v>
      </c>
      <c r="E66" s="179"/>
      <c r="F66" s="179"/>
      <c r="G66" s="179"/>
      <c r="H66" s="179"/>
      <c r="I66" s="179"/>
      <c r="J66" s="179" t="s">
        <v>103</v>
      </c>
      <c r="K66" s="179" t="s">
        <v>37</v>
      </c>
      <c r="L66" s="179" t="s">
        <v>39</v>
      </c>
      <c r="M66" s="179"/>
      <c r="N66" s="179" t="s">
        <v>106</v>
      </c>
      <c r="O66" s="179" t="s">
        <v>68</v>
      </c>
      <c r="P66" s="179" t="s">
        <v>69</v>
      </c>
      <c r="Q66" s="179" t="s">
        <v>107</v>
      </c>
      <c r="R66" s="179" t="s">
        <v>53</v>
      </c>
      <c r="S66" s="179" t="s">
        <v>40</v>
      </c>
      <c r="T66" s="179" t="s">
        <v>26</v>
      </c>
      <c r="U66" s="179" t="s">
        <v>38</v>
      </c>
      <c r="V66" s="180" t="s">
        <v>27</v>
      </c>
      <c r="W66" s="216"/>
      <c r="X66" s="217"/>
      <c r="Z66" s="183"/>
      <c r="AA66" s="183"/>
    </row>
    <row r="67" spans="1:27" s="182" customFormat="1" ht="15" customHeight="1" thickBot="1">
      <c r="A67" s="210"/>
      <c r="B67" s="190"/>
      <c r="C67" s="129">
        <f>SUMIF(Densidades!A:A,'Memória TOTAL'!X67,Densidades!B:B)</f>
        <v>0</v>
      </c>
      <c r="D67" s="130">
        <f>SUMIF(Densidades!A:A,'Memória TOTAL'!X67,Densidades!C:C)</f>
        <v>0</v>
      </c>
      <c r="E67" s="130"/>
      <c r="F67" s="130"/>
      <c r="G67" s="130"/>
      <c r="H67" s="130"/>
      <c r="I67" s="130"/>
      <c r="J67" s="132">
        <f>SUMIF(Formatos!A:A,'Memória TOTAL'!X68,Formatos!G:G)</f>
        <v>0</v>
      </c>
      <c r="K67" s="218">
        <f>SUMIF(Densidades!A:A,'Memória TOTAL'!X67,Densidades!I:I)</f>
        <v>0</v>
      </c>
      <c r="L67" s="219">
        <v>0</v>
      </c>
      <c r="M67" s="191"/>
      <c r="N67" s="191"/>
      <c r="O67" s="191"/>
      <c r="P67" s="191"/>
      <c r="Q67" s="191"/>
      <c r="R67" s="191"/>
      <c r="S67" s="191"/>
      <c r="T67" s="191"/>
      <c r="U67" s="191"/>
      <c r="V67" s="193"/>
      <c r="W67" s="189" t="str">
        <f>IF(C67=0,"",ROUNDUP(SUM(V69:V73)*(1+L67),0))</f>
        <v/>
      </c>
      <c r="X67" s="259"/>
      <c r="Z67" s="183"/>
      <c r="AA67" s="183"/>
    </row>
    <row r="68" spans="1:27" s="182" customFormat="1" ht="15" customHeight="1" thickBot="1">
      <c r="A68" s="210"/>
      <c r="B68" s="190"/>
      <c r="C68" s="196"/>
      <c r="D68" s="191"/>
      <c r="E68" s="191"/>
      <c r="F68" s="191"/>
      <c r="G68" s="191"/>
      <c r="H68" s="191"/>
      <c r="I68" s="191"/>
      <c r="J68" s="192"/>
      <c r="K68" s="192"/>
      <c r="L68" s="140"/>
      <c r="M68" s="191"/>
      <c r="N68" s="191"/>
      <c r="O68" s="191"/>
      <c r="P68" s="191"/>
      <c r="Q68" s="191"/>
      <c r="R68" s="191"/>
      <c r="S68" s="191"/>
      <c r="T68" s="191"/>
      <c r="U68" s="191"/>
      <c r="V68" s="193"/>
      <c r="W68" s="181"/>
      <c r="X68" s="259"/>
      <c r="Z68" s="183"/>
      <c r="AA68" s="183"/>
    </row>
    <row r="69" spans="1:27" s="182" customFormat="1" ht="15" customHeight="1" thickBot="1">
      <c r="A69" s="210"/>
      <c r="B69" s="164"/>
      <c r="C69" s="196"/>
      <c r="D69" s="191"/>
      <c r="E69" s="191"/>
      <c r="F69" s="191"/>
      <c r="G69" s="191"/>
      <c r="H69" s="191"/>
      <c r="I69" s="191"/>
      <c r="J69" s="192"/>
      <c r="K69" s="192"/>
      <c r="L69" s="140"/>
      <c r="M69" s="191"/>
      <c r="N69" s="191"/>
      <c r="O69" s="191"/>
      <c r="P69" s="191"/>
      <c r="Q69" s="191"/>
      <c r="R69" s="191"/>
      <c r="S69" s="191"/>
      <c r="T69" s="191"/>
      <c r="U69" s="191"/>
      <c r="V69" s="193"/>
      <c r="W69" s="181"/>
      <c r="X69" s="137" t="s">
        <v>520</v>
      </c>
      <c r="Z69" s="183"/>
      <c r="AA69" s="183"/>
    </row>
    <row r="70" spans="1:27" s="182" customFormat="1" ht="15" customHeight="1" thickBot="1">
      <c r="A70" s="210"/>
      <c r="B70" s="327"/>
      <c r="C70" s="220"/>
      <c r="D70" s="197"/>
      <c r="E70" s="197"/>
      <c r="F70" s="197"/>
      <c r="G70" s="197"/>
      <c r="H70" s="197"/>
      <c r="I70" s="197"/>
      <c r="J70" s="230"/>
      <c r="K70" s="230"/>
      <c r="L70" s="158"/>
      <c r="M70" s="197"/>
      <c r="N70" s="159"/>
      <c r="O70" s="159"/>
      <c r="P70" s="253"/>
      <c r="Q70" s="159"/>
      <c r="R70" s="197"/>
      <c r="S70" s="253"/>
      <c r="T70" s="223" t="str">
        <f>IF(P70="","-",ROUNDUP(S70/P70/P70,0))</f>
        <v>-</v>
      </c>
      <c r="U70" s="253"/>
      <c r="V70" s="224" t="str">
        <f>IF(T70="-","-",ROUNDUP(T70*U70,0))</f>
        <v>-</v>
      </c>
      <c r="W70" s="225"/>
      <c r="X70" s="226"/>
      <c r="Z70" s="183"/>
      <c r="AA70" s="183"/>
    </row>
    <row r="71" spans="1:27" s="182" customFormat="1" ht="15" customHeight="1" thickBot="1">
      <c r="A71" s="211"/>
      <c r="B71" s="327"/>
      <c r="C71" s="220"/>
      <c r="D71" s="197"/>
      <c r="E71" s="197"/>
      <c r="F71" s="197"/>
      <c r="G71" s="197"/>
      <c r="H71" s="197"/>
      <c r="I71" s="197"/>
      <c r="J71" s="230"/>
      <c r="K71" s="230"/>
      <c r="L71" s="158"/>
      <c r="M71" s="197" t="str">
        <f>IF(Q71="","",ROUND(Q71/P71,0))</f>
        <v/>
      </c>
      <c r="N71" s="253"/>
      <c r="O71" s="253"/>
      <c r="P71" s="156"/>
      <c r="Q71" s="156"/>
      <c r="R71" s="253">
        <v>360</v>
      </c>
      <c r="S71" s="197"/>
      <c r="T71" s="223" t="e">
        <f>ROUNDUP(N71*PI()/O71/360*R71,)</f>
        <v>#DIV/0!</v>
      </c>
      <c r="U71" s="253"/>
      <c r="V71" s="224" t="str">
        <f>IFERROR(IF(T71="-","-",ROUNDUP(T71*U71,0)),"-")</f>
        <v>-</v>
      </c>
      <c r="W71" s="225"/>
      <c r="X71" s="226"/>
      <c r="Z71" s="183"/>
      <c r="AA71" s="183"/>
    </row>
    <row r="72" spans="1:27" s="182" customFormat="1" ht="15" customHeight="1" thickBot="1">
      <c r="A72" s="210"/>
      <c r="B72" s="327"/>
      <c r="C72" s="220"/>
      <c r="D72" s="197"/>
      <c r="E72" s="197"/>
      <c r="F72" s="197"/>
      <c r="G72" s="197"/>
      <c r="H72" s="197"/>
      <c r="I72" s="197"/>
      <c r="J72" s="230"/>
      <c r="K72" s="230"/>
      <c r="L72" s="158"/>
      <c r="M72" s="197" t="str">
        <f>IF(Q72="","",ROUND(Q72/P72,0))</f>
        <v/>
      </c>
      <c r="N72" s="253"/>
      <c r="O72" s="253"/>
      <c r="P72" s="253"/>
      <c r="Q72" s="253"/>
      <c r="R72" s="253">
        <v>360</v>
      </c>
      <c r="S72" s="197"/>
      <c r="T72" s="223" t="str">
        <f>IF(P72="","-",(ROUND(PI()*N72/O72*R72/360,0))*(ROUND(Q72/P72,0)))</f>
        <v>-</v>
      </c>
      <c r="U72" s="253"/>
      <c r="V72" s="224" t="str">
        <f>IF(T72="-","-",ROUNDUP(T72*U72,0))</f>
        <v>-</v>
      </c>
      <c r="W72" s="225"/>
      <c r="X72" s="226"/>
      <c r="Z72" s="183"/>
      <c r="AA72" s="183"/>
    </row>
    <row r="73" spans="1:27" s="182" customFormat="1" ht="15" customHeight="1">
      <c r="A73" s="211"/>
      <c r="B73" s="163"/>
      <c r="C73" s="196"/>
      <c r="D73" s="191"/>
      <c r="E73" s="191"/>
      <c r="F73" s="191"/>
      <c r="G73" s="191"/>
      <c r="H73" s="191"/>
      <c r="I73" s="191"/>
      <c r="J73" s="192"/>
      <c r="K73" s="192"/>
      <c r="L73" s="140"/>
      <c r="M73" s="191"/>
      <c r="N73" s="191"/>
      <c r="O73" s="147"/>
      <c r="P73" s="153"/>
      <c r="Q73" s="147"/>
      <c r="R73" s="191"/>
      <c r="S73" s="191"/>
      <c r="T73" s="191"/>
      <c r="U73" s="191"/>
      <c r="V73" s="193"/>
      <c r="W73" s="181"/>
      <c r="X73" s="137"/>
      <c r="Z73" s="183"/>
      <c r="AA73" s="183"/>
    </row>
    <row r="74" spans="1:27" s="182" customFormat="1" ht="15" customHeight="1" thickBot="1">
      <c r="A74" s="210"/>
      <c r="B74" s="505"/>
      <c r="C74" s="505"/>
      <c r="D74" s="508"/>
      <c r="E74" s="508"/>
      <c r="F74" s="508"/>
      <c r="G74" s="508"/>
      <c r="H74" s="508"/>
      <c r="I74" s="508"/>
      <c r="J74" s="508"/>
      <c r="K74" s="508"/>
      <c r="L74" s="508"/>
      <c r="M74" s="508"/>
      <c r="N74" s="508"/>
      <c r="O74" s="508"/>
      <c r="P74" s="508"/>
      <c r="Q74" s="508"/>
      <c r="R74" s="508"/>
      <c r="S74" s="508"/>
      <c r="T74" s="508"/>
      <c r="U74" s="508"/>
      <c r="V74" s="508"/>
      <c r="W74" s="508"/>
      <c r="X74" s="509"/>
      <c r="Z74" s="183"/>
      <c r="AA74" s="183"/>
    </row>
    <row r="75" spans="1:27" s="182" customFormat="1" ht="15" customHeight="1" thickBot="1">
      <c r="A75" s="210"/>
      <c r="B75" s="268" t="str">
        <f>IF(X76="","ÂNCORA CERÂMICA",X76)</f>
        <v>ÂNCORA CERÂMICA</v>
      </c>
      <c r="C75" s="215" t="s">
        <v>101</v>
      </c>
      <c r="D75" s="180" t="s">
        <v>102</v>
      </c>
      <c r="E75" s="180"/>
      <c r="F75" s="180"/>
      <c r="G75" s="180"/>
      <c r="H75" s="180"/>
      <c r="I75" s="180"/>
      <c r="J75" s="180" t="s">
        <v>103</v>
      </c>
      <c r="K75" s="180" t="s">
        <v>37</v>
      </c>
      <c r="L75" s="180" t="s">
        <v>39</v>
      </c>
      <c r="M75" s="180"/>
      <c r="N75" s="180" t="s">
        <v>106</v>
      </c>
      <c r="O75" s="180" t="s">
        <v>68</v>
      </c>
      <c r="P75" s="180" t="s">
        <v>69</v>
      </c>
      <c r="Q75" s="180" t="s">
        <v>107</v>
      </c>
      <c r="R75" s="180" t="s">
        <v>53</v>
      </c>
      <c r="S75" s="180" t="s">
        <v>40</v>
      </c>
      <c r="T75" s="180" t="s">
        <v>26</v>
      </c>
      <c r="U75" s="180" t="s">
        <v>38</v>
      </c>
      <c r="V75" s="180" t="s">
        <v>27</v>
      </c>
      <c r="W75" s="216"/>
      <c r="X75" s="217"/>
      <c r="Z75" s="183"/>
      <c r="AA75" s="183"/>
    </row>
    <row r="76" spans="1:27" s="182" customFormat="1" ht="15" customHeight="1" thickBot="1">
      <c r="A76" s="211"/>
      <c r="B76" s="190"/>
      <c r="C76" s="129">
        <f>SUMIF(Densidades!A:A,'Memória TOTAL'!X76,Densidades!B:B)</f>
        <v>0</v>
      </c>
      <c r="D76" s="130">
        <f>SUMIF(Densidades!A:A,'Memória TOTAL'!X76,Densidades!C:C)</f>
        <v>0</v>
      </c>
      <c r="E76" s="130"/>
      <c r="F76" s="130"/>
      <c r="G76" s="130"/>
      <c r="H76" s="130"/>
      <c r="I76" s="130"/>
      <c r="J76" s="132">
        <f>SUMIF(Formatos!A:A,'Memória TOTAL'!X77,Formatos!G:G)</f>
        <v>0</v>
      </c>
      <c r="K76" s="218">
        <f>SUMIF(Densidades!A:A,'Memória TOTAL'!X76,Densidades!I:I)</f>
        <v>0</v>
      </c>
      <c r="L76" s="219">
        <v>0</v>
      </c>
      <c r="M76" s="191"/>
      <c r="N76" s="191"/>
      <c r="O76" s="191"/>
      <c r="P76" s="191"/>
      <c r="Q76" s="191"/>
      <c r="R76" s="191"/>
      <c r="S76" s="191"/>
      <c r="T76" s="191"/>
      <c r="U76" s="191"/>
      <c r="V76" s="193"/>
      <c r="W76" s="189" t="str">
        <f>IF(C76=0,"",ROUNDUP(SUM(V78:V82)*(1+L76),0))</f>
        <v/>
      </c>
      <c r="X76" s="259"/>
      <c r="Z76" s="183"/>
      <c r="AA76" s="183"/>
    </row>
    <row r="77" spans="1:27" s="182" customFormat="1" ht="15" customHeight="1" thickBot="1">
      <c r="A77" s="211"/>
      <c r="B77" s="190"/>
      <c r="C77" s="196"/>
      <c r="D77" s="191"/>
      <c r="E77" s="191"/>
      <c r="F77" s="191"/>
      <c r="G77" s="191"/>
      <c r="H77" s="191"/>
      <c r="I77" s="191"/>
      <c r="J77" s="192"/>
      <c r="K77" s="192"/>
      <c r="L77" s="140"/>
      <c r="M77" s="191"/>
      <c r="N77" s="191"/>
      <c r="O77" s="191"/>
      <c r="P77" s="191"/>
      <c r="Q77" s="191"/>
      <c r="R77" s="191"/>
      <c r="S77" s="191"/>
      <c r="T77" s="191"/>
      <c r="U77" s="191"/>
      <c r="V77" s="193"/>
      <c r="W77" s="181"/>
      <c r="X77" s="259"/>
      <c r="Z77" s="183"/>
      <c r="AA77" s="183"/>
    </row>
    <row r="78" spans="1:27" s="182" customFormat="1" ht="15" customHeight="1" thickBot="1">
      <c r="A78" s="274"/>
      <c r="B78" s="164"/>
      <c r="C78" s="196"/>
      <c r="D78" s="191"/>
      <c r="E78" s="191"/>
      <c r="F78" s="191"/>
      <c r="G78" s="191"/>
      <c r="H78" s="191"/>
      <c r="I78" s="191"/>
      <c r="J78" s="192"/>
      <c r="K78" s="192"/>
      <c r="L78" s="140"/>
      <c r="M78" s="191"/>
      <c r="N78" s="191"/>
      <c r="O78" s="191"/>
      <c r="P78" s="191"/>
      <c r="Q78" s="191"/>
      <c r="R78" s="191"/>
      <c r="S78" s="191"/>
      <c r="T78" s="191"/>
      <c r="U78" s="191"/>
      <c r="V78" s="193"/>
      <c r="W78" s="181"/>
      <c r="X78" s="137" t="s">
        <v>520</v>
      </c>
      <c r="Z78" s="183"/>
      <c r="AA78" s="183"/>
    </row>
    <row r="79" spans="1:27" s="182" customFormat="1" ht="15" customHeight="1" thickBot="1">
      <c r="A79" s="210"/>
      <c r="B79" s="327"/>
      <c r="C79" s="220"/>
      <c r="D79" s="197"/>
      <c r="E79" s="197"/>
      <c r="F79" s="197"/>
      <c r="G79" s="197"/>
      <c r="H79" s="197"/>
      <c r="I79" s="197"/>
      <c r="J79" s="230"/>
      <c r="K79" s="230"/>
      <c r="L79" s="158"/>
      <c r="M79" s="197"/>
      <c r="N79" s="159"/>
      <c r="O79" s="159"/>
      <c r="P79" s="253"/>
      <c r="Q79" s="159"/>
      <c r="R79" s="197"/>
      <c r="S79" s="253"/>
      <c r="T79" s="223" t="str">
        <f>IF(P79="","-",ROUNDUP(S79/P79/P79,0))</f>
        <v>-</v>
      </c>
      <c r="U79" s="253"/>
      <c r="V79" s="224" t="str">
        <f>IF(T79="-","-",ROUNDUP(T79*U79,0))</f>
        <v>-</v>
      </c>
      <c r="W79" s="225"/>
      <c r="X79" s="226"/>
      <c r="Z79" s="183"/>
      <c r="AA79" s="183"/>
    </row>
    <row r="80" spans="1:27" s="182" customFormat="1" ht="15" customHeight="1" thickBot="1">
      <c r="A80" s="211"/>
      <c r="B80" s="327"/>
      <c r="C80" s="220"/>
      <c r="D80" s="197"/>
      <c r="E80" s="197"/>
      <c r="F80" s="197"/>
      <c r="G80" s="197"/>
      <c r="H80" s="197"/>
      <c r="I80" s="197"/>
      <c r="J80" s="230"/>
      <c r="K80" s="230"/>
      <c r="L80" s="158"/>
      <c r="M80" s="197" t="str">
        <f>IF(Q80="","",ROUND(Q80/P80,0))</f>
        <v/>
      </c>
      <c r="N80" s="253"/>
      <c r="O80" s="253"/>
      <c r="P80" s="156"/>
      <c r="Q80" s="156"/>
      <c r="R80" s="253">
        <v>360</v>
      </c>
      <c r="S80" s="197"/>
      <c r="T80" s="223" t="e">
        <f>ROUNDUP(N80*PI()/O80/360*R80,)</f>
        <v>#DIV/0!</v>
      </c>
      <c r="U80" s="253"/>
      <c r="V80" s="224" t="str">
        <f>IFERROR(IF(T80="-","-",ROUNDUP(T80*U80,0)),"-")</f>
        <v>-</v>
      </c>
      <c r="W80" s="225"/>
      <c r="X80" s="226"/>
      <c r="Z80" s="183"/>
      <c r="AA80" s="183"/>
    </row>
    <row r="81" spans="1:27" s="182" customFormat="1" ht="15" customHeight="1" thickBot="1">
      <c r="A81" s="210"/>
      <c r="B81" s="327"/>
      <c r="C81" s="220"/>
      <c r="D81" s="197"/>
      <c r="E81" s="197"/>
      <c r="F81" s="197"/>
      <c r="G81" s="197"/>
      <c r="H81" s="197"/>
      <c r="I81" s="197"/>
      <c r="J81" s="230"/>
      <c r="K81" s="230"/>
      <c r="L81" s="158"/>
      <c r="M81" s="197" t="str">
        <f>IF(Q81="","",ROUND(Q81/P81,0))</f>
        <v/>
      </c>
      <c r="N81" s="253"/>
      <c r="O81" s="253"/>
      <c r="P81" s="253"/>
      <c r="Q81" s="253"/>
      <c r="R81" s="253">
        <v>360</v>
      </c>
      <c r="S81" s="197"/>
      <c r="T81" s="223" t="str">
        <f>IF(P81="","-",(ROUND(PI()*N81/O81*R81/360,0))*(ROUND(Q81/P81,0)))</f>
        <v>-</v>
      </c>
      <c r="U81" s="253"/>
      <c r="V81" s="224" t="str">
        <f>IF(T81="-","-",ROUNDUP(T81*U81,0))</f>
        <v>-</v>
      </c>
      <c r="W81" s="225"/>
      <c r="X81" s="226"/>
      <c r="Z81" s="183"/>
      <c r="AA81" s="183"/>
    </row>
    <row r="82" spans="1:27" s="182" customFormat="1" ht="15" customHeight="1">
      <c r="A82" s="210"/>
      <c r="B82" s="163"/>
      <c r="C82" s="196"/>
      <c r="D82" s="191"/>
      <c r="E82" s="191"/>
      <c r="F82" s="191"/>
      <c r="G82" s="191"/>
      <c r="H82" s="191"/>
      <c r="I82" s="191"/>
      <c r="J82" s="192"/>
      <c r="K82" s="192"/>
      <c r="L82" s="140"/>
      <c r="M82" s="191"/>
      <c r="N82" s="191"/>
      <c r="O82" s="147"/>
      <c r="P82" s="153"/>
      <c r="Q82" s="147"/>
      <c r="R82" s="191"/>
      <c r="S82" s="191"/>
      <c r="T82" s="191"/>
      <c r="U82" s="191"/>
      <c r="V82" s="193"/>
      <c r="W82" s="181"/>
      <c r="X82" s="137"/>
      <c r="Z82" s="183"/>
      <c r="AA82" s="183"/>
    </row>
    <row r="83" spans="1:27" s="182" customFormat="1" ht="15" customHeight="1" thickBot="1">
      <c r="A83" s="210"/>
      <c r="B83" s="163"/>
      <c r="C83" s="196"/>
      <c r="D83" s="191"/>
      <c r="E83" s="191"/>
      <c r="F83" s="191"/>
      <c r="G83" s="191"/>
      <c r="H83" s="191"/>
      <c r="I83" s="191"/>
      <c r="J83" s="192"/>
      <c r="K83" s="192"/>
      <c r="L83" s="140"/>
      <c r="M83" s="191"/>
      <c r="N83" s="191"/>
      <c r="O83" s="147"/>
      <c r="P83" s="153"/>
      <c r="Q83" s="147"/>
      <c r="R83" s="191"/>
      <c r="S83" s="191"/>
      <c r="T83" s="191"/>
      <c r="U83" s="191"/>
      <c r="V83" s="193"/>
      <c r="W83" s="181"/>
      <c r="X83" s="137"/>
      <c r="Z83" s="183"/>
      <c r="AA83" s="183"/>
    </row>
    <row r="84" spans="1:27" s="182" customFormat="1" ht="15" customHeight="1" thickBot="1">
      <c r="A84" s="211"/>
      <c r="B84" s="190"/>
      <c r="C84" s="129">
        <f>SUMIF(Densidades!A:A,'Memória TOTAL'!X84,Densidades!B:B)</f>
        <v>0</v>
      </c>
      <c r="D84" s="130">
        <f>SUMIF(Densidades!A:A,'Memória TOTAL'!X84,Densidades!C:C)</f>
        <v>0</v>
      </c>
      <c r="E84" s="130"/>
      <c r="F84" s="130"/>
      <c r="G84" s="130"/>
      <c r="H84" s="130"/>
      <c r="I84" s="130"/>
      <c r="J84" s="132">
        <f>SUMIF(Formatos!A:A,'Memória TOTAL'!X85,Formatos!G:G)</f>
        <v>0</v>
      </c>
      <c r="K84" s="218">
        <f>SUMIF(Densidades!A:A,'Memória TOTAL'!X84,Densidades!I:I)</f>
        <v>0</v>
      </c>
      <c r="L84" s="140"/>
      <c r="M84" s="191"/>
      <c r="N84" s="191"/>
      <c r="O84" s="191"/>
      <c r="P84" s="191"/>
      <c r="Q84" s="191"/>
      <c r="R84" s="191"/>
      <c r="S84" s="191"/>
      <c r="T84" s="191"/>
      <c r="U84" s="191"/>
      <c r="V84" s="229"/>
      <c r="W84" s="189" t="str">
        <f>W76</f>
        <v/>
      </c>
      <c r="X84" s="259"/>
      <c r="Z84" s="183"/>
      <c r="AA84" s="183"/>
    </row>
    <row r="85" spans="1:27" s="182" customFormat="1" ht="15" customHeight="1" thickBot="1">
      <c r="A85" s="211"/>
      <c r="B85" s="190"/>
      <c r="C85" s="196"/>
      <c r="D85" s="191"/>
      <c r="E85" s="191"/>
      <c r="F85" s="191"/>
      <c r="G85" s="191"/>
      <c r="H85" s="191"/>
      <c r="I85" s="191"/>
      <c r="J85" s="192"/>
      <c r="K85" s="192"/>
      <c r="L85" s="140"/>
      <c r="M85" s="191"/>
      <c r="N85" s="191"/>
      <c r="O85" s="191"/>
      <c r="P85" s="191"/>
      <c r="Q85" s="191"/>
      <c r="R85" s="191"/>
      <c r="S85" s="191"/>
      <c r="T85" s="191"/>
      <c r="U85" s="191"/>
      <c r="V85" s="193"/>
      <c r="W85" s="181"/>
      <c r="X85" s="259"/>
      <c r="Z85" s="183"/>
      <c r="AA85" s="183"/>
    </row>
    <row r="86" spans="1:27" s="182" customFormat="1" ht="15" customHeight="1">
      <c r="A86" s="274"/>
      <c r="B86" s="190"/>
      <c r="C86" s="196"/>
      <c r="D86" s="191"/>
      <c r="E86" s="191"/>
      <c r="F86" s="191"/>
      <c r="G86" s="191"/>
      <c r="H86" s="191"/>
      <c r="I86" s="191"/>
      <c r="J86" s="192"/>
      <c r="K86" s="192"/>
      <c r="L86" s="140"/>
      <c r="M86" s="191"/>
      <c r="N86" s="191"/>
      <c r="O86" s="191"/>
      <c r="P86" s="191"/>
      <c r="Q86" s="191"/>
      <c r="R86" s="191"/>
      <c r="S86" s="191"/>
      <c r="T86" s="191"/>
      <c r="U86" s="191"/>
      <c r="V86" s="193"/>
      <c r="W86" s="181"/>
      <c r="X86" s="137" t="s">
        <v>520</v>
      </c>
      <c r="Z86" s="183"/>
      <c r="AA86" s="183"/>
    </row>
    <row r="87" spans="1:27" s="182" customFormat="1" ht="15" customHeight="1" thickBot="1">
      <c r="A87" s="210"/>
      <c r="B87" s="190"/>
      <c r="C87" s="196"/>
      <c r="D87" s="191"/>
      <c r="E87" s="191"/>
      <c r="F87" s="191"/>
      <c r="G87" s="191"/>
      <c r="H87" s="191"/>
      <c r="I87" s="191"/>
      <c r="J87" s="192"/>
      <c r="K87" s="192"/>
      <c r="L87" s="140"/>
      <c r="M87" s="191"/>
      <c r="N87" s="191"/>
      <c r="O87" s="191"/>
      <c r="P87" s="191"/>
      <c r="Q87" s="191"/>
      <c r="R87" s="191"/>
      <c r="S87" s="191"/>
      <c r="T87" s="191"/>
      <c r="U87" s="191"/>
      <c r="V87" s="193"/>
      <c r="W87" s="181"/>
      <c r="X87" s="137"/>
      <c r="Z87" s="183"/>
      <c r="AA87" s="183"/>
    </row>
    <row r="88" spans="1:27" s="182" customFormat="1" ht="15" customHeight="1" thickBot="1">
      <c r="A88" s="210"/>
      <c r="B88" s="190"/>
      <c r="C88" s="129">
        <f>SUMIF(Densidades!A:A,'Memória TOTAL'!X88,Densidades!B:B)</f>
        <v>0</v>
      </c>
      <c r="D88" s="130">
        <f>SUMIF(Densidades!A:A,'Memória TOTAL'!X88,Densidades!C:C)</f>
        <v>0</v>
      </c>
      <c r="E88" s="130"/>
      <c r="F88" s="130"/>
      <c r="G88" s="130"/>
      <c r="H88" s="130"/>
      <c r="I88" s="130"/>
      <c r="J88" s="132">
        <f>SUMIF(Formatos!A:A,'Memória TOTAL'!X89,Formatos!G:G)</f>
        <v>0</v>
      </c>
      <c r="K88" s="218">
        <f>SUMIF(Densidades!A:A,'Memória TOTAL'!X88,Densidades!I:I)</f>
        <v>0</v>
      </c>
      <c r="L88" s="140"/>
      <c r="M88" s="191"/>
      <c r="N88" s="191"/>
      <c r="O88" s="191"/>
      <c r="P88" s="191"/>
      <c r="Q88" s="191"/>
      <c r="R88" s="191"/>
      <c r="S88" s="191"/>
      <c r="T88" s="191"/>
      <c r="U88" s="191"/>
      <c r="V88" s="229"/>
      <c r="W88" s="189" t="str">
        <f>W84</f>
        <v/>
      </c>
      <c r="X88" s="259"/>
      <c r="Z88" s="183"/>
      <c r="AA88" s="183"/>
    </row>
    <row r="89" spans="1:27" s="182" customFormat="1" ht="15" customHeight="1" thickBot="1">
      <c r="A89" s="210"/>
      <c r="B89" s="190"/>
      <c r="C89" s="196"/>
      <c r="D89" s="191"/>
      <c r="E89" s="191"/>
      <c r="F89" s="191"/>
      <c r="G89" s="191"/>
      <c r="H89" s="191"/>
      <c r="I89" s="191"/>
      <c r="J89" s="192"/>
      <c r="K89" s="192"/>
      <c r="L89" s="140"/>
      <c r="M89" s="191"/>
      <c r="N89" s="191"/>
      <c r="O89" s="191"/>
      <c r="P89" s="191"/>
      <c r="Q89" s="191"/>
      <c r="R89" s="191"/>
      <c r="S89" s="191"/>
      <c r="T89" s="191"/>
      <c r="U89" s="191"/>
      <c r="V89" s="193"/>
      <c r="W89" s="181"/>
      <c r="X89" s="259"/>
      <c r="Z89" s="183"/>
      <c r="AA89" s="183"/>
    </row>
    <row r="90" spans="1:27" s="182" customFormat="1" ht="15" customHeight="1">
      <c r="A90" s="210"/>
      <c r="B90" s="190"/>
      <c r="C90" s="196"/>
      <c r="D90" s="191"/>
      <c r="E90" s="191"/>
      <c r="F90" s="191"/>
      <c r="G90" s="191"/>
      <c r="H90" s="191"/>
      <c r="I90" s="191"/>
      <c r="J90" s="192"/>
      <c r="K90" s="192"/>
      <c r="L90" s="140"/>
      <c r="M90" s="191"/>
      <c r="N90" s="191"/>
      <c r="O90" s="191"/>
      <c r="P90" s="191"/>
      <c r="Q90" s="191"/>
      <c r="R90" s="191"/>
      <c r="S90" s="191"/>
      <c r="T90" s="191"/>
      <c r="U90" s="191"/>
      <c r="V90" s="193"/>
      <c r="W90" s="181"/>
      <c r="X90" s="137" t="s">
        <v>520</v>
      </c>
      <c r="Z90" s="183"/>
      <c r="AA90" s="183"/>
    </row>
    <row r="91" spans="1:27" s="182" customFormat="1" ht="15" customHeight="1">
      <c r="A91" s="211"/>
      <c r="B91" s="190"/>
      <c r="C91" s="196"/>
      <c r="D91" s="191"/>
      <c r="E91" s="191"/>
      <c r="F91" s="191"/>
      <c r="G91" s="191"/>
      <c r="H91" s="191"/>
      <c r="I91" s="191"/>
      <c r="J91" s="192"/>
      <c r="K91" s="192"/>
      <c r="L91" s="140"/>
      <c r="M91" s="191"/>
      <c r="N91" s="191"/>
      <c r="O91" s="191"/>
      <c r="P91" s="191"/>
      <c r="Q91" s="191"/>
      <c r="R91" s="191"/>
      <c r="S91" s="191"/>
      <c r="T91" s="191"/>
      <c r="U91" s="191"/>
      <c r="V91" s="193"/>
      <c r="W91" s="181"/>
      <c r="X91" s="137"/>
      <c r="Z91" s="183"/>
      <c r="AA91" s="183"/>
    </row>
    <row r="92" spans="1:27" s="182" customFormat="1" ht="15" customHeight="1" thickBot="1">
      <c r="A92" s="211"/>
      <c r="B92" s="190"/>
      <c r="C92" s="196"/>
      <c r="D92" s="191"/>
      <c r="E92" s="191"/>
      <c r="F92" s="191"/>
      <c r="G92" s="191"/>
      <c r="H92" s="191"/>
      <c r="I92" s="191"/>
      <c r="J92" s="192"/>
      <c r="K92" s="192"/>
      <c r="L92" s="140"/>
      <c r="M92" s="191"/>
      <c r="N92" s="191"/>
      <c r="O92" s="191"/>
      <c r="P92" s="191"/>
      <c r="Q92" s="191"/>
      <c r="R92" s="191"/>
      <c r="S92" s="191"/>
      <c r="T92" s="191"/>
      <c r="U92" s="191"/>
      <c r="V92" s="193"/>
      <c r="W92" s="181"/>
      <c r="X92" s="137"/>
      <c r="Z92" s="183"/>
      <c r="AA92" s="183"/>
    </row>
    <row r="93" spans="1:27" s="182" customFormat="1" ht="15" customHeight="1" thickBot="1">
      <c r="A93" s="274"/>
      <c r="B93" s="190"/>
      <c r="C93" s="129">
        <f>SUMIF(Densidades!A:A,'Memória TOTAL'!X93,Densidades!B:B)</f>
        <v>0.128</v>
      </c>
      <c r="D93" s="130">
        <f>SUMIF(Densidades!A:A,'Memória TOTAL'!X93,Densidades!C:C)</f>
        <v>1</v>
      </c>
      <c r="E93" s="131">
        <f>SUMIF(Formatos!A:A,'Memória TOTAL'!X94,Formatos!E:E)</f>
        <v>0</v>
      </c>
      <c r="F93" s="131">
        <f>SUMIF(Formatos!A:A,'Memória TOTAL'!X94,Formatos!F:F)</f>
        <v>0</v>
      </c>
      <c r="G93" s="131">
        <f>SUMIF(Formatos!A:A,'Memória TOTAL'!X94,Formatos!C:C)</f>
        <v>0</v>
      </c>
      <c r="H93" s="131">
        <f>SUMIF(Formatos!A:A,'Memória TOTAL'!X94,Formatos!D:D)</f>
        <v>0</v>
      </c>
      <c r="I93" s="130"/>
      <c r="J93" s="132">
        <f>SUMIF(Formatos!A:A,'Memória TOTAL'!X94,Formatos!G:G)</f>
        <v>0</v>
      </c>
      <c r="K93" s="218">
        <f>SUMIF(Densidades!A:A,'Memória TOTAL'!X93,Densidades!I:I)</f>
        <v>4</v>
      </c>
      <c r="L93" s="219">
        <v>0</v>
      </c>
      <c r="M93" s="191"/>
      <c r="N93" s="191"/>
      <c r="O93" s="191"/>
      <c r="P93" s="180" t="s">
        <v>2174</v>
      </c>
      <c r="Q93" s="180" t="s">
        <v>2177</v>
      </c>
      <c r="R93" s="180" t="s">
        <v>2176</v>
      </c>
      <c r="S93" s="180" t="s">
        <v>40</v>
      </c>
      <c r="T93" s="180" t="s">
        <v>26</v>
      </c>
      <c r="U93" s="180" t="s">
        <v>38</v>
      </c>
      <c r="V93" s="180" t="s">
        <v>27</v>
      </c>
      <c r="W93" s="189">
        <f>IF(C93=0,"",ROUNDUP(SUM(V94:V94)*(1+L93),2))</f>
        <v>0</v>
      </c>
      <c r="X93" s="259" t="s">
        <v>1788</v>
      </c>
      <c r="Z93" s="183"/>
      <c r="AA93" s="183"/>
    </row>
    <row r="94" spans="1:27" s="182" customFormat="1" ht="15" customHeight="1" thickBot="1">
      <c r="A94" s="210"/>
      <c r="B94" s="190"/>
      <c r="C94" s="196"/>
      <c r="D94" s="191"/>
      <c r="E94" s="191"/>
      <c r="F94" s="191"/>
      <c r="G94" s="191"/>
      <c r="H94" s="191"/>
      <c r="I94" s="191"/>
      <c r="J94" s="192"/>
      <c r="K94" s="192"/>
      <c r="L94" s="140"/>
      <c r="M94" s="191"/>
      <c r="N94" s="191"/>
      <c r="O94" s="191"/>
      <c r="P94" s="253"/>
      <c r="Q94" s="223">
        <f>130*4</f>
        <v>520</v>
      </c>
      <c r="R94" s="253"/>
      <c r="S94" s="223">
        <f>Q94*R94</f>
        <v>0</v>
      </c>
      <c r="T94" s="223">
        <f>ROUNDUP(S94/10^6*(1+L93),2)</f>
        <v>0</v>
      </c>
      <c r="U94" s="222" t="str">
        <f>W76</f>
        <v/>
      </c>
      <c r="V94" s="224" t="str">
        <f>IF(U94="","-",IF(COUNTIF(E93:H93,P94)&lt;1,"Esp. Errada",ROUNDUP((S94*U94)/(IF(P94=E93,1,E93)*IF(P94=G93,1,G93)*IF(P94=H93,1,H93)),0)))</f>
        <v>-</v>
      </c>
      <c r="W94" s="181"/>
      <c r="X94" s="259" t="s">
        <v>2175</v>
      </c>
      <c r="Z94" s="183"/>
      <c r="AA94" s="183"/>
    </row>
    <row r="95" spans="1:27" s="182" customFormat="1" ht="15" customHeight="1">
      <c r="A95" s="210"/>
      <c r="B95" s="190"/>
      <c r="C95" s="196"/>
      <c r="D95" s="191"/>
      <c r="E95" s="191"/>
      <c r="F95" s="191"/>
      <c r="G95" s="191"/>
      <c r="H95" s="191"/>
      <c r="I95" s="191"/>
      <c r="J95" s="192"/>
      <c r="K95" s="192"/>
      <c r="L95" s="140"/>
      <c r="M95" s="191"/>
      <c r="N95" s="191"/>
      <c r="O95" s="191"/>
      <c r="P95" s="191"/>
      <c r="Q95" s="191"/>
      <c r="R95" s="191"/>
      <c r="S95" s="191"/>
      <c r="T95" s="191"/>
      <c r="U95" s="191"/>
      <c r="V95" s="193"/>
      <c r="W95" s="181"/>
      <c r="X95" s="137" t="s">
        <v>520</v>
      </c>
      <c r="Z95" s="183"/>
      <c r="AA95" s="183"/>
    </row>
    <row r="96" spans="1:27" s="182" customFormat="1" ht="15" customHeight="1">
      <c r="A96" s="210"/>
      <c r="B96" s="190"/>
      <c r="C96" s="196"/>
      <c r="D96" s="191"/>
      <c r="E96" s="191"/>
      <c r="F96" s="191"/>
      <c r="G96" s="191"/>
      <c r="H96" s="191"/>
      <c r="I96" s="191"/>
      <c r="J96" s="192"/>
      <c r="K96" s="192"/>
      <c r="L96" s="140"/>
      <c r="M96" s="191"/>
      <c r="N96" s="191"/>
      <c r="O96" s="191"/>
      <c r="P96" s="191"/>
      <c r="Q96" s="191"/>
      <c r="R96" s="191"/>
      <c r="S96" s="191"/>
      <c r="T96" s="191"/>
      <c r="U96" s="191"/>
      <c r="V96" s="193"/>
      <c r="W96" s="181"/>
      <c r="X96" s="137"/>
      <c r="Z96" s="183"/>
      <c r="AA96" s="183"/>
    </row>
    <row r="97" spans="1:27" s="151" customFormat="1" ht="15" customHeight="1" thickBot="1">
      <c r="A97" s="210"/>
      <c r="B97" s="505"/>
      <c r="C97" s="505"/>
      <c r="D97" s="508"/>
      <c r="E97" s="508"/>
      <c r="F97" s="508"/>
      <c r="G97" s="508"/>
      <c r="H97" s="508"/>
      <c r="I97" s="508"/>
      <c r="J97" s="508"/>
      <c r="K97" s="508"/>
      <c r="L97" s="508"/>
      <c r="M97" s="508"/>
      <c r="N97" s="508"/>
      <c r="O97" s="508"/>
      <c r="P97" s="508"/>
      <c r="Q97" s="508"/>
      <c r="R97" s="508"/>
      <c r="S97" s="508"/>
      <c r="T97" s="508"/>
      <c r="U97" s="508"/>
      <c r="V97" s="508"/>
      <c r="W97" s="508"/>
      <c r="X97" s="509"/>
      <c r="Z97" s="152"/>
      <c r="AA97" s="152"/>
    </row>
    <row r="98" spans="1:27" s="182" customFormat="1" ht="15" customHeight="1" thickBot="1">
      <c r="A98" s="274"/>
      <c r="B98" s="268" t="str">
        <f>IF(X99="","ELETRODO ÂNCORA",X99)</f>
        <v>SPECIAL ELECTRODE ST</v>
      </c>
      <c r="C98" s="215" t="s">
        <v>101</v>
      </c>
      <c r="D98" s="180" t="s">
        <v>102</v>
      </c>
      <c r="E98" s="180"/>
      <c r="F98" s="180"/>
      <c r="G98" s="180"/>
      <c r="H98" s="180"/>
      <c r="I98" s="180"/>
      <c r="J98" s="180" t="s">
        <v>103</v>
      </c>
      <c r="K98" s="180" t="s">
        <v>37</v>
      </c>
      <c r="L98" s="180" t="s">
        <v>39</v>
      </c>
      <c r="M98" s="180"/>
      <c r="N98" s="180"/>
      <c r="O98" s="180"/>
      <c r="P98" s="180"/>
      <c r="Q98" s="180"/>
      <c r="R98" s="180"/>
      <c r="S98" s="180"/>
      <c r="T98" s="180"/>
      <c r="U98" s="180" t="s">
        <v>38</v>
      </c>
      <c r="V98" s="180" t="s">
        <v>27</v>
      </c>
      <c r="W98" s="216"/>
      <c r="X98" s="217"/>
      <c r="Z98" s="183"/>
      <c r="AA98" s="183"/>
    </row>
    <row r="99" spans="1:27" s="182" customFormat="1" ht="15" customHeight="1" thickBot="1">
      <c r="A99" s="210"/>
      <c r="B99" s="190"/>
      <c r="C99" s="129">
        <f>SUMIF(Densidades!A:A,'Memória TOTAL'!X99,Densidades!B:B)</f>
        <v>1</v>
      </c>
      <c r="D99" s="130">
        <f>SUMIF(Densidades!A:A,'Memória TOTAL'!X99,Densidades!C:C)</f>
        <v>140</v>
      </c>
      <c r="E99" s="130"/>
      <c r="F99" s="130"/>
      <c r="G99" s="130"/>
      <c r="H99" s="130"/>
      <c r="I99" s="130"/>
      <c r="J99" s="132">
        <f>SUMIF(Formatos!A:A,'Memória TOTAL'!X100,Formatos!G:G)</f>
        <v>0</v>
      </c>
      <c r="K99" s="218">
        <f>SUMIF(Densidades!A:A,'Memória TOTAL'!X99,Densidades!I:I)</f>
        <v>9</v>
      </c>
      <c r="L99" s="219">
        <v>0</v>
      </c>
      <c r="M99" s="191"/>
      <c r="N99" s="191"/>
      <c r="O99" s="191"/>
      <c r="P99" s="191"/>
      <c r="Q99" s="191"/>
      <c r="R99" s="191"/>
      <c r="S99" s="191"/>
      <c r="T99" s="191"/>
      <c r="U99" s="191"/>
      <c r="V99" s="193"/>
      <c r="W99" s="189">
        <f>IF(C99=0,"",ROUNDUP(SUM(V102:V104)*(1+L99),0))</f>
        <v>0</v>
      </c>
      <c r="X99" s="259" t="s">
        <v>1080</v>
      </c>
      <c r="Z99" s="183"/>
      <c r="AA99" s="183"/>
    </row>
    <row r="100" spans="1:27" s="182" customFormat="1" ht="15" customHeight="1" thickBot="1">
      <c r="A100" s="210"/>
      <c r="B100" s="190"/>
      <c r="C100" s="196"/>
      <c r="D100" s="191"/>
      <c r="E100" s="191"/>
      <c r="F100" s="191"/>
      <c r="G100" s="191"/>
      <c r="H100" s="191"/>
      <c r="I100" s="191"/>
      <c r="J100" s="192"/>
      <c r="K100" s="192"/>
      <c r="L100" s="140"/>
      <c r="M100" s="191"/>
      <c r="N100" s="191"/>
      <c r="O100" s="191"/>
      <c r="P100" s="191"/>
      <c r="Q100" s="191"/>
      <c r="R100" s="191"/>
      <c r="S100" s="191"/>
      <c r="T100" s="191"/>
      <c r="U100" s="191"/>
      <c r="V100" s="193"/>
      <c r="W100" s="181"/>
      <c r="X100" s="259" t="s">
        <v>1075</v>
      </c>
      <c r="Z100" s="183"/>
      <c r="AA100" s="183"/>
    </row>
    <row r="101" spans="1:27" s="182" customFormat="1" ht="15" customHeight="1" thickBot="1">
      <c r="A101" s="210"/>
      <c r="B101" s="164"/>
      <c r="C101" s="196"/>
      <c r="D101" s="191"/>
      <c r="E101" s="191"/>
      <c r="F101" s="191"/>
      <c r="G101" s="191"/>
      <c r="H101" s="191"/>
      <c r="I101" s="191"/>
      <c r="J101" s="192"/>
      <c r="K101" s="192"/>
      <c r="L101" s="140"/>
      <c r="M101" s="191"/>
      <c r="N101" s="191"/>
      <c r="O101" s="191"/>
      <c r="P101" s="191"/>
      <c r="Q101" s="191"/>
      <c r="R101" s="191"/>
      <c r="S101" s="191"/>
      <c r="T101" s="191"/>
      <c r="U101" s="191"/>
      <c r="V101" s="193"/>
      <c r="W101" s="181"/>
      <c r="X101" s="137" t="s">
        <v>520</v>
      </c>
      <c r="Z101" s="183"/>
      <c r="AA101" s="183"/>
    </row>
    <row r="102" spans="1:27" s="182" customFormat="1" ht="15" customHeight="1" thickBot="1">
      <c r="A102" s="210"/>
      <c r="B102" s="154" t="s">
        <v>1077</v>
      </c>
      <c r="C102" s="220"/>
      <c r="D102" s="197"/>
      <c r="E102" s="197"/>
      <c r="F102" s="197"/>
      <c r="G102" s="197"/>
      <c r="H102" s="197"/>
      <c r="I102" s="197"/>
      <c r="J102" s="230"/>
      <c r="K102" s="230"/>
      <c r="L102" s="158"/>
      <c r="M102" s="197"/>
      <c r="N102" s="159"/>
      <c r="O102" s="197"/>
      <c r="P102" s="197"/>
      <c r="Q102" s="197"/>
      <c r="R102" s="197"/>
      <c r="S102" s="197"/>
      <c r="T102" s="223"/>
      <c r="U102" s="253"/>
      <c r="V102" s="333">
        <f>U102/2/D99</f>
        <v>0</v>
      </c>
      <c r="W102" s="225"/>
      <c r="X102" s="226"/>
      <c r="Z102" s="183"/>
      <c r="AA102" s="183"/>
    </row>
    <row r="103" spans="1:27" s="182" customFormat="1" ht="15" customHeight="1" thickBot="1">
      <c r="A103" s="211"/>
      <c r="B103" s="154" t="s">
        <v>1092</v>
      </c>
      <c r="C103" s="220"/>
      <c r="D103" s="197"/>
      <c r="E103" s="197"/>
      <c r="F103" s="197"/>
      <c r="G103" s="197"/>
      <c r="H103" s="197"/>
      <c r="I103" s="197"/>
      <c r="J103" s="230"/>
      <c r="K103" s="230"/>
      <c r="L103" s="158"/>
      <c r="M103" s="197" t="str">
        <f>IF(Q103="","",ROUND(Q103/P103,0))</f>
        <v/>
      </c>
      <c r="N103" s="159"/>
      <c r="O103" s="197"/>
      <c r="P103" s="197"/>
      <c r="Q103" s="197"/>
      <c r="R103" s="197"/>
      <c r="S103" s="197"/>
      <c r="T103" s="223"/>
      <c r="U103" s="253"/>
      <c r="V103" s="333">
        <f>U103/D99</f>
        <v>0</v>
      </c>
      <c r="W103" s="225"/>
      <c r="X103" s="226"/>
      <c r="Z103" s="183"/>
      <c r="AA103" s="183"/>
    </row>
    <row r="104" spans="1:27" s="182" customFormat="1" ht="15" customHeight="1">
      <c r="A104" s="211"/>
      <c r="B104" s="163"/>
      <c r="C104" s="196"/>
      <c r="D104" s="191"/>
      <c r="E104" s="191"/>
      <c r="F104" s="191"/>
      <c r="G104" s="191"/>
      <c r="H104" s="191"/>
      <c r="I104" s="191"/>
      <c r="J104" s="192"/>
      <c r="K104" s="192"/>
      <c r="L104" s="140"/>
      <c r="M104" s="191"/>
      <c r="N104" s="191"/>
      <c r="O104" s="147"/>
      <c r="P104" s="153"/>
      <c r="Q104" s="147"/>
      <c r="R104" s="191"/>
      <c r="S104" s="191"/>
      <c r="T104" s="191"/>
      <c r="U104" s="191"/>
      <c r="V104" s="193"/>
      <c r="W104" s="181"/>
      <c r="X104" s="137"/>
      <c r="Z104" s="183"/>
      <c r="AA104" s="183"/>
    </row>
    <row r="105" spans="1:27" s="182" customFormat="1" ht="15" customHeight="1" thickBot="1">
      <c r="A105" s="210"/>
      <c r="B105" s="505"/>
      <c r="C105" s="505"/>
      <c r="D105" s="508"/>
      <c r="E105" s="508"/>
      <c r="F105" s="508"/>
      <c r="G105" s="508"/>
      <c r="H105" s="508"/>
      <c r="I105" s="508"/>
      <c r="J105" s="508"/>
      <c r="K105" s="508"/>
      <c r="L105" s="508"/>
      <c r="M105" s="508"/>
      <c r="N105" s="508"/>
      <c r="O105" s="508"/>
      <c r="P105" s="508"/>
      <c r="Q105" s="508"/>
      <c r="R105" s="508"/>
      <c r="S105" s="508"/>
      <c r="T105" s="508"/>
      <c r="U105" s="508"/>
      <c r="V105" s="508"/>
      <c r="W105" s="508"/>
      <c r="X105" s="509"/>
      <c r="Z105" s="183"/>
      <c r="AA105" s="183"/>
    </row>
    <row r="106" spans="1:27" ht="15" customHeight="1" thickBot="1">
      <c r="A106" s="211"/>
      <c r="B106" s="268" t="str">
        <f>IF(X107="","TIJOLO PARALELO",X107)</f>
        <v>TIJOLO PARALELO</v>
      </c>
      <c r="C106" s="269" t="s">
        <v>101</v>
      </c>
      <c r="D106" s="270" t="s">
        <v>102</v>
      </c>
      <c r="E106" s="270" t="s">
        <v>42</v>
      </c>
      <c r="F106" s="270" t="s">
        <v>42</v>
      </c>
      <c r="G106" s="270" t="s">
        <v>43</v>
      </c>
      <c r="H106" s="270" t="s">
        <v>44</v>
      </c>
      <c r="I106" s="270" t="s">
        <v>47</v>
      </c>
      <c r="J106" s="270" t="s">
        <v>103</v>
      </c>
      <c r="K106" s="270" t="s">
        <v>37</v>
      </c>
      <c r="L106" s="270" t="s">
        <v>39</v>
      </c>
      <c r="M106" s="270" t="s">
        <v>41</v>
      </c>
      <c r="N106" s="270" t="s">
        <v>46</v>
      </c>
      <c r="O106" s="270" t="s">
        <v>67</v>
      </c>
      <c r="P106" s="270" t="s">
        <v>113</v>
      </c>
      <c r="Q106" s="270"/>
      <c r="R106" s="270"/>
      <c r="S106" s="270" t="s">
        <v>70</v>
      </c>
      <c r="T106" s="270" t="s">
        <v>26</v>
      </c>
      <c r="U106" s="270" t="s">
        <v>38</v>
      </c>
      <c r="V106" s="271" t="s">
        <v>27</v>
      </c>
      <c r="W106" s="272"/>
      <c r="X106" s="273"/>
    </row>
    <row r="107" spans="1:27" ht="15" customHeight="1" thickBot="1">
      <c r="A107" s="211"/>
      <c r="B107" s="206"/>
      <c r="C107" s="129">
        <f>SUMIF(Densidades!A:A,'Memória TOTAL'!X107,Densidades!B:B)</f>
        <v>0</v>
      </c>
      <c r="D107" s="130">
        <f>SUMIF(Densidades!A:A,'Memória TOTAL'!X107,Densidades!C:C)</f>
        <v>0</v>
      </c>
      <c r="E107" s="131">
        <f>SUMIF(Formatos!A:A,'Memória TOTAL'!X108,Formatos!E:E)</f>
        <v>0</v>
      </c>
      <c r="F107" s="131">
        <f>SUMIF(Formatos!A:A,'Memória TOTAL'!X108,Formatos!F:F)</f>
        <v>0</v>
      </c>
      <c r="G107" s="131">
        <f>SUMIF(Formatos!A:A,'Memória TOTAL'!X108,Formatos!C:C)</f>
        <v>0</v>
      </c>
      <c r="H107" s="131">
        <f>SUMIF(Formatos!A:A,'Memória TOTAL'!X108,Formatos!D:D)</f>
        <v>0</v>
      </c>
      <c r="I107" s="131">
        <f>SUMIF(Densidades!A:A,'Memória TOTAL'!X107,Densidades!H:H)</f>
        <v>0</v>
      </c>
      <c r="J107" s="132">
        <f>SUMIF(Formatos!A:A,'Memória TOTAL'!X108,Formatos!G:G)</f>
        <v>0</v>
      </c>
      <c r="K107" s="133">
        <f>SUMIF(Densidades!A:A,'Memória TOTAL'!X107,Densidades!I:I)</f>
        <v>0</v>
      </c>
      <c r="L107" s="134">
        <v>0</v>
      </c>
      <c r="M107" s="135"/>
      <c r="N107" s="253"/>
      <c r="O107" s="135"/>
      <c r="P107" s="135"/>
      <c r="Q107" s="135"/>
      <c r="R107" s="135"/>
      <c r="S107" s="135"/>
      <c r="T107" s="135"/>
      <c r="U107" s="135"/>
      <c r="V107" s="141"/>
      <c r="W107" s="189" t="str">
        <f>IF(C107=0,"",ROUNDUP(SUM(V110:V112)*(1+L107),0))</f>
        <v/>
      </c>
      <c r="X107" s="259"/>
      <c r="Y107" s="182"/>
    </row>
    <row r="108" spans="1:27" ht="15" customHeight="1" thickBot="1">
      <c r="A108" s="210"/>
      <c r="B108" s="207"/>
      <c r="C108" s="138"/>
      <c r="D108" s="135"/>
      <c r="E108" s="131">
        <f t="shared" ref="E108:K108" si="4">E107</f>
        <v>0</v>
      </c>
      <c r="F108" s="131">
        <f t="shared" si="4"/>
        <v>0</v>
      </c>
      <c r="G108" s="131">
        <f t="shared" si="4"/>
        <v>0</v>
      </c>
      <c r="H108" s="131">
        <f t="shared" si="4"/>
        <v>0</v>
      </c>
      <c r="I108" s="131">
        <f t="shared" si="4"/>
        <v>0</v>
      </c>
      <c r="J108" s="131">
        <f t="shared" si="4"/>
        <v>0</v>
      </c>
      <c r="K108" s="133">
        <f t="shared" si="4"/>
        <v>0</v>
      </c>
      <c r="L108" s="140"/>
      <c r="M108" s="135"/>
      <c r="N108" s="131">
        <f>N107</f>
        <v>0</v>
      </c>
      <c r="O108" s="135"/>
      <c r="P108" s="135"/>
      <c r="Q108" s="135"/>
      <c r="R108" s="135"/>
      <c r="S108" s="135"/>
      <c r="T108" s="135"/>
      <c r="U108" s="135"/>
      <c r="V108" s="141"/>
      <c r="W108" s="142"/>
      <c r="X108" s="259"/>
      <c r="Y108" s="182"/>
    </row>
    <row r="109" spans="1:27" ht="15" customHeight="1" thickBot="1">
      <c r="A109" s="210"/>
      <c r="B109" s="208" t="s">
        <v>71</v>
      </c>
      <c r="C109" s="138"/>
      <c r="D109" s="135"/>
      <c r="E109" s="131">
        <f t="shared" ref="E109:K109" si="5">E108</f>
        <v>0</v>
      </c>
      <c r="F109" s="131">
        <f t="shared" si="5"/>
        <v>0</v>
      </c>
      <c r="G109" s="131">
        <f t="shared" si="5"/>
        <v>0</v>
      </c>
      <c r="H109" s="131">
        <f t="shared" si="5"/>
        <v>0</v>
      </c>
      <c r="I109" s="131">
        <f t="shared" si="5"/>
        <v>0</v>
      </c>
      <c r="J109" s="131">
        <f t="shared" si="5"/>
        <v>0</v>
      </c>
      <c r="K109" s="133">
        <f t="shared" si="5"/>
        <v>0</v>
      </c>
      <c r="L109" s="140"/>
      <c r="M109" s="135"/>
      <c r="N109" s="131">
        <f>N108</f>
        <v>0</v>
      </c>
      <c r="O109" s="135"/>
      <c r="P109" s="135"/>
      <c r="Q109" s="135"/>
      <c r="R109" s="135"/>
      <c r="S109" s="135"/>
      <c r="T109" s="135"/>
      <c r="U109" s="191" t="s">
        <v>669</v>
      </c>
      <c r="V109" s="141"/>
      <c r="W109" s="142"/>
      <c r="X109" s="143" t="s">
        <v>520</v>
      </c>
    </row>
    <row r="110" spans="1:27" ht="15" customHeight="1" thickBot="1">
      <c r="A110" s="210"/>
      <c r="B110" s="327"/>
      <c r="C110" s="155"/>
      <c r="D110" s="156"/>
      <c r="E110" s="172">
        <f t="shared" ref="E110:K110" si="6">E109</f>
        <v>0</v>
      </c>
      <c r="F110" s="172">
        <f t="shared" si="6"/>
        <v>0</v>
      </c>
      <c r="G110" s="172">
        <f t="shared" si="6"/>
        <v>0</v>
      </c>
      <c r="H110" s="172">
        <f t="shared" si="6"/>
        <v>0</v>
      </c>
      <c r="I110" s="172">
        <f t="shared" si="6"/>
        <v>0</v>
      </c>
      <c r="J110" s="172">
        <f t="shared" si="6"/>
        <v>0</v>
      </c>
      <c r="K110" s="173">
        <f t="shared" si="6"/>
        <v>0</v>
      </c>
      <c r="L110" s="158"/>
      <c r="M110" s="156"/>
      <c r="N110" s="172">
        <f>N109</f>
        <v>0</v>
      </c>
      <c r="O110" s="156"/>
      <c r="P110" s="253"/>
      <c r="Q110" s="156"/>
      <c r="R110" s="156"/>
      <c r="S110" s="253"/>
      <c r="T110" s="174" t="str">
        <f>IF(S110="","-",IF(COUNTIF(E110:H110,P110)&lt;1,"Esp. Errada",ROUNDUP(S110/((G110+N110)*(H110+N110)*((E110+N110)+(F110+N110))/2/(P110+N110)),0)))</f>
        <v>-</v>
      </c>
      <c r="U110" s="253"/>
      <c r="V110" s="175">
        <f>IF(S110="",0,IF(OR(P110=E110,P110=G110,P110=H110),T110*U110,"ESP. ERRADA"))</f>
        <v>0</v>
      </c>
      <c r="W110" s="176"/>
      <c r="X110" s="177"/>
    </row>
    <row r="111" spans="1:27" s="182" customFormat="1" ht="15" customHeight="1" thickBot="1">
      <c r="A111" s="210"/>
      <c r="B111" s="328"/>
      <c r="C111" s="220"/>
      <c r="D111" s="197"/>
      <c r="E111" s="172">
        <f t="shared" ref="E111:K111" si="7">E109</f>
        <v>0</v>
      </c>
      <c r="F111" s="172">
        <f t="shared" si="7"/>
        <v>0</v>
      </c>
      <c r="G111" s="172">
        <f t="shared" si="7"/>
        <v>0</v>
      </c>
      <c r="H111" s="172">
        <f t="shared" si="7"/>
        <v>0</v>
      </c>
      <c r="I111" s="172">
        <f t="shared" si="7"/>
        <v>0</v>
      </c>
      <c r="J111" s="172">
        <f t="shared" si="7"/>
        <v>0</v>
      </c>
      <c r="K111" s="221">
        <f t="shared" si="7"/>
        <v>0</v>
      </c>
      <c r="L111" s="158"/>
      <c r="M111" s="266"/>
      <c r="N111" s="172">
        <f>N109</f>
        <v>0</v>
      </c>
      <c r="O111" s="197"/>
      <c r="P111" s="253"/>
      <c r="Q111" s="197"/>
      <c r="R111" s="197"/>
      <c r="S111" s="197"/>
      <c r="T111" s="223" t="str">
        <f>IF(M111="","-",IF(COUNTIF(E111:H111,P111)&lt;1,"Esp. Errada",ROUNDUP(M111/IF(G111=P111,G111,(G111+N111))/IF(H111=P111,H111,(H111+N111))/IF(E111=P111,E111,(E111+N111)),0)))</f>
        <v>-</v>
      </c>
      <c r="U111" s="253"/>
      <c r="V111" s="175">
        <f>IF(M111="",0,IF(OR(P111=E111,P111=G111,P111=H111),T111*U111,"ESP. ERRADA"))</f>
        <v>0</v>
      </c>
      <c r="W111" s="225"/>
      <c r="X111" s="226"/>
      <c r="Z111" s="183"/>
      <c r="AA111" s="183"/>
    </row>
    <row r="112" spans="1:27" s="182" customFormat="1" ht="15" customHeight="1">
      <c r="A112" s="211"/>
      <c r="B112" s="206"/>
      <c r="C112" s="196"/>
      <c r="D112" s="191"/>
      <c r="E112" s="191"/>
      <c r="F112" s="191"/>
      <c r="G112" s="191"/>
      <c r="H112" s="191"/>
      <c r="I112" s="191"/>
      <c r="J112" s="192"/>
      <c r="K112" s="192"/>
      <c r="L112" s="140"/>
      <c r="M112" s="191"/>
      <c r="N112" s="191"/>
      <c r="O112" s="191"/>
      <c r="P112" s="191"/>
      <c r="Q112" s="191"/>
      <c r="R112" s="191"/>
      <c r="S112" s="191"/>
      <c r="T112" s="191"/>
      <c r="U112" s="191"/>
      <c r="V112" s="193"/>
      <c r="W112" s="181"/>
      <c r="X112" s="137"/>
      <c r="Z112" s="183"/>
      <c r="AA112" s="183"/>
    </row>
    <row r="113" spans="1:27" s="182" customFormat="1" ht="15" customHeight="1" thickBot="1">
      <c r="A113" s="211"/>
      <c r="B113" s="275" t="s">
        <v>1006</v>
      </c>
      <c r="C113" s="276"/>
      <c r="D113" s="277"/>
      <c r="E113" s="277"/>
      <c r="F113" s="277"/>
      <c r="G113" s="277"/>
      <c r="H113" s="277"/>
      <c r="I113" s="277"/>
      <c r="J113" s="278"/>
      <c r="K113" s="278"/>
      <c r="L113" s="279"/>
      <c r="M113" s="277"/>
      <c r="N113" s="277"/>
      <c r="O113" s="277"/>
      <c r="P113" s="277"/>
      <c r="Q113" s="277"/>
      <c r="R113" s="277"/>
      <c r="S113" s="280"/>
      <c r="T113" s="277"/>
      <c r="U113" s="277" t="s">
        <v>674</v>
      </c>
      <c r="V113" s="281" t="s">
        <v>27</v>
      </c>
      <c r="W113" s="282"/>
      <c r="X113" s="283"/>
      <c r="Z113" s="183"/>
      <c r="AA113" s="183"/>
    </row>
    <row r="114" spans="1:27" s="182" customFormat="1" ht="15" customHeight="1" thickBot="1">
      <c r="A114" s="211"/>
      <c r="B114" s="206"/>
      <c r="C114" s="129">
        <f>SUMIF(Densidades!A:A,'Memória TOTAL'!X114,Densidades!B:B)</f>
        <v>0</v>
      </c>
      <c r="D114" s="130">
        <f>SUMIF(Densidades!A:A,'Memória TOTAL'!X114,Densidades!C:C)</f>
        <v>0</v>
      </c>
      <c r="E114" s="130" t="str">
        <f>IF(I114=15,"FIRECLAY MORTAR",IF(I114=16,"ALUMINA MORTAR",IF(I114=17,"BASIC MORTAR",IF(I114=18,"MORTAR","-"))))</f>
        <v>-</v>
      </c>
      <c r="F114" s="130" t="str">
        <f>IF(I114=15,"FIRECLAY MORTAR",IF(I114=16,"ALUMINA MORTAR",IF(I114=17,"BASIC MORTAR",IF(I114=18,"MORTAR","-"))))</f>
        <v>-</v>
      </c>
      <c r="G114" s="130" t="str">
        <f>IF(I114=15,"FIRECLAY MORTAR",IF(I114=16,"ALUMINA MORTAR",IF(I114=17,"BASIC MORTAR",IF(I114=18,"MORTAR","-"))))</f>
        <v>-</v>
      </c>
      <c r="H114" s="130" t="str">
        <f>IF(I114=15,"FIRECLAY MORTAR",IF(I114=16,"ALUMINA MORTAR",IF(I114=17,"BASIC MORTAR",IF(I114=18,"MORTAR","-"))))</f>
        <v>-</v>
      </c>
      <c r="I114" s="130">
        <f>SUMIF(Densidades!A:A,'Memória TOTAL'!X114,Densidades!G:G)</f>
        <v>0</v>
      </c>
      <c r="J114" s="132">
        <f>SUMIF(Formatos!A:A,'Memória TOTAL'!X115,Formatos!G:G)</f>
        <v>0</v>
      </c>
      <c r="K114" s="133">
        <f>SUMIF(Densidades!A:A,'Memória TOTAL'!X114,Densidades!I:I)</f>
        <v>0</v>
      </c>
      <c r="L114" s="184">
        <v>0</v>
      </c>
      <c r="M114" s="185"/>
      <c r="N114" s="185"/>
      <c r="O114" s="185"/>
      <c r="P114" s="185"/>
      <c r="Q114" s="185"/>
      <c r="R114" s="185"/>
      <c r="S114" s="185"/>
      <c r="T114" s="186"/>
      <c r="U114" s="286"/>
      <c r="V114" s="188" t="e">
        <f>(W107*J107*C114)*U114</f>
        <v>#VALUE!</v>
      </c>
      <c r="W114" s="189" t="str">
        <f>IF(C114=0,"",ROUNDUP(SUM(V114:V115)*(1+L114),0))</f>
        <v/>
      </c>
      <c r="X114" s="259"/>
      <c r="Z114" s="183"/>
      <c r="AA114" s="183"/>
    </row>
    <row r="115" spans="1:27" s="182" customFormat="1" ht="15" customHeight="1">
      <c r="A115" s="211"/>
      <c r="B115" s="206"/>
      <c r="C115" s="129"/>
      <c r="D115" s="191"/>
      <c r="E115" s="191"/>
      <c r="F115" s="191"/>
      <c r="G115" s="191"/>
      <c r="H115" s="191"/>
      <c r="I115" s="191"/>
      <c r="J115" s="192"/>
      <c r="K115" s="192"/>
      <c r="L115" s="140"/>
      <c r="M115" s="191"/>
      <c r="N115" s="191"/>
      <c r="O115" s="191"/>
      <c r="P115" s="191"/>
      <c r="Q115" s="191"/>
      <c r="R115" s="191"/>
      <c r="S115" s="191"/>
      <c r="T115" s="191"/>
      <c r="U115" s="191"/>
      <c r="V115" s="193"/>
      <c r="W115" s="181"/>
      <c r="X115" s="137" t="str">
        <f>IF(AND(H114="-",G114="-",F114="-"),E114,IF(AND(H114="-",G114="-",E114="-"),F114,IF(AND(H114="-",F114="-",E114="-"),G114,H114)))</f>
        <v>-</v>
      </c>
      <c r="Z115" s="183"/>
      <c r="AA115" s="183"/>
    </row>
    <row r="116" spans="1:27" s="182" customFormat="1" ht="15" customHeight="1">
      <c r="A116" s="211"/>
      <c r="B116" s="209"/>
      <c r="C116" s="129"/>
      <c r="D116" s="191"/>
      <c r="E116" s="191"/>
      <c r="F116" s="191"/>
      <c r="G116" s="191"/>
      <c r="H116" s="191"/>
      <c r="I116" s="191"/>
      <c r="J116" s="192"/>
      <c r="K116" s="192"/>
      <c r="L116" s="140"/>
      <c r="M116" s="191"/>
      <c r="N116" s="191"/>
      <c r="O116" s="191"/>
      <c r="P116" s="191"/>
      <c r="Q116" s="191"/>
      <c r="R116" s="191"/>
      <c r="S116" s="191"/>
      <c r="T116" s="191"/>
      <c r="U116" s="191"/>
      <c r="V116" s="193"/>
      <c r="W116" s="181"/>
      <c r="X116" s="137" t="s">
        <v>2</v>
      </c>
      <c r="Z116" s="183"/>
      <c r="AA116" s="183"/>
    </row>
    <row r="117" spans="1:27" ht="15" customHeight="1">
      <c r="A117" s="211"/>
      <c r="B117" s="127"/>
      <c r="C117" s="165"/>
      <c r="D117" s="166"/>
      <c r="E117" s="166"/>
      <c r="F117" s="166"/>
      <c r="G117" s="166"/>
      <c r="H117" s="166"/>
      <c r="I117" s="166"/>
      <c r="J117" s="167"/>
      <c r="K117" s="167"/>
      <c r="L117" s="168"/>
      <c r="M117" s="166"/>
      <c r="N117" s="166"/>
      <c r="O117" s="166"/>
      <c r="P117" s="166"/>
      <c r="Q117" s="166"/>
      <c r="R117" s="166"/>
      <c r="S117" s="166"/>
      <c r="T117" s="166"/>
      <c r="U117" s="166"/>
      <c r="V117" s="169"/>
      <c r="W117" s="170"/>
      <c r="X117" s="171"/>
    </row>
    <row r="118" spans="1:27" s="182" customFormat="1" ht="15" customHeight="1" thickBot="1">
      <c r="A118" s="211"/>
      <c r="B118" s="275" t="s">
        <v>1007</v>
      </c>
      <c r="C118" s="276"/>
      <c r="D118" s="277"/>
      <c r="E118" s="277"/>
      <c r="F118" s="277"/>
      <c r="G118" s="277"/>
      <c r="H118" s="277"/>
      <c r="I118" s="277"/>
      <c r="J118" s="278"/>
      <c r="K118" s="278"/>
      <c r="L118" s="279"/>
      <c r="M118" s="277"/>
      <c r="N118" s="277"/>
      <c r="O118" s="277"/>
      <c r="P118" s="277"/>
      <c r="Q118" s="277"/>
      <c r="R118" s="277" t="s">
        <v>632</v>
      </c>
      <c r="S118" s="280" t="s">
        <v>633</v>
      </c>
      <c r="T118" s="277" t="s">
        <v>634</v>
      </c>
      <c r="U118" s="277" t="s">
        <v>38</v>
      </c>
      <c r="V118" s="281" t="s">
        <v>27</v>
      </c>
      <c r="W118" s="282"/>
      <c r="X118" s="283"/>
      <c r="Z118" s="183"/>
      <c r="AA118" s="183"/>
    </row>
    <row r="119" spans="1:27" s="182" customFormat="1" ht="15" customHeight="1" thickBot="1">
      <c r="A119" s="211"/>
      <c r="B119" s="206"/>
      <c r="C119" s="129">
        <f>SUMIF(Densidades!A:A,'Memória TOTAL'!X119,Densidades!B:B)</f>
        <v>0</v>
      </c>
      <c r="D119" s="130">
        <f>SUMIF(Densidades!A:A,'Memória TOTAL'!X119,Densidades!C:C)</f>
        <v>0</v>
      </c>
      <c r="E119" s="130" t="str">
        <f>IF(I119=15,"FIRECLAY MORTAR",IF(I119=16,"ALUMINA MORTAR",IF(I119=17,"BASIC MORTAR",IF(I119=18,"MORTAR","-"))))</f>
        <v>-</v>
      </c>
      <c r="F119" s="130" t="str">
        <f>IF(I119=15,"FIRECLAY MORTAR",IF(I119=16,"ALUMINA MORTAR",IF(I119=17,"BASIC MORTAR",IF(I119=18,"MORTAR","-"))))</f>
        <v>-</v>
      </c>
      <c r="G119" s="130" t="str">
        <f>IF(I119=15,"FIRECLAY MORTAR",IF(I119=16,"ALUMINA MORTAR",IF(I119=17,"BASIC MORTAR",IF(I119=18,"MORTAR","-"))))</f>
        <v>-</v>
      </c>
      <c r="H119" s="130" t="str">
        <f>IF(I119=15,"FIRECLAY MORTAR",IF(I119=16,"ALUMINA MORTAR",IF(I119=17,"BASIC MORTAR",IF(I119=18,"MORTAR","-"))))</f>
        <v>-</v>
      </c>
      <c r="I119" s="130">
        <f>SUMIF(Densidades!A:A,'Memória TOTAL'!X119,Densidades!G:G)</f>
        <v>0</v>
      </c>
      <c r="J119" s="132">
        <f>SUMIF(Formatos!A:A,'Memória TOTAL'!X120,Formatos!G:G)</f>
        <v>0</v>
      </c>
      <c r="K119" s="218">
        <f>SUMIF(Densidades!A:A,'Memória TOTAL'!X119,Densidades!I:I)</f>
        <v>0</v>
      </c>
      <c r="L119" s="184">
        <v>0</v>
      </c>
      <c r="M119" s="185"/>
      <c r="N119" s="185"/>
      <c r="O119" s="185"/>
      <c r="P119" s="185"/>
      <c r="Q119" s="185"/>
      <c r="R119" s="186">
        <f>((G107*H107)+(G107*E107)+(H107*E107))/1000000</f>
        <v>0</v>
      </c>
      <c r="S119" s="255">
        <v>2</v>
      </c>
      <c r="T119" s="186">
        <f>R119*S119</f>
        <v>0</v>
      </c>
      <c r="U119" s="187">
        <f>SUM(W107:W108)</f>
        <v>0</v>
      </c>
      <c r="V119" s="188">
        <f>(T119*C119*(1+L119))*U119</f>
        <v>0</v>
      </c>
      <c r="W119" s="189" t="str">
        <f>IF(C119=0,"",ROUNDUP(SUM(V119:V120)*(1+L119),0))</f>
        <v/>
      </c>
      <c r="X119" s="259"/>
      <c r="Z119" s="183"/>
      <c r="AA119" s="183"/>
    </row>
    <row r="120" spans="1:27" s="182" customFormat="1" ht="15" customHeight="1">
      <c r="A120" s="211"/>
      <c r="B120" s="206"/>
      <c r="C120" s="129"/>
      <c r="D120" s="191"/>
      <c r="E120" s="191"/>
      <c r="F120" s="191"/>
      <c r="G120" s="191"/>
      <c r="H120" s="191"/>
      <c r="I120" s="191"/>
      <c r="J120" s="192"/>
      <c r="K120" s="192"/>
      <c r="L120" s="140"/>
      <c r="M120" s="191"/>
      <c r="N120" s="191"/>
      <c r="O120" s="191"/>
      <c r="P120" s="191"/>
      <c r="Q120" s="191"/>
      <c r="R120" s="191"/>
      <c r="S120" s="191"/>
      <c r="T120" s="191"/>
      <c r="U120" s="191"/>
      <c r="V120" s="193"/>
      <c r="W120" s="181"/>
      <c r="X120" s="137" t="str">
        <f>IF(AND(H119="-",G119="-",F119="-"),E119,IF(AND(H119="-",G119="-",E119="-"),F119,IF(AND(H119="-",F119="-",E119="-"),G119,H119)))</f>
        <v>-</v>
      </c>
      <c r="Z120" s="183"/>
      <c r="AA120" s="183"/>
    </row>
    <row r="121" spans="1:27" s="182" customFormat="1" ht="15" customHeight="1">
      <c r="A121" s="211"/>
      <c r="B121" s="209"/>
      <c r="C121" s="129"/>
      <c r="D121" s="191"/>
      <c r="E121" s="191"/>
      <c r="F121" s="191"/>
      <c r="G121" s="191"/>
      <c r="H121" s="191"/>
      <c r="I121" s="191"/>
      <c r="J121" s="192"/>
      <c r="K121" s="192"/>
      <c r="L121" s="140"/>
      <c r="M121" s="191"/>
      <c r="N121" s="191"/>
      <c r="O121" s="191"/>
      <c r="P121" s="191"/>
      <c r="Q121" s="191"/>
      <c r="R121" s="191"/>
      <c r="S121" s="191"/>
      <c r="T121" s="191"/>
      <c r="U121" s="191"/>
      <c r="V121" s="193"/>
      <c r="W121" s="181"/>
      <c r="X121" s="137" t="s">
        <v>2</v>
      </c>
      <c r="Z121" s="183"/>
      <c r="AA121" s="183"/>
    </row>
    <row r="122" spans="1:27" s="182" customFormat="1" ht="15" customHeight="1">
      <c r="A122" s="211"/>
      <c r="B122" s="209"/>
      <c r="C122" s="129"/>
      <c r="D122" s="191"/>
      <c r="E122" s="191"/>
      <c r="F122" s="191"/>
      <c r="G122" s="191"/>
      <c r="H122" s="191"/>
      <c r="I122" s="191"/>
      <c r="J122" s="192"/>
      <c r="K122" s="192"/>
      <c r="L122" s="140"/>
      <c r="M122" s="191"/>
      <c r="N122" s="191"/>
      <c r="O122" s="191"/>
      <c r="P122" s="191"/>
      <c r="Q122" s="191"/>
      <c r="R122" s="191"/>
      <c r="S122" s="191"/>
      <c r="T122" s="191"/>
      <c r="U122" s="191"/>
      <c r="V122" s="193"/>
      <c r="W122" s="181"/>
      <c r="X122" s="137"/>
      <c r="Z122" s="183"/>
      <c r="AA122" s="183"/>
    </row>
    <row r="123" spans="1:27" s="182" customFormat="1" ht="15" customHeight="1" thickBot="1">
      <c r="A123" s="211"/>
      <c r="B123" s="505"/>
      <c r="C123" s="505"/>
      <c r="D123" s="508"/>
      <c r="E123" s="508"/>
      <c r="F123" s="508"/>
      <c r="G123" s="508"/>
      <c r="H123" s="508"/>
      <c r="I123" s="508"/>
      <c r="J123" s="508"/>
      <c r="K123" s="508"/>
      <c r="L123" s="508"/>
      <c r="M123" s="508"/>
      <c r="N123" s="508"/>
      <c r="O123" s="508"/>
      <c r="P123" s="508"/>
      <c r="Q123" s="508"/>
      <c r="R123" s="508"/>
      <c r="S123" s="508"/>
      <c r="T123" s="508"/>
      <c r="U123" s="508"/>
      <c r="V123" s="508"/>
      <c r="W123" s="508"/>
      <c r="X123" s="509"/>
      <c r="Z123" s="183"/>
      <c r="AA123" s="183"/>
    </row>
    <row r="124" spans="1:27" ht="15" customHeight="1" thickBot="1">
      <c r="A124" s="211"/>
      <c r="B124" s="268" t="str">
        <f>IF(X125="","TIJOLO / COMPOSIÇÃO",X125)</f>
        <v>TIJOLO / COMPOSIÇÃO</v>
      </c>
      <c r="C124" s="269" t="s">
        <v>101</v>
      </c>
      <c r="D124" s="270" t="s">
        <v>102</v>
      </c>
      <c r="E124" s="270" t="s">
        <v>42</v>
      </c>
      <c r="F124" s="270" t="s">
        <v>42</v>
      </c>
      <c r="G124" s="270" t="s">
        <v>43</v>
      </c>
      <c r="H124" s="270" t="s">
        <v>44</v>
      </c>
      <c r="I124" s="270" t="s">
        <v>47</v>
      </c>
      <c r="J124" s="270" t="s">
        <v>103</v>
      </c>
      <c r="K124" s="270" t="s">
        <v>37</v>
      </c>
      <c r="L124" s="270" t="s">
        <v>39</v>
      </c>
      <c r="M124" s="270" t="s">
        <v>45</v>
      </c>
      <c r="N124" s="270" t="s">
        <v>46</v>
      </c>
      <c r="O124" s="270" t="s">
        <v>668</v>
      </c>
      <c r="P124" s="270" t="s">
        <v>51</v>
      </c>
      <c r="Q124" s="270" t="s">
        <v>52</v>
      </c>
      <c r="R124" s="270"/>
      <c r="S124" s="270"/>
      <c r="T124" s="270" t="s">
        <v>669</v>
      </c>
      <c r="U124" s="270" t="s">
        <v>673</v>
      </c>
      <c r="V124" s="271" t="s">
        <v>27</v>
      </c>
      <c r="W124" s="272"/>
      <c r="X124" s="273"/>
    </row>
    <row r="125" spans="1:27" ht="15" customHeight="1" thickBot="1">
      <c r="A125" s="240"/>
      <c r="B125" s="242" t="s">
        <v>670</v>
      </c>
      <c r="C125" s="241">
        <f>SUMIF(Densidades!A:A,'Memória TOTAL'!X125,Densidades!B:B)</f>
        <v>0</v>
      </c>
      <c r="D125" s="130">
        <f>SUMIF(Densidades!A:A,'Memória TOTAL'!X125,Densidades!C:C)</f>
        <v>0</v>
      </c>
      <c r="E125" s="131">
        <f>IF(AND(E131=1,E132=2),SUMIF(Formatos!A:A,'Memória TOTAL'!X126,Formatos!D:D),SUMIF(Formatos!A:A,'Memória TOTAL'!X126,Formatos!E:E))</f>
        <v>0</v>
      </c>
      <c r="F125" s="131">
        <f>IF(AND(E131=1,E132=2),SUMIF(Formatos!A:A,'Memória TOTAL'!X126,Formatos!R:R),SUMIF(Formatos!A:A,'Memória TOTAL'!X126,Formatos!F:F))</f>
        <v>0</v>
      </c>
      <c r="G125" s="131">
        <f>SUMIF(Formatos!A:A,'Memória TOTAL'!X126,Formatos!C:C)</f>
        <v>0</v>
      </c>
      <c r="H125" s="131">
        <f>IF(AND(E131=1,E132=2),SUMIF(Formatos!A:A,'Memória TOTAL'!X126,Formatos!E:E),SUMIF(Formatos!A:A,'Memória TOTAL'!X126,Formatos!D:D))</f>
        <v>0</v>
      </c>
      <c r="I125" s="131">
        <f>SUMIF(Densidades!A:A,'Memória TOTAL'!X125,Densidades!H:H)</f>
        <v>0</v>
      </c>
      <c r="J125" s="132">
        <f>SUMIF(Formatos!A:A,'Memória TOTAL'!X126,Formatos!G:G)</f>
        <v>0</v>
      </c>
      <c r="K125" s="133">
        <f>SUMIF(Densidades!A:A,'Memória TOTAL'!X125,Densidades!I:I)</f>
        <v>0</v>
      </c>
      <c r="L125" s="249">
        <v>0</v>
      </c>
      <c r="M125" s="252"/>
      <c r="N125" s="252"/>
      <c r="O125" s="253"/>
      <c r="P125" s="251">
        <f>O125*2</f>
        <v>0</v>
      </c>
      <c r="Q125" s="135">
        <f>P125-(2*M125)</f>
        <v>0</v>
      </c>
      <c r="R125" s="135"/>
      <c r="S125" s="256"/>
      <c r="T125" s="257">
        <f>IF(AND(B127=0,B129=0),,IF(AND(B129=0,B127&lt;&gt;0),1,IF(OR(B129-B127&gt;=0,B129=0),(B129-B127)+1,"ERRO")))</f>
        <v>0</v>
      </c>
      <c r="U125" s="253"/>
      <c r="V125" s="252" t="str">
        <f>IF(M125="","",IF(AND(OR(M125=E125,M125=G125,M125=H125),H125=H129),ROUND(P135,0),"ESP. ERRADA"))</f>
        <v/>
      </c>
      <c r="W125" s="258" t="str">
        <f>IFERROR(IF(C125=0,"",ROUNDUP(SUM(V125)*(1+L125),0))*T125*U125,"")</f>
        <v/>
      </c>
      <c r="X125" s="259"/>
    </row>
    <row r="126" spans="1:27" s="182" customFormat="1" ht="15" customHeight="1" thickBot="1">
      <c r="A126" s="260"/>
      <c r="B126" s="245" t="s">
        <v>112</v>
      </c>
      <c r="C126" s="232"/>
      <c r="D126" s="191"/>
      <c r="E126" s="191"/>
      <c r="F126" s="191"/>
      <c r="G126" s="191"/>
      <c r="H126" s="191"/>
      <c r="I126" s="191"/>
      <c r="J126" s="192"/>
      <c r="K126" s="192"/>
      <c r="L126" s="140"/>
      <c r="M126" s="191"/>
      <c r="N126" s="191"/>
      <c r="O126" s="191"/>
      <c r="P126" s="191"/>
      <c r="Q126" s="191"/>
      <c r="R126" s="191"/>
      <c r="S126" s="191"/>
      <c r="T126" s="191"/>
      <c r="U126" s="191"/>
      <c r="V126" s="193"/>
      <c r="W126" s="181"/>
      <c r="X126" s="137" t="str">
        <f>IF(B131="","",B131)</f>
        <v/>
      </c>
      <c r="Z126" s="183"/>
      <c r="AA126" s="183"/>
    </row>
    <row r="127" spans="1:27" s="182" customFormat="1" ht="15" customHeight="1" thickBot="1">
      <c r="A127" s="260"/>
      <c r="B127" s="261"/>
      <c r="C127" s="232"/>
      <c r="D127" s="191"/>
      <c r="E127" s="191"/>
      <c r="F127" s="191"/>
      <c r="G127" s="191"/>
      <c r="H127" s="191"/>
      <c r="I127" s="191"/>
      <c r="J127" s="192"/>
      <c r="K127" s="192"/>
      <c r="L127" s="140"/>
      <c r="M127" s="191"/>
      <c r="N127" s="191"/>
      <c r="O127" s="191"/>
      <c r="P127" s="191"/>
      <c r="Q127" s="191"/>
      <c r="R127" s="191"/>
      <c r="S127" s="191"/>
      <c r="T127" s="191"/>
      <c r="U127" s="191"/>
      <c r="V127" s="193"/>
      <c r="W127" s="181"/>
      <c r="X127" s="137" t="s">
        <v>520</v>
      </c>
      <c r="Z127" s="183"/>
      <c r="AA127" s="183"/>
    </row>
    <row r="128" spans="1:27" s="182" customFormat="1" ht="15" customHeight="1" thickBot="1">
      <c r="A128" s="260"/>
      <c r="B128" s="245" t="s">
        <v>22</v>
      </c>
      <c r="C128" s="232" t="str">
        <f t="shared" ref="C128:L128" si="8">C124</f>
        <v>Dens.</v>
      </c>
      <c r="D128" s="191" t="str">
        <f t="shared" si="8"/>
        <v>Emb.</v>
      </c>
      <c r="E128" s="234" t="str">
        <f t="shared" si="8"/>
        <v>Esp. Tij.</v>
      </c>
      <c r="F128" s="234" t="str">
        <f t="shared" si="8"/>
        <v>Esp. Tij.</v>
      </c>
      <c r="G128" s="234" t="str">
        <f t="shared" si="8"/>
        <v>Comp. Tij.</v>
      </c>
      <c r="H128" s="234" t="str">
        <f t="shared" si="8"/>
        <v>Larg. Tij.</v>
      </c>
      <c r="I128" s="234" t="str">
        <f t="shared" si="8"/>
        <v>Tipo Fator</v>
      </c>
      <c r="J128" s="234" t="str">
        <f t="shared" si="8"/>
        <v>Vol.</v>
      </c>
      <c r="K128" s="234" t="str">
        <f t="shared" si="8"/>
        <v>Class.</v>
      </c>
      <c r="L128" s="191" t="str">
        <f t="shared" si="8"/>
        <v>Coefic. (%)</v>
      </c>
      <c r="M128" s="191"/>
      <c r="N128" s="191"/>
      <c r="O128" s="191"/>
      <c r="P128" s="191"/>
      <c r="Q128" s="191"/>
      <c r="R128" s="191"/>
      <c r="S128" s="191"/>
      <c r="T128" s="191"/>
      <c r="U128" s="191"/>
      <c r="V128" s="238"/>
      <c r="W128" s="181"/>
      <c r="X128" s="137"/>
      <c r="Z128" s="183"/>
      <c r="AA128" s="183"/>
    </row>
    <row r="129" spans="1:27" s="182" customFormat="1" ht="15" customHeight="1" thickBot="1">
      <c r="A129" s="260"/>
      <c r="B129" s="261"/>
      <c r="C129" s="241">
        <f>SUMIF(Densidades!A:A,'Memória TOTAL'!X129,Densidades!B:B)</f>
        <v>0</v>
      </c>
      <c r="D129" s="130">
        <f>SUMIF(Densidades!A:A,'Memória TOTAL'!X129,Densidades!C:C)</f>
        <v>620</v>
      </c>
      <c r="E129" s="131">
        <f>SUMIF(Formatos!A:A,'Memória TOTAL'!X130,Formatos!E:E)</f>
        <v>0</v>
      </c>
      <c r="F129" s="131">
        <f>SUMIF(Formatos!A:A,'Memória TOTAL'!X130,Formatos!F:F)</f>
        <v>0</v>
      </c>
      <c r="G129" s="131">
        <f>SUMIF(Formatos!A:A,'Memória TOTAL'!X130,Formatos!C:C)</f>
        <v>0</v>
      </c>
      <c r="H129" s="131">
        <f>SUMIF(Formatos!A:A,'Memória TOTAL'!X130,Formatos!D:D)</f>
        <v>0</v>
      </c>
      <c r="I129" s="131">
        <f>SUMIF(Densidades!A:A,'Memória TOTAL'!X129,Densidades!H:H)</f>
        <v>0</v>
      </c>
      <c r="J129" s="132">
        <f>SUMIF(Formatos!A:A,'Memória TOTAL'!X130,Formatos!G:G)</f>
        <v>0</v>
      </c>
      <c r="K129" s="218">
        <f>SUMIF(Densidades!A:A,'Memória TOTAL'!X129,Densidades!I:I)</f>
        <v>177</v>
      </c>
      <c r="L129" s="219">
        <v>0</v>
      </c>
      <c r="M129" s="191"/>
      <c r="N129" s="191"/>
      <c r="O129" s="191"/>
      <c r="P129" s="191"/>
      <c r="Q129" s="191"/>
      <c r="R129" s="191"/>
      <c r="S129" s="191"/>
      <c r="T129" s="228"/>
      <c r="U129" s="231"/>
      <c r="V129" s="252" t="str">
        <f>IF(M125="","",IF(AND(OR(M125=E129,M125=G129,M125=H129),H125=H129),ROUND(Q135,0),"ESP. ERRADA"))</f>
        <v/>
      </c>
      <c r="W129" s="263" t="str">
        <f>IFERROR(IF(C129=0,"",ROUNDUP(SUM(V129)*(1+L129),0))*T125*U125,"")</f>
        <v/>
      </c>
      <c r="X129" s="137" t="str">
        <f>IF(X125="","",X125)</f>
        <v/>
      </c>
      <c r="Z129" s="183"/>
      <c r="AA129" s="183"/>
    </row>
    <row r="130" spans="1:27" s="182" customFormat="1" ht="15" customHeight="1" thickBot="1">
      <c r="A130" s="260"/>
      <c r="B130" s="243" t="s">
        <v>671</v>
      </c>
      <c r="C130" s="232"/>
      <c r="D130" s="191"/>
      <c r="E130" s="191"/>
      <c r="F130" s="191"/>
      <c r="G130" s="191"/>
      <c r="H130" s="191"/>
      <c r="I130" s="191"/>
      <c r="J130" s="192"/>
      <c r="K130" s="192"/>
      <c r="L130" s="140"/>
      <c r="M130" s="191"/>
      <c r="N130" s="191"/>
      <c r="O130" s="191"/>
      <c r="P130" s="191"/>
      <c r="Q130" s="191"/>
      <c r="R130" s="191"/>
      <c r="S130" s="191"/>
      <c r="T130" s="191"/>
      <c r="U130" s="191"/>
      <c r="V130" s="193"/>
      <c r="W130" s="181"/>
      <c r="X130" s="137" t="str">
        <f>IF(B132="","",B132)</f>
        <v/>
      </c>
      <c r="Z130" s="183"/>
      <c r="AA130" s="183"/>
    </row>
    <row r="131" spans="1:27" s="182" customFormat="1" ht="15" customHeight="1" thickBot="1">
      <c r="A131" s="260"/>
      <c r="B131" s="259"/>
      <c r="C131" s="239" t="s">
        <v>54</v>
      </c>
      <c r="D131" s="235"/>
      <c r="E131" s="191">
        <f>SUMIF(Formatos!A:A,'Memória TOTAL'!X126,Formatos!S:S)</f>
        <v>0</v>
      </c>
      <c r="F131" s="234"/>
      <c r="G131" s="234"/>
      <c r="H131" s="144" t="s">
        <v>54</v>
      </c>
      <c r="I131" s="144" t="s">
        <v>55</v>
      </c>
      <c r="J131" s="192"/>
      <c r="K131" s="192"/>
      <c r="L131" s="140"/>
      <c r="M131" s="191"/>
      <c r="N131" s="191" t="s">
        <v>22</v>
      </c>
      <c r="O131" s="145" t="s">
        <v>48</v>
      </c>
      <c r="P131" s="145" t="s">
        <v>49</v>
      </c>
      <c r="Q131" s="146" t="s">
        <v>50</v>
      </c>
      <c r="R131" s="145" t="s">
        <v>54</v>
      </c>
      <c r="S131" s="145" t="s">
        <v>55</v>
      </c>
      <c r="T131" s="191"/>
      <c r="U131" s="191"/>
      <c r="V131" s="193"/>
      <c r="W131" s="181"/>
      <c r="X131" s="137" t="s">
        <v>520</v>
      </c>
      <c r="Z131" s="183"/>
      <c r="AA131" s="183"/>
    </row>
    <row r="132" spans="1:27" s="182" customFormat="1" ht="15" customHeight="1" thickBot="1">
      <c r="A132" s="260"/>
      <c r="B132" s="259"/>
      <c r="C132" s="239" t="s">
        <v>55</v>
      </c>
      <c r="D132" s="235"/>
      <c r="E132" s="191">
        <f>SUMIF(Formatos!A:A,'Memória TOTAL'!X130,Formatos!S:S)</f>
        <v>0</v>
      </c>
      <c r="F132" s="191"/>
      <c r="G132" s="191"/>
      <c r="H132" s="236" t="e">
        <f>(1/(-(N132+N125)*(Q132+N125)+(O132+N125)*(P132+N125)))*3.1416*(-P125*(Q132+N125)+Q125*(P132+N125))</f>
        <v>#DIV/0!</v>
      </c>
      <c r="I132" s="236" t="e">
        <f>((P125*PI())-(H132*(N132+N125)))/(P132+N125)</f>
        <v>#DIV/0!</v>
      </c>
      <c r="J132" s="192"/>
      <c r="K132" s="192"/>
      <c r="L132" s="140"/>
      <c r="M132" s="191"/>
      <c r="N132" s="191">
        <f>E125</f>
        <v>0</v>
      </c>
      <c r="O132" s="147">
        <f>F125</f>
        <v>0</v>
      </c>
      <c r="P132" s="147">
        <f>E129</f>
        <v>0</v>
      </c>
      <c r="Q132" s="153">
        <f>F129</f>
        <v>0</v>
      </c>
      <c r="R132" s="147" t="e">
        <f>IF(ROUND(H132+0.4,0)&gt;=0,ROUND(H132+0.4,0),"ERRO")</f>
        <v>#DIV/0!</v>
      </c>
      <c r="S132" s="147" t="e">
        <f>IF(ROUND(I132+0.4,0)&gt;=0,ROUND(I132+0.4,0),"ERRO")</f>
        <v>#DIV/0!</v>
      </c>
      <c r="T132" s="191"/>
      <c r="U132" s="191"/>
      <c r="V132" s="193"/>
      <c r="W132" s="227"/>
      <c r="X132" s="137"/>
      <c r="Z132" s="183"/>
      <c r="AA132" s="183"/>
    </row>
    <row r="133" spans="1:27" s="151" customFormat="1" ht="15" customHeight="1" thickBot="1">
      <c r="A133" s="244"/>
      <c r="B133" s="243" t="s">
        <v>672</v>
      </c>
      <c r="C133" s="232"/>
      <c r="D133" s="191"/>
      <c r="E133" s="191"/>
      <c r="F133" s="191"/>
      <c r="G133" s="191"/>
      <c r="H133" s="191"/>
      <c r="I133" s="191"/>
      <c r="J133" s="192"/>
      <c r="K133" s="192"/>
      <c r="L133" s="191"/>
      <c r="M133" s="191"/>
      <c r="N133" s="191"/>
      <c r="O133" s="237"/>
      <c r="P133" s="191"/>
      <c r="Q133" s="191"/>
      <c r="R133" s="191"/>
      <c r="S133" s="191"/>
      <c r="T133" s="147"/>
      <c r="U133" s="147"/>
      <c r="V133" s="148"/>
      <c r="W133" s="149"/>
      <c r="X133" s="150"/>
      <c r="Z133" s="152"/>
      <c r="AA133" s="152"/>
    </row>
    <row r="134" spans="1:27" s="151" customFormat="1" ht="15" customHeight="1" thickBot="1">
      <c r="A134" s="244"/>
      <c r="B134" s="246"/>
      <c r="C134" s="232"/>
      <c r="D134" s="191"/>
      <c r="E134" s="191"/>
      <c r="F134" s="191"/>
      <c r="G134" s="191"/>
      <c r="H134" s="191"/>
      <c r="I134" s="191"/>
      <c r="J134" s="192"/>
      <c r="K134" s="192"/>
      <c r="L134" s="191"/>
      <c r="M134" s="191"/>
      <c r="N134" s="231"/>
      <c r="O134" s="605" t="s">
        <v>53</v>
      </c>
      <c r="P134" s="232" t="s">
        <v>54</v>
      </c>
      <c r="Q134" s="191" t="s">
        <v>55</v>
      </c>
      <c r="R134" s="191"/>
      <c r="S134" s="191"/>
      <c r="T134" s="147"/>
      <c r="U134" s="147"/>
      <c r="V134" s="148"/>
      <c r="W134" s="149"/>
      <c r="X134" s="150"/>
      <c r="Z134" s="152"/>
      <c r="AA134" s="152"/>
    </row>
    <row r="135" spans="1:27" s="151" customFormat="1" ht="15" customHeight="1" thickBot="1">
      <c r="A135" s="244"/>
      <c r="B135" s="247" t="str">
        <f>IF(AND(B129&lt;&gt;B127,B129&lt;&gt;0),"FIADAS "&amp;B127&amp;" a "&amp;B129,"FIADA "&amp;B127)</f>
        <v xml:space="preserve">FIADA </v>
      </c>
      <c r="C135" s="264"/>
      <c r="D135" s="197"/>
      <c r="E135" s="197"/>
      <c r="F135" s="197"/>
      <c r="G135" s="197"/>
      <c r="H135" s="197"/>
      <c r="I135" s="197"/>
      <c r="J135" s="230"/>
      <c r="K135" s="230"/>
      <c r="L135" s="158"/>
      <c r="M135" s="197"/>
      <c r="N135" s="160"/>
      <c r="O135" s="255">
        <v>360</v>
      </c>
      <c r="P135" s="254" t="e">
        <f>IF(H132/360*O135-ROUNDDOWN(H132/360*O135,0)&gt;I132/360*O135-ROUNDDOWN(I132/360*O135,0),ROUNDUP(H132/360*O135,0),ROUNDUP(SUM(H132/360*O135,I132/360*O135),0)-ROUNDUP(I132/360*O135,0))</f>
        <v>#DIV/0!</v>
      </c>
      <c r="Q135" s="248" t="e">
        <f>IF(I132/360*O135-ROUNDDOWN(I132/360*O135,0)&gt;H132/360*O135-ROUNDDOWN(H132/360*O135,0),ROUNDUP(I132/360*O135,0),ROUNDUP(SUM(H132/360*O135,I132/360*O135),0)-ROUNDUP(H132/360*O135,0))</f>
        <v>#DIV/0!</v>
      </c>
      <c r="R135" s="159"/>
      <c r="S135" s="159"/>
      <c r="T135" s="159"/>
      <c r="U135" s="159"/>
      <c r="V135" s="160"/>
      <c r="W135" s="161"/>
      <c r="X135" s="162"/>
      <c r="Z135" s="152"/>
      <c r="AA135" s="152"/>
    </row>
    <row r="136" spans="1:27" s="182" customFormat="1" ht="15" customHeight="1">
      <c r="A136" s="211"/>
      <c r="B136" s="206"/>
      <c r="C136" s="294"/>
      <c r="D136" s="191"/>
      <c r="E136" s="131"/>
      <c r="F136" s="131"/>
      <c r="G136" s="131"/>
      <c r="H136" s="131"/>
      <c r="I136" s="228"/>
      <c r="J136" s="228"/>
      <c r="K136" s="228"/>
      <c r="L136" s="191"/>
      <c r="M136" s="191"/>
      <c r="N136" s="191"/>
      <c r="O136" s="140"/>
      <c r="P136" s="191"/>
      <c r="Q136" s="191"/>
      <c r="R136" s="191"/>
      <c r="S136" s="191"/>
      <c r="T136" s="191"/>
      <c r="U136" s="191"/>
      <c r="V136" s="193"/>
      <c r="W136" s="181"/>
      <c r="X136" s="137"/>
      <c r="Z136" s="183"/>
      <c r="AA136" s="183"/>
    </row>
    <row r="137" spans="1:27" s="182" customFormat="1" ht="15" customHeight="1">
      <c r="A137" s="211"/>
      <c r="B137" s="206"/>
      <c r="C137" s="294"/>
      <c r="D137" s="191"/>
      <c r="E137" s="131"/>
      <c r="F137" s="131"/>
      <c r="G137" s="131"/>
      <c r="H137" s="131"/>
      <c r="I137" s="228"/>
      <c r="J137" s="228"/>
      <c r="K137" s="228"/>
      <c r="L137" s="191"/>
      <c r="M137" s="191"/>
      <c r="N137" s="191"/>
      <c r="O137" s="140"/>
      <c r="P137" s="191"/>
      <c r="Q137" s="191"/>
      <c r="R137" s="191"/>
      <c r="S137" s="191"/>
      <c r="T137" s="191"/>
      <c r="U137" s="191"/>
      <c r="V137" s="193"/>
      <c r="W137" s="181"/>
      <c r="X137" s="137"/>
      <c r="Z137" s="183"/>
      <c r="AA137" s="183"/>
    </row>
    <row r="138" spans="1:27" s="182" customFormat="1" ht="15" customHeight="1" thickBot="1">
      <c r="A138" s="211"/>
      <c r="B138" s="275" t="s">
        <v>1006</v>
      </c>
      <c r="C138" s="276"/>
      <c r="D138" s="277"/>
      <c r="E138" s="277"/>
      <c r="F138" s="277"/>
      <c r="G138" s="277"/>
      <c r="H138" s="277"/>
      <c r="I138" s="277"/>
      <c r="J138" s="278"/>
      <c r="K138" s="278"/>
      <c r="L138" s="279"/>
      <c r="M138" s="277"/>
      <c r="N138" s="277"/>
      <c r="O138" s="277"/>
      <c r="P138" s="277"/>
      <c r="Q138" s="277"/>
      <c r="R138" s="277"/>
      <c r="S138" s="280"/>
      <c r="T138" s="277"/>
      <c r="U138" s="277" t="s">
        <v>674</v>
      </c>
      <c r="V138" s="281" t="s">
        <v>27</v>
      </c>
      <c r="W138" s="282"/>
      <c r="X138" s="283"/>
      <c r="Z138" s="183"/>
      <c r="AA138" s="183"/>
    </row>
    <row r="139" spans="1:27" s="182" customFormat="1" ht="15" customHeight="1" thickBot="1">
      <c r="A139" s="211"/>
      <c r="B139" s="206"/>
      <c r="C139" s="129">
        <f>SUMIF(Densidades!A:A,'Memória TOTAL'!X139,Densidades!B:B)</f>
        <v>0</v>
      </c>
      <c r="D139" s="130">
        <f>SUMIF(Densidades!A:A,'Memória TOTAL'!X139,Densidades!C:C)</f>
        <v>0</v>
      </c>
      <c r="E139" s="130" t="str">
        <f>IF(I139=15,"FIRECLAY MORTAR",IF(I139=16,"ALUMINA MORTAR",IF(I139=17,"BASIC MORTAR",IF(I139=18,"MORTAR","-"))))</f>
        <v>-</v>
      </c>
      <c r="F139" s="130" t="str">
        <f>IF(I139=15,"FIRECLAY MORTAR",IF(I139=16,"ALUMINA MORTAR",IF(I139=17,"BASIC MORTAR",IF(I139=18,"MORTAR","-"))))</f>
        <v>-</v>
      </c>
      <c r="G139" s="130" t="str">
        <f>IF(I139=15,"FIRECLAY MORTAR",IF(I139=16,"ALUMINA MORTAR",IF(I139=17,"BASIC MORTAR",IF(I139=18,"MORTAR","-"))))</f>
        <v>-</v>
      </c>
      <c r="H139" s="130" t="str">
        <f>IF(I139=15,"FIRECLAY MORTAR",IF(I139=16,"ALUMINA MORTAR",IF(I139=17,"BASIC MORTAR",IF(I139=18,"MORTAR","-"))))</f>
        <v>-</v>
      </c>
      <c r="I139" s="130">
        <f>SUMIF(Densidades!A:A,'Memória TOTAL'!X139,Densidades!G:G)</f>
        <v>0</v>
      </c>
      <c r="J139" s="132">
        <f>SUMIF(Formatos!A:A,'Memória TOTAL'!X140,Formatos!G:G)</f>
        <v>0</v>
      </c>
      <c r="K139" s="133">
        <f>SUMIF(Densidades!A:A,'Memória TOTAL'!X139,Densidades!I:I)</f>
        <v>0</v>
      </c>
      <c r="L139" s="184">
        <v>0</v>
      </c>
      <c r="M139" s="185"/>
      <c r="N139" s="185"/>
      <c r="O139" s="185"/>
      <c r="P139" s="185"/>
      <c r="Q139" s="185"/>
      <c r="R139" s="185"/>
      <c r="S139" s="185"/>
      <c r="T139" s="186"/>
      <c r="U139" s="286"/>
      <c r="V139" s="188" t="e">
        <f>(W125*J125*C139+W129*J129*C139)*U139</f>
        <v>#VALUE!</v>
      </c>
      <c r="W139" s="189" t="str">
        <f>IF(C139=0,"",ROUNDUP(SUM(V139:V140)*(1+L139),0))</f>
        <v/>
      </c>
      <c r="X139" s="259"/>
      <c r="Z139" s="183"/>
      <c r="AA139" s="183"/>
    </row>
    <row r="140" spans="1:27" s="182" customFormat="1" ht="15" customHeight="1">
      <c r="A140" s="211"/>
      <c r="B140" s="206"/>
      <c r="C140" s="129"/>
      <c r="D140" s="191"/>
      <c r="E140" s="191"/>
      <c r="F140" s="191"/>
      <c r="G140" s="191"/>
      <c r="H140" s="191"/>
      <c r="I140" s="191"/>
      <c r="J140" s="192"/>
      <c r="K140" s="192"/>
      <c r="L140" s="140"/>
      <c r="M140" s="191"/>
      <c r="N140" s="191"/>
      <c r="O140" s="191"/>
      <c r="P140" s="191"/>
      <c r="Q140" s="191"/>
      <c r="R140" s="191"/>
      <c r="S140" s="191"/>
      <c r="T140" s="191"/>
      <c r="U140" s="191"/>
      <c r="V140" s="193"/>
      <c r="W140" s="181"/>
      <c r="X140" s="137" t="str">
        <f>IF(AND(H139="-",G139="-",F139="-"),E139,IF(AND(H139="-",G139="-",E139="-"),F139,IF(AND(H139="-",F139="-",E139="-"),G139,H139)))</f>
        <v>-</v>
      </c>
      <c r="Z140" s="183"/>
      <c r="AA140" s="183"/>
    </row>
    <row r="141" spans="1:27" s="182" customFormat="1" ht="15" customHeight="1">
      <c r="A141" s="211"/>
      <c r="B141" s="209"/>
      <c r="C141" s="129"/>
      <c r="D141" s="191"/>
      <c r="E141" s="191"/>
      <c r="F141" s="191"/>
      <c r="G141" s="191"/>
      <c r="H141" s="191"/>
      <c r="I141" s="191"/>
      <c r="J141" s="192"/>
      <c r="K141" s="192"/>
      <c r="L141" s="140"/>
      <c r="M141" s="191"/>
      <c r="N141" s="191"/>
      <c r="O141" s="191"/>
      <c r="P141" s="191"/>
      <c r="Q141" s="191"/>
      <c r="R141" s="191"/>
      <c r="S141" s="191"/>
      <c r="T141" s="191"/>
      <c r="U141" s="191"/>
      <c r="V141" s="193"/>
      <c r="W141" s="181"/>
      <c r="X141" s="137" t="s">
        <v>2</v>
      </c>
      <c r="Z141" s="183"/>
      <c r="AA141" s="183"/>
    </row>
    <row r="142" spans="1:27" ht="15" customHeight="1">
      <c r="A142" s="211"/>
      <c r="B142" s="127"/>
      <c r="C142" s="165"/>
      <c r="D142" s="166"/>
      <c r="E142" s="166"/>
      <c r="F142" s="166"/>
      <c r="G142" s="166"/>
      <c r="H142" s="166"/>
      <c r="I142" s="166"/>
      <c r="J142" s="167"/>
      <c r="K142" s="167"/>
      <c r="L142" s="168"/>
      <c r="M142" s="166"/>
      <c r="N142" s="166"/>
      <c r="O142" s="166"/>
      <c r="P142" s="166"/>
      <c r="Q142" s="166"/>
      <c r="R142" s="166"/>
      <c r="S142" s="166"/>
      <c r="T142" s="166"/>
      <c r="U142" s="166"/>
      <c r="V142" s="169"/>
      <c r="W142" s="170"/>
      <c r="X142" s="171"/>
    </row>
    <row r="143" spans="1:27" s="182" customFormat="1" ht="15" customHeight="1" thickBot="1">
      <c r="A143" s="211"/>
      <c r="B143" s="275" t="s">
        <v>1007</v>
      </c>
      <c r="C143" s="276"/>
      <c r="D143" s="277"/>
      <c r="E143" s="277"/>
      <c r="F143" s="277"/>
      <c r="G143" s="277"/>
      <c r="H143" s="277"/>
      <c r="I143" s="277"/>
      <c r="J143" s="278"/>
      <c r="K143" s="278"/>
      <c r="L143" s="279"/>
      <c r="M143" s="277"/>
      <c r="N143" s="277"/>
      <c r="O143" s="277"/>
      <c r="P143" s="277"/>
      <c r="Q143" s="277"/>
      <c r="R143" s="277" t="s">
        <v>632</v>
      </c>
      <c r="S143" s="280" t="s">
        <v>633</v>
      </c>
      <c r="T143" s="277" t="s">
        <v>634</v>
      </c>
      <c r="U143" s="277" t="s">
        <v>38</v>
      </c>
      <c r="V143" s="281" t="s">
        <v>27</v>
      </c>
      <c r="W143" s="282"/>
      <c r="X143" s="283"/>
      <c r="Z143" s="183"/>
      <c r="AA143" s="183"/>
    </row>
    <row r="144" spans="1:27" s="182" customFormat="1" ht="15" customHeight="1" thickBot="1">
      <c r="A144" s="211"/>
      <c r="B144" s="206"/>
      <c r="C144" s="129">
        <f>SUMIF(Densidades!A:A,'Memória TOTAL'!X144,Densidades!B:B)</f>
        <v>0</v>
      </c>
      <c r="D144" s="130">
        <f>SUMIF(Densidades!A:A,'Memória TOTAL'!X144,Densidades!C:C)</f>
        <v>0</v>
      </c>
      <c r="E144" s="130" t="str">
        <f>IF(I144=15,"FIRECLAY MORTAR",IF(I144=16,"ALUMINA MORTAR",IF(I144=17,"BASIC MORTAR",IF(I144=18,"MORTAR","-"))))</f>
        <v>-</v>
      </c>
      <c r="F144" s="130" t="str">
        <f>IF(I144=15,"FIRECLAY MORTAR",IF(I144=16,"ALUMINA MORTAR",IF(I144=17,"BASIC MORTAR",IF(I144=18,"MORTAR","-"))))</f>
        <v>-</v>
      </c>
      <c r="G144" s="130" t="str">
        <f>IF(I144=15,"FIRECLAY MORTAR",IF(I144=16,"ALUMINA MORTAR",IF(I144=17,"BASIC MORTAR",IF(I144=18,"MORTAR","-"))))</f>
        <v>-</v>
      </c>
      <c r="H144" s="130" t="str">
        <f>IF(I144=15,"FIRECLAY MORTAR",IF(I144=16,"ALUMINA MORTAR",IF(I144=17,"BASIC MORTAR",IF(I144=18,"MORTAR","-"))))</f>
        <v>-</v>
      </c>
      <c r="I144" s="130">
        <f>SUMIF(Densidades!A:A,'Memória TOTAL'!X144,Densidades!G:G)</f>
        <v>0</v>
      </c>
      <c r="J144" s="132">
        <f>SUMIF(Formatos!A:A,'Memória TOTAL'!X145,Formatos!G:G)</f>
        <v>0</v>
      </c>
      <c r="K144" s="218">
        <f>SUMIF(Densidades!A:A,'Memória TOTAL'!X144,Densidades!I:I)</f>
        <v>0</v>
      </c>
      <c r="L144" s="184">
        <v>0</v>
      </c>
      <c r="M144" s="185"/>
      <c r="N144" s="185"/>
      <c r="O144" s="185"/>
      <c r="P144" s="185"/>
      <c r="Q144" s="185"/>
      <c r="R144" s="186">
        <f>((G125*H125)+(G125*E125)+(H125*E125))/1000000</f>
        <v>0</v>
      </c>
      <c r="S144" s="255">
        <v>2</v>
      </c>
      <c r="T144" s="186">
        <f>R144*S144</f>
        <v>0</v>
      </c>
      <c r="U144" s="187">
        <f>SUM(W125:W130)</f>
        <v>0</v>
      </c>
      <c r="V144" s="188">
        <f>(T144*C144*(1+L144))*U144</f>
        <v>0</v>
      </c>
      <c r="W144" s="189" t="str">
        <f>IF(C144=0,"",ROUNDUP(SUM(V144:V145)*(1+L144),0))</f>
        <v/>
      </c>
      <c r="X144" s="259"/>
      <c r="Z144" s="183"/>
      <c r="AA144" s="183"/>
    </row>
    <row r="145" spans="1:27" s="182" customFormat="1" ht="15" customHeight="1">
      <c r="A145" s="211"/>
      <c r="B145" s="206"/>
      <c r="C145" s="129"/>
      <c r="D145" s="191"/>
      <c r="E145" s="191"/>
      <c r="F145" s="191"/>
      <c r="G145" s="191"/>
      <c r="H145" s="191"/>
      <c r="I145" s="191"/>
      <c r="J145" s="192"/>
      <c r="K145" s="192"/>
      <c r="L145" s="140"/>
      <c r="M145" s="191"/>
      <c r="N145" s="191"/>
      <c r="O145" s="191"/>
      <c r="P145" s="191"/>
      <c r="Q145" s="191"/>
      <c r="R145" s="191"/>
      <c r="S145" s="191"/>
      <c r="T145" s="191"/>
      <c r="U145" s="191"/>
      <c r="V145" s="193"/>
      <c r="W145" s="181"/>
      <c r="X145" s="137" t="str">
        <f>IF(AND(H144="-",G144="-",F144="-"),E144,IF(AND(H144="-",G144="-",E144="-"),F144,IF(AND(H144="-",F144="-",E144="-"),G144,H144)))</f>
        <v>-</v>
      </c>
      <c r="Z145" s="183"/>
      <c r="AA145" s="183"/>
    </row>
    <row r="146" spans="1:27" s="182" customFormat="1" ht="15" customHeight="1">
      <c r="A146" s="211"/>
      <c r="B146" s="209"/>
      <c r="C146" s="129"/>
      <c r="D146" s="191"/>
      <c r="E146" s="191"/>
      <c r="F146" s="191"/>
      <c r="G146" s="191"/>
      <c r="H146" s="191"/>
      <c r="I146" s="191"/>
      <c r="J146" s="192"/>
      <c r="K146" s="192"/>
      <c r="L146" s="140"/>
      <c r="M146" s="191"/>
      <c r="N146" s="191"/>
      <c r="O146" s="191"/>
      <c r="P146" s="191"/>
      <c r="Q146" s="191"/>
      <c r="R146" s="191"/>
      <c r="S146" s="191"/>
      <c r="T146" s="191"/>
      <c r="U146" s="191"/>
      <c r="V146" s="193"/>
      <c r="W146" s="181"/>
      <c r="X146" s="137" t="s">
        <v>2</v>
      </c>
      <c r="Z146" s="183"/>
      <c r="AA146" s="183"/>
    </row>
    <row r="147" spans="1:27" s="182" customFormat="1" ht="15" customHeight="1">
      <c r="A147" s="211"/>
      <c r="B147" s="209"/>
      <c r="C147" s="129"/>
      <c r="D147" s="191"/>
      <c r="E147" s="191"/>
      <c r="F147" s="191"/>
      <c r="G147" s="191"/>
      <c r="H147" s="191"/>
      <c r="I147" s="191"/>
      <c r="J147" s="192"/>
      <c r="K147" s="192"/>
      <c r="L147" s="140"/>
      <c r="M147" s="191"/>
      <c r="N147" s="191"/>
      <c r="O147" s="191"/>
      <c r="P147" s="191"/>
      <c r="Q147" s="191"/>
      <c r="R147" s="191"/>
      <c r="S147" s="191"/>
      <c r="T147" s="191"/>
      <c r="U147" s="191"/>
      <c r="V147" s="193"/>
      <c r="W147" s="181"/>
      <c r="X147" s="137"/>
      <c r="Z147" s="183"/>
      <c r="AA147" s="183"/>
    </row>
    <row r="148" spans="1:27" s="182" customFormat="1" ht="15" customHeight="1" thickBot="1">
      <c r="A148" s="211"/>
      <c r="B148" s="505"/>
      <c r="C148" s="505"/>
      <c r="D148" s="508"/>
      <c r="E148" s="508"/>
      <c r="F148" s="508"/>
      <c r="G148" s="508"/>
      <c r="H148" s="508"/>
      <c r="I148" s="508"/>
      <c r="J148" s="508"/>
      <c r="K148" s="508"/>
      <c r="L148" s="508"/>
      <c r="M148" s="508"/>
      <c r="N148" s="508"/>
      <c r="O148" s="508"/>
      <c r="P148" s="508"/>
      <c r="Q148" s="508"/>
      <c r="R148" s="508"/>
      <c r="S148" s="508"/>
      <c r="T148" s="508"/>
      <c r="U148" s="508"/>
      <c r="V148" s="508"/>
      <c r="W148" s="508"/>
      <c r="X148" s="509"/>
      <c r="Z148" s="183"/>
      <c r="AA148" s="183"/>
    </row>
    <row r="149" spans="1:27" ht="15" customHeight="1" thickBot="1">
      <c r="A149" s="211"/>
      <c r="B149" s="268" t="str">
        <f>IF(X150="","TIJOLO / COMPOSIÇÃO",X150)</f>
        <v>TIJOLO / COMPOSIÇÃO</v>
      </c>
      <c r="C149" s="269" t="s">
        <v>101</v>
      </c>
      <c r="D149" s="270" t="s">
        <v>102</v>
      </c>
      <c r="E149" s="270" t="s">
        <v>42</v>
      </c>
      <c r="F149" s="270" t="s">
        <v>42</v>
      </c>
      <c r="G149" s="270" t="s">
        <v>43</v>
      </c>
      <c r="H149" s="270" t="s">
        <v>44</v>
      </c>
      <c r="I149" s="270" t="s">
        <v>47</v>
      </c>
      <c r="J149" s="270" t="s">
        <v>103</v>
      </c>
      <c r="K149" s="270" t="s">
        <v>37</v>
      </c>
      <c r="L149" s="270" t="s">
        <v>39</v>
      </c>
      <c r="M149" s="270" t="s">
        <v>45</v>
      </c>
      <c r="N149" s="270" t="s">
        <v>46</v>
      </c>
      <c r="O149" s="270" t="s">
        <v>668</v>
      </c>
      <c r="P149" s="270" t="s">
        <v>51</v>
      </c>
      <c r="Q149" s="270" t="s">
        <v>52</v>
      </c>
      <c r="R149" s="270"/>
      <c r="S149" s="270"/>
      <c r="T149" s="270"/>
      <c r="U149" s="270" t="s">
        <v>673</v>
      </c>
      <c r="V149" s="271" t="s">
        <v>27</v>
      </c>
      <c r="W149" s="272"/>
      <c r="X149" s="273"/>
    </row>
    <row r="150" spans="1:27" ht="15" customHeight="1" thickBot="1">
      <c r="A150" s="240"/>
      <c r="B150" s="242" t="s">
        <v>670</v>
      </c>
      <c r="C150" s="241">
        <f>SUMIF(Densidades!A:A,'Memória TOTAL'!X150,Densidades!B:B)</f>
        <v>0</v>
      </c>
      <c r="D150" s="130">
        <f>SUMIF(Densidades!A:A,'Memória TOTAL'!X150,Densidades!C:C)</f>
        <v>0</v>
      </c>
      <c r="E150" s="131">
        <f>IF(AND(E156=1,E157=2),SUMIF(Formatos!A:A,'Memória TOTAL'!X151,Formatos!D:D),SUMIF(Formatos!A:A,'Memória TOTAL'!X151,Formatos!E:E))</f>
        <v>0</v>
      </c>
      <c r="F150" s="131">
        <f>IF(AND(E156=1,E157=2),SUMIF(Formatos!A:A,'Memória TOTAL'!X151,Formatos!R:R),SUMIF(Formatos!A:A,'Memória TOTAL'!X151,Formatos!F:F))</f>
        <v>0</v>
      </c>
      <c r="G150" s="131">
        <f>SUMIF(Formatos!A:A,'Memória TOTAL'!X151,Formatos!C:C)</f>
        <v>0</v>
      </c>
      <c r="H150" s="131">
        <f>IF(AND(E156=1,E157=2),SUMIF(Formatos!A:A,'Memória TOTAL'!X151,Formatos!E:E),SUMIF(Formatos!A:A,'Memória TOTAL'!X151,Formatos!D:D))</f>
        <v>0</v>
      </c>
      <c r="I150" s="131">
        <f>SUMIF(Densidades!A:A,'Memória TOTAL'!X150,Densidades!H:H)</f>
        <v>0</v>
      </c>
      <c r="J150" s="132">
        <f>SUMIF(Formatos!A:A,'Memória TOTAL'!X151,Formatos!G:G)</f>
        <v>0</v>
      </c>
      <c r="K150" s="133">
        <f>SUMIF(Densidades!A:A,'Memória TOTAL'!X150,Densidades!I:I)</f>
        <v>0</v>
      </c>
      <c r="L150" s="249">
        <v>0</v>
      </c>
      <c r="M150" s="252"/>
      <c r="N150" s="252"/>
      <c r="O150" s="253"/>
      <c r="P150" s="251">
        <f>O150*2</f>
        <v>0</v>
      </c>
      <c r="Q150" s="135">
        <f>P150-(2*M150)</f>
        <v>0</v>
      </c>
      <c r="R150" s="135"/>
      <c r="S150" s="256"/>
      <c r="T150" s="256"/>
      <c r="U150" s="253"/>
      <c r="V150" s="252" t="str">
        <f>IF(M150="","",IF(AND(OR(M150=E150,M150=G150,M150=H150),H150=H154),ROUND(SUM(P160:P210),0),"ESP. ERRADA"))</f>
        <v/>
      </c>
      <c r="W150" s="258" t="str">
        <f>IFERROR(IF(C150=0,"",ROUNDUP(SUM(V150)*(1+L150),0))*U150,"")</f>
        <v/>
      </c>
      <c r="X150" s="259"/>
    </row>
    <row r="151" spans="1:27" s="182" customFormat="1" ht="15" customHeight="1">
      <c r="A151" s="211"/>
      <c r="B151" s="486"/>
      <c r="C151" s="485"/>
      <c r="D151" s="191"/>
      <c r="E151" s="191"/>
      <c r="F151" s="191"/>
      <c r="G151" s="191"/>
      <c r="H151" s="191"/>
      <c r="I151" s="191"/>
      <c r="J151" s="192"/>
      <c r="K151" s="192"/>
      <c r="L151" s="140"/>
      <c r="M151" s="191"/>
      <c r="N151" s="191"/>
      <c r="O151" s="191"/>
      <c r="P151" s="191"/>
      <c r="Q151" s="191"/>
      <c r="R151" s="191"/>
      <c r="S151" s="191"/>
      <c r="T151" s="191"/>
      <c r="U151" s="191"/>
      <c r="V151" s="193"/>
      <c r="W151" s="181"/>
      <c r="X151" s="137" t="str">
        <f>IF(B156="","",B156)</f>
        <v/>
      </c>
      <c r="Z151" s="183"/>
      <c r="AA151" s="183"/>
    </row>
    <row r="152" spans="1:27" s="182" customFormat="1" ht="15" customHeight="1">
      <c r="A152" s="211"/>
      <c r="B152" s="487"/>
      <c r="C152" s="196"/>
      <c r="D152" s="191"/>
      <c r="E152" s="191"/>
      <c r="F152" s="191"/>
      <c r="G152" s="191"/>
      <c r="H152" s="191"/>
      <c r="I152" s="191"/>
      <c r="J152" s="192"/>
      <c r="K152" s="192"/>
      <c r="L152" s="140"/>
      <c r="M152" s="191"/>
      <c r="N152" s="191"/>
      <c r="O152" s="191"/>
      <c r="P152" s="191"/>
      <c r="Q152" s="191"/>
      <c r="R152" s="191"/>
      <c r="S152" s="191"/>
      <c r="T152" s="191"/>
      <c r="U152" s="191"/>
      <c r="V152" s="193"/>
      <c r="W152" s="181"/>
      <c r="X152" s="137" t="s">
        <v>520</v>
      </c>
      <c r="Z152" s="183"/>
      <c r="AA152" s="183"/>
    </row>
    <row r="153" spans="1:27" s="182" customFormat="1" ht="15" customHeight="1" thickBot="1">
      <c r="A153" s="211"/>
      <c r="B153" s="487"/>
      <c r="C153" s="196" t="str">
        <f t="shared" ref="C153:L153" si="9">C149</f>
        <v>Dens.</v>
      </c>
      <c r="D153" s="191" t="str">
        <f t="shared" si="9"/>
        <v>Emb.</v>
      </c>
      <c r="E153" s="234" t="str">
        <f t="shared" si="9"/>
        <v>Esp. Tij.</v>
      </c>
      <c r="F153" s="234" t="str">
        <f t="shared" si="9"/>
        <v>Esp. Tij.</v>
      </c>
      <c r="G153" s="234" t="str">
        <f t="shared" si="9"/>
        <v>Comp. Tij.</v>
      </c>
      <c r="H153" s="234" t="str">
        <f t="shared" si="9"/>
        <v>Larg. Tij.</v>
      </c>
      <c r="I153" s="234" t="str">
        <f t="shared" si="9"/>
        <v>Tipo Fator</v>
      </c>
      <c r="J153" s="234" t="str">
        <f t="shared" si="9"/>
        <v>Vol.</v>
      </c>
      <c r="K153" s="234" t="str">
        <f t="shared" si="9"/>
        <v>Class.</v>
      </c>
      <c r="L153" s="191" t="str">
        <f t="shared" si="9"/>
        <v>Coefic. (%)</v>
      </c>
      <c r="M153" s="191"/>
      <c r="N153" s="191"/>
      <c r="O153" s="191"/>
      <c r="P153" s="191"/>
      <c r="Q153" s="191"/>
      <c r="R153" s="191"/>
      <c r="S153" s="191"/>
      <c r="T153" s="191"/>
      <c r="U153" s="191"/>
      <c r="V153" s="238"/>
      <c r="W153" s="181"/>
      <c r="X153" s="137"/>
      <c r="Z153" s="183"/>
      <c r="AA153" s="183"/>
    </row>
    <row r="154" spans="1:27" s="182" customFormat="1" ht="15" customHeight="1" thickBot="1">
      <c r="A154" s="211"/>
      <c r="B154" s="488"/>
      <c r="C154" s="129">
        <f>SUMIF(Densidades!A:A,'Memória TOTAL'!X154,Densidades!B:B)</f>
        <v>0</v>
      </c>
      <c r="D154" s="130">
        <f>SUMIF(Densidades!A:A,'Memória TOTAL'!X154,Densidades!C:C)</f>
        <v>620</v>
      </c>
      <c r="E154" s="131">
        <f>SUMIF(Formatos!A:A,'Memória TOTAL'!X155,Formatos!E:E)</f>
        <v>0</v>
      </c>
      <c r="F154" s="131">
        <f>SUMIF(Formatos!A:A,'Memória TOTAL'!X155,Formatos!F:F)</f>
        <v>0</v>
      </c>
      <c r="G154" s="131">
        <f>SUMIF(Formatos!A:A,'Memória TOTAL'!X155,Formatos!C:C)</f>
        <v>0</v>
      </c>
      <c r="H154" s="131">
        <f>SUMIF(Formatos!A:A,'Memória TOTAL'!X155,Formatos!D:D)</f>
        <v>0</v>
      </c>
      <c r="I154" s="131">
        <f>SUMIF(Densidades!A:A,'Memória TOTAL'!X154,Densidades!H:H)</f>
        <v>0</v>
      </c>
      <c r="J154" s="132">
        <f>SUMIF(Formatos!A:A,'Memória TOTAL'!X155,Formatos!G:G)</f>
        <v>0</v>
      </c>
      <c r="K154" s="218">
        <f>SUMIF(Densidades!A:A,'Memória TOTAL'!X154,Densidades!I:I)</f>
        <v>177</v>
      </c>
      <c r="L154" s="219">
        <v>0</v>
      </c>
      <c r="M154" s="191"/>
      <c r="N154" s="191"/>
      <c r="O154" s="191"/>
      <c r="P154" s="191"/>
      <c r="Q154" s="191"/>
      <c r="R154" s="191"/>
      <c r="S154" s="191"/>
      <c r="T154" s="228"/>
      <c r="U154" s="231"/>
      <c r="V154" s="252" t="str">
        <f>IF(M150="","",IF(AND(OR(M150=E154,M150=G154,M150=H154),H150=H154),ROUND(SUM(Q160:Q210),0),"ESP. ERRADA"))</f>
        <v/>
      </c>
      <c r="W154" s="263" t="str">
        <f>IFERROR(IF(C154=0,"",ROUNDUP(SUM(V154)*(1+L154),0))*U150,"")</f>
        <v/>
      </c>
      <c r="X154" s="137" t="str">
        <f>IF(X150="","",X150)</f>
        <v/>
      </c>
      <c r="Z154" s="183"/>
      <c r="AA154" s="183"/>
    </row>
    <row r="155" spans="1:27" s="182" customFormat="1" ht="15" customHeight="1" thickBot="1">
      <c r="A155" s="211"/>
      <c r="B155" s="243" t="s">
        <v>671</v>
      </c>
      <c r="C155" s="232"/>
      <c r="D155" s="191"/>
      <c r="E155" s="191"/>
      <c r="F155" s="191"/>
      <c r="G155" s="191"/>
      <c r="H155" s="191"/>
      <c r="I155" s="191"/>
      <c r="J155" s="192"/>
      <c r="K155" s="192"/>
      <c r="L155" s="140"/>
      <c r="M155" s="191"/>
      <c r="N155" s="191"/>
      <c r="O155" s="191"/>
      <c r="P155" s="191"/>
      <c r="Q155" s="191"/>
      <c r="R155" s="191"/>
      <c r="S155" s="191"/>
      <c r="T155" s="191"/>
      <c r="U155" s="191"/>
      <c r="V155" s="193"/>
      <c r="W155" s="181"/>
      <c r="X155" s="137" t="str">
        <f>IF(B157="","",B157)</f>
        <v/>
      </c>
      <c r="Z155" s="183"/>
      <c r="AA155" s="183"/>
    </row>
    <row r="156" spans="1:27" s="182" customFormat="1" ht="15" customHeight="1" thickBot="1">
      <c r="A156" s="211"/>
      <c r="B156" s="259"/>
      <c r="C156" s="239" t="s">
        <v>54</v>
      </c>
      <c r="D156" s="235"/>
      <c r="E156" s="191">
        <f>SUMIF(Formatos!A:A,'Memória TOTAL'!X151,Formatos!S:S)</f>
        <v>0</v>
      </c>
      <c r="F156" s="234"/>
      <c r="G156" s="234"/>
      <c r="H156" s="144" t="s">
        <v>54</v>
      </c>
      <c r="I156" s="144" t="s">
        <v>55</v>
      </c>
      <c r="J156" s="192"/>
      <c r="K156" s="192"/>
      <c r="L156" s="140"/>
      <c r="M156" s="191"/>
      <c r="N156" s="191" t="s">
        <v>22</v>
      </c>
      <c r="O156" s="145" t="s">
        <v>48</v>
      </c>
      <c r="P156" s="145" t="s">
        <v>49</v>
      </c>
      <c r="Q156" s="146" t="s">
        <v>50</v>
      </c>
      <c r="R156" s="145" t="s">
        <v>54</v>
      </c>
      <c r="S156" s="145" t="s">
        <v>55</v>
      </c>
      <c r="T156" s="191"/>
      <c r="U156" s="191"/>
      <c r="V156" s="193"/>
      <c r="W156" s="181"/>
      <c r="X156" s="137" t="s">
        <v>520</v>
      </c>
      <c r="Z156" s="183"/>
      <c r="AA156" s="183"/>
    </row>
    <row r="157" spans="1:27" s="182" customFormat="1" ht="15" customHeight="1" thickBot="1">
      <c r="A157" s="211"/>
      <c r="B157" s="259"/>
      <c r="C157" s="239" t="s">
        <v>55</v>
      </c>
      <c r="D157" s="235"/>
      <c r="E157" s="191">
        <f>SUMIF(Formatos!A:A,'Memória TOTAL'!X155,Formatos!S:S)</f>
        <v>0</v>
      </c>
      <c r="F157" s="191"/>
      <c r="G157" s="191"/>
      <c r="H157" s="236" t="e">
        <f>(1/(-(N157+N150)*(Q157+N150)+(O157+N150)*(P157+N150)))*3.1416*(-P150*(Q157+N150)+Q150*(P157+N150))</f>
        <v>#DIV/0!</v>
      </c>
      <c r="I157" s="236" t="e">
        <f>((P150*PI())-(H157*(N157+N150)))/(P157+N150)</f>
        <v>#DIV/0!</v>
      </c>
      <c r="J157" s="192"/>
      <c r="K157" s="192"/>
      <c r="L157" s="140"/>
      <c r="M157" s="191"/>
      <c r="N157" s="191">
        <f>E150</f>
        <v>0</v>
      </c>
      <c r="O157" s="147">
        <f>F150</f>
        <v>0</v>
      </c>
      <c r="P157" s="147">
        <f>E154</f>
        <v>0</v>
      </c>
      <c r="Q157" s="153">
        <f>F154</f>
        <v>0</v>
      </c>
      <c r="R157" s="147" t="e">
        <f>IF(ROUND(H157+0.4,0)&gt;=0,ROUND(H157+0.4,0),"ERRO")</f>
        <v>#DIV/0!</v>
      </c>
      <c r="S157" s="147" t="e">
        <f>IF(ROUND(I157+0.4,0)&gt;=0,ROUND(I157+0.4,0),"ERRO")</f>
        <v>#DIV/0!</v>
      </c>
      <c r="T157" s="191"/>
      <c r="U157" s="191"/>
      <c r="V157" s="193"/>
      <c r="W157" s="227"/>
      <c r="X157" s="137"/>
      <c r="Z157" s="183"/>
      <c r="AA157" s="183"/>
    </row>
    <row r="158" spans="1:27" s="151" customFormat="1" ht="15" customHeight="1" thickBot="1">
      <c r="A158" s="211"/>
      <c r="B158" s="243" t="s">
        <v>672</v>
      </c>
      <c r="C158" s="232"/>
      <c r="D158" s="191"/>
      <c r="E158" s="191"/>
      <c r="F158" s="191"/>
      <c r="G158" s="191"/>
      <c r="H158" s="191"/>
      <c r="I158" s="191"/>
      <c r="J158" s="191"/>
      <c r="K158" s="191"/>
      <c r="L158" s="191"/>
      <c r="M158" s="191"/>
      <c r="N158" s="191"/>
      <c r="O158" s="237"/>
      <c r="P158" s="191"/>
      <c r="Q158" s="191"/>
      <c r="R158" s="191"/>
      <c r="S158" s="191"/>
      <c r="T158" s="147"/>
      <c r="U158" s="147"/>
      <c r="V158" s="148"/>
      <c r="W158" s="149"/>
      <c r="X158" s="150"/>
      <c r="Z158" s="152"/>
      <c r="AA158" s="152"/>
    </row>
    <row r="159" spans="1:27" s="151" customFormat="1" ht="15" customHeight="1" thickBot="1">
      <c r="A159" s="211"/>
      <c r="B159" s="246"/>
      <c r="C159" s="232"/>
      <c r="D159" s="191"/>
      <c r="E159" s="191"/>
      <c r="F159" s="191"/>
      <c r="G159" s="191"/>
      <c r="H159" s="232" t="s">
        <v>54</v>
      </c>
      <c r="I159" s="191" t="s">
        <v>55</v>
      </c>
      <c r="J159" s="191"/>
      <c r="K159" s="191"/>
      <c r="L159" s="191"/>
      <c r="M159" s="191"/>
      <c r="N159" s="231"/>
      <c r="O159" s="605" t="s">
        <v>53</v>
      </c>
      <c r="P159" s="232" t="s">
        <v>54</v>
      </c>
      <c r="Q159" s="191" t="s">
        <v>55</v>
      </c>
      <c r="R159" s="191"/>
      <c r="S159" s="191"/>
      <c r="T159" s="147"/>
      <c r="U159" s="147"/>
      <c r="V159" s="148"/>
      <c r="W159" s="149"/>
      <c r="X159" s="150"/>
      <c r="Z159" s="152"/>
      <c r="AA159" s="152"/>
    </row>
    <row r="160" spans="1:27" s="151" customFormat="1" ht="15" customHeight="1">
      <c r="A160" s="211"/>
      <c r="B160" s="209" t="s">
        <v>388</v>
      </c>
      <c r="C160" s="484"/>
      <c r="D160" s="197"/>
      <c r="E160" s="197"/>
      <c r="F160" s="197"/>
      <c r="G160" s="197"/>
      <c r="H160" s="197" t="e">
        <f>H157</f>
        <v>#DIV/0!</v>
      </c>
      <c r="I160" s="264" t="e">
        <f>I157</f>
        <v>#DIV/0!</v>
      </c>
      <c r="J160" s="230"/>
      <c r="K160" s="333"/>
      <c r="L160" s="158"/>
      <c r="M160" s="197"/>
      <c r="N160" s="160"/>
      <c r="O160" s="611">
        <v>360</v>
      </c>
      <c r="P160" s="254" t="e">
        <f>IF(H160/360*O160-ROUNDDOWN(H160/360*O160,0)&gt;I160/360*O160-ROUNDDOWN(I160/360*O160,0),ROUNDUP(H160/360*O160,0),ROUNDUP(SUM(H160/360*O160,I160/360*O160),0)-ROUNDUP(I160/360*O160,0))</f>
        <v>#DIV/0!</v>
      </c>
      <c r="Q160" s="248" t="e">
        <f>IF(I160/360*O160-ROUNDDOWN(I160/360*O160,0)&gt;H160/360*O160-ROUNDDOWN(H160/360*O160,0),ROUNDUP(I160/360*O160,0),ROUNDUP(SUM(H160/360*O160,I160/360*O160),0)-ROUNDUP(H160/360*O160,0))</f>
        <v>#DIV/0!</v>
      </c>
      <c r="R160" s="159"/>
      <c r="S160" s="159"/>
      <c r="T160" s="159"/>
      <c r="U160" s="159"/>
      <c r="V160" s="160"/>
      <c r="W160" s="161"/>
      <c r="X160" s="162"/>
      <c r="Z160" s="152"/>
      <c r="AA160" s="152"/>
    </row>
    <row r="161" spans="1:27" s="151" customFormat="1" ht="15" customHeight="1">
      <c r="A161" s="211"/>
      <c r="B161" s="209" t="s">
        <v>980</v>
      </c>
      <c r="C161" s="484"/>
      <c r="D161" s="197"/>
      <c r="E161" s="197"/>
      <c r="F161" s="197"/>
      <c r="G161" s="197"/>
      <c r="H161" s="197" t="e">
        <f>H160</f>
        <v>#DIV/0!</v>
      </c>
      <c r="I161" s="264" t="e">
        <f>I160</f>
        <v>#DIV/0!</v>
      </c>
      <c r="J161" s="230"/>
      <c r="K161" s="333"/>
      <c r="L161" s="158"/>
      <c r="M161" s="197"/>
      <c r="N161" s="160"/>
      <c r="O161" s="612">
        <f>O160</f>
        <v>360</v>
      </c>
      <c r="P161" s="254" t="e">
        <f t="shared" ref="P161:P209" si="10">IF(H161/360*O161-ROUNDDOWN(H161/360*O161,0)&gt;I161/360*O161-ROUNDDOWN(I161/360*O161,0),ROUNDUP(H161/360*O161,0),ROUNDUP(SUM(H161/360*O161,I161/360*O161),0)-ROUNDUP(I161/360*O161,0))</f>
        <v>#DIV/0!</v>
      </c>
      <c r="Q161" s="248" t="e">
        <f t="shared" ref="Q161:Q209" si="11">IF(I161/360*O161-ROUNDDOWN(I161/360*O161,0)&gt;H161/360*O161-ROUNDDOWN(H161/360*O161,0),ROUNDUP(I161/360*O161,0),ROUNDUP(SUM(H161/360*O161,I161/360*O161),0)-ROUNDUP(H161/360*O161,0))</f>
        <v>#DIV/0!</v>
      </c>
      <c r="R161" s="159"/>
      <c r="S161" s="159"/>
      <c r="T161" s="159"/>
      <c r="U161" s="159"/>
      <c r="V161" s="160"/>
      <c r="W161" s="161"/>
      <c r="X161" s="162"/>
      <c r="Z161" s="152"/>
      <c r="AA161" s="152"/>
    </row>
    <row r="162" spans="1:27" s="151" customFormat="1" ht="15" customHeight="1">
      <c r="A162" s="211"/>
      <c r="B162" s="209" t="s">
        <v>389</v>
      </c>
      <c r="C162" s="484"/>
      <c r="D162" s="197"/>
      <c r="E162" s="197"/>
      <c r="F162" s="197"/>
      <c r="G162" s="197"/>
      <c r="H162" s="197" t="e">
        <f t="shared" ref="H162:H208" si="12">H161</f>
        <v>#DIV/0!</v>
      </c>
      <c r="I162" s="264" t="e">
        <f t="shared" ref="I162:I208" si="13">I161</f>
        <v>#DIV/0!</v>
      </c>
      <c r="J162" s="230"/>
      <c r="K162" s="333"/>
      <c r="L162" s="158"/>
      <c r="M162" s="197"/>
      <c r="N162" s="160"/>
      <c r="O162" s="612">
        <f t="shared" ref="O162:O208" si="14">O161</f>
        <v>360</v>
      </c>
      <c r="P162" s="254" t="e">
        <f t="shared" si="10"/>
        <v>#DIV/0!</v>
      </c>
      <c r="Q162" s="248" t="e">
        <f t="shared" si="11"/>
        <v>#DIV/0!</v>
      </c>
      <c r="R162" s="159"/>
      <c r="S162" s="159"/>
      <c r="T162" s="159"/>
      <c r="U162" s="159"/>
      <c r="V162" s="160"/>
      <c r="W162" s="161"/>
      <c r="X162" s="162"/>
      <c r="Z162" s="152"/>
      <c r="AA162" s="152"/>
    </row>
    <row r="163" spans="1:27" s="151" customFormat="1" ht="15" customHeight="1">
      <c r="A163" s="211"/>
      <c r="B163" s="209" t="s">
        <v>390</v>
      </c>
      <c r="C163" s="484"/>
      <c r="D163" s="197"/>
      <c r="E163" s="197"/>
      <c r="F163" s="197"/>
      <c r="G163" s="197"/>
      <c r="H163" s="197" t="e">
        <f t="shared" si="12"/>
        <v>#DIV/0!</v>
      </c>
      <c r="I163" s="264" t="e">
        <f t="shared" si="13"/>
        <v>#DIV/0!</v>
      </c>
      <c r="J163" s="230"/>
      <c r="K163" s="333"/>
      <c r="L163" s="158"/>
      <c r="M163" s="197"/>
      <c r="N163" s="160"/>
      <c r="O163" s="612">
        <f t="shared" si="14"/>
        <v>360</v>
      </c>
      <c r="P163" s="254" t="e">
        <f t="shared" si="10"/>
        <v>#DIV/0!</v>
      </c>
      <c r="Q163" s="248" t="e">
        <f t="shared" si="11"/>
        <v>#DIV/0!</v>
      </c>
      <c r="R163" s="159"/>
      <c r="S163" s="159"/>
      <c r="T163" s="159"/>
      <c r="U163" s="159"/>
      <c r="V163" s="160"/>
      <c r="W163" s="161"/>
      <c r="X163" s="162"/>
      <c r="Z163" s="152"/>
      <c r="AA163" s="152"/>
    </row>
    <row r="164" spans="1:27" s="151" customFormat="1" ht="15" customHeight="1">
      <c r="A164" s="211"/>
      <c r="B164" s="209" t="s">
        <v>391</v>
      </c>
      <c r="C164" s="484"/>
      <c r="D164" s="197"/>
      <c r="E164" s="197"/>
      <c r="F164" s="197"/>
      <c r="G164" s="197"/>
      <c r="H164" s="197" t="e">
        <f t="shared" si="12"/>
        <v>#DIV/0!</v>
      </c>
      <c r="I164" s="264" t="e">
        <f t="shared" si="13"/>
        <v>#DIV/0!</v>
      </c>
      <c r="J164" s="230"/>
      <c r="K164" s="333"/>
      <c r="L164" s="158"/>
      <c r="M164" s="197"/>
      <c r="N164" s="160"/>
      <c r="O164" s="612">
        <f t="shared" si="14"/>
        <v>360</v>
      </c>
      <c r="P164" s="254" t="e">
        <f t="shared" si="10"/>
        <v>#DIV/0!</v>
      </c>
      <c r="Q164" s="248" t="e">
        <f t="shared" si="11"/>
        <v>#DIV/0!</v>
      </c>
      <c r="R164" s="159"/>
      <c r="S164" s="159"/>
      <c r="T164" s="159"/>
      <c r="U164" s="159"/>
      <c r="V164" s="160"/>
      <c r="W164" s="161"/>
      <c r="X164" s="162"/>
      <c r="Z164" s="152"/>
      <c r="AA164" s="152"/>
    </row>
    <row r="165" spans="1:27" s="151" customFormat="1" ht="15" customHeight="1">
      <c r="A165" s="211"/>
      <c r="B165" s="209" t="s">
        <v>392</v>
      </c>
      <c r="C165" s="484"/>
      <c r="D165" s="197"/>
      <c r="E165" s="197"/>
      <c r="F165" s="197"/>
      <c r="G165" s="197"/>
      <c r="H165" s="197" t="e">
        <f t="shared" si="12"/>
        <v>#DIV/0!</v>
      </c>
      <c r="I165" s="264" t="e">
        <f t="shared" si="13"/>
        <v>#DIV/0!</v>
      </c>
      <c r="J165" s="230"/>
      <c r="K165" s="333"/>
      <c r="L165" s="158"/>
      <c r="M165" s="197"/>
      <c r="N165" s="160"/>
      <c r="O165" s="612">
        <f t="shared" si="14"/>
        <v>360</v>
      </c>
      <c r="P165" s="254" t="e">
        <f t="shared" si="10"/>
        <v>#DIV/0!</v>
      </c>
      <c r="Q165" s="248" t="e">
        <f t="shared" si="11"/>
        <v>#DIV/0!</v>
      </c>
      <c r="R165" s="159"/>
      <c r="S165" s="159"/>
      <c r="T165" s="159"/>
      <c r="U165" s="159"/>
      <c r="V165" s="160"/>
      <c r="W165" s="161"/>
      <c r="X165" s="162"/>
      <c r="Z165" s="152"/>
      <c r="AA165" s="152"/>
    </row>
    <row r="166" spans="1:27" s="151" customFormat="1" ht="15" customHeight="1">
      <c r="A166" s="211"/>
      <c r="B166" s="209" t="s">
        <v>393</v>
      </c>
      <c r="C166" s="484"/>
      <c r="D166" s="197"/>
      <c r="E166" s="197"/>
      <c r="F166" s="197"/>
      <c r="G166" s="197"/>
      <c r="H166" s="197" t="e">
        <f t="shared" si="12"/>
        <v>#DIV/0!</v>
      </c>
      <c r="I166" s="264" t="e">
        <f t="shared" si="13"/>
        <v>#DIV/0!</v>
      </c>
      <c r="J166" s="230"/>
      <c r="K166" s="333"/>
      <c r="L166" s="158"/>
      <c r="M166" s="197"/>
      <c r="N166" s="160"/>
      <c r="O166" s="612">
        <f t="shared" si="14"/>
        <v>360</v>
      </c>
      <c r="P166" s="254" t="e">
        <f t="shared" si="10"/>
        <v>#DIV/0!</v>
      </c>
      <c r="Q166" s="248" t="e">
        <f t="shared" si="11"/>
        <v>#DIV/0!</v>
      </c>
      <c r="R166" s="159"/>
      <c r="S166" s="159"/>
      <c r="T166" s="159"/>
      <c r="U166" s="159"/>
      <c r="V166" s="160"/>
      <c r="W166" s="161"/>
      <c r="X166" s="162"/>
      <c r="Z166" s="152"/>
      <c r="AA166" s="152"/>
    </row>
    <row r="167" spans="1:27" s="151" customFormat="1" ht="15" customHeight="1">
      <c r="A167" s="211"/>
      <c r="B167" s="209" t="s">
        <v>394</v>
      </c>
      <c r="C167" s="484"/>
      <c r="D167" s="197"/>
      <c r="E167" s="197"/>
      <c r="F167" s="197"/>
      <c r="G167" s="197"/>
      <c r="H167" s="197" t="e">
        <f t="shared" si="12"/>
        <v>#DIV/0!</v>
      </c>
      <c r="I167" s="264" t="e">
        <f t="shared" si="13"/>
        <v>#DIV/0!</v>
      </c>
      <c r="J167" s="230"/>
      <c r="K167" s="333"/>
      <c r="L167" s="158"/>
      <c r="M167" s="197"/>
      <c r="N167" s="160"/>
      <c r="O167" s="612">
        <f t="shared" si="14"/>
        <v>360</v>
      </c>
      <c r="P167" s="254" t="e">
        <f t="shared" si="10"/>
        <v>#DIV/0!</v>
      </c>
      <c r="Q167" s="248" t="e">
        <f t="shared" si="11"/>
        <v>#DIV/0!</v>
      </c>
      <c r="R167" s="159"/>
      <c r="S167" s="159"/>
      <c r="T167" s="159"/>
      <c r="U167" s="159"/>
      <c r="V167" s="160"/>
      <c r="W167" s="161"/>
      <c r="X167" s="162"/>
      <c r="Z167" s="152"/>
      <c r="AA167" s="152"/>
    </row>
    <row r="168" spans="1:27" s="151" customFormat="1" ht="15" customHeight="1">
      <c r="A168" s="211"/>
      <c r="B168" s="209" t="s">
        <v>395</v>
      </c>
      <c r="C168" s="484"/>
      <c r="D168" s="197"/>
      <c r="E168" s="197"/>
      <c r="F168" s="197"/>
      <c r="G168" s="197"/>
      <c r="H168" s="197" t="e">
        <f t="shared" si="12"/>
        <v>#DIV/0!</v>
      </c>
      <c r="I168" s="264" t="e">
        <f t="shared" si="13"/>
        <v>#DIV/0!</v>
      </c>
      <c r="J168" s="230"/>
      <c r="K168" s="333"/>
      <c r="L168" s="158"/>
      <c r="M168" s="197"/>
      <c r="N168" s="160"/>
      <c r="O168" s="612">
        <f t="shared" si="14"/>
        <v>360</v>
      </c>
      <c r="P168" s="254" t="e">
        <f t="shared" si="10"/>
        <v>#DIV/0!</v>
      </c>
      <c r="Q168" s="248" t="e">
        <f t="shared" si="11"/>
        <v>#DIV/0!</v>
      </c>
      <c r="R168" s="159"/>
      <c r="S168" s="159"/>
      <c r="T168" s="159"/>
      <c r="U168" s="159"/>
      <c r="V168" s="160"/>
      <c r="W168" s="161"/>
      <c r="X168" s="162"/>
      <c r="Z168" s="152"/>
      <c r="AA168" s="152"/>
    </row>
    <row r="169" spans="1:27" s="151" customFormat="1" ht="15" customHeight="1">
      <c r="A169" s="211"/>
      <c r="B169" s="209" t="s">
        <v>396</v>
      </c>
      <c r="C169" s="484"/>
      <c r="D169" s="197"/>
      <c r="E169" s="197"/>
      <c r="F169" s="197"/>
      <c r="G169" s="197"/>
      <c r="H169" s="197" t="e">
        <f t="shared" si="12"/>
        <v>#DIV/0!</v>
      </c>
      <c r="I169" s="264" t="e">
        <f t="shared" si="13"/>
        <v>#DIV/0!</v>
      </c>
      <c r="J169" s="230"/>
      <c r="K169" s="333"/>
      <c r="L169" s="158"/>
      <c r="M169" s="197"/>
      <c r="N169" s="160"/>
      <c r="O169" s="612">
        <f t="shared" si="14"/>
        <v>360</v>
      </c>
      <c r="P169" s="254" t="e">
        <f t="shared" si="10"/>
        <v>#DIV/0!</v>
      </c>
      <c r="Q169" s="248" t="e">
        <f t="shared" si="11"/>
        <v>#DIV/0!</v>
      </c>
      <c r="R169" s="159"/>
      <c r="S169" s="159"/>
      <c r="T169" s="159"/>
      <c r="U169" s="159"/>
      <c r="V169" s="160"/>
      <c r="W169" s="161"/>
      <c r="X169" s="162"/>
      <c r="Z169" s="152"/>
      <c r="AA169" s="152"/>
    </row>
    <row r="170" spans="1:27" s="151" customFormat="1" ht="15" customHeight="1">
      <c r="A170" s="211"/>
      <c r="B170" s="209" t="s">
        <v>397</v>
      </c>
      <c r="C170" s="484"/>
      <c r="D170" s="197"/>
      <c r="E170" s="197"/>
      <c r="F170" s="197"/>
      <c r="G170" s="197"/>
      <c r="H170" s="197" t="e">
        <f t="shared" si="12"/>
        <v>#DIV/0!</v>
      </c>
      <c r="I170" s="264" t="e">
        <f t="shared" si="13"/>
        <v>#DIV/0!</v>
      </c>
      <c r="J170" s="230"/>
      <c r="K170" s="333"/>
      <c r="L170" s="158"/>
      <c r="M170" s="197"/>
      <c r="N170" s="160"/>
      <c r="O170" s="612">
        <f t="shared" si="14"/>
        <v>360</v>
      </c>
      <c r="P170" s="254" t="e">
        <f t="shared" si="10"/>
        <v>#DIV/0!</v>
      </c>
      <c r="Q170" s="248" t="e">
        <f t="shared" si="11"/>
        <v>#DIV/0!</v>
      </c>
      <c r="R170" s="159"/>
      <c r="S170" s="159"/>
      <c r="T170" s="159"/>
      <c r="U170" s="159"/>
      <c r="V170" s="160"/>
      <c r="W170" s="161"/>
      <c r="X170" s="162"/>
      <c r="Z170" s="152"/>
      <c r="AA170" s="152"/>
    </row>
    <row r="171" spans="1:27" s="151" customFormat="1" ht="15" customHeight="1">
      <c r="A171" s="211"/>
      <c r="B171" s="209" t="s">
        <v>398</v>
      </c>
      <c r="C171" s="484"/>
      <c r="D171" s="197"/>
      <c r="E171" s="197"/>
      <c r="F171" s="197"/>
      <c r="G171" s="197"/>
      <c r="H171" s="197" t="e">
        <f t="shared" si="12"/>
        <v>#DIV/0!</v>
      </c>
      <c r="I171" s="264" t="e">
        <f t="shared" si="13"/>
        <v>#DIV/0!</v>
      </c>
      <c r="J171" s="230"/>
      <c r="K171" s="333"/>
      <c r="L171" s="158"/>
      <c r="M171" s="197"/>
      <c r="N171" s="160"/>
      <c r="O171" s="612">
        <f t="shared" si="14"/>
        <v>360</v>
      </c>
      <c r="P171" s="254" t="e">
        <f t="shared" si="10"/>
        <v>#DIV/0!</v>
      </c>
      <c r="Q171" s="248" t="e">
        <f t="shared" si="11"/>
        <v>#DIV/0!</v>
      </c>
      <c r="R171" s="159"/>
      <c r="S171" s="159"/>
      <c r="T171" s="159"/>
      <c r="U171" s="159"/>
      <c r="V171" s="160"/>
      <c r="W171" s="161"/>
      <c r="X171" s="162"/>
      <c r="Z171" s="152"/>
      <c r="AA171" s="152"/>
    </row>
    <row r="172" spans="1:27" s="151" customFormat="1" ht="15" customHeight="1">
      <c r="A172" s="211"/>
      <c r="B172" s="209" t="s">
        <v>399</v>
      </c>
      <c r="C172" s="484"/>
      <c r="D172" s="197"/>
      <c r="E172" s="197"/>
      <c r="F172" s="197"/>
      <c r="G172" s="197"/>
      <c r="H172" s="197" t="e">
        <f t="shared" si="12"/>
        <v>#DIV/0!</v>
      </c>
      <c r="I172" s="264" t="e">
        <f t="shared" si="13"/>
        <v>#DIV/0!</v>
      </c>
      <c r="J172" s="230"/>
      <c r="K172" s="333"/>
      <c r="L172" s="158"/>
      <c r="M172" s="197"/>
      <c r="N172" s="160"/>
      <c r="O172" s="612">
        <f t="shared" si="14"/>
        <v>360</v>
      </c>
      <c r="P172" s="254" t="e">
        <f t="shared" si="10"/>
        <v>#DIV/0!</v>
      </c>
      <c r="Q172" s="248" t="e">
        <f t="shared" si="11"/>
        <v>#DIV/0!</v>
      </c>
      <c r="R172" s="159"/>
      <c r="S172" s="159"/>
      <c r="T172" s="159"/>
      <c r="U172" s="159"/>
      <c r="V172" s="160"/>
      <c r="W172" s="161"/>
      <c r="X172" s="162"/>
      <c r="Z172" s="152"/>
      <c r="AA172" s="152"/>
    </row>
    <row r="173" spans="1:27" s="151" customFormat="1" ht="15" customHeight="1">
      <c r="A173" s="211"/>
      <c r="B173" s="209" t="s">
        <v>400</v>
      </c>
      <c r="C173" s="484"/>
      <c r="D173" s="197"/>
      <c r="E173" s="197"/>
      <c r="F173" s="197"/>
      <c r="G173" s="197"/>
      <c r="H173" s="197" t="e">
        <f t="shared" si="12"/>
        <v>#DIV/0!</v>
      </c>
      <c r="I173" s="264" t="e">
        <f t="shared" si="13"/>
        <v>#DIV/0!</v>
      </c>
      <c r="J173" s="230"/>
      <c r="K173" s="333"/>
      <c r="L173" s="158"/>
      <c r="M173" s="197"/>
      <c r="N173" s="160"/>
      <c r="O173" s="612">
        <f t="shared" si="14"/>
        <v>360</v>
      </c>
      <c r="P173" s="254" t="e">
        <f t="shared" si="10"/>
        <v>#DIV/0!</v>
      </c>
      <c r="Q173" s="248" t="e">
        <f t="shared" si="11"/>
        <v>#DIV/0!</v>
      </c>
      <c r="R173" s="159"/>
      <c r="S173" s="159"/>
      <c r="T173" s="159"/>
      <c r="U173" s="159"/>
      <c r="V173" s="160"/>
      <c r="W173" s="161"/>
      <c r="X173" s="162"/>
      <c r="Z173" s="152"/>
      <c r="AA173" s="152"/>
    </row>
    <row r="174" spans="1:27" s="151" customFormat="1" ht="15" customHeight="1">
      <c r="A174" s="211"/>
      <c r="B174" s="209" t="s">
        <v>401</v>
      </c>
      <c r="C174" s="484"/>
      <c r="D174" s="197"/>
      <c r="E174" s="197"/>
      <c r="F174" s="197"/>
      <c r="G174" s="197"/>
      <c r="H174" s="197" t="e">
        <f t="shared" si="12"/>
        <v>#DIV/0!</v>
      </c>
      <c r="I174" s="264" t="e">
        <f t="shared" si="13"/>
        <v>#DIV/0!</v>
      </c>
      <c r="J174" s="230"/>
      <c r="K174" s="333"/>
      <c r="L174" s="158"/>
      <c r="M174" s="197"/>
      <c r="N174" s="160"/>
      <c r="O174" s="612">
        <f t="shared" si="14"/>
        <v>360</v>
      </c>
      <c r="P174" s="254" t="e">
        <f t="shared" si="10"/>
        <v>#DIV/0!</v>
      </c>
      <c r="Q174" s="248" t="e">
        <f t="shared" si="11"/>
        <v>#DIV/0!</v>
      </c>
      <c r="R174" s="159"/>
      <c r="S174" s="159"/>
      <c r="T174" s="159"/>
      <c r="U174" s="159"/>
      <c r="V174" s="160"/>
      <c r="W174" s="161"/>
      <c r="X174" s="162"/>
      <c r="Z174" s="152"/>
      <c r="AA174" s="152"/>
    </row>
    <row r="175" spans="1:27" s="151" customFormat="1" ht="15" customHeight="1">
      <c r="A175" s="211"/>
      <c r="B175" s="209" t="s">
        <v>402</v>
      </c>
      <c r="C175" s="484"/>
      <c r="D175" s="197"/>
      <c r="E175" s="197"/>
      <c r="F175" s="197"/>
      <c r="G175" s="197"/>
      <c r="H175" s="197" t="e">
        <f t="shared" si="12"/>
        <v>#DIV/0!</v>
      </c>
      <c r="I175" s="264" t="e">
        <f t="shared" si="13"/>
        <v>#DIV/0!</v>
      </c>
      <c r="J175" s="230"/>
      <c r="K175" s="333"/>
      <c r="L175" s="158"/>
      <c r="M175" s="197"/>
      <c r="N175" s="160"/>
      <c r="O175" s="612">
        <f t="shared" si="14"/>
        <v>360</v>
      </c>
      <c r="P175" s="254" t="e">
        <f t="shared" si="10"/>
        <v>#DIV/0!</v>
      </c>
      <c r="Q175" s="248" t="e">
        <f t="shared" si="11"/>
        <v>#DIV/0!</v>
      </c>
      <c r="R175" s="159"/>
      <c r="S175" s="159"/>
      <c r="T175" s="159"/>
      <c r="U175" s="159"/>
      <c r="V175" s="160"/>
      <c r="W175" s="161"/>
      <c r="X175" s="162"/>
      <c r="Z175" s="152"/>
      <c r="AA175" s="152"/>
    </row>
    <row r="176" spans="1:27" s="151" customFormat="1" ht="15" customHeight="1">
      <c r="A176" s="211"/>
      <c r="B176" s="209" t="s">
        <v>403</v>
      </c>
      <c r="C176" s="484"/>
      <c r="D176" s="197"/>
      <c r="E176" s="197"/>
      <c r="F176" s="197"/>
      <c r="G176" s="197"/>
      <c r="H176" s="197" t="e">
        <f t="shared" si="12"/>
        <v>#DIV/0!</v>
      </c>
      <c r="I176" s="264" t="e">
        <f t="shared" si="13"/>
        <v>#DIV/0!</v>
      </c>
      <c r="J176" s="230"/>
      <c r="K176" s="333"/>
      <c r="L176" s="158"/>
      <c r="M176" s="197"/>
      <c r="N176" s="160"/>
      <c r="O176" s="612">
        <f t="shared" si="14"/>
        <v>360</v>
      </c>
      <c r="P176" s="254" t="e">
        <f t="shared" si="10"/>
        <v>#DIV/0!</v>
      </c>
      <c r="Q176" s="248" t="e">
        <f t="shared" si="11"/>
        <v>#DIV/0!</v>
      </c>
      <c r="R176" s="159"/>
      <c r="S176" s="159"/>
      <c r="T176" s="159"/>
      <c r="U176" s="159"/>
      <c r="V176" s="160"/>
      <c r="W176" s="161"/>
      <c r="X176" s="162"/>
      <c r="Z176" s="152"/>
      <c r="AA176" s="152"/>
    </row>
    <row r="177" spans="1:27" s="151" customFormat="1" ht="15" customHeight="1">
      <c r="A177" s="211"/>
      <c r="B177" s="209" t="s">
        <v>404</v>
      </c>
      <c r="C177" s="484"/>
      <c r="D177" s="197"/>
      <c r="E177" s="197"/>
      <c r="F177" s="197"/>
      <c r="G177" s="197"/>
      <c r="H177" s="197" t="e">
        <f t="shared" si="12"/>
        <v>#DIV/0!</v>
      </c>
      <c r="I177" s="264" t="e">
        <f t="shared" si="13"/>
        <v>#DIV/0!</v>
      </c>
      <c r="J177" s="230"/>
      <c r="K177" s="333"/>
      <c r="L177" s="158"/>
      <c r="M177" s="197"/>
      <c r="N177" s="160"/>
      <c r="O177" s="612">
        <f t="shared" si="14"/>
        <v>360</v>
      </c>
      <c r="P177" s="254" t="e">
        <f t="shared" si="10"/>
        <v>#DIV/0!</v>
      </c>
      <c r="Q177" s="248" t="e">
        <f t="shared" si="11"/>
        <v>#DIV/0!</v>
      </c>
      <c r="R177" s="159"/>
      <c r="S177" s="159"/>
      <c r="T177" s="159"/>
      <c r="U177" s="159"/>
      <c r="V177" s="160"/>
      <c r="W177" s="161"/>
      <c r="X177" s="162"/>
      <c r="Z177" s="152"/>
      <c r="AA177" s="152"/>
    </row>
    <row r="178" spans="1:27" s="151" customFormat="1" ht="15" customHeight="1">
      <c r="A178" s="211"/>
      <c r="B178" s="209" t="s">
        <v>405</v>
      </c>
      <c r="C178" s="484"/>
      <c r="D178" s="197"/>
      <c r="E178" s="197"/>
      <c r="F178" s="197"/>
      <c r="G178" s="197"/>
      <c r="H178" s="197" t="e">
        <f t="shared" si="12"/>
        <v>#DIV/0!</v>
      </c>
      <c r="I178" s="264" t="e">
        <f t="shared" si="13"/>
        <v>#DIV/0!</v>
      </c>
      <c r="J178" s="230"/>
      <c r="K178" s="333"/>
      <c r="L178" s="158"/>
      <c r="M178" s="197"/>
      <c r="N178" s="160"/>
      <c r="O178" s="612">
        <f t="shared" si="14"/>
        <v>360</v>
      </c>
      <c r="P178" s="254" t="e">
        <f t="shared" si="10"/>
        <v>#DIV/0!</v>
      </c>
      <c r="Q178" s="248" t="e">
        <f t="shared" si="11"/>
        <v>#DIV/0!</v>
      </c>
      <c r="R178" s="159"/>
      <c r="S178" s="159"/>
      <c r="T178" s="159"/>
      <c r="U178" s="159"/>
      <c r="V178" s="160"/>
      <c r="W178" s="161"/>
      <c r="X178" s="162"/>
      <c r="Z178" s="152"/>
      <c r="AA178" s="152"/>
    </row>
    <row r="179" spans="1:27" s="151" customFormat="1" ht="15" customHeight="1">
      <c r="A179" s="211"/>
      <c r="B179" s="209" t="s">
        <v>406</v>
      </c>
      <c r="C179" s="484"/>
      <c r="D179" s="197"/>
      <c r="E179" s="197"/>
      <c r="F179" s="197"/>
      <c r="G179" s="197"/>
      <c r="H179" s="197" t="e">
        <f t="shared" si="12"/>
        <v>#DIV/0!</v>
      </c>
      <c r="I179" s="264" t="e">
        <f t="shared" si="13"/>
        <v>#DIV/0!</v>
      </c>
      <c r="J179" s="230"/>
      <c r="K179" s="333"/>
      <c r="L179" s="158"/>
      <c r="M179" s="197"/>
      <c r="N179" s="160"/>
      <c r="O179" s="612">
        <f t="shared" si="14"/>
        <v>360</v>
      </c>
      <c r="P179" s="254" t="e">
        <f t="shared" si="10"/>
        <v>#DIV/0!</v>
      </c>
      <c r="Q179" s="248" t="e">
        <f t="shared" si="11"/>
        <v>#DIV/0!</v>
      </c>
      <c r="R179" s="159"/>
      <c r="S179" s="159"/>
      <c r="T179" s="159"/>
      <c r="U179" s="159"/>
      <c r="V179" s="160"/>
      <c r="W179" s="161"/>
      <c r="X179" s="162"/>
      <c r="Z179" s="152"/>
      <c r="AA179" s="152"/>
    </row>
    <row r="180" spans="1:27" s="151" customFormat="1" ht="15" customHeight="1">
      <c r="A180" s="211"/>
      <c r="B180" s="209" t="s">
        <v>407</v>
      </c>
      <c r="C180" s="484"/>
      <c r="D180" s="197"/>
      <c r="E180" s="197"/>
      <c r="F180" s="197"/>
      <c r="G180" s="197"/>
      <c r="H180" s="197" t="e">
        <f t="shared" si="12"/>
        <v>#DIV/0!</v>
      </c>
      <c r="I180" s="264" t="e">
        <f t="shared" si="13"/>
        <v>#DIV/0!</v>
      </c>
      <c r="J180" s="230"/>
      <c r="K180" s="333"/>
      <c r="L180" s="158"/>
      <c r="M180" s="197"/>
      <c r="N180" s="160"/>
      <c r="O180" s="612">
        <f t="shared" si="14"/>
        <v>360</v>
      </c>
      <c r="P180" s="254" t="e">
        <f t="shared" si="10"/>
        <v>#DIV/0!</v>
      </c>
      <c r="Q180" s="248" t="e">
        <f t="shared" si="11"/>
        <v>#DIV/0!</v>
      </c>
      <c r="R180" s="159"/>
      <c r="S180" s="159"/>
      <c r="T180" s="159"/>
      <c r="U180" s="159"/>
      <c r="V180" s="160"/>
      <c r="W180" s="161"/>
      <c r="X180" s="162"/>
      <c r="Z180" s="152"/>
      <c r="AA180" s="152"/>
    </row>
    <row r="181" spans="1:27" s="151" customFormat="1" ht="15" customHeight="1">
      <c r="A181" s="211"/>
      <c r="B181" s="209" t="s">
        <v>408</v>
      </c>
      <c r="C181" s="484"/>
      <c r="D181" s="197"/>
      <c r="E181" s="197"/>
      <c r="F181" s="197"/>
      <c r="G181" s="197"/>
      <c r="H181" s="197" t="e">
        <f t="shared" si="12"/>
        <v>#DIV/0!</v>
      </c>
      <c r="I181" s="264" t="e">
        <f t="shared" si="13"/>
        <v>#DIV/0!</v>
      </c>
      <c r="J181" s="230"/>
      <c r="K181" s="333"/>
      <c r="L181" s="158"/>
      <c r="M181" s="197"/>
      <c r="N181" s="160"/>
      <c r="O181" s="612">
        <f t="shared" si="14"/>
        <v>360</v>
      </c>
      <c r="P181" s="254" t="e">
        <f t="shared" si="10"/>
        <v>#DIV/0!</v>
      </c>
      <c r="Q181" s="248" t="e">
        <f t="shared" si="11"/>
        <v>#DIV/0!</v>
      </c>
      <c r="R181" s="159"/>
      <c r="S181" s="159"/>
      <c r="T181" s="159"/>
      <c r="U181" s="159"/>
      <c r="V181" s="160"/>
      <c r="W181" s="161"/>
      <c r="X181" s="162"/>
      <c r="Z181" s="152"/>
      <c r="AA181" s="152"/>
    </row>
    <row r="182" spans="1:27" s="151" customFormat="1" ht="15" customHeight="1">
      <c r="A182" s="211"/>
      <c r="B182" s="209" t="s">
        <v>409</v>
      </c>
      <c r="C182" s="484"/>
      <c r="D182" s="197"/>
      <c r="E182" s="197"/>
      <c r="F182" s="197"/>
      <c r="G182" s="197"/>
      <c r="H182" s="197" t="e">
        <f t="shared" si="12"/>
        <v>#DIV/0!</v>
      </c>
      <c r="I182" s="264" t="e">
        <f t="shared" si="13"/>
        <v>#DIV/0!</v>
      </c>
      <c r="J182" s="230"/>
      <c r="K182" s="333"/>
      <c r="L182" s="158"/>
      <c r="M182" s="197"/>
      <c r="N182" s="160"/>
      <c r="O182" s="612">
        <f t="shared" si="14"/>
        <v>360</v>
      </c>
      <c r="P182" s="254" t="e">
        <f t="shared" si="10"/>
        <v>#DIV/0!</v>
      </c>
      <c r="Q182" s="248" t="e">
        <f t="shared" si="11"/>
        <v>#DIV/0!</v>
      </c>
      <c r="R182" s="159"/>
      <c r="S182" s="159"/>
      <c r="T182" s="159"/>
      <c r="U182" s="159"/>
      <c r="V182" s="160"/>
      <c r="W182" s="161"/>
      <c r="X182" s="162"/>
      <c r="Z182" s="152"/>
      <c r="AA182" s="152"/>
    </row>
    <row r="183" spans="1:27" s="151" customFormat="1" ht="15" customHeight="1">
      <c r="A183" s="211"/>
      <c r="B183" s="209" t="s">
        <v>410</v>
      </c>
      <c r="C183" s="484"/>
      <c r="D183" s="197"/>
      <c r="E183" s="197"/>
      <c r="F183" s="197"/>
      <c r="G183" s="197"/>
      <c r="H183" s="197" t="e">
        <f t="shared" si="12"/>
        <v>#DIV/0!</v>
      </c>
      <c r="I183" s="264" t="e">
        <f t="shared" si="13"/>
        <v>#DIV/0!</v>
      </c>
      <c r="J183" s="230"/>
      <c r="K183" s="333"/>
      <c r="L183" s="158"/>
      <c r="M183" s="197"/>
      <c r="N183" s="160"/>
      <c r="O183" s="612">
        <f t="shared" si="14"/>
        <v>360</v>
      </c>
      <c r="P183" s="254" t="e">
        <f t="shared" si="10"/>
        <v>#DIV/0!</v>
      </c>
      <c r="Q183" s="248" t="e">
        <f t="shared" si="11"/>
        <v>#DIV/0!</v>
      </c>
      <c r="R183" s="159"/>
      <c r="S183" s="159"/>
      <c r="T183" s="159"/>
      <c r="U183" s="159"/>
      <c r="V183" s="160"/>
      <c r="W183" s="161"/>
      <c r="X183" s="162"/>
      <c r="Z183" s="152"/>
      <c r="AA183" s="152"/>
    </row>
    <row r="184" spans="1:27" s="151" customFormat="1" ht="15" customHeight="1">
      <c r="A184" s="211"/>
      <c r="B184" s="209" t="s">
        <v>411</v>
      </c>
      <c r="C184" s="484"/>
      <c r="D184" s="197"/>
      <c r="E184" s="197"/>
      <c r="F184" s="197"/>
      <c r="G184" s="197"/>
      <c r="H184" s="197" t="e">
        <f t="shared" si="12"/>
        <v>#DIV/0!</v>
      </c>
      <c r="I184" s="264" t="e">
        <f t="shared" si="13"/>
        <v>#DIV/0!</v>
      </c>
      <c r="J184" s="230"/>
      <c r="K184" s="333"/>
      <c r="L184" s="158"/>
      <c r="M184" s="197"/>
      <c r="N184" s="160"/>
      <c r="O184" s="612">
        <f t="shared" si="14"/>
        <v>360</v>
      </c>
      <c r="P184" s="254" t="e">
        <f t="shared" si="10"/>
        <v>#DIV/0!</v>
      </c>
      <c r="Q184" s="248" t="e">
        <f t="shared" si="11"/>
        <v>#DIV/0!</v>
      </c>
      <c r="R184" s="159"/>
      <c r="S184" s="159"/>
      <c r="T184" s="159"/>
      <c r="U184" s="159"/>
      <c r="V184" s="160"/>
      <c r="W184" s="161"/>
      <c r="X184" s="162"/>
      <c r="Z184" s="152"/>
      <c r="AA184" s="152"/>
    </row>
    <row r="185" spans="1:27" s="151" customFormat="1" ht="15" customHeight="1">
      <c r="A185" s="211"/>
      <c r="B185" s="209" t="s">
        <v>412</v>
      </c>
      <c r="C185" s="484"/>
      <c r="D185" s="197"/>
      <c r="E185" s="197"/>
      <c r="F185" s="197"/>
      <c r="G185" s="197"/>
      <c r="H185" s="197" t="e">
        <f t="shared" si="12"/>
        <v>#DIV/0!</v>
      </c>
      <c r="I185" s="264" t="e">
        <f t="shared" si="13"/>
        <v>#DIV/0!</v>
      </c>
      <c r="J185" s="230"/>
      <c r="K185" s="333"/>
      <c r="L185" s="158"/>
      <c r="M185" s="197"/>
      <c r="N185" s="160"/>
      <c r="O185" s="612">
        <f t="shared" si="14"/>
        <v>360</v>
      </c>
      <c r="P185" s="254" t="e">
        <f t="shared" si="10"/>
        <v>#DIV/0!</v>
      </c>
      <c r="Q185" s="248" t="e">
        <f t="shared" si="11"/>
        <v>#DIV/0!</v>
      </c>
      <c r="R185" s="159"/>
      <c r="S185" s="159"/>
      <c r="T185" s="159"/>
      <c r="U185" s="159"/>
      <c r="V185" s="160"/>
      <c r="W185" s="161"/>
      <c r="X185" s="162"/>
      <c r="Z185" s="152"/>
      <c r="AA185" s="152"/>
    </row>
    <row r="186" spans="1:27" s="151" customFormat="1" ht="15" customHeight="1">
      <c r="A186" s="211"/>
      <c r="B186" s="209" t="s">
        <v>413</v>
      </c>
      <c r="C186" s="484"/>
      <c r="D186" s="197"/>
      <c r="E186" s="197"/>
      <c r="F186" s="197"/>
      <c r="G186" s="197"/>
      <c r="H186" s="197" t="e">
        <f t="shared" si="12"/>
        <v>#DIV/0!</v>
      </c>
      <c r="I186" s="264" t="e">
        <f t="shared" si="13"/>
        <v>#DIV/0!</v>
      </c>
      <c r="J186" s="230"/>
      <c r="K186" s="333"/>
      <c r="L186" s="158"/>
      <c r="M186" s="197"/>
      <c r="N186" s="160"/>
      <c r="O186" s="612">
        <f t="shared" si="14"/>
        <v>360</v>
      </c>
      <c r="P186" s="254" t="e">
        <f t="shared" si="10"/>
        <v>#DIV/0!</v>
      </c>
      <c r="Q186" s="248" t="e">
        <f t="shared" si="11"/>
        <v>#DIV/0!</v>
      </c>
      <c r="R186" s="159"/>
      <c r="S186" s="159"/>
      <c r="T186" s="159"/>
      <c r="U186" s="159"/>
      <c r="V186" s="160"/>
      <c r="W186" s="161"/>
      <c r="X186" s="162"/>
      <c r="Z186" s="152"/>
      <c r="AA186" s="152"/>
    </row>
    <row r="187" spans="1:27" s="151" customFormat="1" ht="15" customHeight="1">
      <c r="A187" s="211"/>
      <c r="B187" s="209" t="s">
        <v>414</v>
      </c>
      <c r="C187" s="484"/>
      <c r="D187" s="197"/>
      <c r="E187" s="197"/>
      <c r="F187" s="197"/>
      <c r="G187" s="197"/>
      <c r="H187" s="197" t="e">
        <f t="shared" si="12"/>
        <v>#DIV/0!</v>
      </c>
      <c r="I187" s="264" t="e">
        <f t="shared" si="13"/>
        <v>#DIV/0!</v>
      </c>
      <c r="J187" s="230"/>
      <c r="K187" s="333"/>
      <c r="L187" s="158"/>
      <c r="M187" s="197"/>
      <c r="N187" s="160"/>
      <c r="O187" s="612">
        <f t="shared" si="14"/>
        <v>360</v>
      </c>
      <c r="P187" s="254" t="e">
        <f t="shared" si="10"/>
        <v>#DIV/0!</v>
      </c>
      <c r="Q187" s="248" t="e">
        <f t="shared" si="11"/>
        <v>#DIV/0!</v>
      </c>
      <c r="R187" s="159"/>
      <c r="S187" s="159"/>
      <c r="T187" s="159"/>
      <c r="U187" s="159"/>
      <c r="V187" s="160"/>
      <c r="W187" s="161"/>
      <c r="X187" s="162"/>
      <c r="Z187" s="152"/>
      <c r="AA187" s="152"/>
    </row>
    <row r="188" spans="1:27" s="151" customFormat="1" ht="15" customHeight="1">
      <c r="A188" s="211"/>
      <c r="B188" s="209" t="s">
        <v>415</v>
      </c>
      <c r="C188" s="484"/>
      <c r="D188" s="197"/>
      <c r="E188" s="197"/>
      <c r="F188" s="197"/>
      <c r="G188" s="197"/>
      <c r="H188" s="197" t="e">
        <f t="shared" si="12"/>
        <v>#DIV/0!</v>
      </c>
      <c r="I188" s="264" t="e">
        <f t="shared" si="13"/>
        <v>#DIV/0!</v>
      </c>
      <c r="J188" s="230"/>
      <c r="K188" s="333"/>
      <c r="L188" s="158"/>
      <c r="M188" s="197"/>
      <c r="N188" s="160"/>
      <c r="O188" s="612">
        <f t="shared" si="14"/>
        <v>360</v>
      </c>
      <c r="P188" s="254" t="e">
        <f t="shared" si="10"/>
        <v>#DIV/0!</v>
      </c>
      <c r="Q188" s="248" t="e">
        <f t="shared" si="11"/>
        <v>#DIV/0!</v>
      </c>
      <c r="R188" s="159"/>
      <c r="S188" s="159"/>
      <c r="T188" s="159"/>
      <c r="U188" s="159"/>
      <c r="V188" s="160"/>
      <c r="W188" s="161"/>
      <c r="X188" s="162"/>
      <c r="Z188" s="152"/>
      <c r="AA188" s="152"/>
    </row>
    <row r="189" spans="1:27" s="151" customFormat="1" ht="15" customHeight="1">
      <c r="A189" s="211"/>
      <c r="B189" s="209" t="s">
        <v>416</v>
      </c>
      <c r="C189" s="484"/>
      <c r="D189" s="197"/>
      <c r="E189" s="197"/>
      <c r="F189" s="197"/>
      <c r="G189" s="197"/>
      <c r="H189" s="197" t="e">
        <f t="shared" si="12"/>
        <v>#DIV/0!</v>
      </c>
      <c r="I189" s="264" t="e">
        <f t="shared" si="13"/>
        <v>#DIV/0!</v>
      </c>
      <c r="J189" s="230"/>
      <c r="K189" s="333"/>
      <c r="L189" s="158"/>
      <c r="M189" s="197"/>
      <c r="N189" s="160"/>
      <c r="O189" s="612">
        <f t="shared" si="14"/>
        <v>360</v>
      </c>
      <c r="P189" s="254" t="e">
        <f t="shared" si="10"/>
        <v>#DIV/0!</v>
      </c>
      <c r="Q189" s="248" t="e">
        <f t="shared" si="11"/>
        <v>#DIV/0!</v>
      </c>
      <c r="R189" s="159"/>
      <c r="S189" s="159"/>
      <c r="T189" s="159"/>
      <c r="U189" s="159"/>
      <c r="V189" s="160"/>
      <c r="W189" s="161"/>
      <c r="X189" s="162"/>
      <c r="Z189" s="152"/>
      <c r="AA189" s="152"/>
    </row>
    <row r="190" spans="1:27" s="151" customFormat="1" ht="15" customHeight="1">
      <c r="A190" s="211"/>
      <c r="B190" s="209" t="s">
        <v>986</v>
      </c>
      <c r="C190" s="484"/>
      <c r="D190" s="197"/>
      <c r="E190" s="197"/>
      <c r="F190" s="197"/>
      <c r="G190" s="197"/>
      <c r="H190" s="197" t="e">
        <f t="shared" si="12"/>
        <v>#DIV/0!</v>
      </c>
      <c r="I190" s="264" t="e">
        <f t="shared" si="13"/>
        <v>#DIV/0!</v>
      </c>
      <c r="J190" s="230"/>
      <c r="K190" s="333"/>
      <c r="L190" s="158"/>
      <c r="M190" s="197"/>
      <c r="N190" s="160"/>
      <c r="O190" s="612">
        <f t="shared" si="14"/>
        <v>360</v>
      </c>
      <c r="P190" s="254" t="e">
        <f t="shared" si="10"/>
        <v>#DIV/0!</v>
      </c>
      <c r="Q190" s="248" t="e">
        <f t="shared" si="11"/>
        <v>#DIV/0!</v>
      </c>
      <c r="R190" s="159"/>
      <c r="S190" s="159"/>
      <c r="T190" s="159"/>
      <c r="U190" s="159"/>
      <c r="V190" s="160"/>
      <c r="W190" s="161"/>
      <c r="X190" s="162"/>
      <c r="Z190" s="152"/>
      <c r="AA190" s="152"/>
    </row>
    <row r="191" spans="1:27" s="151" customFormat="1" ht="15" customHeight="1">
      <c r="A191" s="211"/>
      <c r="B191" s="209" t="s">
        <v>987</v>
      </c>
      <c r="C191" s="484"/>
      <c r="D191" s="197"/>
      <c r="E191" s="197"/>
      <c r="F191" s="197"/>
      <c r="G191" s="197"/>
      <c r="H191" s="197" t="e">
        <f t="shared" si="12"/>
        <v>#DIV/0!</v>
      </c>
      <c r="I191" s="264" t="e">
        <f t="shared" si="13"/>
        <v>#DIV/0!</v>
      </c>
      <c r="J191" s="230"/>
      <c r="K191" s="333"/>
      <c r="L191" s="158"/>
      <c r="M191" s="197"/>
      <c r="N191" s="160"/>
      <c r="O191" s="612">
        <f t="shared" si="14"/>
        <v>360</v>
      </c>
      <c r="P191" s="254" t="e">
        <f t="shared" si="10"/>
        <v>#DIV/0!</v>
      </c>
      <c r="Q191" s="248" t="e">
        <f t="shared" si="11"/>
        <v>#DIV/0!</v>
      </c>
      <c r="R191" s="159"/>
      <c r="S191" s="159"/>
      <c r="T191" s="159"/>
      <c r="U191" s="159"/>
      <c r="V191" s="160"/>
      <c r="W191" s="161"/>
      <c r="X191" s="162"/>
      <c r="Z191" s="152"/>
      <c r="AA191" s="152"/>
    </row>
    <row r="192" spans="1:27" s="151" customFormat="1" ht="15" customHeight="1">
      <c r="A192" s="211"/>
      <c r="B192" s="209" t="s">
        <v>988</v>
      </c>
      <c r="C192" s="484"/>
      <c r="D192" s="197"/>
      <c r="E192" s="197"/>
      <c r="F192" s="197"/>
      <c r="G192" s="197"/>
      <c r="H192" s="197" t="e">
        <f t="shared" si="12"/>
        <v>#DIV/0!</v>
      </c>
      <c r="I192" s="264" t="e">
        <f t="shared" si="13"/>
        <v>#DIV/0!</v>
      </c>
      <c r="J192" s="230"/>
      <c r="K192" s="333"/>
      <c r="L192" s="158"/>
      <c r="M192" s="197"/>
      <c r="N192" s="160"/>
      <c r="O192" s="612">
        <f t="shared" si="14"/>
        <v>360</v>
      </c>
      <c r="P192" s="254" t="e">
        <f t="shared" si="10"/>
        <v>#DIV/0!</v>
      </c>
      <c r="Q192" s="248" t="e">
        <f t="shared" si="11"/>
        <v>#DIV/0!</v>
      </c>
      <c r="R192" s="159"/>
      <c r="S192" s="159"/>
      <c r="T192" s="159"/>
      <c r="U192" s="159"/>
      <c r="V192" s="160"/>
      <c r="W192" s="161"/>
      <c r="X192" s="162"/>
      <c r="Z192" s="152"/>
      <c r="AA192" s="152"/>
    </row>
    <row r="193" spans="1:27" s="151" customFormat="1" ht="15" customHeight="1">
      <c r="A193" s="211"/>
      <c r="B193" s="209" t="s">
        <v>989</v>
      </c>
      <c r="C193" s="484"/>
      <c r="D193" s="197"/>
      <c r="E193" s="197"/>
      <c r="F193" s="197"/>
      <c r="G193" s="197"/>
      <c r="H193" s="197" t="e">
        <f t="shared" si="12"/>
        <v>#DIV/0!</v>
      </c>
      <c r="I193" s="264" t="e">
        <f t="shared" si="13"/>
        <v>#DIV/0!</v>
      </c>
      <c r="J193" s="230"/>
      <c r="K193" s="333"/>
      <c r="L193" s="158"/>
      <c r="M193" s="197"/>
      <c r="N193" s="160"/>
      <c r="O193" s="612">
        <f t="shared" si="14"/>
        <v>360</v>
      </c>
      <c r="P193" s="254" t="e">
        <f t="shared" si="10"/>
        <v>#DIV/0!</v>
      </c>
      <c r="Q193" s="248" t="e">
        <f t="shared" si="11"/>
        <v>#DIV/0!</v>
      </c>
      <c r="R193" s="159"/>
      <c r="S193" s="159"/>
      <c r="T193" s="159"/>
      <c r="U193" s="159"/>
      <c r="V193" s="160"/>
      <c r="W193" s="161"/>
      <c r="X193" s="162"/>
      <c r="Z193" s="152"/>
    </row>
    <row r="194" spans="1:27" s="151" customFormat="1" ht="15" customHeight="1">
      <c r="A194" s="211"/>
      <c r="B194" s="209" t="s">
        <v>990</v>
      </c>
      <c r="C194" s="484"/>
      <c r="D194" s="197"/>
      <c r="E194" s="197"/>
      <c r="F194" s="197"/>
      <c r="G194" s="197"/>
      <c r="H194" s="197" t="e">
        <f t="shared" si="12"/>
        <v>#DIV/0!</v>
      </c>
      <c r="I194" s="264" t="e">
        <f t="shared" si="13"/>
        <v>#DIV/0!</v>
      </c>
      <c r="J194" s="230"/>
      <c r="K194" s="333"/>
      <c r="L194" s="158"/>
      <c r="M194" s="197"/>
      <c r="N194" s="160"/>
      <c r="O194" s="612">
        <f t="shared" si="14"/>
        <v>360</v>
      </c>
      <c r="P194" s="254" t="e">
        <f t="shared" si="10"/>
        <v>#DIV/0!</v>
      </c>
      <c r="Q194" s="248" t="e">
        <f t="shared" si="11"/>
        <v>#DIV/0!</v>
      </c>
      <c r="R194" s="159"/>
      <c r="S194" s="159"/>
      <c r="T194" s="159"/>
      <c r="U194" s="159"/>
      <c r="V194" s="160"/>
      <c r="W194" s="161"/>
      <c r="X194" s="162"/>
      <c r="Z194" s="152"/>
    </row>
    <row r="195" spans="1:27" s="151" customFormat="1" ht="15" customHeight="1">
      <c r="A195" s="211"/>
      <c r="B195" s="209" t="s">
        <v>991</v>
      </c>
      <c r="C195" s="484"/>
      <c r="D195" s="197"/>
      <c r="E195" s="197"/>
      <c r="F195" s="197"/>
      <c r="G195" s="197"/>
      <c r="H195" s="197" t="e">
        <f t="shared" si="12"/>
        <v>#DIV/0!</v>
      </c>
      <c r="I195" s="264" t="e">
        <f t="shared" si="13"/>
        <v>#DIV/0!</v>
      </c>
      <c r="J195" s="230"/>
      <c r="K195" s="333"/>
      <c r="L195" s="158"/>
      <c r="M195" s="197"/>
      <c r="N195" s="160"/>
      <c r="O195" s="612">
        <f t="shared" si="14"/>
        <v>360</v>
      </c>
      <c r="P195" s="254" t="e">
        <f t="shared" si="10"/>
        <v>#DIV/0!</v>
      </c>
      <c r="Q195" s="248" t="e">
        <f t="shared" si="11"/>
        <v>#DIV/0!</v>
      </c>
      <c r="R195" s="159"/>
      <c r="S195" s="159"/>
      <c r="T195" s="159"/>
      <c r="U195" s="159"/>
      <c r="V195" s="160"/>
      <c r="W195" s="161"/>
      <c r="X195" s="162"/>
      <c r="Z195" s="152"/>
    </row>
    <row r="196" spans="1:27" s="151" customFormat="1" ht="15" customHeight="1">
      <c r="A196" s="211"/>
      <c r="B196" s="209" t="s">
        <v>992</v>
      </c>
      <c r="C196" s="484"/>
      <c r="D196" s="197"/>
      <c r="E196" s="197"/>
      <c r="F196" s="197"/>
      <c r="G196" s="197"/>
      <c r="H196" s="197" t="e">
        <f t="shared" si="12"/>
        <v>#DIV/0!</v>
      </c>
      <c r="I196" s="264" t="e">
        <f t="shared" si="13"/>
        <v>#DIV/0!</v>
      </c>
      <c r="J196" s="230"/>
      <c r="K196" s="333"/>
      <c r="L196" s="158"/>
      <c r="M196" s="197"/>
      <c r="N196" s="160"/>
      <c r="O196" s="612">
        <f t="shared" si="14"/>
        <v>360</v>
      </c>
      <c r="P196" s="254" t="e">
        <f t="shared" si="10"/>
        <v>#DIV/0!</v>
      </c>
      <c r="Q196" s="248" t="e">
        <f t="shared" si="11"/>
        <v>#DIV/0!</v>
      </c>
      <c r="R196" s="159"/>
      <c r="S196" s="159"/>
      <c r="T196" s="159"/>
      <c r="U196" s="159"/>
      <c r="V196" s="160"/>
      <c r="W196" s="161"/>
      <c r="X196" s="162"/>
      <c r="Z196" s="152"/>
    </row>
    <row r="197" spans="1:27" s="151" customFormat="1" ht="15" customHeight="1">
      <c r="A197" s="211"/>
      <c r="B197" s="209" t="s">
        <v>993</v>
      </c>
      <c r="C197" s="484"/>
      <c r="D197" s="197"/>
      <c r="E197" s="197"/>
      <c r="F197" s="197"/>
      <c r="G197" s="197"/>
      <c r="H197" s="197" t="e">
        <f t="shared" si="12"/>
        <v>#DIV/0!</v>
      </c>
      <c r="I197" s="264" t="e">
        <f t="shared" si="13"/>
        <v>#DIV/0!</v>
      </c>
      <c r="J197" s="230"/>
      <c r="K197" s="333"/>
      <c r="L197" s="158"/>
      <c r="M197" s="197"/>
      <c r="N197" s="160"/>
      <c r="O197" s="612">
        <f t="shared" si="14"/>
        <v>360</v>
      </c>
      <c r="P197" s="254" t="e">
        <f t="shared" si="10"/>
        <v>#DIV/0!</v>
      </c>
      <c r="Q197" s="248" t="e">
        <f t="shared" si="11"/>
        <v>#DIV/0!</v>
      </c>
      <c r="R197" s="159"/>
      <c r="S197" s="159"/>
      <c r="T197" s="159"/>
      <c r="U197" s="159"/>
      <c r="V197" s="160"/>
      <c r="W197" s="161"/>
      <c r="X197" s="162"/>
      <c r="Z197" s="152"/>
    </row>
    <row r="198" spans="1:27" s="151" customFormat="1" ht="15" customHeight="1">
      <c r="A198" s="211"/>
      <c r="B198" s="209" t="s">
        <v>994</v>
      </c>
      <c r="C198" s="484"/>
      <c r="D198" s="197"/>
      <c r="E198" s="197"/>
      <c r="F198" s="197"/>
      <c r="G198" s="197"/>
      <c r="H198" s="197" t="e">
        <f t="shared" si="12"/>
        <v>#DIV/0!</v>
      </c>
      <c r="I198" s="264" t="e">
        <f t="shared" si="13"/>
        <v>#DIV/0!</v>
      </c>
      <c r="J198" s="230"/>
      <c r="K198" s="333"/>
      <c r="L198" s="158"/>
      <c r="M198" s="197"/>
      <c r="N198" s="160"/>
      <c r="O198" s="612">
        <f t="shared" si="14"/>
        <v>360</v>
      </c>
      <c r="P198" s="254" t="e">
        <f t="shared" si="10"/>
        <v>#DIV/0!</v>
      </c>
      <c r="Q198" s="248" t="e">
        <f t="shared" si="11"/>
        <v>#DIV/0!</v>
      </c>
      <c r="R198" s="159"/>
      <c r="S198" s="159"/>
      <c r="T198" s="159"/>
      <c r="U198" s="159"/>
      <c r="V198" s="160"/>
      <c r="W198" s="161"/>
      <c r="X198" s="162"/>
      <c r="Z198" s="152"/>
    </row>
    <row r="199" spans="1:27" s="151" customFormat="1" ht="15" customHeight="1">
      <c r="A199" s="211"/>
      <c r="B199" s="209" t="s">
        <v>995</v>
      </c>
      <c r="C199" s="484"/>
      <c r="D199" s="197"/>
      <c r="E199" s="197"/>
      <c r="F199" s="197"/>
      <c r="G199" s="197"/>
      <c r="H199" s="197" t="e">
        <f t="shared" si="12"/>
        <v>#DIV/0!</v>
      </c>
      <c r="I199" s="264" t="e">
        <f t="shared" si="13"/>
        <v>#DIV/0!</v>
      </c>
      <c r="J199" s="230"/>
      <c r="K199" s="333"/>
      <c r="L199" s="158"/>
      <c r="M199" s="197"/>
      <c r="N199" s="160"/>
      <c r="O199" s="612">
        <f t="shared" si="14"/>
        <v>360</v>
      </c>
      <c r="P199" s="254" t="e">
        <f t="shared" si="10"/>
        <v>#DIV/0!</v>
      </c>
      <c r="Q199" s="248" t="e">
        <f t="shared" si="11"/>
        <v>#DIV/0!</v>
      </c>
      <c r="R199" s="159"/>
      <c r="S199" s="159"/>
      <c r="T199" s="159"/>
      <c r="U199" s="159"/>
      <c r="V199" s="160"/>
      <c r="W199" s="161"/>
      <c r="X199" s="162"/>
      <c r="Z199" s="152"/>
    </row>
    <row r="200" spans="1:27" s="151" customFormat="1" ht="15" customHeight="1">
      <c r="A200" s="211"/>
      <c r="B200" s="209" t="s">
        <v>996</v>
      </c>
      <c r="C200" s="484"/>
      <c r="D200" s="197"/>
      <c r="E200" s="197"/>
      <c r="F200" s="197"/>
      <c r="G200" s="197"/>
      <c r="H200" s="197" t="e">
        <f t="shared" si="12"/>
        <v>#DIV/0!</v>
      </c>
      <c r="I200" s="264" t="e">
        <f t="shared" si="13"/>
        <v>#DIV/0!</v>
      </c>
      <c r="J200" s="230"/>
      <c r="K200" s="333"/>
      <c r="L200" s="158"/>
      <c r="M200" s="197"/>
      <c r="N200" s="160"/>
      <c r="O200" s="612">
        <f t="shared" si="14"/>
        <v>360</v>
      </c>
      <c r="P200" s="254" t="e">
        <f t="shared" si="10"/>
        <v>#DIV/0!</v>
      </c>
      <c r="Q200" s="248" t="e">
        <f t="shared" si="11"/>
        <v>#DIV/0!</v>
      </c>
      <c r="R200" s="159"/>
      <c r="S200" s="159"/>
      <c r="T200" s="159"/>
      <c r="U200" s="159"/>
      <c r="V200" s="160"/>
      <c r="W200" s="161"/>
      <c r="X200" s="162"/>
      <c r="Z200" s="152"/>
    </row>
    <row r="201" spans="1:27" s="151" customFormat="1" ht="15" customHeight="1">
      <c r="A201" s="211"/>
      <c r="B201" s="209" t="s">
        <v>997</v>
      </c>
      <c r="C201" s="484"/>
      <c r="D201" s="197"/>
      <c r="E201" s="197"/>
      <c r="F201" s="197"/>
      <c r="G201" s="197"/>
      <c r="H201" s="197" t="e">
        <f t="shared" si="12"/>
        <v>#DIV/0!</v>
      </c>
      <c r="I201" s="264" t="e">
        <f t="shared" si="13"/>
        <v>#DIV/0!</v>
      </c>
      <c r="J201" s="230"/>
      <c r="K201" s="333"/>
      <c r="L201" s="158"/>
      <c r="M201" s="197"/>
      <c r="N201" s="160"/>
      <c r="O201" s="612">
        <f t="shared" si="14"/>
        <v>360</v>
      </c>
      <c r="P201" s="254" t="e">
        <f t="shared" si="10"/>
        <v>#DIV/0!</v>
      </c>
      <c r="Q201" s="248" t="e">
        <f t="shared" si="11"/>
        <v>#DIV/0!</v>
      </c>
      <c r="R201" s="159"/>
      <c r="S201" s="159"/>
      <c r="T201" s="159"/>
      <c r="U201" s="159"/>
      <c r="V201" s="160"/>
      <c r="W201" s="161"/>
      <c r="X201" s="162"/>
      <c r="Z201" s="152"/>
    </row>
    <row r="202" spans="1:27" s="151" customFormat="1" ht="15" customHeight="1">
      <c r="A202" s="211"/>
      <c r="B202" s="209" t="s">
        <v>998</v>
      </c>
      <c r="C202" s="484"/>
      <c r="D202" s="197"/>
      <c r="E202" s="197"/>
      <c r="F202" s="197"/>
      <c r="G202" s="197"/>
      <c r="H202" s="197" t="e">
        <f t="shared" si="12"/>
        <v>#DIV/0!</v>
      </c>
      <c r="I202" s="264" t="e">
        <f t="shared" si="13"/>
        <v>#DIV/0!</v>
      </c>
      <c r="J202" s="230"/>
      <c r="K202" s="333"/>
      <c r="L202" s="158"/>
      <c r="M202" s="197"/>
      <c r="N202" s="160"/>
      <c r="O202" s="612">
        <f t="shared" si="14"/>
        <v>360</v>
      </c>
      <c r="P202" s="254" t="e">
        <f t="shared" si="10"/>
        <v>#DIV/0!</v>
      </c>
      <c r="Q202" s="248" t="e">
        <f t="shared" si="11"/>
        <v>#DIV/0!</v>
      </c>
      <c r="R202" s="159"/>
      <c r="S202" s="159"/>
      <c r="T202" s="159"/>
      <c r="U202" s="159"/>
      <c r="V202" s="160"/>
      <c r="W202" s="161"/>
      <c r="X202" s="162"/>
      <c r="Z202" s="152"/>
    </row>
    <row r="203" spans="1:27" s="151" customFormat="1" ht="15" customHeight="1">
      <c r="A203" s="211"/>
      <c r="B203" s="209" t="s">
        <v>999</v>
      </c>
      <c r="C203" s="484"/>
      <c r="D203" s="197"/>
      <c r="E203" s="197"/>
      <c r="F203" s="197"/>
      <c r="G203" s="197"/>
      <c r="H203" s="197" t="e">
        <f t="shared" si="12"/>
        <v>#DIV/0!</v>
      </c>
      <c r="I203" s="264" t="e">
        <f t="shared" si="13"/>
        <v>#DIV/0!</v>
      </c>
      <c r="J203" s="230"/>
      <c r="K203" s="333"/>
      <c r="L203" s="158"/>
      <c r="M203" s="197"/>
      <c r="N203" s="160"/>
      <c r="O203" s="612">
        <f t="shared" si="14"/>
        <v>360</v>
      </c>
      <c r="P203" s="254" t="e">
        <f t="shared" si="10"/>
        <v>#DIV/0!</v>
      </c>
      <c r="Q203" s="248" t="e">
        <f t="shared" si="11"/>
        <v>#DIV/0!</v>
      </c>
      <c r="R203" s="159"/>
      <c r="S203" s="159"/>
      <c r="T203" s="159"/>
      <c r="U203" s="159"/>
      <c r="V203" s="160"/>
      <c r="W203" s="161"/>
      <c r="X203" s="162"/>
      <c r="Z203" s="152"/>
    </row>
    <row r="204" spans="1:27" s="151" customFormat="1" ht="15" customHeight="1">
      <c r="A204" s="211"/>
      <c r="B204" s="209" t="s">
        <v>1000</v>
      </c>
      <c r="C204" s="484"/>
      <c r="D204" s="197"/>
      <c r="E204" s="197"/>
      <c r="F204" s="197"/>
      <c r="G204" s="197"/>
      <c r="H204" s="197" t="e">
        <f t="shared" si="12"/>
        <v>#DIV/0!</v>
      </c>
      <c r="I204" s="264" t="e">
        <f t="shared" si="13"/>
        <v>#DIV/0!</v>
      </c>
      <c r="J204" s="230"/>
      <c r="K204" s="333"/>
      <c r="L204" s="158"/>
      <c r="M204" s="197"/>
      <c r="N204" s="160"/>
      <c r="O204" s="612">
        <f t="shared" si="14"/>
        <v>360</v>
      </c>
      <c r="P204" s="254" t="e">
        <f t="shared" si="10"/>
        <v>#DIV/0!</v>
      </c>
      <c r="Q204" s="248" t="e">
        <f t="shared" si="11"/>
        <v>#DIV/0!</v>
      </c>
      <c r="R204" s="159"/>
      <c r="S204" s="159"/>
      <c r="T204" s="159"/>
      <c r="U204" s="159"/>
      <c r="V204" s="160"/>
      <c r="W204" s="161"/>
      <c r="X204" s="162"/>
      <c r="Z204" s="152"/>
      <c r="AA204" s="152"/>
    </row>
    <row r="205" spans="1:27" s="151" customFormat="1" ht="15" customHeight="1">
      <c r="A205" s="211"/>
      <c r="B205" s="209" t="s">
        <v>1001</v>
      </c>
      <c r="C205" s="484"/>
      <c r="D205" s="197"/>
      <c r="E205" s="197"/>
      <c r="F205" s="197"/>
      <c r="G205" s="197"/>
      <c r="H205" s="197" t="e">
        <f t="shared" si="12"/>
        <v>#DIV/0!</v>
      </c>
      <c r="I205" s="264" t="e">
        <f t="shared" si="13"/>
        <v>#DIV/0!</v>
      </c>
      <c r="J205" s="230"/>
      <c r="K205" s="333"/>
      <c r="L205" s="158"/>
      <c r="M205" s="197"/>
      <c r="N205" s="160"/>
      <c r="O205" s="612">
        <f t="shared" si="14"/>
        <v>360</v>
      </c>
      <c r="P205" s="254" t="e">
        <f t="shared" si="10"/>
        <v>#DIV/0!</v>
      </c>
      <c r="Q205" s="248" t="e">
        <f t="shared" si="11"/>
        <v>#DIV/0!</v>
      </c>
      <c r="R205" s="159"/>
      <c r="S205" s="159"/>
      <c r="T205" s="159"/>
      <c r="U205" s="159"/>
      <c r="V205" s="160"/>
      <c r="W205" s="161"/>
      <c r="X205" s="162"/>
      <c r="Z205" s="152"/>
      <c r="AA205" s="152"/>
    </row>
    <row r="206" spans="1:27" s="151" customFormat="1" ht="15" customHeight="1">
      <c r="A206" s="211"/>
      <c r="B206" s="209" t="s">
        <v>1002</v>
      </c>
      <c r="C206" s="484"/>
      <c r="D206" s="197"/>
      <c r="E206" s="197"/>
      <c r="F206" s="197"/>
      <c r="G206" s="197"/>
      <c r="H206" s="197" t="e">
        <f t="shared" si="12"/>
        <v>#DIV/0!</v>
      </c>
      <c r="I206" s="264" t="e">
        <f t="shared" si="13"/>
        <v>#DIV/0!</v>
      </c>
      <c r="J206" s="230"/>
      <c r="K206" s="333"/>
      <c r="L206" s="158"/>
      <c r="M206" s="197"/>
      <c r="N206" s="160"/>
      <c r="O206" s="612">
        <f t="shared" si="14"/>
        <v>360</v>
      </c>
      <c r="P206" s="254" t="e">
        <f t="shared" si="10"/>
        <v>#DIV/0!</v>
      </c>
      <c r="Q206" s="248" t="e">
        <f t="shared" si="11"/>
        <v>#DIV/0!</v>
      </c>
      <c r="R206" s="159"/>
      <c r="S206" s="159"/>
      <c r="T206" s="159"/>
      <c r="U206" s="159"/>
      <c r="V206" s="160"/>
      <c r="W206" s="161"/>
      <c r="X206" s="162"/>
      <c r="Z206" s="152"/>
      <c r="AA206" s="152"/>
    </row>
    <row r="207" spans="1:27" s="151" customFormat="1" ht="15" customHeight="1">
      <c r="A207" s="211"/>
      <c r="B207" s="209" t="s">
        <v>1003</v>
      </c>
      <c r="C207" s="484"/>
      <c r="D207" s="197"/>
      <c r="E207" s="197"/>
      <c r="F207" s="197"/>
      <c r="G207" s="197"/>
      <c r="H207" s="197" t="e">
        <f t="shared" si="12"/>
        <v>#DIV/0!</v>
      </c>
      <c r="I207" s="264" t="e">
        <f t="shared" si="13"/>
        <v>#DIV/0!</v>
      </c>
      <c r="J207" s="230"/>
      <c r="K207" s="333"/>
      <c r="L207" s="158"/>
      <c r="M207" s="197"/>
      <c r="N207" s="160"/>
      <c r="O207" s="612">
        <f t="shared" si="14"/>
        <v>360</v>
      </c>
      <c r="P207" s="254" t="e">
        <f t="shared" si="10"/>
        <v>#DIV/0!</v>
      </c>
      <c r="Q207" s="248" t="e">
        <f t="shared" si="11"/>
        <v>#DIV/0!</v>
      </c>
      <c r="R207" s="159"/>
      <c r="S207" s="159"/>
      <c r="T207" s="159"/>
      <c r="U207" s="159"/>
      <c r="V207" s="160"/>
      <c r="W207" s="161"/>
      <c r="X207" s="162"/>
      <c r="Z207" s="152"/>
      <c r="AA207" s="152"/>
    </row>
    <row r="208" spans="1:27" s="151" customFormat="1" ht="15" customHeight="1">
      <c r="A208" s="211"/>
      <c r="B208" s="209" t="s">
        <v>1004</v>
      </c>
      <c r="C208" s="484"/>
      <c r="D208" s="197"/>
      <c r="E208" s="197"/>
      <c r="F208" s="197"/>
      <c r="G208" s="197"/>
      <c r="H208" s="197" t="e">
        <f t="shared" si="12"/>
        <v>#DIV/0!</v>
      </c>
      <c r="I208" s="264" t="e">
        <f t="shared" si="13"/>
        <v>#DIV/0!</v>
      </c>
      <c r="J208" s="230"/>
      <c r="K208" s="333"/>
      <c r="L208" s="158"/>
      <c r="M208" s="197"/>
      <c r="N208" s="160"/>
      <c r="O208" s="612">
        <f t="shared" si="14"/>
        <v>360</v>
      </c>
      <c r="P208" s="254" t="e">
        <f t="shared" si="10"/>
        <v>#DIV/0!</v>
      </c>
      <c r="Q208" s="248" t="e">
        <f t="shared" si="11"/>
        <v>#DIV/0!</v>
      </c>
      <c r="R208" s="159"/>
      <c r="S208" s="159"/>
      <c r="T208" s="159"/>
      <c r="U208" s="159"/>
      <c r="V208" s="160"/>
      <c r="W208" s="161"/>
      <c r="X208" s="162"/>
      <c r="Z208" s="152"/>
      <c r="AA208" s="152"/>
    </row>
    <row r="209" spans="1:28" s="151" customFormat="1" ht="15" customHeight="1" thickBot="1">
      <c r="A209" s="211"/>
      <c r="B209" s="209" t="s">
        <v>1005</v>
      </c>
      <c r="C209" s="484"/>
      <c r="D209" s="197"/>
      <c r="E209" s="197"/>
      <c r="F209" s="197"/>
      <c r="G209" s="197"/>
      <c r="H209" s="197" t="e">
        <f>H208</f>
        <v>#DIV/0!</v>
      </c>
      <c r="I209" s="264" t="e">
        <f>I208</f>
        <v>#DIV/0!</v>
      </c>
      <c r="J209" s="621"/>
      <c r="K209" s="622"/>
      <c r="L209" s="158"/>
      <c r="M209" s="197"/>
      <c r="N209" s="160"/>
      <c r="O209" s="613">
        <f>O208</f>
        <v>360</v>
      </c>
      <c r="P209" s="254" t="e">
        <f t="shared" si="10"/>
        <v>#DIV/0!</v>
      </c>
      <c r="Q209" s="248" t="e">
        <f t="shared" si="11"/>
        <v>#DIV/0!</v>
      </c>
      <c r="R209" s="159"/>
      <c r="S209" s="159"/>
      <c r="T209" s="159"/>
      <c r="U209" s="159"/>
      <c r="V209" s="160"/>
      <c r="W209" s="161"/>
      <c r="X209" s="162"/>
      <c r="Z209" s="152"/>
      <c r="AA209" s="152"/>
    </row>
    <row r="210" spans="1:28" s="182" customFormat="1" ht="15" customHeight="1">
      <c r="A210" s="211"/>
      <c r="B210" s="206"/>
      <c r="C210" s="294"/>
      <c r="D210" s="191"/>
      <c r="E210" s="131"/>
      <c r="F210" s="131"/>
      <c r="G210" s="131"/>
      <c r="H210" s="131"/>
      <c r="I210" s="228"/>
      <c r="J210" s="228"/>
      <c r="K210" s="228"/>
      <c r="L210" s="191"/>
      <c r="M210" s="191"/>
      <c r="N210" s="191"/>
      <c r="O210" s="140"/>
      <c r="P210" s="191"/>
      <c r="Q210" s="191"/>
      <c r="R210" s="191"/>
      <c r="S210" s="191"/>
      <c r="T210" s="191"/>
      <c r="U210" s="191"/>
      <c r="V210" s="193"/>
      <c r="W210" s="181"/>
      <c r="X210" s="137"/>
      <c r="Z210" s="183"/>
      <c r="AA210" s="151"/>
      <c r="AB210" s="151"/>
    </row>
    <row r="211" spans="1:28" s="182" customFormat="1" ht="15" customHeight="1">
      <c r="A211" s="211"/>
      <c r="B211" s="206"/>
      <c r="C211" s="294"/>
      <c r="D211" s="191"/>
      <c r="E211" s="131"/>
      <c r="F211" s="131"/>
      <c r="G211" s="131"/>
      <c r="H211" s="131"/>
      <c r="I211" s="228"/>
      <c r="J211" s="228"/>
      <c r="K211" s="228"/>
      <c r="L211" s="191"/>
      <c r="M211" s="191"/>
      <c r="N211" s="191"/>
      <c r="O211" s="140"/>
      <c r="P211" s="191"/>
      <c r="Q211" s="191"/>
      <c r="R211" s="191"/>
      <c r="S211" s="191"/>
      <c r="T211" s="191"/>
      <c r="U211" s="191"/>
      <c r="V211" s="193"/>
      <c r="W211" s="181"/>
      <c r="X211" s="137"/>
      <c r="Z211" s="183"/>
      <c r="AA211" s="151"/>
      <c r="AB211" s="151"/>
    </row>
    <row r="212" spans="1:28" s="182" customFormat="1" ht="15" customHeight="1" thickBot="1">
      <c r="A212" s="211"/>
      <c r="B212" s="275" t="s">
        <v>1006</v>
      </c>
      <c r="C212" s="276"/>
      <c r="D212" s="277"/>
      <c r="E212" s="277"/>
      <c r="F212" s="277"/>
      <c r="G212" s="277"/>
      <c r="H212" s="277"/>
      <c r="I212" s="277"/>
      <c r="J212" s="278"/>
      <c r="K212" s="278"/>
      <c r="L212" s="279"/>
      <c r="M212" s="277"/>
      <c r="N212" s="277"/>
      <c r="O212" s="277"/>
      <c r="P212" s="277"/>
      <c r="Q212" s="277"/>
      <c r="R212" s="277"/>
      <c r="S212" s="280"/>
      <c r="T212" s="277"/>
      <c r="U212" s="277" t="s">
        <v>674</v>
      </c>
      <c r="V212" s="281" t="s">
        <v>27</v>
      </c>
      <c r="W212" s="282"/>
      <c r="X212" s="283"/>
      <c r="Z212" s="183"/>
      <c r="AA212" s="151"/>
      <c r="AB212" s="151"/>
    </row>
    <row r="213" spans="1:28" s="182" customFormat="1" ht="15" customHeight="1" thickBot="1">
      <c r="A213" s="211"/>
      <c r="B213" s="206"/>
      <c r="C213" s="129">
        <f>SUMIF(Densidades!A:A,'Memória TOTAL'!X213,Densidades!B:B)</f>
        <v>0</v>
      </c>
      <c r="D213" s="130">
        <f>SUMIF(Densidades!A:A,'Memória TOTAL'!X213,Densidades!C:C)</f>
        <v>0</v>
      </c>
      <c r="E213" s="130" t="str">
        <f>IF(I213=15,"FIRECLAY MORTAR",IF(I213=16,"ALUMINA MORTAR",IF(I213=17,"BASIC MORTAR",IF(I213=18,"MORTAR","-"))))</f>
        <v>-</v>
      </c>
      <c r="F213" s="130" t="str">
        <f>IF(I213=15,"FIRECLAY MORTAR",IF(I213=16,"ALUMINA MORTAR",IF(I213=17,"BASIC MORTAR",IF(I213=18,"MORTAR","-"))))</f>
        <v>-</v>
      </c>
      <c r="G213" s="130" t="str">
        <f>IF(I213=15,"FIRECLAY MORTAR",IF(I213=16,"ALUMINA MORTAR",IF(I213=17,"BASIC MORTAR",IF(I213=18,"MORTAR","-"))))</f>
        <v>-</v>
      </c>
      <c r="H213" s="130" t="str">
        <f>IF(I213=15,"FIRECLAY MORTAR",IF(I213=16,"ALUMINA MORTAR",IF(I213=17,"BASIC MORTAR",IF(I213=18,"MORTAR","-"))))</f>
        <v>-</v>
      </c>
      <c r="I213" s="130">
        <f>SUMIF(Densidades!A:A,'Memória TOTAL'!X213,Densidades!G:G)</f>
        <v>0</v>
      </c>
      <c r="J213" s="132">
        <f>SUMIF(Formatos!A:A,'Memória TOTAL'!X214,Formatos!G:G)</f>
        <v>0</v>
      </c>
      <c r="K213" s="133">
        <f>SUMIF(Densidades!A:A,'Memória TOTAL'!X213,Densidades!I:I)</f>
        <v>0</v>
      </c>
      <c r="L213" s="184">
        <v>0</v>
      </c>
      <c r="M213" s="185"/>
      <c r="N213" s="185"/>
      <c r="O213" s="185"/>
      <c r="P213" s="185"/>
      <c r="Q213" s="185"/>
      <c r="R213" s="185"/>
      <c r="S213" s="185"/>
      <c r="T213" s="186"/>
      <c r="U213" s="286">
        <v>0.06</v>
      </c>
      <c r="V213" s="188" t="e">
        <f>(W150*J150*C213+W154*J154*C213)*U213</f>
        <v>#VALUE!</v>
      </c>
      <c r="W213" s="189" t="str">
        <f>IF(C213=0,"",ROUNDUP(SUM(V213:V214)*(1+L213),0))</f>
        <v/>
      </c>
      <c r="X213" s="259"/>
      <c r="Z213" s="183"/>
      <c r="AA213" s="151"/>
      <c r="AB213" s="151"/>
    </row>
    <row r="214" spans="1:28" s="182" customFormat="1" ht="15" customHeight="1">
      <c r="A214" s="211"/>
      <c r="B214" s="206"/>
      <c r="C214" s="129"/>
      <c r="D214" s="191"/>
      <c r="E214" s="191"/>
      <c r="F214" s="191"/>
      <c r="G214" s="191"/>
      <c r="H214" s="191"/>
      <c r="I214" s="191"/>
      <c r="J214" s="192"/>
      <c r="K214" s="192"/>
      <c r="L214" s="140"/>
      <c r="M214" s="191"/>
      <c r="N214" s="191"/>
      <c r="O214" s="191"/>
      <c r="P214" s="191"/>
      <c r="Q214" s="191"/>
      <c r="R214" s="191"/>
      <c r="S214" s="191"/>
      <c r="T214" s="191"/>
      <c r="U214" s="191"/>
      <c r="V214" s="193"/>
      <c r="W214" s="181"/>
      <c r="X214" s="137" t="str">
        <f>IF(AND(H213="-",G213="-",F213="-"),E213,IF(AND(H213="-",G213="-",E213="-"),F213,IF(AND(H213="-",F213="-",E213="-"),G213,H213)))</f>
        <v>-</v>
      </c>
      <c r="Z214" s="183"/>
      <c r="AA214" s="151"/>
      <c r="AB214" s="151"/>
    </row>
    <row r="215" spans="1:28" s="182" customFormat="1" ht="15" customHeight="1">
      <c r="A215" s="211"/>
      <c r="B215" s="209"/>
      <c r="C215" s="129"/>
      <c r="D215" s="191"/>
      <c r="E215" s="191"/>
      <c r="F215" s="191"/>
      <c r="G215" s="191"/>
      <c r="H215" s="191"/>
      <c r="I215" s="191"/>
      <c r="J215" s="192"/>
      <c r="K215" s="192"/>
      <c r="L215" s="140"/>
      <c r="M215" s="191"/>
      <c r="N215" s="191"/>
      <c r="O215" s="191"/>
      <c r="P215" s="191"/>
      <c r="Q215" s="191"/>
      <c r="R215" s="191"/>
      <c r="S215" s="191"/>
      <c r="T215" s="191"/>
      <c r="U215" s="191"/>
      <c r="V215" s="193"/>
      <c r="W215" s="181"/>
      <c r="X215" s="137" t="s">
        <v>2</v>
      </c>
      <c r="Z215" s="183"/>
      <c r="AA215" s="152"/>
      <c r="AB215" s="151"/>
    </row>
    <row r="216" spans="1:28" ht="15" customHeight="1">
      <c r="A216" s="211"/>
      <c r="B216" s="127"/>
      <c r="C216" s="165"/>
      <c r="D216" s="166"/>
      <c r="E216" s="166"/>
      <c r="F216" s="166"/>
      <c r="G216" s="166"/>
      <c r="H216" s="166"/>
      <c r="I216" s="166"/>
      <c r="J216" s="167"/>
      <c r="K216" s="167"/>
      <c r="L216" s="168"/>
      <c r="M216" s="166"/>
      <c r="N216" s="166"/>
      <c r="O216" s="166"/>
      <c r="P216" s="166"/>
      <c r="Q216" s="166"/>
      <c r="R216" s="166"/>
      <c r="S216" s="166"/>
      <c r="T216" s="166"/>
      <c r="U216" s="166"/>
      <c r="V216" s="169"/>
      <c r="W216" s="170"/>
      <c r="X216" s="171"/>
    </row>
    <row r="217" spans="1:28" s="182" customFormat="1" ht="15" customHeight="1" thickBot="1">
      <c r="A217" s="211"/>
      <c r="B217" s="275" t="s">
        <v>1007</v>
      </c>
      <c r="C217" s="276"/>
      <c r="D217" s="277"/>
      <c r="E217" s="277"/>
      <c r="F217" s="277"/>
      <c r="G217" s="277"/>
      <c r="H217" s="277"/>
      <c r="I217" s="277"/>
      <c r="J217" s="278"/>
      <c r="K217" s="278"/>
      <c r="L217" s="279"/>
      <c r="M217" s="277"/>
      <c r="N217" s="277"/>
      <c r="O217" s="277"/>
      <c r="P217" s="277"/>
      <c r="Q217" s="277"/>
      <c r="R217" s="277" t="s">
        <v>632</v>
      </c>
      <c r="S217" s="280" t="s">
        <v>633</v>
      </c>
      <c r="T217" s="277" t="s">
        <v>634</v>
      </c>
      <c r="U217" s="277" t="s">
        <v>38</v>
      </c>
      <c r="V217" s="281" t="s">
        <v>27</v>
      </c>
      <c r="W217" s="282"/>
      <c r="X217" s="283"/>
      <c r="Z217" s="183"/>
      <c r="AA217" s="183"/>
    </row>
    <row r="218" spans="1:28" s="182" customFormat="1" ht="15" customHeight="1" thickBot="1">
      <c r="A218" s="211"/>
      <c r="B218" s="206"/>
      <c r="C218" s="129">
        <f>SUMIF(Densidades!A:A,'Memória TOTAL'!X218,Densidades!B:B)</f>
        <v>0</v>
      </c>
      <c r="D218" s="130">
        <f>SUMIF(Densidades!A:A,'Memória TOTAL'!X218,Densidades!C:C)</f>
        <v>0</v>
      </c>
      <c r="E218" s="130" t="str">
        <f>IF(I218=15,"FIRECLAY MORTAR",IF(I218=16,"ALUMINA MORTAR",IF(I218=17,"BASIC MORTAR",IF(I218=18,"MORTAR","-"))))</f>
        <v>-</v>
      </c>
      <c r="F218" s="130" t="str">
        <f>IF(I218=15,"FIRECLAY MORTAR",IF(I218=16,"ALUMINA MORTAR",IF(I218=17,"BASIC MORTAR",IF(I218=18,"MORTAR","-"))))</f>
        <v>-</v>
      </c>
      <c r="G218" s="130" t="str">
        <f>IF(I218=15,"FIRECLAY MORTAR",IF(I218=16,"ALUMINA MORTAR",IF(I218=17,"BASIC MORTAR",IF(I218=18,"MORTAR","-"))))</f>
        <v>-</v>
      </c>
      <c r="H218" s="130" t="str">
        <f>IF(I218=15,"FIRECLAY MORTAR",IF(I218=16,"ALUMINA MORTAR",IF(I218=17,"BASIC MORTAR",IF(I218=18,"MORTAR","-"))))</f>
        <v>-</v>
      </c>
      <c r="I218" s="130">
        <f>SUMIF(Densidades!A:A,'Memória TOTAL'!X218,Densidades!G:G)</f>
        <v>0</v>
      </c>
      <c r="J218" s="132">
        <f>SUMIF(Formatos!A:A,'Memória TOTAL'!X219,Formatos!G:G)</f>
        <v>0</v>
      </c>
      <c r="K218" s="218">
        <f>SUMIF(Densidades!A:A,'Memória TOTAL'!X218,Densidades!I:I)</f>
        <v>0</v>
      </c>
      <c r="L218" s="184">
        <v>0</v>
      </c>
      <c r="M218" s="185"/>
      <c r="N218" s="185"/>
      <c r="O218" s="185"/>
      <c r="P218" s="185"/>
      <c r="Q218" s="185"/>
      <c r="R218" s="186">
        <f>((G150*H150)+(G150*E150)+(H150*E150))/1000000</f>
        <v>0</v>
      </c>
      <c r="S218" s="255">
        <v>2</v>
      </c>
      <c r="T218" s="186">
        <f>R218*S218</f>
        <v>0</v>
      </c>
      <c r="U218" s="187">
        <f>SUM(W150:W155)</f>
        <v>0</v>
      </c>
      <c r="V218" s="188">
        <f>(T218*C218*(1+L218))*U218</f>
        <v>0</v>
      </c>
      <c r="W218" s="189" t="str">
        <f>IF(C218=0,"",ROUNDUP(SUM(V218:V219)*(1+L218),0))</f>
        <v/>
      </c>
      <c r="X218" s="259"/>
      <c r="Z218" s="183"/>
      <c r="AA218" s="183"/>
    </row>
    <row r="219" spans="1:28" s="182" customFormat="1" ht="15" customHeight="1">
      <c r="A219" s="211"/>
      <c r="B219" s="206"/>
      <c r="C219" s="129"/>
      <c r="D219" s="191"/>
      <c r="E219" s="191"/>
      <c r="F219" s="191"/>
      <c r="G219" s="191"/>
      <c r="H219" s="191"/>
      <c r="I219" s="191"/>
      <c r="J219" s="192"/>
      <c r="K219" s="192"/>
      <c r="L219" s="140"/>
      <c r="M219" s="191"/>
      <c r="N219" s="191"/>
      <c r="O219" s="191"/>
      <c r="P219" s="191"/>
      <c r="Q219" s="191"/>
      <c r="R219" s="191"/>
      <c r="S219" s="191"/>
      <c r="T219" s="191"/>
      <c r="U219" s="191"/>
      <c r="V219" s="193"/>
      <c r="W219" s="181"/>
      <c r="X219" s="137" t="str">
        <f>IF(AND(H218="-",G218="-",F218="-"),E218,IF(AND(H218="-",G218="-",E218="-"),F218,IF(AND(H218="-",F218="-",E218="-"),G218,H218)))</f>
        <v>-</v>
      </c>
      <c r="Z219" s="183"/>
      <c r="AA219" s="183"/>
    </row>
    <row r="220" spans="1:28" s="182" customFormat="1" ht="15" customHeight="1">
      <c r="A220" s="211"/>
      <c r="B220" s="209"/>
      <c r="C220" s="129"/>
      <c r="D220" s="191"/>
      <c r="E220" s="191"/>
      <c r="F220" s="191"/>
      <c r="G220" s="191"/>
      <c r="H220" s="191"/>
      <c r="I220" s="191"/>
      <c r="J220" s="192"/>
      <c r="K220" s="192"/>
      <c r="L220" s="140"/>
      <c r="M220" s="191"/>
      <c r="N220" s="191"/>
      <c r="O220" s="191"/>
      <c r="P220" s="191"/>
      <c r="Q220" s="191"/>
      <c r="R220" s="191"/>
      <c r="S220" s="191"/>
      <c r="T220" s="191"/>
      <c r="U220" s="191"/>
      <c r="V220" s="193"/>
      <c r="W220" s="181"/>
      <c r="X220" s="137" t="s">
        <v>2</v>
      </c>
      <c r="Z220" s="183"/>
      <c r="AA220" s="183"/>
    </row>
    <row r="221" spans="1:28" s="182" customFormat="1" ht="15" customHeight="1">
      <c r="A221" s="211"/>
      <c r="B221" s="209"/>
      <c r="C221" s="129"/>
      <c r="D221" s="191"/>
      <c r="E221" s="191"/>
      <c r="F221" s="191"/>
      <c r="G221" s="191"/>
      <c r="H221" s="191"/>
      <c r="I221" s="191"/>
      <c r="J221" s="192"/>
      <c r="K221" s="192"/>
      <c r="L221" s="140"/>
      <c r="M221" s="191"/>
      <c r="N221" s="191"/>
      <c r="O221" s="191"/>
      <c r="P221" s="191"/>
      <c r="Q221" s="191"/>
      <c r="R221" s="191"/>
      <c r="S221" s="191"/>
      <c r="T221" s="191"/>
      <c r="U221" s="191"/>
      <c r="V221" s="193"/>
      <c r="W221" s="181"/>
      <c r="X221" s="137"/>
      <c r="Z221" s="183"/>
      <c r="AA221" s="183"/>
    </row>
    <row r="222" spans="1:28" s="182" customFormat="1" ht="15" customHeight="1" thickBot="1">
      <c r="A222" s="211"/>
      <c r="B222" s="505"/>
      <c r="C222" s="505"/>
      <c r="D222" s="508"/>
      <c r="E222" s="508"/>
      <c r="F222" s="508"/>
      <c r="G222" s="508"/>
      <c r="H222" s="508"/>
      <c r="I222" s="508"/>
      <c r="J222" s="508"/>
      <c r="K222" s="508"/>
      <c r="L222" s="508"/>
      <c r="M222" s="508"/>
      <c r="N222" s="508"/>
      <c r="O222" s="508"/>
      <c r="P222" s="508"/>
      <c r="Q222" s="508"/>
      <c r="R222" s="508"/>
      <c r="S222" s="508"/>
      <c r="T222" s="508"/>
      <c r="U222" s="508"/>
      <c r="V222" s="508"/>
      <c r="W222" s="508"/>
      <c r="X222" s="509"/>
      <c r="Y222" s="507"/>
      <c r="Z222" s="183"/>
      <c r="AA222" s="183"/>
    </row>
    <row r="223" spans="1:28" ht="15" customHeight="1" thickBot="1">
      <c r="A223" s="274"/>
      <c r="B223" s="498" t="str">
        <f>IF(X224="","COMPOSIÇÃO CONE 2 TIJOLOS",X224)</f>
        <v>COMPOSIÇÃO CONE 2 TIJOLOS</v>
      </c>
      <c r="C223" s="499" t="s">
        <v>101</v>
      </c>
      <c r="D223" s="500" t="s">
        <v>102</v>
      </c>
      <c r="E223" s="500" t="s">
        <v>42</v>
      </c>
      <c r="F223" s="500" t="s">
        <v>42</v>
      </c>
      <c r="G223" s="500" t="s">
        <v>43</v>
      </c>
      <c r="H223" s="500" t="s">
        <v>44</v>
      </c>
      <c r="I223" s="500" t="s">
        <v>47</v>
      </c>
      <c r="J223" s="500" t="s">
        <v>103</v>
      </c>
      <c r="K223" s="500" t="s">
        <v>37</v>
      </c>
      <c r="L223" s="500" t="s">
        <v>39</v>
      </c>
      <c r="M223" s="500" t="s">
        <v>45</v>
      </c>
      <c r="N223" s="500" t="s">
        <v>46</v>
      </c>
      <c r="O223" s="501" t="s">
        <v>106</v>
      </c>
      <c r="P223" s="500" t="s">
        <v>52</v>
      </c>
      <c r="Q223" s="501" t="s">
        <v>53</v>
      </c>
      <c r="R223" s="501" t="s">
        <v>104</v>
      </c>
      <c r="S223" s="500"/>
      <c r="T223" s="500"/>
      <c r="U223" s="500" t="s">
        <v>673</v>
      </c>
      <c r="V223" s="502" t="s">
        <v>27</v>
      </c>
      <c r="W223" s="503"/>
      <c r="X223" s="504"/>
    </row>
    <row r="224" spans="1:28" ht="15" customHeight="1" thickBot="1">
      <c r="A224" s="211"/>
      <c r="B224" s="848" t="s">
        <v>1813</v>
      </c>
      <c r="C224" s="241">
        <f>SUMIF(Densidades!A:A,'Memória TOTAL'!X224,Densidades!B:B)</f>
        <v>0</v>
      </c>
      <c r="D224" s="130">
        <f>SUMIF(Densidades!A:A,'Memória TOTAL'!X224,Densidades!C:C)</f>
        <v>0</v>
      </c>
      <c r="E224" s="131">
        <f>IF(AND(E230=1,E231=2),SUMIF(Formatos!A:A,'Memória TOTAL'!X225,Formatos!D:D),SUMIF(Formatos!A:A,'Memória TOTAL'!X225,Formatos!E:E))</f>
        <v>0</v>
      </c>
      <c r="F224" s="131">
        <f>IF(AND(E230=1,E231=2),SUMIF(Formatos!A:A,'Memória TOTAL'!X225,Formatos!R:R),SUMIF(Formatos!A:A,'Memória TOTAL'!X225,Formatos!F:F))</f>
        <v>0</v>
      </c>
      <c r="G224" s="131">
        <f>SUMIF(Formatos!A:A,'Memória TOTAL'!X225,Formatos!C:C)</f>
        <v>0</v>
      </c>
      <c r="H224" s="131">
        <f>IF(AND(E230=1,E231=2),SUMIF(Formatos!A:A,'Memória TOTAL'!X225,Formatos!E:E),SUMIF(Formatos!A:A,'Memória TOTAL'!X225,Formatos!D:D))</f>
        <v>0</v>
      </c>
      <c r="I224" s="131">
        <f>SUMIF(Densidades!A:A,'Memória TOTAL'!X224,Densidades!H:H)</f>
        <v>0</v>
      </c>
      <c r="J224" s="132">
        <f>SUMIF(Formatos!A:A,'Memória TOTAL'!X225,Formatos!G:G)</f>
        <v>0</v>
      </c>
      <c r="K224" s="133">
        <f>SUMIF(Densidades!A:A,'Memória TOTAL'!X224,Densidades!I:I)</f>
        <v>0</v>
      </c>
      <c r="L224" s="249">
        <v>0</v>
      </c>
      <c r="M224" s="603"/>
      <c r="N224" s="604"/>
      <c r="O224" s="604"/>
      <c r="P224" s="251"/>
      <c r="Q224" s="604"/>
      <c r="R224" s="607" t="s">
        <v>2169</v>
      </c>
      <c r="S224" s="606"/>
      <c r="T224" s="256"/>
      <c r="U224" s="496"/>
      <c r="V224" s="252" t="str">
        <f>IF(M224="","",IF(AND(OR(M224=E224,M224=G224,M224=H224),H224=H228),ROUND(SUM(P235:P285),0),"ESP. ERRADA"))</f>
        <v/>
      </c>
      <c r="W224" s="258" t="str">
        <f>IFERROR(IF(C224=0,"",ROUNDUP(SUM(V224)*(1+L224),0))*U224,"")</f>
        <v/>
      </c>
      <c r="X224" s="497"/>
    </row>
    <row r="225" spans="1:27" s="182" customFormat="1" ht="15" customHeight="1" thickBot="1">
      <c r="A225" s="211"/>
      <c r="B225" s="849"/>
      <c r="C225" s="232"/>
      <c r="D225" s="191"/>
      <c r="E225" s="191"/>
      <c r="F225" s="191"/>
      <c r="G225" s="191"/>
      <c r="H225" s="191"/>
      <c r="I225" s="191"/>
      <c r="J225" s="192"/>
      <c r="K225" s="192"/>
      <c r="L225" s="140"/>
      <c r="M225" s="191"/>
      <c r="N225" s="191"/>
      <c r="O225" s="191"/>
      <c r="P225" s="191"/>
      <c r="Q225" s="191"/>
      <c r="R225" s="191"/>
      <c r="S225" s="191"/>
      <c r="T225" s="191"/>
      <c r="U225" s="191"/>
      <c r="V225" s="193"/>
      <c r="W225" s="181"/>
      <c r="X225" s="137" t="str">
        <f>IF(B230="","",B230)</f>
        <v/>
      </c>
      <c r="Z225" s="183"/>
      <c r="AA225" s="183"/>
    </row>
    <row r="226" spans="1:27" s="182" customFormat="1" ht="15" customHeight="1">
      <c r="A226" s="211"/>
      <c r="B226" s="297"/>
      <c r="C226" s="232"/>
      <c r="D226" s="191"/>
      <c r="E226" s="191"/>
      <c r="F226" s="191"/>
      <c r="G226" s="191"/>
      <c r="H226" s="191"/>
      <c r="I226" s="191"/>
      <c r="J226" s="192"/>
      <c r="K226" s="192"/>
      <c r="L226" s="140"/>
      <c r="M226" s="191"/>
      <c r="N226" s="191"/>
      <c r="O226" s="191"/>
      <c r="P226" s="191"/>
      <c r="Q226" s="191"/>
      <c r="R226" s="191"/>
      <c r="S226" s="191"/>
      <c r="T226" s="191"/>
      <c r="U226" s="191"/>
      <c r="V226" s="193"/>
      <c r="W226" s="181"/>
      <c r="X226" s="137" t="s">
        <v>520</v>
      </c>
      <c r="Z226" s="183"/>
      <c r="AA226" s="183"/>
    </row>
    <row r="227" spans="1:27" s="182" customFormat="1" ht="15" customHeight="1" thickBot="1">
      <c r="A227" s="211"/>
      <c r="B227" s="297"/>
      <c r="C227" s="295" t="str">
        <f t="shared" ref="C227:L227" si="15">C223</f>
        <v>Dens.</v>
      </c>
      <c r="D227" s="178" t="str">
        <f t="shared" si="15"/>
        <v>Emb.</v>
      </c>
      <c r="E227" s="178" t="str">
        <f t="shared" si="15"/>
        <v>Esp. Tij.</v>
      </c>
      <c r="F227" s="178" t="str">
        <f t="shared" si="15"/>
        <v>Esp. Tij.</v>
      </c>
      <c r="G227" s="178" t="str">
        <f t="shared" si="15"/>
        <v>Comp. Tij.</v>
      </c>
      <c r="H227" s="178" t="str">
        <f t="shared" si="15"/>
        <v>Larg. Tij.</v>
      </c>
      <c r="I227" s="178" t="str">
        <f t="shared" si="15"/>
        <v>Tipo Fator</v>
      </c>
      <c r="J227" s="178" t="str">
        <f t="shared" si="15"/>
        <v>Vol.</v>
      </c>
      <c r="K227" s="178" t="str">
        <f t="shared" si="15"/>
        <v>Class.</v>
      </c>
      <c r="L227" s="178" t="str">
        <f t="shared" si="15"/>
        <v>Coefic. (%)</v>
      </c>
      <c r="M227" s="191"/>
      <c r="N227" s="191"/>
      <c r="O227" s="191"/>
      <c r="P227" s="191"/>
      <c r="Q227" s="191"/>
      <c r="R227" s="191"/>
      <c r="S227" s="191"/>
      <c r="T227" s="191"/>
      <c r="U227" s="191"/>
      <c r="V227" s="238"/>
      <c r="W227" s="181"/>
      <c r="X227" s="137"/>
      <c r="Z227" s="183"/>
      <c r="AA227" s="183"/>
    </row>
    <row r="228" spans="1:27" s="182" customFormat="1" ht="15" customHeight="1" thickBot="1">
      <c r="A228" s="211"/>
      <c r="B228" s="298"/>
      <c r="C228" s="241">
        <f>SUMIF(Densidades!A:A,'Memória TOTAL'!X228,Densidades!B:B)</f>
        <v>0</v>
      </c>
      <c r="D228" s="130">
        <f>SUMIF(Densidades!A:A,'Memória TOTAL'!X228,Densidades!C:C)</f>
        <v>620</v>
      </c>
      <c r="E228" s="131">
        <f>SUMIF(Formatos!A:A,'Memória TOTAL'!X229,Formatos!E:E)</f>
        <v>0</v>
      </c>
      <c r="F228" s="131">
        <f>SUMIF(Formatos!A:A,'Memória TOTAL'!X229,Formatos!F:F)</f>
        <v>0</v>
      </c>
      <c r="G228" s="131">
        <f>SUMIF(Formatos!A:A,'Memória TOTAL'!X229,Formatos!C:C)</f>
        <v>0</v>
      </c>
      <c r="H228" s="131">
        <f>SUMIF(Formatos!A:A,'Memória TOTAL'!X229,Formatos!D:D)</f>
        <v>0</v>
      </c>
      <c r="I228" s="131">
        <f>SUMIF(Densidades!A:A,'Memória TOTAL'!X228,Densidades!H:H)</f>
        <v>0</v>
      </c>
      <c r="J228" s="132">
        <f>SUMIF(Formatos!A:A,'Memória TOTAL'!X229,Formatos!G:G)</f>
        <v>0</v>
      </c>
      <c r="K228" s="218">
        <f>SUMIF(Densidades!A:A,'Memória TOTAL'!X228,Densidades!I:I)</f>
        <v>177</v>
      </c>
      <c r="L228" s="219">
        <v>0</v>
      </c>
      <c r="M228" s="191"/>
      <c r="N228" s="191"/>
      <c r="O228" s="191"/>
      <c r="P228" s="191"/>
      <c r="Q228" s="191"/>
      <c r="R228" s="191"/>
      <c r="S228" s="191"/>
      <c r="T228" s="228"/>
      <c r="U228" s="231"/>
      <c r="V228" s="252" t="str">
        <f>IF(M224="","",IF(AND(OR(M224=E228,M224=G228,M224=H228),H224=H228),ROUND(SUM(Q235:Q285),0),"ESP. ERRADA"))</f>
        <v/>
      </c>
      <c r="W228" s="263" t="str">
        <f>IFERROR(IF(C228=0,"",ROUNDUP(SUM(V228)*(1+L228),0))*U224,"")</f>
        <v/>
      </c>
      <c r="X228" s="137" t="str">
        <f>IF(X224="","",X224)</f>
        <v/>
      </c>
      <c r="Z228" s="183"/>
      <c r="AA228" s="183"/>
    </row>
    <row r="229" spans="1:27" s="182" customFormat="1" ht="15" customHeight="1" thickBot="1">
      <c r="A229" s="260"/>
      <c r="B229" s="243" t="s">
        <v>671</v>
      </c>
      <c r="C229" s="232"/>
      <c r="D229" s="191"/>
      <c r="E229" s="191"/>
      <c r="F229" s="191"/>
      <c r="G229" s="191"/>
      <c r="H229" s="191"/>
      <c r="I229" s="191"/>
      <c r="J229" s="192"/>
      <c r="K229" s="192"/>
      <c r="L229" s="140"/>
      <c r="M229" s="191"/>
      <c r="N229" s="191"/>
      <c r="O229" s="191"/>
      <c r="P229" s="191"/>
      <c r="Q229" s="191"/>
      <c r="R229" s="191"/>
      <c r="S229" s="191"/>
      <c r="T229" s="191"/>
      <c r="U229" s="191"/>
      <c r="V229" s="193"/>
      <c r="W229" s="181"/>
      <c r="X229" s="137" t="str">
        <f>IF(B231="","",B231)</f>
        <v/>
      </c>
      <c r="Z229" s="183"/>
      <c r="AA229" s="183"/>
    </row>
    <row r="230" spans="1:27" s="182" customFormat="1" ht="15" customHeight="1" thickBot="1">
      <c r="A230" s="260"/>
      <c r="B230" s="259"/>
      <c r="C230" s="239" t="s">
        <v>54</v>
      </c>
      <c r="D230" s="235"/>
      <c r="E230" s="191">
        <f>SUMIF(Formatos!A:A,'Memória TOTAL'!X225,Formatos!S:S)</f>
        <v>0</v>
      </c>
      <c r="F230" s="191"/>
      <c r="G230" s="191"/>
      <c r="H230" s="236"/>
      <c r="I230" s="236"/>
      <c r="J230" s="192"/>
      <c r="K230" s="192"/>
      <c r="L230" s="140"/>
      <c r="M230" s="191"/>
      <c r="N230" s="191"/>
      <c r="O230" s="145"/>
      <c r="P230" s="145"/>
      <c r="Q230" s="146"/>
      <c r="R230" s="145"/>
      <c r="S230" s="145"/>
      <c r="T230" s="191"/>
      <c r="U230" s="191"/>
      <c r="V230" s="193"/>
      <c r="W230" s="181"/>
      <c r="X230" s="137" t="s">
        <v>520</v>
      </c>
      <c r="Z230" s="183"/>
      <c r="AA230" s="183"/>
    </row>
    <row r="231" spans="1:27" s="182" customFormat="1" ht="15" customHeight="1" thickBot="1">
      <c r="A231" s="260"/>
      <c r="B231" s="259"/>
      <c r="C231" s="239" t="s">
        <v>55</v>
      </c>
      <c r="D231" s="235"/>
      <c r="E231" s="191">
        <f>SUMIF(Formatos!A:A,'Memória TOTAL'!X229,Formatos!S:S)</f>
        <v>0</v>
      </c>
      <c r="F231" s="191"/>
      <c r="G231" s="191"/>
      <c r="H231" s="236"/>
      <c r="I231" s="236"/>
      <c r="J231" s="192"/>
      <c r="K231" s="192"/>
      <c r="L231" s="140"/>
      <c r="M231" s="191"/>
      <c r="N231" s="191"/>
      <c r="O231" s="147"/>
      <c r="P231" s="147"/>
      <c r="Q231" s="153"/>
      <c r="R231" s="147"/>
      <c r="S231" s="147"/>
      <c r="T231" s="191"/>
      <c r="U231" s="191"/>
      <c r="V231" s="193"/>
      <c r="W231" s="227"/>
      <c r="X231" s="137"/>
      <c r="Z231" s="183"/>
      <c r="AA231" s="183"/>
    </row>
    <row r="232" spans="1:27" s="151" customFormat="1" ht="15" customHeight="1" thickBot="1">
      <c r="A232" s="244"/>
      <c r="B232" s="243" t="s">
        <v>672</v>
      </c>
      <c r="C232" s="232"/>
      <c r="D232" s="191"/>
      <c r="E232" s="191"/>
      <c r="F232" s="191"/>
      <c r="G232" s="191"/>
      <c r="H232" s="191"/>
      <c r="I232" s="191"/>
      <c r="J232" s="192"/>
      <c r="K232" s="192"/>
      <c r="L232" s="191"/>
      <c r="M232" s="191"/>
      <c r="N232" s="191"/>
      <c r="O232" s="191"/>
      <c r="P232" s="191"/>
      <c r="Q232" s="191"/>
      <c r="R232" s="191"/>
      <c r="S232" s="191"/>
      <c r="T232" s="147"/>
      <c r="U232" s="147"/>
      <c r="V232" s="148"/>
      <c r="W232" s="149"/>
      <c r="X232" s="150"/>
      <c r="Z232" s="152"/>
      <c r="AA232" s="152"/>
    </row>
    <row r="233" spans="1:27" s="151" customFormat="1" ht="15" customHeight="1" thickBot="1">
      <c r="A233" s="244"/>
      <c r="B233" s="840"/>
      <c r="C233" s="232"/>
      <c r="D233" s="191"/>
      <c r="E233" s="191"/>
      <c r="F233" s="191"/>
      <c r="G233" s="191"/>
      <c r="H233" s="191"/>
      <c r="I233" s="191"/>
      <c r="J233" s="192"/>
      <c r="K233" s="192"/>
      <c r="L233" s="191"/>
      <c r="M233" s="191"/>
      <c r="N233" s="191"/>
      <c r="O233" s="237"/>
      <c r="P233" s="191"/>
      <c r="Q233" s="191"/>
      <c r="R233" s="191"/>
      <c r="S233" s="842" t="s">
        <v>1070</v>
      </c>
      <c r="T233" s="843"/>
      <c r="U233" s="147"/>
      <c r="V233" s="148"/>
      <c r="W233" s="149"/>
      <c r="X233" s="150"/>
      <c r="Z233" s="152"/>
      <c r="AA233" s="152"/>
    </row>
    <row r="234" spans="1:27" s="182" customFormat="1" ht="15" customHeight="1" thickBot="1">
      <c r="A234" s="211"/>
      <c r="B234" s="841"/>
      <c r="C234" s="293" t="s">
        <v>985</v>
      </c>
      <c r="D234" s="191" t="s">
        <v>2170</v>
      </c>
      <c r="E234" s="191" t="s">
        <v>22</v>
      </c>
      <c r="F234" s="191" t="s">
        <v>48</v>
      </c>
      <c r="G234" s="191" t="s">
        <v>982</v>
      </c>
      <c r="H234" s="191" t="s">
        <v>983</v>
      </c>
      <c r="I234" s="191" t="s">
        <v>981</v>
      </c>
      <c r="J234" s="192" t="s">
        <v>45</v>
      </c>
      <c r="K234" s="192" t="s">
        <v>46</v>
      </c>
      <c r="L234" s="191" t="s">
        <v>2172</v>
      </c>
      <c r="M234" s="192" t="s">
        <v>2173</v>
      </c>
      <c r="N234" s="191"/>
      <c r="O234" s="605" t="s">
        <v>53</v>
      </c>
      <c r="P234" s="232" t="s">
        <v>54</v>
      </c>
      <c r="Q234" s="191" t="s">
        <v>55</v>
      </c>
      <c r="R234" s="191"/>
      <c r="S234" s="293" t="s">
        <v>985</v>
      </c>
      <c r="T234" s="191" t="s">
        <v>984</v>
      </c>
      <c r="U234" s="191"/>
      <c r="V234" s="193"/>
      <c r="W234" s="181"/>
      <c r="X234" s="137"/>
      <c r="Z234" s="183"/>
      <c r="AA234" s="183"/>
    </row>
    <row r="235" spans="1:27" s="182" customFormat="1" ht="15" customHeight="1">
      <c r="A235" s="211"/>
      <c r="B235" s="209" t="s">
        <v>388</v>
      </c>
      <c r="C235" s="293">
        <f>O224</f>
        <v>0</v>
      </c>
      <c r="D235" s="623">
        <f>Q224</f>
        <v>0</v>
      </c>
      <c r="E235" s="623">
        <f>E224</f>
        <v>0</v>
      </c>
      <c r="F235" s="623">
        <f>F224</f>
        <v>0</v>
      </c>
      <c r="G235" s="623">
        <f>E228</f>
        <v>0</v>
      </c>
      <c r="H235" s="623">
        <f>F228</f>
        <v>0</v>
      </c>
      <c r="I235" s="623">
        <f>IF(M224=G224,H224,IF(M224=H224,G224,"Espessura Errada"))</f>
        <v>0</v>
      </c>
      <c r="J235" s="623">
        <f>M224</f>
        <v>0</v>
      </c>
      <c r="K235" s="623">
        <f>N224</f>
        <v>0</v>
      </c>
      <c r="L235" s="624" t="e">
        <f t="shared" ref="L235:L266" si="16">(1/(-(E235+K235)*(H235+K235)+(F235+K235)*(G235+K235)))*3.1416*(-C235*(H235+K235)+(C235-(J235*2))*(G235+K235))</f>
        <v>#DIV/0!</v>
      </c>
      <c r="M235" s="624" t="e">
        <f t="shared" ref="M235:M266" si="17">((C235*PI())-(L235*(E235+K235)))/(G235+K235)</f>
        <v>#DIV/0!</v>
      </c>
      <c r="N235" s="191"/>
      <c r="O235" s="608">
        <v>360</v>
      </c>
      <c r="P235" s="232" t="e">
        <f t="shared" ref="P235:P266" si="18">IF(L235/360*O235-ROUNDDOWN(L235/360*O235,0)&gt;M235/360*O235-ROUNDDOWN(M235/360*O235,0),ROUNDUP(L235/360*O235,0),ROUNDUP(SUM(L235/360*O235,M235/360*O235),0)-ROUNDUP(M235/360*O235,0))</f>
        <v>#DIV/0!</v>
      </c>
      <c r="Q235" s="191" t="e">
        <f t="shared" ref="Q235:Q266" si="19">IF(M235/360*O235-ROUNDDOWN(M235/360*O235,0)&gt;L235/360*O235-ROUNDDOWN(L235/360*O235,0),ROUNDUP(M235/360*O235,0),ROUNDUP(SUM(L235/360*O235,M235/360*O235),0)-ROUNDUP(L235/360*O235,0))</f>
        <v>#DIV/0!</v>
      </c>
      <c r="R235" s="191"/>
      <c r="S235" s="323" t="e">
        <f t="shared" ref="S235:S266" si="20">((E235*(L235+K235)+G235*(M235+K235))/PI()-C235)/(P235+Q235)</f>
        <v>#DIV/0!</v>
      </c>
      <c r="T235" s="323" t="e">
        <f t="shared" ref="T235:T266" si="21">((F235*(L235+K235)+H235*(M235+K235))/PI()-(C235-(J235*2)))/(P235+Q235)</f>
        <v>#DIV/0!</v>
      </c>
      <c r="U235" s="191"/>
      <c r="V235" s="193"/>
      <c r="W235" s="181"/>
      <c r="X235" s="137"/>
      <c r="Z235" s="183"/>
      <c r="AA235" s="183"/>
    </row>
    <row r="236" spans="1:27" s="182" customFormat="1" ht="15" customHeight="1">
      <c r="A236" s="211"/>
      <c r="B236" s="209" t="s">
        <v>980</v>
      </c>
      <c r="C236" s="294">
        <f>IF(R224="Inclinado",C235+2*SIN(RADIANS(Q224))*(I236+K236),C235+2*TAN(RADIANS(Q224))*(I236+K236))</f>
        <v>0</v>
      </c>
      <c r="D236" s="623">
        <f t="shared" ref="D236:K236" si="22">D235</f>
        <v>0</v>
      </c>
      <c r="E236" s="623">
        <f t="shared" si="22"/>
        <v>0</v>
      </c>
      <c r="F236" s="623">
        <f t="shared" si="22"/>
        <v>0</v>
      </c>
      <c r="G236" s="623">
        <f t="shared" si="22"/>
        <v>0</v>
      </c>
      <c r="H236" s="623">
        <f t="shared" si="22"/>
        <v>0</v>
      </c>
      <c r="I236" s="623">
        <f t="shared" si="22"/>
        <v>0</v>
      </c>
      <c r="J236" s="623">
        <f t="shared" si="22"/>
        <v>0</v>
      </c>
      <c r="K236" s="623">
        <f t="shared" si="22"/>
        <v>0</v>
      </c>
      <c r="L236" s="624" t="e">
        <f t="shared" si="16"/>
        <v>#DIV/0!</v>
      </c>
      <c r="M236" s="624" t="e">
        <f t="shared" si="17"/>
        <v>#DIV/0!</v>
      </c>
      <c r="N236" s="191"/>
      <c r="O236" s="609">
        <f>O235</f>
        <v>360</v>
      </c>
      <c r="P236" s="232" t="e">
        <f t="shared" si="18"/>
        <v>#DIV/0!</v>
      </c>
      <c r="Q236" s="191" t="e">
        <f t="shared" si="19"/>
        <v>#DIV/0!</v>
      </c>
      <c r="R236" s="191"/>
      <c r="S236" s="323" t="e">
        <f t="shared" si="20"/>
        <v>#DIV/0!</v>
      </c>
      <c r="T236" s="323" t="e">
        <f t="shared" si="21"/>
        <v>#DIV/0!</v>
      </c>
      <c r="U236" s="191"/>
      <c r="V236" s="193"/>
      <c r="W236" s="181"/>
      <c r="X236" s="137"/>
      <c r="Z236" s="183"/>
      <c r="AA236" s="183"/>
    </row>
    <row r="237" spans="1:27" s="182" customFormat="1" ht="15" customHeight="1">
      <c r="A237" s="211"/>
      <c r="B237" s="209" t="s">
        <v>389</v>
      </c>
      <c r="C237" s="294">
        <f>IF(R224="Inclinado",C236+2*SIN(RADIANS(Q224))*(I236+N224),C236+2*TAN(RADIANS(Q224))*(I236+N224))</f>
        <v>0</v>
      </c>
      <c r="D237" s="623">
        <f t="shared" ref="D237:D284" si="23">D236</f>
        <v>0</v>
      </c>
      <c r="E237" s="623">
        <f t="shared" ref="E237:E254" si="24">E236</f>
        <v>0</v>
      </c>
      <c r="F237" s="623">
        <f t="shared" ref="F237:F254" si="25">F236</f>
        <v>0</v>
      </c>
      <c r="G237" s="623">
        <f t="shared" ref="G237:G254" si="26">G236</f>
        <v>0</v>
      </c>
      <c r="H237" s="623">
        <f t="shared" ref="H237:H254" si="27">H236</f>
        <v>0</v>
      </c>
      <c r="I237" s="623">
        <f t="shared" ref="I237:I284" si="28">I236</f>
        <v>0</v>
      </c>
      <c r="J237" s="623">
        <f t="shared" ref="J237:J284" si="29">J236</f>
        <v>0</v>
      </c>
      <c r="K237" s="623">
        <f t="shared" ref="K237:K284" si="30">K236</f>
        <v>0</v>
      </c>
      <c r="L237" s="624" t="e">
        <f t="shared" si="16"/>
        <v>#DIV/0!</v>
      </c>
      <c r="M237" s="624" t="e">
        <f t="shared" si="17"/>
        <v>#DIV/0!</v>
      </c>
      <c r="N237" s="191"/>
      <c r="O237" s="609">
        <f t="shared" ref="O237:O284" si="31">O236</f>
        <v>360</v>
      </c>
      <c r="P237" s="232" t="e">
        <f t="shared" si="18"/>
        <v>#DIV/0!</v>
      </c>
      <c r="Q237" s="191" t="e">
        <f t="shared" si="19"/>
        <v>#DIV/0!</v>
      </c>
      <c r="R237" s="191"/>
      <c r="S237" s="323" t="e">
        <f t="shared" si="20"/>
        <v>#DIV/0!</v>
      </c>
      <c r="T237" s="323" t="e">
        <f t="shared" si="21"/>
        <v>#DIV/0!</v>
      </c>
      <c r="U237" s="191"/>
      <c r="V237" s="193"/>
      <c r="W237" s="181"/>
      <c r="X237" s="137"/>
      <c r="Z237" s="183"/>
      <c r="AA237" s="183"/>
    </row>
    <row r="238" spans="1:27" s="182" customFormat="1" ht="15" customHeight="1">
      <c r="A238" s="211"/>
      <c r="B238" s="209" t="s">
        <v>390</v>
      </c>
      <c r="C238" s="294">
        <f>IF(R224="Inclinado",C237+2*SIN(RADIANS(Q224))*(I237+N224),C237+2*TAN(RADIANS(Q224))*(I237+N224))</f>
        <v>0</v>
      </c>
      <c r="D238" s="623">
        <f t="shared" si="23"/>
        <v>0</v>
      </c>
      <c r="E238" s="623">
        <f t="shared" si="24"/>
        <v>0</v>
      </c>
      <c r="F238" s="623">
        <f t="shared" si="25"/>
        <v>0</v>
      </c>
      <c r="G238" s="623">
        <f t="shared" si="26"/>
        <v>0</v>
      </c>
      <c r="H238" s="623">
        <f t="shared" si="27"/>
        <v>0</v>
      </c>
      <c r="I238" s="623">
        <f t="shared" si="28"/>
        <v>0</v>
      </c>
      <c r="J238" s="623">
        <f t="shared" si="29"/>
        <v>0</v>
      </c>
      <c r="K238" s="623">
        <f t="shared" si="30"/>
        <v>0</v>
      </c>
      <c r="L238" s="624" t="e">
        <f t="shared" si="16"/>
        <v>#DIV/0!</v>
      </c>
      <c r="M238" s="624" t="e">
        <f t="shared" si="17"/>
        <v>#DIV/0!</v>
      </c>
      <c r="N238" s="191"/>
      <c r="O238" s="609">
        <f t="shared" si="31"/>
        <v>360</v>
      </c>
      <c r="P238" s="232" t="e">
        <f t="shared" si="18"/>
        <v>#DIV/0!</v>
      </c>
      <c r="Q238" s="191" t="e">
        <f t="shared" si="19"/>
        <v>#DIV/0!</v>
      </c>
      <c r="R238" s="191"/>
      <c r="S238" s="323" t="e">
        <f t="shared" si="20"/>
        <v>#DIV/0!</v>
      </c>
      <c r="T238" s="323" t="e">
        <f t="shared" si="21"/>
        <v>#DIV/0!</v>
      </c>
      <c r="U238" s="191"/>
      <c r="V238" s="193"/>
      <c r="W238" s="181"/>
      <c r="X238" s="137"/>
      <c r="Z238" s="183"/>
      <c r="AA238" s="183"/>
    </row>
    <row r="239" spans="1:27" s="182" customFormat="1" ht="15" customHeight="1">
      <c r="A239" s="211"/>
      <c r="B239" s="209" t="s">
        <v>391</v>
      </c>
      <c r="C239" s="294">
        <f>IF(R224="Inclinado",C238+2*SIN(RADIANS(Q224))*(I238+N224),C238+2*TAN(RADIANS(Q224))*(I238+N224))</f>
        <v>0</v>
      </c>
      <c r="D239" s="623">
        <f t="shared" si="23"/>
        <v>0</v>
      </c>
      <c r="E239" s="623">
        <f t="shared" si="24"/>
        <v>0</v>
      </c>
      <c r="F239" s="623">
        <f t="shared" si="25"/>
        <v>0</v>
      </c>
      <c r="G239" s="623">
        <f t="shared" si="26"/>
        <v>0</v>
      </c>
      <c r="H239" s="623">
        <f t="shared" si="27"/>
        <v>0</v>
      </c>
      <c r="I239" s="623">
        <f t="shared" si="28"/>
        <v>0</v>
      </c>
      <c r="J239" s="623">
        <f t="shared" si="29"/>
        <v>0</v>
      </c>
      <c r="K239" s="623">
        <f t="shared" si="30"/>
        <v>0</v>
      </c>
      <c r="L239" s="624" t="e">
        <f t="shared" si="16"/>
        <v>#DIV/0!</v>
      </c>
      <c r="M239" s="624" t="e">
        <f t="shared" si="17"/>
        <v>#DIV/0!</v>
      </c>
      <c r="N239" s="191"/>
      <c r="O239" s="609">
        <f t="shared" si="31"/>
        <v>360</v>
      </c>
      <c r="P239" s="232" t="e">
        <f t="shared" si="18"/>
        <v>#DIV/0!</v>
      </c>
      <c r="Q239" s="191" t="e">
        <f t="shared" si="19"/>
        <v>#DIV/0!</v>
      </c>
      <c r="R239" s="191"/>
      <c r="S239" s="323" t="e">
        <f t="shared" si="20"/>
        <v>#DIV/0!</v>
      </c>
      <c r="T239" s="323" t="e">
        <f t="shared" si="21"/>
        <v>#DIV/0!</v>
      </c>
      <c r="U239" s="191"/>
      <c r="V239" s="193"/>
      <c r="W239" s="181"/>
      <c r="X239" s="137"/>
      <c r="Z239" s="183"/>
      <c r="AA239" s="183"/>
    </row>
    <row r="240" spans="1:27" s="182" customFormat="1" ht="15" customHeight="1">
      <c r="A240" s="211"/>
      <c r="B240" s="209" t="s">
        <v>392</v>
      </c>
      <c r="C240" s="294">
        <f>IF(R224="Inclinado",C239+2*SIN(RADIANS(Q224))*(I239+N224),C239+2*TAN(RADIANS(Q224))*(I239+N224))</f>
        <v>0</v>
      </c>
      <c r="D240" s="623">
        <f t="shared" si="23"/>
        <v>0</v>
      </c>
      <c r="E240" s="623">
        <f t="shared" si="24"/>
        <v>0</v>
      </c>
      <c r="F240" s="623">
        <f t="shared" si="25"/>
        <v>0</v>
      </c>
      <c r="G240" s="623">
        <f t="shared" si="26"/>
        <v>0</v>
      </c>
      <c r="H240" s="623">
        <f t="shared" si="27"/>
        <v>0</v>
      </c>
      <c r="I240" s="623">
        <f t="shared" si="28"/>
        <v>0</v>
      </c>
      <c r="J240" s="623">
        <f t="shared" si="29"/>
        <v>0</v>
      </c>
      <c r="K240" s="623">
        <f t="shared" si="30"/>
        <v>0</v>
      </c>
      <c r="L240" s="624" t="e">
        <f t="shared" si="16"/>
        <v>#DIV/0!</v>
      </c>
      <c r="M240" s="624" t="e">
        <f t="shared" si="17"/>
        <v>#DIV/0!</v>
      </c>
      <c r="N240" s="191"/>
      <c r="O240" s="609">
        <f t="shared" si="31"/>
        <v>360</v>
      </c>
      <c r="P240" s="232" t="e">
        <f t="shared" si="18"/>
        <v>#DIV/0!</v>
      </c>
      <c r="Q240" s="191" t="e">
        <f t="shared" si="19"/>
        <v>#DIV/0!</v>
      </c>
      <c r="R240" s="191"/>
      <c r="S240" s="323" t="e">
        <f t="shared" si="20"/>
        <v>#DIV/0!</v>
      </c>
      <c r="T240" s="323" t="e">
        <f t="shared" si="21"/>
        <v>#DIV/0!</v>
      </c>
      <c r="U240" s="191"/>
      <c r="V240" s="193"/>
      <c r="W240" s="181"/>
      <c r="X240" s="137"/>
      <c r="Z240" s="183"/>
      <c r="AA240" s="183"/>
    </row>
    <row r="241" spans="1:27" s="182" customFormat="1" ht="15" customHeight="1">
      <c r="A241" s="211"/>
      <c r="B241" s="209" t="s">
        <v>393</v>
      </c>
      <c r="C241" s="294">
        <f>IF(R224="Inclinado",C240+2*SIN(RADIANS(Q224))*(I240+N224),C240+2*TAN(RADIANS(Q224))*(I240+N224))</f>
        <v>0</v>
      </c>
      <c r="D241" s="623">
        <f t="shared" si="23"/>
        <v>0</v>
      </c>
      <c r="E241" s="623">
        <f t="shared" si="24"/>
        <v>0</v>
      </c>
      <c r="F241" s="623">
        <f t="shared" si="25"/>
        <v>0</v>
      </c>
      <c r="G241" s="623">
        <f t="shared" si="26"/>
        <v>0</v>
      </c>
      <c r="H241" s="623">
        <f t="shared" si="27"/>
        <v>0</v>
      </c>
      <c r="I241" s="623">
        <f t="shared" si="28"/>
        <v>0</v>
      </c>
      <c r="J241" s="623">
        <f t="shared" si="29"/>
        <v>0</v>
      </c>
      <c r="K241" s="623">
        <f t="shared" si="30"/>
        <v>0</v>
      </c>
      <c r="L241" s="624" t="e">
        <f t="shared" si="16"/>
        <v>#DIV/0!</v>
      </c>
      <c r="M241" s="624" t="e">
        <f t="shared" si="17"/>
        <v>#DIV/0!</v>
      </c>
      <c r="N241" s="191"/>
      <c r="O241" s="609">
        <f t="shared" si="31"/>
        <v>360</v>
      </c>
      <c r="P241" s="232" t="e">
        <f t="shared" si="18"/>
        <v>#DIV/0!</v>
      </c>
      <c r="Q241" s="191" t="e">
        <f t="shared" si="19"/>
        <v>#DIV/0!</v>
      </c>
      <c r="R241" s="191"/>
      <c r="S241" s="323" t="e">
        <f t="shared" si="20"/>
        <v>#DIV/0!</v>
      </c>
      <c r="T241" s="323" t="e">
        <f t="shared" si="21"/>
        <v>#DIV/0!</v>
      </c>
      <c r="U241" s="191"/>
      <c r="V241" s="193"/>
      <c r="W241" s="181"/>
      <c r="X241" s="137"/>
      <c r="Z241" s="183"/>
      <c r="AA241" s="183"/>
    </row>
    <row r="242" spans="1:27" s="182" customFormat="1" ht="15" customHeight="1">
      <c r="A242" s="211"/>
      <c r="B242" s="209" t="s">
        <v>394</v>
      </c>
      <c r="C242" s="294">
        <f>IF(R224="Inclinado",C241+2*SIN(RADIANS(Q224))*(I241+N224),C241+2*TAN(RADIANS(Q224))*(I241+N224))</f>
        <v>0</v>
      </c>
      <c r="D242" s="623">
        <f t="shared" si="23"/>
        <v>0</v>
      </c>
      <c r="E242" s="623">
        <f t="shared" si="24"/>
        <v>0</v>
      </c>
      <c r="F242" s="623">
        <f t="shared" si="25"/>
        <v>0</v>
      </c>
      <c r="G242" s="623">
        <f t="shared" si="26"/>
        <v>0</v>
      </c>
      <c r="H242" s="623">
        <f t="shared" si="27"/>
        <v>0</v>
      </c>
      <c r="I242" s="623">
        <f t="shared" si="28"/>
        <v>0</v>
      </c>
      <c r="J242" s="623">
        <f t="shared" si="29"/>
        <v>0</v>
      </c>
      <c r="K242" s="623">
        <f t="shared" si="30"/>
        <v>0</v>
      </c>
      <c r="L242" s="624" t="e">
        <f t="shared" si="16"/>
        <v>#DIV/0!</v>
      </c>
      <c r="M242" s="624" t="e">
        <f t="shared" si="17"/>
        <v>#DIV/0!</v>
      </c>
      <c r="N242" s="191"/>
      <c r="O242" s="609">
        <f t="shared" si="31"/>
        <v>360</v>
      </c>
      <c r="P242" s="232" t="e">
        <f t="shared" si="18"/>
        <v>#DIV/0!</v>
      </c>
      <c r="Q242" s="191" t="e">
        <f t="shared" si="19"/>
        <v>#DIV/0!</v>
      </c>
      <c r="R242" s="191"/>
      <c r="S242" s="323" t="e">
        <f t="shared" si="20"/>
        <v>#DIV/0!</v>
      </c>
      <c r="T242" s="323" t="e">
        <f t="shared" si="21"/>
        <v>#DIV/0!</v>
      </c>
      <c r="U242" s="191"/>
      <c r="V242" s="193"/>
      <c r="W242" s="181"/>
      <c r="X242" s="137"/>
      <c r="Z242" s="183"/>
      <c r="AA242" s="183"/>
    </row>
    <row r="243" spans="1:27" s="182" customFormat="1" ht="15" customHeight="1">
      <c r="A243" s="211"/>
      <c r="B243" s="209" t="s">
        <v>395</v>
      </c>
      <c r="C243" s="294">
        <f>IF(R224="Inclinado",C242+2*SIN(RADIANS(Q224))*(I242+N224),C242+2*TAN(RADIANS(Q224))*(I242+N224))</f>
        <v>0</v>
      </c>
      <c r="D243" s="623">
        <f t="shared" si="23"/>
        <v>0</v>
      </c>
      <c r="E243" s="623">
        <f t="shared" si="24"/>
        <v>0</v>
      </c>
      <c r="F243" s="623">
        <f t="shared" si="25"/>
        <v>0</v>
      </c>
      <c r="G243" s="623">
        <f t="shared" si="26"/>
        <v>0</v>
      </c>
      <c r="H243" s="623">
        <f t="shared" si="27"/>
        <v>0</v>
      </c>
      <c r="I243" s="623">
        <f t="shared" si="28"/>
        <v>0</v>
      </c>
      <c r="J243" s="623">
        <f t="shared" si="29"/>
        <v>0</v>
      </c>
      <c r="K243" s="623">
        <f t="shared" si="30"/>
        <v>0</v>
      </c>
      <c r="L243" s="624" t="e">
        <f t="shared" si="16"/>
        <v>#DIV/0!</v>
      </c>
      <c r="M243" s="624" t="e">
        <f t="shared" si="17"/>
        <v>#DIV/0!</v>
      </c>
      <c r="N243" s="191"/>
      <c r="O243" s="609">
        <f t="shared" si="31"/>
        <v>360</v>
      </c>
      <c r="P243" s="232" t="e">
        <f t="shared" si="18"/>
        <v>#DIV/0!</v>
      </c>
      <c r="Q243" s="191" t="e">
        <f t="shared" si="19"/>
        <v>#DIV/0!</v>
      </c>
      <c r="R243" s="191"/>
      <c r="S243" s="323" t="e">
        <f t="shared" si="20"/>
        <v>#DIV/0!</v>
      </c>
      <c r="T243" s="323" t="e">
        <f t="shared" si="21"/>
        <v>#DIV/0!</v>
      </c>
      <c r="U243" s="191"/>
      <c r="V243" s="193"/>
      <c r="W243" s="181"/>
      <c r="X243" s="137"/>
      <c r="Z243" s="183"/>
      <c r="AA243" s="183"/>
    </row>
    <row r="244" spans="1:27" s="182" customFormat="1" ht="15" customHeight="1">
      <c r="A244" s="211"/>
      <c r="B244" s="209" t="s">
        <v>396</v>
      </c>
      <c r="C244" s="294">
        <f>IF(R224="Inclinado",C243+2*SIN(RADIANS(Q224))*(I243+N224),C243+2*TAN(RADIANS(Q224))*(I243+N224))</f>
        <v>0</v>
      </c>
      <c r="D244" s="623">
        <f t="shared" si="23"/>
        <v>0</v>
      </c>
      <c r="E244" s="623">
        <f t="shared" si="24"/>
        <v>0</v>
      </c>
      <c r="F244" s="623">
        <f t="shared" si="25"/>
        <v>0</v>
      </c>
      <c r="G244" s="623">
        <f t="shared" si="26"/>
        <v>0</v>
      </c>
      <c r="H244" s="623">
        <f t="shared" si="27"/>
        <v>0</v>
      </c>
      <c r="I244" s="623">
        <f t="shared" si="28"/>
        <v>0</v>
      </c>
      <c r="J244" s="623">
        <f t="shared" si="29"/>
        <v>0</v>
      </c>
      <c r="K244" s="623">
        <f t="shared" si="30"/>
        <v>0</v>
      </c>
      <c r="L244" s="624" t="e">
        <f t="shared" si="16"/>
        <v>#DIV/0!</v>
      </c>
      <c r="M244" s="624" t="e">
        <f t="shared" si="17"/>
        <v>#DIV/0!</v>
      </c>
      <c r="N244" s="191"/>
      <c r="O244" s="609">
        <f t="shared" si="31"/>
        <v>360</v>
      </c>
      <c r="P244" s="232" t="e">
        <f t="shared" si="18"/>
        <v>#DIV/0!</v>
      </c>
      <c r="Q244" s="191" t="e">
        <f t="shared" si="19"/>
        <v>#DIV/0!</v>
      </c>
      <c r="R244" s="191"/>
      <c r="S244" s="323" t="e">
        <f t="shared" si="20"/>
        <v>#DIV/0!</v>
      </c>
      <c r="T244" s="323" t="e">
        <f t="shared" si="21"/>
        <v>#DIV/0!</v>
      </c>
      <c r="U244" s="191"/>
      <c r="V244" s="193"/>
      <c r="W244" s="181"/>
      <c r="X244" s="137"/>
      <c r="Z244" s="183"/>
      <c r="AA244" s="183"/>
    </row>
    <row r="245" spans="1:27" s="182" customFormat="1" ht="15" customHeight="1">
      <c r="A245" s="211"/>
      <c r="B245" s="209" t="s">
        <v>397</v>
      </c>
      <c r="C245" s="294">
        <f>IF(R224="Inclinado",C244+2*SIN(RADIANS(Q224))*(I244+N224),C244+2*TAN(RADIANS(Q224))*(I244+N224))</f>
        <v>0</v>
      </c>
      <c r="D245" s="623">
        <f t="shared" si="23"/>
        <v>0</v>
      </c>
      <c r="E245" s="623">
        <f t="shared" si="24"/>
        <v>0</v>
      </c>
      <c r="F245" s="623">
        <f t="shared" si="25"/>
        <v>0</v>
      </c>
      <c r="G245" s="623">
        <f t="shared" si="26"/>
        <v>0</v>
      </c>
      <c r="H245" s="623">
        <f t="shared" si="27"/>
        <v>0</v>
      </c>
      <c r="I245" s="623">
        <f t="shared" si="28"/>
        <v>0</v>
      </c>
      <c r="J245" s="623">
        <f t="shared" si="29"/>
        <v>0</v>
      </c>
      <c r="K245" s="623">
        <f t="shared" si="30"/>
        <v>0</v>
      </c>
      <c r="L245" s="624" t="e">
        <f t="shared" si="16"/>
        <v>#DIV/0!</v>
      </c>
      <c r="M245" s="624" t="e">
        <f t="shared" si="17"/>
        <v>#DIV/0!</v>
      </c>
      <c r="N245" s="191"/>
      <c r="O245" s="609">
        <f t="shared" si="31"/>
        <v>360</v>
      </c>
      <c r="P245" s="232" t="e">
        <f t="shared" si="18"/>
        <v>#DIV/0!</v>
      </c>
      <c r="Q245" s="191" t="e">
        <f t="shared" si="19"/>
        <v>#DIV/0!</v>
      </c>
      <c r="R245" s="191"/>
      <c r="S245" s="323" t="e">
        <f t="shared" si="20"/>
        <v>#DIV/0!</v>
      </c>
      <c r="T245" s="323" t="e">
        <f t="shared" si="21"/>
        <v>#DIV/0!</v>
      </c>
      <c r="U245" s="191"/>
      <c r="V245" s="193"/>
      <c r="W245" s="181"/>
      <c r="X245" s="137"/>
      <c r="Z245" s="183"/>
      <c r="AA245" s="183"/>
    </row>
    <row r="246" spans="1:27" s="182" customFormat="1" ht="15" customHeight="1">
      <c r="A246" s="211"/>
      <c r="B246" s="209" t="s">
        <v>398</v>
      </c>
      <c r="C246" s="294">
        <f>IF(R224="Inclinado",C245+2*SIN(RADIANS(Q224))*(I245+N224),C245+2*TAN(RADIANS(Q224))*(I245+N224))</f>
        <v>0</v>
      </c>
      <c r="D246" s="623">
        <f t="shared" si="23"/>
        <v>0</v>
      </c>
      <c r="E246" s="623">
        <f t="shared" si="24"/>
        <v>0</v>
      </c>
      <c r="F246" s="623">
        <f t="shared" si="25"/>
        <v>0</v>
      </c>
      <c r="G246" s="623">
        <f t="shared" si="26"/>
        <v>0</v>
      </c>
      <c r="H246" s="623">
        <f t="shared" si="27"/>
        <v>0</v>
      </c>
      <c r="I246" s="623">
        <f t="shared" si="28"/>
        <v>0</v>
      </c>
      <c r="J246" s="623">
        <f t="shared" si="29"/>
        <v>0</v>
      </c>
      <c r="K246" s="623">
        <f t="shared" si="30"/>
        <v>0</v>
      </c>
      <c r="L246" s="624" t="e">
        <f t="shared" si="16"/>
        <v>#DIV/0!</v>
      </c>
      <c r="M246" s="624" t="e">
        <f t="shared" si="17"/>
        <v>#DIV/0!</v>
      </c>
      <c r="N246" s="191"/>
      <c r="O246" s="609">
        <f t="shared" si="31"/>
        <v>360</v>
      </c>
      <c r="P246" s="232" t="e">
        <f t="shared" si="18"/>
        <v>#DIV/0!</v>
      </c>
      <c r="Q246" s="191" t="e">
        <f t="shared" si="19"/>
        <v>#DIV/0!</v>
      </c>
      <c r="R246" s="191"/>
      <c r="S246" s="323" t="e">
        <f t="shared" si="20"/>
        <v>#DIV/0!</v>
      </c>
      <c r="T246" s="323" t="e">
        <f t="shared" si="21"/>
        <v>#DIV/0!</v>
      </c>
      <c r="U246" s="191"/>
      <c r="V246" s="193"/>
      <c r="W246" s="181"/>
      <c r="X246" s="137"/>
      <c r="Z246" s="183"/>
      <c r="AA246" s="183"/>
    </row>
    <row r="247" spans="1:27" s="182" customFormat="1" ht="15" customHeight="1">
      <c r="A247" s="211"/>
      <c r="B247" s="209" t="s">
        <v>399</v>
      </c>
      <c r="C247" s="294">
        <f>IF(R224="Inclinado",C246+2*SIN(RADIANS(Q224))*(I246+N224),C246+2*TAN(RADIANS(Q224))*(I246+N224))</f>
        <v>0</v>
      </c>
      <c r="D247" s="623">
        <f t="shared" si="23"/>
        <v>0</v>
      </c>
      <c r="E247" s="623">
        <f t="shared" si="24"/>
        <v>0</v>
      </c>
      <c r="F247" s="623">
        <f t="shared" si="25"/>
        <v>0</v>
      </c>
      <c r="G247" s="623">
        <f t="shared" si="26"/>
        <v>0</v>
      </c>
      <c r="H247" s="623">
        <f t="shared" si="27"/>
        <v>0</v>
      </c>
      <c r="I247" s="623">
        <f t="shared" si="28"/>
        <v>0</v>
      </c>
      <c r="J247" s="623">
        <f t="shared" si="29"/>
        <v>0</v>
      </c>
      <c r="K247" s="623">
        <f t="shared" si="30"/>
        <v>0</v>
      </c>
      <c r="L247" s="624" t="e">
        <f t="shared" si="16"/>
        <v>#DIV/0!</v>
      </c>
      <c r="M247" s="624" t="e">
        <f t="shared" si="17"/>
        <v>#DIV/0!</v>
      </c>
      <c r="N247" s="191"/>
      <c r="O247" s="609">
        <f t="shared" si="31"/>
        <v>360</v>
      </c>
      <c r="P247" s="232" t="e">
        <f t="shared" si="18"/>
        <v>#DIV/0!</v>
      </c>
      <c r="Q247" s="191" t="e">
        <f t="shared" si="19"/>
        <v>#DIV/0!</v>
      </c>
      <c r="R247" s="191"/>
      <c r="S247" s="323" t="e">
        <f t="shared" si="20"/>
        <v>#DIV/0!</v>
      </c>
      <c r="T247" s="323" t="e">
        <f t="shared" si="21"/>
        <v>#DIV/0!</v>
      </c>
      <c r="U247" s="191"/>
      <c r="V247" s="193"/>
      <c r="W247" s="181"/>
      <c r="X247" s="137"/>
      <c r="Z247" s="183"/>
      <c r="AA247" s="183"/>
    </row>
    <row r="248" spans="1:27" s="182" customFormat="1" ht="15" customHeight="1">
      <c r="A248" s="211"/>
      <c r="B248" s="209" t="s">
        <v>400</v>
      </c>
      <c r="C248" s="294">
        <f>IF(R224="Inclinado",C247+2*SIN(RADIANS(Q224))*(I247+N224),C247+2*TAN(RADIANS(Q224))*(I247+N224))</f>
        <v>0</v>
      </c>
      <c r="D248" s="623">
        <f t="shared" si="23"/>
        <v>0</v>
      </c>
      <c r="E248" s="623">
        <f t="shared" si="24"/>
        <v>0</v>
      </c>
      <c r="F248" s="623">
        <f t="shared" si="25"/>
        <v>0</v>
      </c>
      <c r="G248" s="623">
        <f t="shared" si="26"/>
        <v>0</v>
      </c>
      <c r="H248" s="623">
        <f t="shared" si="27"/>
        <v>0</v>
      </c>
      <c r="I248" s="623">
        <f t="shared" si="28"/>
        <v>0</v>
      </c>
      <c r="J248" s="623">
        <f t="shared" si="29"/>
        <v>0</v>
      </c>
      <c r="K248" s="623">
        <f t="shared" si="30"/>
        <v>0</v>
      </c>
      <c r="L248" s="624" t="e">
        <f t="shared" si="16"/>
        <v>#DIV/0!</v>
      </c>
      <c r="M248" s="624" t="e">
        <f t="shared" si="17"/>
        <v>#DIV/0!</v>
      </c>
      <c r="N248" s="191"/>
      <c r="O248" s="609">
        <f t="shared" si="31"/>
        <v>360</v>
      </c>
      <c r="P248" s="232" t="e">
        <f t="shared" si="18"/>
        <v>#DIV/0!</v>
      </c>
      <c r="Q248" s="191" t="e">
        <f t="shared" si="19"/>
        <v>#DIV/0!</v>
      </c>
      <c r="R248" s="191"/>
      <c r="S248" s="323" t="e">
        <f t="shared" si="20"/>
        <v>#DIV/0!</v>
      </c>
      <c r="T248" s="323" t="e">
        <f t="shared" si="21"/>
        <v>#DIV/0!</v>
      </c>
      <c r="U248" s="191"/>
      <c r="V248" s="193"/>
      <c r="W248" s="181"/>
      <c r="X248" s="137"/>
      <c r="Z248" s="183"/>
      <c r="AA248" s="183"/>
    </row>
    <row r="249" spans="1:27" s="182" customFormat="1" ht="15" customHeight="1">
      <c r="A249" s="211"/>
      <c r="B249" s="209" t="s">
        <v>401</v>
      </c>
      <c r="C249" s="294">
        <f>IF(R224="Inclinado",C248+2*SIN(RADIANS(Q224))*(I248+N224),C248+2*TAN(RADIANS(Q224))*(I248+N224))</f>
        <v>0</v>
      </c>
      <c r="D249" s="623">
        <f t="shared" si="23"/>
        <v>0</v>
      </c>
      <c r="E249" s="623">
        <f t="shared" si="24"/>
        <v>0</v>
      </c>
      <c r="F249" s="623">
        <f t="shared" si="25"/>
        <v>0</v>
      </c>
      <c r="G249" s="623">
        <f t="shared" si="26"/>
        <v>0</v>
      </c>
      <c r="H249" s="623">
        <f t="shared" si="27"/>
        <v>0</v>
      </c>
      <c r="I249" s="623">
        <f t="shared" si="28"/>
        <v>0</v>
      </c>
      <c r="J249" s="623">
        <f t="shared" si="29"/>
        <v>0</v>
      </c>
      <c r="K249" s="623">
        <f t="shared" si="30"/>
        <v>0</v>
      </c>
      <c r="L249" s="624" t="e">
        <f t="shared" si="16"/>
        <v>#DIV/0!</v>
      </c>
      <c r="M249" s="624" t="e">
        <f t="shared" si="17"/>
        <v>#DIV/0!</v>
      </c>
      <c r="N249" s="191"/>
      <c r="O249" s="609">
        <f t="shared" si="31"/>
        <v>360</v>
      </c>
      <c r="P249" s="232" t="e">
        <f t="shared" si="18"/>
        <v>#DIV/0!</v>
      </c>
      <c r="Q249" s="191" t="e">
        <f t="shared" si="19"/>
        <v>#DIV/0!</v>
      </c>
      <c r="R249" s="191"/>
      <c r="S249" s="323" t="e">
        <f t="shared" si="20"/>
        <v>#DIV/0!</v>
      </c>
      <c r="T249" s="323" t="e">
        <f t="shared" si="21"/>
        <v>#DIV/0!</v>
      </c>
      <c r="U249" s="191"/>
      <c r="V249" s="193"/>
      <c r="W249" s="181"/>
      <c r="X249" s="137"/>
      <c r="Z249" s="183"/>
      <c r="AA249" s="183"/>
    </row>
    <row r="250" spans="1:27" s="182" customFormat="1" ht="15" customHeight="1">
      <c r="A250" s="211"/>
      <c r="B250" s="209" t="s">
        <v>402</v>
      </c>
      <c r="C250" s="294">
        <f>IF(R224="Inclinado",C249+2*SIN(RADIANS(Q224))*(I249+N224),C249+2*TAN(RADIANS(Q224))*(I249+N224))</f>
        <v>0</v>
      </c>
      <c r="D250" s="623">
        <f t="shared" si="23"/>
        <v>0</v>
      </c>
      <c r="E250" s="623">
        <f t="shared" si="24"/>
        <v>0</v>
      </c>
      <c r="F250" s="623">
        <f t="shared" si="25"/>
        <v>0</v>
      </c>
      <c r="G250" s="623">
        <f t="shared" si="26"/>
        <v>0</v>
      </c>
      <c r="H250" s="623">
        <f t="shared" si="27"/>
        <v>0</v>
      </c>
      <c r="I250" s="623">
        <f t="shared" si="28"/>
        <v>0</v>
      </c>
      <c r="J250" s="623">
        <f t="shared" si="29"/>
        <v>0</v>
      </c>
      <c r="K250" s="623">
        <f t="shared" si="30"/>
        <v>0</v>
      </c>
      <c r="L250" s="624" t="e">
        <f t="shared" si="16"/>
        <v>#DIV/0!</v>
      </c>
      <c r="M250" s="624" t="e">
        <f t="shared" si="17"/>
        <v>#DIV/0!</v>
      </c>
      <c r="N250" s="191"/>
      <c r="O250" s="609">
        <f t="shared" si="31"/>
        <v>360</v>
      </c>
      <c r="P250" s="232" t="e">
        <f t="shared" si="18"/>
        <v>#DIV/0!</v>
      </c>
      <c r="Q250" s="191" t="e">
        <f t="shared" si="19"/>
        <v>#DIV/0!</v>
      </c>
      <c r="R250" s="191"/>
      <c r="S250" s="323" t="e">
        <f t="shared" si="20"/>
        <v>#DIV/0!</v>
      </c>
      <c r="T250" s="323" t="e">
        <f t="shared" si="21"/>
        <v>#DIV/0!</v>
      </c>
      <c r="U250" s="191"/>
      <c r="V250" s="193"/>
      <c r="W250" s="181"/>
      <c r="X250" s="137"/>
      <c r="Z250" s="183"/>
      <c r="AA250" s="183"/>
    </row>
    <row r="251" spans="1:27" s="182" customFormat="1" ht="15" customHeight="1">
      <c r="A251" s="211"/>
      <c r="B251" s="209" t="s">
        <v>403</v>
      </c>
      <c r="C251" s="294">
        <f>IF(R224="Inclinado",C250+2*SIN(RADIANS(Q224))*(I250+N224),C250+2*TAN(RADIANS(Q224))*(I250+N224))</f>
        <v>0</v>
      </c>
      <c r="D251" s="623">
        <f t="shared" si="23"/>
        <v>0</v>
      </c>
      <c r="E251" s="623">
        <f t="shared" si="24"/>
        <v>0</v>
      </c>
      <c r="F251" s="623">
        <f t="shared" si="25"/>
        <v>0</v>
      </c>
      <c r="G251" s="623">
        <f t="shared" si="26"/>
        <v>0</v>
      </c>
      <c r="H251" s="623">
        <f t="shared" si="27"/>
        <v>0</v>
      </c>
      <c r="I251" s="623">
        <f t="shared" si="28"/>
        <v>0</v>
      </c>
      <c r="J251" s="623">
        <f t="shared" si="29"/>
        <v>0</v>
      </c>
      <c r="K251" s="623">
        <f t="shared" si="30"/>
        <v>0</v>
      </c>
      <c r="L251" s="624" t="e">
        <f t="shared" si="16"/>
        <v>#DIV/0!</v>
      </c>
      <c r="M251" s="624" t="e">
        <f t="shared" si="17"/>
        <v>#DIV/0!</v>
      </c>
      <c r="N251" s="191"/>
      <c r="O251" s="609">
        <f t="shared" si="31"/>
        <v>360</v>
      </c>
      <c r="P251" s="232" t="e">
        <f t="shared" si="18"/>
        <v>#DIV/0!</v>
      </c>
      <c r="Q251" s="191" t="e">
        <f t="shared" si="19"/>
        <v>#DIV/0!</v>
      </c>
      <c r="R251" s="191"/>
      <c r="S251" s="323" t="e">
        <f t="shared" si="20"/>
        <v>#DIV/0!</v>
      </c>
      <c r="T251" s="323" t="e">
        <f t="shared" si="21"/>
        <v>#DIV/0!</v>
      </c>
      <c r="U251" s="191"/>
      <c r="V251" s="193"/>
      <c r="W251" s="181"/>
      <c r="X251" s="137"/>
      <c r="Z251" s="183"/>
      <c r="AA251" s="183"/>
    </row>
    <row r="252" spans="1:27" s="182" customFormat="1" ht="15" customHeight="1">
      <c r="A252" s="211"/>
      <c r="B252" s="209" t="s">
        <v>404</v>
      </c>
      <c r="C252" s="294">
        <f>IF(R224="Inclinado",C251+2*SIN(RADIANS(Q224))*(I251+N224),C251+2*TAN(RADIANS(Q224))*(I251+N224))</f>
        <v>0</v>
      </c>
      <c r="D252" s="623">
        <f t="shared" si="23"/>
        <v>0</v>
      </c>
      <c r="E252" s="623">
        <f t="shared" si="24"/>
        <v>0</v>
      </c>
      <c r="F252" s="623">
        <f t="shared" si="25"/>
        <v>0</v>
      </c>
      <c r="G252" s="623">
        <f t="shared" si="26"/>
        <v>0</v>
      </c>
      <c r="H252" s="623">
        <f t="shared" si="27"/>
        <v>0</v>
      </c>
      <c r="I252" s="623">
        <f t="shared" si="28"/>
        <v>0</v>
      </c>
      <c r="J252" s="623">
        <f t="shared" si="29"/>
        <v>0</v>
      </c>
      <c r="K252" s="623">
        <f t="shared" si="30"/>
        <v>0</v>
      </c>
      <c r="L252" s="624" t="e">
        <f t="shared" si="16"/>
        <v>#DIV/0!</v>
      </c>
      <c r="M252" s="624" t="e">
        <f t="shared" si="17"/>
        <v>#DIV/0!</v>
      </c>
      <c r="N252" s="191"/>
      <c r="O252" s="609">
        <f t="shared" si="31"/>
        <v>360</v>
      </c>
      <c r="P252" s="232" t="e">
        <f t="shared" si="18"/>
        <v>#DIV/0!</v>
      </c>
      <c r="Q252" s="191" t="e">
        <f t="shared" si="19"/>
        <v>#DIV/0!</v>
      </c>
      <c r="R252" s="191"/>
      <c r="S252" s="323" t="e">
        <f t="shared" si="20"/>
        <v>#DIV/0!</v>
      </c>
      <c r="T252" s="323" t="e">
        <f t="shared" si="21"/>
        <v>#DIV/0!</v>
      </c>
      <c r="U252" s="191"/>
      <c r="V252" s="193"/>
      <c r="W252" s="181"/>
      <c r="X252" s="137"/>
      <c r="Z252" s="183"/>
      <c r="AA252" s="183"/>
    </row>
    <row r="253" spans="1:27" s="182" customFormat="1" ht="15" customHeight="1">
      <c r="A253" s="211"/>
      <c r="B253" s="209" t="s">
        <v>405</v>
      </c>
      <c r="C253" s="294">
        <f>IF(R224="Inclinado",C252+2*SIN(RADIANS(Q224))*(I252+N224),C252+2*TAN(RADIANS(Q224))*(I252+N224))</f>
        <v>0</v>
      </c>
      <c r="D253" s="623">
        <f t="shared" si="23"/>
        <v>0</v>
      </c>
      <c r="E253" s="623">
        <f t="shared" si="24"/>
        <v>0</v>
      </c>
      <c r="F253" s="623">
        <f t="shared" si="25"/>
        <v>0</v>
      </c>
      <c r="G253" s="623">
        <f t="shared" si="26"/>
        <v>0</v>
      </c>
      <c r="H253" s="623">
        <f t="shared" si="27"/>
        <v>0</v>
      </c>
      <c r="I253" s="623">
        <f t="shared" si="28"/>
        <v>0</v>
      </c>
      <c r="J253" s="623">
        <f t="shared" si="29"/>
        <v>0</v>
      </c>
      <c r="K253" s="623">
        <f t="shared" si="30"/>
        <v>0</v>
      </c>
      <c r="L253" s="624" t="e">
        <f t="shared" si="16"/>
        <v>#DIV/0!</v>
      </c>
      <c r="M253" s="624" t="e">
        <f t="shared" si="17"/>
        <v>#DIV/0!</v>
      </c>
      <c r="N253" s="191"/>
      <c r="O253" s="609">
        <f t="shared" si="31"/>
        <v>360</v>
      </c>
      <c r="P253" s="232" t="e">
        <f t="shared" si="18"/>
        <v>#DIV/0!</v>
      </c>
      <c r="Q253" s="191" t="e">
        <f t="shared" si="19"/>
        <v>#DIV/0!</v>
      </c>
      <c r="R253" s="191"/>
      <c r="S253" s="323" t="e">
        <f t="shared" si="20"/>
        <v>#DIV/0!</v>
      </c>
      <c r="T253" s="323" t="e">
        <f t="shared" si="21"/>
        <v>#DIV/0!</v>
      </c>
      <c r="U253" s="191"/>
      <c r="V253" s="193"/>
      <c r="W253" s="181"/>
      <c r="X253" s="137"/>
      <c r="Z253" s="183"/>
      <c r="AA253" s="183"/>
    </row>
    <row r="254" spans="1:27" s="182" customFormat="1" ht="15" customHeight="1">
      <c r="A254" s="211"/>
      <c r="B254" s="209" t="s">
        <v>406</v>
      </c>
      <c r="C254" s="294">
        <f>IF(R224="Inclinado",C253+2*SIN(RADIANS(Q224))*(I253+N224),C253+2*TAN(RADIANS(Q224))*(I253+N224))</f>
        <v>0</v>
      </c>
      <c r="D254" s="623">
        <f t="shared" si="23"/>
        <v>0</v>
      </c>
      <c r="E254" s="623">
        <f t="shared" si="24"/>
        <v>0</v>
      </c>
      <c r="F254" s="623">
        <f t="shared" si="25"/>
        <v>0</v>
      </c>
      <c r="G254" s="623">
        <f t="shared" si="26"/>
        <v>0</v>
      </c>
      <c r="H254" s="623">
        <f t="shared" si="27"/>
        <v>0</v>
      </c>
      <c r="I254" s="623">
        <f t="shared" si="28"/>
        <v>0</v>
      </c>
      <c r="J254" s="623">
        <f t="shared" si="29"/>
        <v>0</v>
      </c>
      <c r="K254" s="623">
        <f t="shared" si="30"/>
        <v>0</v>
      </c>
      <c r="L254" s="624" t="e">
        <f t="shared" si="16"/>
        <v>#DIV/0!</v>
      </c>
      <c r="M254" s="624" t="e">
        <f t="shared" si="17"/>
        <v>#DIV/0!</v>
      </c>
      <c r="N254" s="191"/>
      <c r="O254" s="609">
        <f t="shared" si="31"/>
        <v>360</v>
      </c>
      <c r="P254" s="232" t="e">
        <f t="shared" si="18"/>
        <v>#DIV/0!</v>
      </c>
      <c r="Q254" s="191" t="e">
        <f t="shared" si="19"/>
        <v>#DIV/0!</v>
      </c>
      <c r="R254" s="191"/>
      <c r="S254" s="323" t="e">
        <f t="shared" si="20"/>
        <v>#DIV/0!</v>
      </c>
      <c r="T254" s="323" t="e">
        <f t="shared" si="21"/>
        <v>#DIV/0!</v>
      </c>
      <c r="U254" s="191"/>
      <c r="V254" s="193"/>
      <c r="W254" s="181"/>
      <c r="X254" s="137"/>
      <c r="Z254" s="183"/>
      <c r="AA254" s="183"/>
    </row>
    <row r="255" spans="1:27" s="182" customFormat="1" ht="15" customHeight="1">
      <c r="A255" s="211"/>
      <c r="B255" s="209" t="s">
        <v>407</v>
      </c>
      <c r="C255" s="294">
        <f>IF(R224="Inclinado",C254+2*SIN(RADIANS(Q224))*(I254+N224),C254+2*TAN(RADIANS(Q224))*(I254+N224))</f>
        <v>0</v>
      </c>
      <c r="D255" s="623">
        <f t="shared" si="23"/>
        <v>0</v>
      </c>
      <c r="E255" s="623">
        <f t="shared" ref="E255:E269" si="32">E254</f>
        <v>0</v>
      </c>
      <c r="F255" s="623">
        <f t="shared" ref="F255:F269" si="33">F254</f>
        <v>0</v>
      </c>
      <c r="G255" s="623">
        <f t="shared" ref="G255:G269" si="34">G254</f>
        <v>0</v>
      </c>
      <c r="H255" s="623">
        <f t="shared" ref="H255:H269" si="35">H254</f>
        <v>0</v>
      </c>
      <c r="I255" s="623">
        <f t="shared" si="28"/>
        <v>0</v>
      </c>
      <c r="J255" s="623">
        <f t="shared" si="29"/>
        <v>0</v>
      </c>
      <c r="K255" s="623">
        <f t="shared" si="30"/>
        <v>0</v>
      </c>
      <c r="L255" s="624" t="e">
        <f t="shared" si="16"/>
        <v>#DIV/0!</v>
      </c>
      <c r="M255" s="624" t="e">
        <f t="shared" si="17"/>
        <v>#DIV/0!</v>
      </c>
      <c r="N255" s="191"/>
      <c r="O255" s="609">
        <f t="shared" si="31"/>
        <v>360</v>
      </c>
      <c r="P255" s="232" t="e">
        <f t="shared" si="18"/>
        <v>#DIV/0!</v>
      </c>
      <c r="Q255" s="191" t="e">
        <f t="shared" si="19"/>
        <v>#DIV/0!</v>
      </c>
      <c r="R255" s="191"/>
      <c r="S255" s="323" t="e">
        <f t="shared" si="20"/>
        <v>#DIV/0!</v>
      </c>
      <c r="T255" s="323" t="e">
        <f t="shared" si="21"/>
        <v>#DIV/0!</v>
      </c>
      <c r="U255" s="191"/>
      <c r="V255" s="193"/>
      <c r="W255" s="181"/>
      <c r="X255" s="137"/>
      <c r="Z255" s="183"/>
      <c r="AA255" s="183"/>
    </row>
    <row r="256" spans="1:27" s="182" customFormat="1" ht="15" customHeight="1">
      <c r="A256" s="211"/>
      <c r="B256" s="209" t="s">
        <v>408</v>
      </c>
      <c r="C256" s="294">
        <f>IF(R224="Inclinado",C255+2*SIN(RADIANS(Q224))*(I255+N224),C255+2*TAN(RADIANS(Q224))*(I255+N224))</f>
        <v>0</v>
      </c>
      <c r="D256" s="623">
        <f t="shared" si="23"/>
        <v>0</v>
      </c>
      <c r="E256" s="623">
        <f t="shared" si="32"/>
        <v>0</v>
      </c>
      <c r="F256" s="623">
        <f t="shared" si="33"/>
        <v>0</v>
      </c>
      <c r="G256" s="623">
        <f t="shared" si="34"/>
        <v>0</v>
      </c>
      <c r="H256" s="623">
        <f t="shared" si="35"/>
        <v>0</v>
      </c>
      <c r="I256" s="623">
        <f t="shared" si="28"/>
        <v>0</v>
      </c>
      <c r="J256" s="623">
        <f t="shared" si="29"/>
        <v>0</v>
      </c>
      <c r="K256" s="623">
        <f t="shared" si="30"/>
        <v>0</v>
      </c>
      <c r="L256" s="624" t="e">
        <f t="shared" si="16"/>
        <v>#DIV/0!</v>
      </c>
      <c r="M256" s="624" t="e">
        <f t="shared" si="17"/>
        <v>#DIV/0!</v>
      </c>
      <c r="N256" s="191"/>
      <c r="O256" s="609">
        <f t="shared" si="31"/>
        <v>360</v>
      </c>
      <c r="P256" s="232" t="e">
        <f t="shared" si="18"/>
        <v>#DIV/0!</v>
      </c>
      <c r="Q256" s="191" t="e">
        <f t="shared" si="19"/>
        <v>#DIV/0!</v>
      </c>
      <c r="R256" s="191"/>
      <c r="S256" s="323" t="e">
        <f t="shared" si="20"/>
        <v>#DIV/0!</v>
      </c>
      <c r="T256" s="323" t="e">
        <f t="shared" si="21"/>
        <v>#DIV/0!</v>
      </c>
      <c r="U256" s="191"/>
      <c r="V256" s="193"/>
      <c r="W256" s="181"/>
      <c r="X256" s="137"/>
      <c r="Z256" s="183"/>
      <c r="AA256" s="183"/>
    </row>
    <row r="257" spans="1:27" s="182" customFormat="1" ht="15" customHeight="1">
      <c r="A257" s="211"/>
      <c r="B257" s="209" t="s">
        <v>409</v>
      </c>
      <c r="C257" s="294">
        <f>IF(R224="Inclinado",C256+2*SIN(RADIANS(Q224))*(I256+N224),C256+2*TAN(RADIANS(Q224))*(I256+N224))</f>
        <v>0</v>
      </c>
      <c r="D257" s="623">
        <f t="shared" si="23"/>
        <v>0</v>
      </c>
      <c r="E257" s="623">
        <f t="shared" si="32"/>
        <v>0</v>
      </c>
      <c r="F257" s="623">
        <f t="shared" si="33"/>
        <v>0</v>
      </c>
      <c r="G257" s="623">
        <f t="shared" si="34"/>
        <v>0</v>
      </c>
      <c r="H257" s="623">
        <f t="shared" si="35"/>
        <v>0</v>
      </c>
      <c r="I257" s="623">
        <f t="shared" si="28"/>
        <v>0</v>
      </c>
      <c r="J257" s="623">
        <f t="shared" si="29"/>
        <v>0</v>
      </c>
      <c r="K257" s="623">
        <f t="shared" si="30"/>
        <v>0</v>
      </c>
      <c r="L257" s="624" t="e">
        <f t="shared" si="16"/>
        <v>#DIV/0!</v>
      </c>
      <c r="M257" s="624" t="e">
        <f t="shared" si="17"/>
        <v>#DIV/0!</v>
      </c>
      <c r="N257" s="191"/>
      <c r="O257" s="609">
        <f t="shared" si="31"/>
        <v>360</v>
      </c>
      <c r="P257" s="232" t="e">
        <f t="shared" si="18"/>
        <v>#DIV/0!</v>
      </c>
      <c r="Q257" s="191" t="e">
        <f t="shared" si="19"/>
        <v>#DIV/0!</v>
      </c>
      <c r="R257" s="191"/>
      <c r="S257" s="323" t="e">
        <f t="shared" si="20"/>
        <v>#DIV/0!</v>
      </c>
      <c r="T257" s="323" t="e">
        <f t="shared" si="21"/>
        <v>#DIV/0!</v>
      </c>
      <c r="U257" s="191"/>
      <c r="V257" s="193"/>
      <c r="W257" s="181"/>
      <c r="X257" s="137"/>
      <c r="Z257" s="183"/>
      <c r="AA257" s="183"/>
    </row>
    <row r="258" spans="1:27" s="182" customFormat="1" ht="15" customHeight="1">
      <c r="A258" s="211"/>
      <c r="B258" s="209" t="s">
        <v>410</v>
      </c>
      <c r="C258" s="294">
        <f>IF(R224="Inclinado",C257+2*SIN(RADIANS(Q224))*(I257+N224),C257+2*TAN(RADIANS(Q224))*(I257+N224))</f>
        <v>0</v>
      </c>
      <c r="D258" s="623">
        <f t="shared" si="23"/>
        <v>0</v>
      </c>
      <c r="E258" s="623">
        <f t="shared" si="32"/>
        <v>0</v>
      </c>
      <c r="F258" s="623">
        <f t="shared" si="33"/>
        <v>0</v>
      </c>
      <c r="G258" s="623">
        <f t="shared" si="34"/>
        <v>0</v>
      </c>
      <c r="H258" s="623">
        <f t="shared" si="35"/>
        <v>0</v>
      </c>
      <c r="I258" s="623">
        <f t="shared" si="28"/>
        <v>0</v>
      </c>
      <c r="J258" s="623">
        <f t="shared" si="29"/>
        <v>0</v>
      </c>
      <c r="K258" s="623">
        <f t="shared" si="30"/>
        <v>0</v>
      </c>
      <c r="L258" s="624" t="e">
        <f t="shared" si="16"/>
        <v>#DIV/0!</v>
      </c>
      <c r="M258" s="624" t="e">
        <f t="shared" si="17"/>
        <v>#DIV/0!</v>
      </c>
      <c r="N258" s="191"/>
      <c r="O258" s="609">
        <f t="shared" si="31"/>
        <v>360</v>
      </c>
      <c r="P258" s="232" t="e">
        <f t="shared" si="18"/>
        <v>#DIV/0!</v>
      </c>
      <c r="Q258" s="191" t="e">
        <f t="shared" si="19"/>
        <v>#DIV/0!</v>
      </c>
      <c r="R258" s="191"/>
      <c r="S258" s="323" t="e">
        <f t="shared" si="20"/>
        <v>#DIV/0!</v>
      </c>
      <c r="T258" s="323" t="e">
        <f t="shared" si="21"/>
        <v>#DIV/0!</v>
      </c>
      <c r="U258" s="191"/>
      <c r="V258" s="193"/>
      <c r="W258" s="181"/>
      <c r="X258" s="137"/>
      <c r="Z258" s="183"/>
      <c r="AA258" s="183"/>
    </row>
    <row r="259" spans="1:27" s="182" customFormat="1" ht="15" customHeight="1">
      <c r="A259" s="211"/>
      <c r="B259" s="209" t="s">
        <v>411</v>
      </c>
      <c r="C259" s="294">
        <f>IF(R224="Inclinado",C258+2*SIN(RADIANS(Q224))*(I258+N224),C258+2*TAN(RADIANS(Q224))*(I258+N224))</f>
        <v>0</v>
      </c>
      <c r="D259" s="623">
        <f t="shared" si="23"/>
        <v>0</v>
      </c>
      <c r="E259" s="623">
        <f t="shared" si="32"/>
        <v>0</v>
      </c>
      <c r="F259" s="623">
        <f t="shared" si="33"/>
        <v>0</v>
      </c>
      <c r="G259" s="623">
        <f t="shared" si="34"/>
        <v>0</v>
      </c>
      <c r="H259" s="623">
        <f t="shared" si="35"/>
        <v>0</v>
      </c>
      <c r="I259" s="623">
        <f t="shared" si="28"/>
        <v>0</v>
      </c>
      <c r="J259" s="623">
        <f t="shared" si="29"/>
        <v>0</v>
      </c>
      <c r="K259" s="623">
        <f t="shared" si="30"/>
        <v>0</v>
      </c>
      <c r="L259" s="624" t="e">
        <f t="shared" si="16"/>
        <v>#DIV/0!</v>
      </c>
      <c r="M259" s="624" t="e">
        <f t="shared" si="17"/>
        <v>#DIV/0!</v>
      </c>
      <c r="N259" s="191"/>
      <c r="O259" s="609">
        <f t="shared" si="31"/>
        <v>360</v>
      </c>
      <c r="P259" s="232" t="e">
        <f t="shared" si="18"/>
        <v>#DIV/0!</v>
      </c>
      <c r="Q259" s="191" t="e">
        <f t="shared" si="19"/>
        <v>#DIV/0!</v>
      </c>
      <c r="R259" s="191"/>
      <c r="S259" s="323" t="e">
        <f t="shared" si="20"/>
        <v>#DIV/0!</v>
      </c>
      <c r="T259" s="323" t="e">
        <f t="shared" si="21"/>
        <v>#DIV/0!</v>
      </c>
      <c r="U259" s="191"/>
      <c r="V259" s="193"/>
      <c r="W259" s="181"/>
      <c r="X259" s="137"/>
      <c r="Z259" s="183"/>
      <c r="AA259" s="183"/>
    </row>
    <row r="260" spans="1:27" s="182" customFormat="1" ht="15" customHeight="1">
      <c r="A260" s="211"/>
      <c r="B260" s="209" t="s">
        <v>412</v>
      </c>
      <c r="C260" s="294">
        <f>IF(R224="Inclinado",C259+2*SIN(RADIANS(Q224))*(I259+N224),C259+2*TAN(RADIANS(Q224))*(I259+N224))</f>
        <v>0</v>
      </c>
      <c r="D260" s="623">
        <f t="shared" si="23"/>
        <v>0</v>
      </c>
      <c r="E260" s="623">
        <f t="shared" si="32"/>
        <v>0</v>
      </c>
      <c r="F260" s="623">
        <f t="shared" si="33"/>
        <v>0</v>
      </c>
      <c r="G260" s="623">
        <f t="shared" si="34"/>
        <v>0</v>
      </c>
      <c r="H260" s="623">
        <f t="shared" si="35"/>
        <v>0</v>
      </c>
      <c r="I260" s="623">
        <f t="shared" si="28"/>
        <v>0</v>
      </c>
      <c r="J260" s="623">
        <f t="shared" si="29"/>
        <v>0</v>
      </c>
      <c r="K260" s="623">
        <f t="shared" si="30"/>
        <v>0</v>
      </c>
      <c r="L260" s="624" t="e">
        <f t="shared" si="16"/>
        <v>#DIV/0!</v>
      </c>
      <c r="M260" s="624" t="e">
        <f t="shared" si="17"/>
        <v>#DIV/0!</v>
      </c>
      <c r="N260" s="191"/>
      <c r="O260" s="609">
        <f t="shared" si="31"/>
        <v>360</v>
      </c>
      <c r="P260" s="232" t="e">
        <f t="shared" si="18"/>
        <v>#DIV/0!</v>
      </c>
      <c r="Q260" s="191" t="e">
        <f t="shared" si="19"/>
        <v>#DIV/0!</v>
      </c>
      <c r="R260" s="191"/>
      <c r="S260" s="323" t="e">
        <f t="shared" si="20"/>
        <v>#DIV/0!</v>
      </c>
      <c r="T260" s="323" t="e">
        <f>((F260*(L260+K260)+H260*(M260+K260))/PI()-(C260-(J260*2)))/(P260+Q260)</f>
        <v>#DIV/0!</v>
      </c>
      <c r="U260" s="191"/>
      <c r="V260" s="193"/>
      <c r="W260" s="181"/>
      <c r="X260" s="137"/>
      <c r="Z260" s="183"/>
      <c r="AA260" s="183"/>
    </row>
    <row r="261" spans="1:27" s="182" customFormat="1" ht="15" customHeight="1">
      <c r="A261" s="211"/>
      <c r="B261" s="209" t="s">
        <v>413</v>
      </c>
      <c r="C261" s="294">
        <f>IF(R224="Inclinado",C260+2*SIN(RADIANS(Q224))*(I260+N224),C260+2*TAN(RADIANS(Q224))*(I260+N224))</f>
        <v>0</v>
      </c>
      <c r="D261" s="623">
        <f t="shared" si="23"/>
        <v>0</v>
      </c>
      <c r="E261" s="623">
        <f t="shared" si="32"/>
        <v>0</v>
      </c>
      <c r="F261" s="623">
        <f t="shared" si="33"/>
        <v>0</v>
      </c>
      <c r="G261" s="623">
        <f t="shared" si="34"/>
        <v>0</v>
      </c>
      <c r="H261" s="623">
        <f t="shared" si="35"/>
        <v>0</v>
      </c>
      <c r="I261" s="623">
        <f t="shared" si="28"/>
        <v>0</v>
      </c>
      <c r="J261" s="623">
        <f t="shared" si="29"/>
        <v>0</v>
      </c>
      <c r="K261" s="623">
        <f t="shared" si="30"/>
        <v>0</v>
      </c>
      <c r="L261" s="624" t="e">
        <f t="shared" si="16"/>
        <v>#DIV/0!</v>
      </c>
      <c r="M261" s="624" t="e">
        <f t="shared" si="17"/>
        <v>#DIV/0!</v>
      </c>
      <c r="N261" s="191"/>
      <c r="O261" s="609">
        <f t="shared" si="31"/>
        <v>360</v>
      </c>
      <c r="P261" s="232" t="e">
        <f t="shared" si="18"/>
        <v>#DIV/0!</v>
      </c>
      <c r="Q261" s="191" t="e">
        <f t="shared" si="19"/>
        <v>#DIV/0!</v>
      </c>
      <c r="R261" s="191"/>
      <c r="S261" s="323" t="e">
        <f t="shared" si="20"/>
        <v>#DIV/0!</v>
      </c>
      <c r="T261" s="323" t="e">
        <f t="shared" si="21"/>
        <v>#DIV/0!</v>
      </c>
      <c r="U261" s="191"/>
      <c r="V261" s="193"/>
      <c r="W261" s="181"/>
      <c r="X261" s="137"/>
      <c r="Z261" s="183"/>
      <c r="AA261" s="183"/>
    </row>
    <row r="262" spans="1:27" s="182" customFormat="1" ht="15" customHeight="1">
      <c r="A262" s="211"/>
      <c r="B262" s="209" t="s">
        <v>414</v>
      </c>
      <c r="C262" s="294">
        <f>IF(R224="Inclinado",C261+2*SIN(RADIANS(Q224))*(I261+N224),C261+2*TAN(RADIANS(Q224))*(I261+N224))</f>
        <v>0</v>
      </c>
      <c r="D262" s="623">
        <f t="shared" si="23"/>
        <v>0</v>
      </c>
      <c r="E262" s="623">
        <f t="shared" si="32"/>
        <v>0</v>
      </c>
      <c r="F262" s="623">
        <f t="shared" si="33"/>
        <v>0</v>
      </c>
      <c r="G262" s="623">
        <f t="shared" si="34"/>
        <v>0</v>
      </c>
      <c r="H262" s="623">
        <f t="shared" si="35"/>
        <v>0</v>
      </c>
      <c r="I262" s="623">
        <f t="shared" si="28"/>
        <v>0</v>
      </c>
      <c r="J262" s="623">
        <f t="shared" si="29"/>
        <v>0</v>
      </c>
      <c r="K262" s="623">
        <f t="shared" si="30"/>
        <v>0</v>
      </c>
      <c r="L262" s="624" t="e">
        <f t="shared" si="16"/>
        <v>#DIV/0!</v>
      </c>
      <c r="M262" s="624" t="e">
        <f t="shared" si="17"/>
        <v>#DIV/0!</v>
      </c>
      <c r="N262" s="191"/>
      <c r="O262" s="609">
        <f t="shared" si="31"/>
        <v>360</v>
      </c>
      <c r="P262" s="232" t="e">
        <f t="shared" si="18"/>
        <v>#DIV/0!</v>
      </c>
      <c r="Q262" s="191" t="e">
        <f t="shared" si="19"/>
        <v>#DIV/0!</v>
      </c>
      <c r="R262" s="191"/>
      <c r="S262" s="323" t="e">
        <f t="shared" si="20"/>
        <v>#DIV/0!</v>
      </c>
      <c r="T262" s="323" t="e">
        <f t="shared" si="21"/>
        <v>#DIV/0!</v>
      </c>
      <c r="U262" s="191"/>
      <c r="V262" s="193"/>
      <c r="W262" s="181"/>
      <c r="X262" s="137"/>
      <c r="Z262" s="183"/>
      <c r="AA262" s="183"/>
    </row>
    <row r="263" spans="1:27" s="182" customFormat="1" ht="15" customHeight="1">
      <c r="A263" s="211"/>
      <c r="B263" s="209" t="s">
        <v>415</v>
      </c>
      <c r="C263" s="294">
        <f>IF(R224="Inclinado",C262+2*SIN(RADIANS(Q224))*(I262+N224),C262+2*TAN(RADIANS(Q224))*(I262+N224))</f>
        <v>0</v>
      </c>
      <c r="D263" s="623">
        <f t="shared" si="23"/>
        <v>0</v>
      </c>
      <c r="E263" s="623">
        <f t="shared" si="32"/>
        <v>0</v>
      </c>
      <c r="F263" s="623">
        <f t="shared" si="33"/>
        <v>0</v>
      </c>
      <c r="G263" s="623">
        <f t="shared" si="34"/>
        <v>0</v>
      </c>
      <c r="H263" s="623">
        <f t="shared" si="35"/>
        <v>0</v>
      </c>
      <c r="I263" s="623">
        <f t="shared" si="28"/>
        <v>0</v>
      </c>
      <c r="J263" s="623">
        <f t="shared" si="29"/>
        <v>0</v>
      </c>
      <c r="K263" s="623">
        <f t="shared" si="30"/>
        <v>0</v>
      </c>
      <c r="L263" s="624" t="e">
        <f t="shared" si="16"/>
        <v>#DIV/0!</v>
      </c>
      <c r="M263" s="624" t="e">
        <f t="shared" si="17"/>
        <v>#DIV/0!</v>
      </c>
      <c r="N263" s="191"/>
      <c r="O263" s="609">
        <f t="shared" si="31"/>
        <v>360</v>
      </c>
      <c r="P263" s="232" t="e">
        <f t="shared" si="18"/>
        <v>#DIV/0!</v>
      </c>
      <c r="Q263" s="191" t="e">
        <f t="shared" si="19"/>
        <v>#DIV/0!</v>
      </c>
      <c r="R263" s="191"/>
      <c r="S263" s="323" t="e">
        <f t="shared" si="20"/>
        <v>#DIV/0!</v>
      </c>
      <c r="T263" s="323" t="e">
        <f t="shared" si="21"/>
        <v>#DIV/0!</v>
      </c>
      <c r="U263" s="191"/>
      <c r="V263" s="193"/>
      <c r="W263" s="181"/>
      <c r="X263" s="137"/>
      <c r="Z263" s="183"/>
      <c r="AA263" s="183"/>
    </row>
    <row r="264" spans="1:27" s="182" customFormat="1" ht="15" customHeight="1">
      <c r="A264" s="211"/>
      <c r="B264" s="209" t="s">
        <v>416</v>
      </c>
      <c r="C264" s="294">
        <f>IF(R224="Inclinado",C263+2*SIN(RADIANS(Q224))*(I263+N224),C263+2*TAN(RADIANS(Q224))*(I263+N224))</f>
        <v>0</v>
      </c>
      <c r="D264" s="623">
        <f t="shared" si="23"/>
        <v>0</v>
      </c>
      <c r="E264" s="623">
        <f t="shared" si="32"/>
        <v>0</v>
      </c>
      <c r="F264" s="623">
        <f t="shared" si="33"/>
        <v>0</v>
      </c>
      <c r="G264" s="623">
        <f t="shared" si="34"/>
        <v>0</v>
      </c>
      <c r="H264" s="623">
        <f t="shared" si="35"/>
        <v>0</v>
      </c>
      <c r="I264" s="623">
        <f t="shared" si="28"/>
        <v>0</v>
      </c>
      <c r="J264" s="623">
        <f t="shared" si="29"/>
        <v>0</v>
      </c>
      <c r="K264" s="623">
        <f t="shared" si="30"/>
        <v>0</v>
      </c>
      <c r="L264" s="624" t="e">
        <f t="shared" si="16"/>
        <v>#DIV/0!</v>
      </c>
      <c r="M264" s="624" t="e">
        <f t="shared" si="17"/>
        <v>#DIV/0!</v>
      </c>
      <c r="N264" s="191"/>
      <c r="O264" s="609">
        <f t="shared" si="31"/>
        <v>360</v>
      </c>
      <c r="P264" s="232" t="e">
        <f t="shared" si="18"/>
        <v>#DIV/0!</v>
      </c>
      <c r="Q264" s="191" t="e">
        <f t="shared" si="19"/>
        <v>#DIV/0!</v>
      </c>
      <c r="R264" s="191"/>
      <c r="S264" s="323" t="e">
        <f t="shared" si="20"/>
        <v>#DIV/0!</v>
      </c>
      <c r="T264" s="323" t="e">
        <f t="shared" si="21"/>
        <v>#DIV/0!</v>
      </c>
      <c r="U264" s="191"/>
      <c r="V264" s="193"/>
      <c r="W264" s="181"/>
      <c r="X264" s="137"/>
      <c r="Z264" s="183"/>
      <c r="AA264" s="183"/>
    </row>
    <row r="265" spans="1:27" s="182" customFormat="1" ht="15" customHeight="1">
      <c r="A265" s="211"/>
      <c r="B265" s="209" t="s">
        <v>986</v>
      </c>
      <c r="C265" s="294">
        <f>IF(R224="Inclinado",C264+2*SIN(RADIANS(Q224))*(I264+N224),C264+2*TAN(RADIANS(Q224))*(I264+N224))</f>
        <v>0</v>
      </c>
      <c r="D265" s="623">
        <f t="shared" si="23"/>
        <v>0</v>
      </c>
      <c r="E265" s="623">
        <f t="shared" si="32"/>
        <v>0</v>
      </c>
      <c r="F265" s="623">
        <f t="shared" si="33"/>
        <v>0</v>
      </c>
      <c r="G265" s="623">
        <f t="shared" si="34"/>
        <v>0</v>
      </c>
      <c r="H265" s="623">
        <f t="shared" si="35"/>
        <v>0</v>
      </c>
      <c r="I265" s="623">
        <f t="shared" si="28"/>
        <v>0</v>
      </c>
      <c r="J265" s="623">
        <f t="shared" si="29"/>
        <v>0</v>
      </c>
      <c r="K265" s="623">
        <f t="shared" si="30"/>
        <v>0</v>
      </c>
      <c r="L265" s="624" t="e">
        <f t="shared" si="16"/>
        <v>#DIV/0!</v>
      </c>
      <c r="M265" s="624" t="e">
        <f t="shared" si="17"/>
        <v>#DIV/0!</v>
      </c>
      <c r="N265" s="191"/>
      <c r="O265" s="609">
        <f t="shared" si="31"/>
        <v>360</v>
      </c>
      <c r="P265" s="232" t="e">
        <f t="shared" si="18"/>
        <v>#DIV/0!</v>
      </c>
      <c r="Q265" s="191" t="e">
        <f t="shared" si="19"/>
        <v>#DIV/0!</v>
      </c>
      <c r="R265" s="191"/>
      <c r="S265" s="323" t="e">
        <f t="shared" si="20"/>
        <v>#DIV/0!</v>
      </c>
      <c r="T265" s="323" t="e">
        <f t="shared" si="21"/>
        <v>#DIV/0!</v>
      </c>
      <c r="U265" s="191"/>
      <c r="V265" s="193"/>
      <c r="W265" s="181"/>
      <c r="X265" s="137"/>
      <c r="Z265" s="183"/>
      <c r="AA265" s="183"/>
    </row>
    <row r="266" spans="1:27" s="182" customFormat="1" ht="15" customHeight="1">
      <c r="A266" s="211"/>
      <c r="B266" s="209" t="s">
        <v>987</v>
      </c>
      <c r="C266" s="294">
        <f>IF(R224="Inclinado",C265+2*SIN(RADIANS(Q224))*(I265+N224),C265+2*TAN(RADIANS(Q224))*(I265+N224))</f>
        <v>0</v>
      </c>
      <c r="D266" s="623">
        <f t="shared" si="23"/>
        <v>0</v>
      </c>
      <c r="E266" s="623">
        <f t="shared" si="32"/>
        <v>0</v>
      </c>
      <c r="F266" s="623">
        <f t="shared" si="33"/>
        <v>0</v>
      </c>
      <c r="G266" s="623">
        <f t="shared" si="34"/>
        <v>0</v>
      </c>
      <c r="H266" s="623">
        <f t="shared" si="35"/>
        <v>0</v>
      </c>
      <c r="I266" s="623">
        <f t="shared" si="28"/>
        <v>0</v>
      </c>
      <c r="J266" s="623">
        <f t="shared" si="29"/>
        <v>0</v>
      </c>
      <c r="K266" s="623">
        <f t="shared" si="30"/>
        <v>0</v>
      </c>
      <c r="L266" s="624" t="e">
        <f t="shared" si="16"/>
        <v>#DIV/0!</v>
      </c>
      <c r="M266" s="624" t="e">
        <f t="shared" si="17"/>
        <v>#DIV/0!</v>
      </c>
      <c r="N266" s="191"/>
      <c r="O266" s="609">
        <f t="shared" si="31"/>
        <v>360</v>
      </c>
      <c r="P266" s="232" t="e">
        <f t="shared" si="18"/>
        <v>#DIV/0!</v>
      </c>
      <c r="Q266" s="191" t="e">
        <f t="shared" si="19"/>
        <v>#DIV/0!</v>
      </c>
      <c r="R266" s="191"/>
      <c r="S266" s="323" t="e">
        <f t="shared" si="20"/>
        <v>#DIV/0!</v>
      </c>
      <c r="T266" s="323" t="e">
        <f t="shared" si="21"/>
        <v>#DIV/0!</v>
      </c>
      <c r="U266" s="191"/>
      <c r="V266" s="193"/>
      <c r="W266" s="181"/>
      <c r="X266" s="137"/>
      <c r="Z266" s="183"/>
      <c r="AA266" s="183"/>
    </row>
    <row r="267" spans="1:27" s="182" customFormat="1" ht="15" customHeight="1">
      <c r="A267" s="211"/>
      <c r="B267" s="209" t="s">
        <v>988</v>
      </c>
      <c r="C267" s="294">
        <f>IF(R224="Inclinado",C266+2*SIN(RADIANS(Q224))*(I266+N224),C266+2*TAN(RADIANS(Q224))*(I266+N224))</f>
        <v>0</v>
      </c>
      <c r="D267" s="623">
        <f t="shared" si="23"/>
        <v>0</v>
      </c>
      <c r="E267" s="623">
        <f t="shared" si="32"/>
        <v>0</v>
      </c>
      <c r="F267" s="623">
        <f t="shared" si="33"/>
        <v>0</v>
      </c>
      <c r="G267" s="623">
        <f t="shared" si="34"/>
        <v>0</v>
      </c>
      <c r="H267" s="623">
        <f t="shared" si="35"/>
        <v>0</v>
      </c>
      <c r="I267" s="623">
        <f t="shared" si="28"/>
        <v>0</v>
      </c>
      <c r="J267" s="623">
        <f t="shared" si="29"/>
        <v>0</v>
      </c>
      <c r="K267" s="623">
        <f t="shared" si="30"/>
        <v>0</v>
      </c>
      <c r="L267" s="624" t="e">
        <f t="shared" ref="L267:L284" si="36">(1/(-(E267+K267)*(H267+K267)+(F267+K267)*(G267+K267)))*3.1416*(-C267*(H267+K267)+(C267-(J267*2))*(G267+K267))</f>
        <v>#DIV/0!</v>
      </c>
      <c r="M267" s="624" t="e">
        <f t="shared" ref="M267:M284" si="37">((C267*PI())-(L267*(E267+K267)))/(G267+K267)</f>
        <v>#DIV/0!</v>
      </c>
      <c r="N267" s="191"/>
      <c r="O267" s="609">
        <f t="shared" si="31"/>
        <v>360</v>
      </c>
      <c r="P267" s="232" t="e">
        <f t="shared" ref="P267:P284" si="38">IF(L267/360*O267-ROUNDDOWN(L267/360*O267,0)&gt;M267/360*O267-ROUNDDOWN(M267/360*O267,0),ROUNDUP(L267/360*O267,0),ROUNDUP(SUM(L267/360*O267,M267/360*O267),0)-ROUNDUP(M267/360*O267,0))</f>
        <v>#DIV/0!</v>
      </c>
      <c r="Q267" s="191" t="e">
        <f t="shared" ref="Q267:Q284" si="39">IF(M267/360*O267-ROUNDDOWN(M267/360*O267,0)&gt;L267/360*O267-ROUNDDOWN(L267/360*O267,0),ROUNDUP(M267/360*O267,0),ROUNDUP(SUM(L267/360*O267,M267/360*O267),0)-ROUNDUP(L267/360*O267,0))</f>
        <v>#DIV/0!</v>
      </c>
      <c r="R267" s="191"/>
      <c r="S267" s="323" t="e">
        <f t="shared" ref="S267:S284" si="40">((E267*(L267+K267)+G267*(M267+K267))/PI()-C267)/(P267+Q267)</f>
        <v>#DIV/0!</v>
      </c>
      <c r="T267" s="323" t="e">
        <f t="shared" ref="T267:T284" si="41">((F267*(L267+K267)+H267*(M267+K267))/PI()-(C267-(J267*2)))/(P267+Q267)</f>
        <v>#DIV/0!</v>
      </c>
      <c r="U267" s="191"/>
      <c r="V267" s="193"/>
      <c r="W267" s="181"/>
      <c r="X267" s="137"/>
      <c r="Z267" s="183"/>
      <c r="AA267" s="183"/>
    </row>
    <row r="268" spans="1:27" s="182" customFormat="1" ht="15" customHeight="1">
      <c r="A268" s="211"/>
      <c r="B268" s="209" t="s">
        <v>989</v>
      </c>
      <c r="C268" s="294">
        <f>IF(R224="Inclinado",C267+2*SIN(RADIANS(Q224))*(I267+N224),C267+2*TAN(RADIANS(Q224))*(I267+N224))</f>
        <v>0</v>
      </c>
      <c r="D268" s="623">
        <f t="shared" si="23"/>
        <v>0</v>
      </c>
      <c r="E268" s="623">
        <f t="shared" si="32"/>
        <v>0</v>
      </c>
      <c r="F268" s="623">
        <f t="shared" si="33"/>
        <v>0</v>
      </c>
      <c r="G268" s="623">
        <f t="shared" si="34"/>
        <v>0</v>
      </c>
      <c r="H268" s="623">
        <f t="shared" si="35"/>
        <v>0</v>
      </c>
      <c r="I268" s="623">
        <f t="shared" si="28"/>
        <v>0</v>
      </c>
      <c r="J268" s="623">
        <f t="shared" si="29"/>
        <v>0</v>
      </c>
      <c r="K268" s="623">
        <f t="shared" si="30"/>
        <v>0</v>
      </c>
      <c r="L268" s="624" t="e">
        <f t="shared" si="36"/>
        <v>#DIV/0!</v>
      </c>
      <c r="M268" s="624" t="e">
        <f t="shared" si="37"/>
        <v>#DIV/0!</v>
      </c>
      <c r="N268" s="191"/>
      <c r="O268" s="609">
        <f t="shared" si="31"/>
        <v>360</v>
      </c>
      <c r="P268" s="232" t="e">
        <f t="shared" si="38"/>
        <v>#DIV/0!</v>
      </c>
      <c r="Q268" s="191" t="e">
        <f t="shared" si="39"/>
        <v>#DIV/0!</v>
      </c>
      <c r="R268" s="191"/>
      <c r="S268" s="323" t="e">
        <f t="shared" si="40"/>
        <v>#DIV/0!</v>
      </c>
      <c r="T268" s="323" t="e">
        <f t="shared" si="41"/>
        <v>#DIV/0!</v>
      </c>
      <c r="U268" s="191"/>
      <c r="V268" s="193"/>
      <c r="W268" s="181"/>
      <c r="X268" s="137"/>
      <c r="Z268" s="183"/>
      <c r="AA268" s="183"/>
    </row>
    <row r="269" spans="1:27" s="182" customFormat="1" ht="15" customHeight="1">
      <c r="A269" s="211"/>
      <c r="B269" s="209" t="s">
        <v>990</v>
      </c>
      <c r="C269" s="294">
        <f>IF(R224="Inclinado",C268+2*SIN(RADIANS(Q224))*(I268+N224),C268+2*TAN(RADIANS(Q224))*(I268+N224))</f>
        <v>0</v>
      </c>
      <c r="D269" s="623">
        <f t="shared" si="23"/>
        <v>0</v>
      </c>
      <c r="E269" s="623">
        <f t="shared" si="32"/>
        <v>0</v>
      </c>
      <c r="F269" s="623">
        <f t="shared" si="33"/>
        <v>0</v>
      </c>
      <c r="G269" s="623">
        <f t="shared" si="34"/>
        <v>0</v>
      </c>
      <c r="H269" s="623">
        <f t="shared" si="35"/>
        <v>0</v>
      </c>
      <c r="I269" s="623">
        <f t="shared" si="28"/>
        <v>0</v>
      </c>
      <c r="J269" s="623">
        <f t="shared" si="29"/>
        <v>0</v>
      </c>
      <c r="K269" s="623">
        <f t="shared" si="30"/>
        <v>0</v>
      </c>
      <c r="L269" s="624" t="e">
        <f t="shared" si="36"/>
        <v>#DIV/0!</v>
      </c>
      <c r="M269" s="624" t="e">
        <f t="shared" si="37"/>
        <v>#DIV/0!</v>
      </c>
      <c r="N269" s="191"/>
      <c r="O269" s="609">
        <f t="shared" si="31"/>
        <v>360</v>
      </c>
      <c r="P269" s="232" t="e">
        <f t="shared" si="38"/>
        <v>#DIV/0!</v>
      </c>
      <c r="Q269" s="191" t="e">
        <f t="shared" si="39"/>
        <v>#DIV/0!</v>
      </c>
      <c r="R269" s="191"/>
      <c r="S269" s="323" t="e">
        <f t="shared" si="40"/>
        <v>#DIV/0!</v>
      </c>
      <c r="T269" s="323" t="e">
        <f t="shared" si="41"/>
        <v>#DIV/0!</v>
      </c>
      <c r="U269" s="191"/>
      <c r="V269" s="193"/>
      <c r="W269" s="181"/>
      <c r="X269" s="137"/>
      <c r="Z269" s="183"/>
      <c r="AA269" s="183"/>
    </row>
    <row r="270" spans="1:27" s="182" customFormat="1" ht="15" customHeight="1">
      <c r="A270" s="211"/>
      <c r="B270" s="209" t="s">
        <v>991</v>
      </c>
      <c r="C270" s="294">
        <f>IF(R224="Inclinado",C269+2*SIN(RADIANS(Q224))*(I269+N224),C269+2*TAN(RADIANS(Q224))*(I269+N224))</f>
        <v>0</v>
      </c>
      <c r="D270" s="623">
        <f t="shared" si="23"/>
        <v>0</v>
      </c>
      <c r="E270" s="623">
        <f t="shared" ref="E270:E274" si="42">E269</f>
        <v>0</v>
      </c>
      <c r="F270" s="623">
        <f t="shared" ref="F270:F274" si="43">F269</f>
        <v>0</v>
      </c>
      <c r="G270" s="623">
        <f t="shared" ref="G270:G274" si="44">G269</f>
        <v>0</v>
      </c>
      <c r="H270" s="623">
        <f t="shared" ref="H270:H274" si="45">H269</f>
        <v>0</v>
      </c>
      <c r="I270" s="623">
        <f t="shared" si="28"/>
        <v>0</v>
      </c>
      <c r="J270" s="623">
        <f t="shared" si="29"/>
        <v>0</v>
      </c>
      <c r="K270" s="623">
        <f t="shared" si="30"/>
        <v>0</v>
      </c>
      <c r="L270" s="624" t="e">
        <f t="shared" si="36"/>
        <v>#DIV/0!</v>
      </c>
      <c r="M270" s="624" t="e">
        <f t="shared" si="37"/>
        <v>#DIV/0!</v>
      </c>
      <c r="N270" s="191"/>
      <c r="O270" s="609">
        <f t="shared" si="31"/>
        <v>360</v>
      </c>
      <c r="P270" s="232" t="e">
        <f t="shared" si="38"/>
        <v>#DIV/0!</v>
      </c>
      <c r="Q270" s="191" t="e">
        <f t="shared" si="39"/>
        <v>#DIV/0!</v>
      </c>
      <c r="R270" s="191"/>
      <c r="S270" s="323" t="e">
        <f t="shared" si="40"/>
        <v>#DIV/0!</v>
      </c>
      <c r="T270" s="323" t="e">
        <f t="shared" si="41"/>
        <v>#DIV/0!</v>
      </c>
      <c r="U270" s="191"/>
      <c r="V270" s="193"/>
      <c r="W270" s="181"/>
      <c r="X270" s="137"/>
      <c r="Z270" s="183"/>
      <c r="AA270" s="183"/>
    </row>
    <row r="271" spans="1:27" s="182" customFormat="1" ht="15" customHeight="1">
      <c r="A271" s="211"/>
      <c r="B271" s="209" t="s">
        <v>992</v>
      </c>
      <c r="C271" s="294">
        <f>IF(R224="Inclinado",C270+2*SIN(RADIANS(Q224))*(I270+N224),C270+2*TAN(RADIANS(Q224))*(I270+N224))</f>
        <v>0</v>
      </c>
      <c r="D271" s="623">
        <f t="shared" si="23"/>
        <v>0</v>
      </c>
      <c r="E271" s="623">
        <f t="shared" si="42"/>
        <v>0</v>
      </c>
      <c r="F271" s="623">
        <f t="shared" si="43"/>
        <v>0</v>
      </c>
      <c r="G271" s="623">
        <f t="shared" si="44"/>
        <v>0</v>
      </c>
      <c r="H271" s="623">
        <f t="shared" si="45"/>
        <v>0</v>
      </c>
      <c r="I271" s="623">
        <f t="shared" si="28"/>
        <v>0</v>
      </c>
      <c r="J271" s="623">
        <f t="shared" si="29"/>
        <v>0</v>
      </c>
      <c r="K271" s="623">
        <f t="shared" si="30"/>
        <v>0</v>
      </c>
      <c r="L271" s="624" t="e">
        <f t="shared" si="36"/>
        <v>#DIV/0!</v>
      </c>
      <c r="M271" s="624" t="e">
        <f t="shared" si="37"/>
        <v>#DIV/0!</v>
      </c>
      <c r="N271" s="191"/>
      <c r="O271" s="609">
        <f t="shared" si="31"/>
        <v>360</v>
      </c>
      <c r="P271" s="232" t="e">
        <f t="shared" si="38"/>
        <v>#DIV/0!</v>
      </c>
      <c r="Q271" s="191" t="e">
        <f t="shared" si="39"/>
        <v>#DIV/0!</v>
      </c>
      <c r="R271" s="191"/>
      <c r="S271" s="323" t="e">
        <f t="shared" si="40"/>
        <v>#DIV/0!</v>
      </c>
      <c r="T271" s="323" t="e">
        <f t="shared" si="41"/>
        <v>#DIV/0!</v>
      </c>
      <c r="U271" s="191"/>
      <c r="V271" s="193"/>
      <c r="W271" s="181"/>
      <c r="X271" s="137"/>
      <c r="Z271" s="183"/>
      <c r="AA271" s="183"/>
    </row>
    <row r="272" spans="1:27" s="182" customFormat="1" ht="15" customHeight="1">
      <c r="A272" s="211"/>
      <c r="B272" s="209" t="s">
        <v>993</v>
      </c>
      <c r="C272" s="294">
        <f>IF(R224="Inclinado",C271+2*SIN(RADIANS(Q224))*(I271+N224),C271+2*TAN(RADIANS(Q224))*(I271+N224))</f>
        <v>0</v>
      </c>
      <c r="D272" s="623">
        <f t="shared" si="23"/>
        <v>0</v>
      </c>
      <c r="E272" s="623">
        <f t="shared" si="42"/>
        <v>0</v>
      </c>
      <c r="F272" s="623">
        <f t="shared" si="43"/>
        <v>0</v>
      </c>
      <c r="G272" s="623">
        <f t="shared" si="44"/>
        <v>0</v>
      </c>
      <c r="H272" s="623">
        <f t="shared" si="45"/>
        <v>0</v>
      </c>
      <c r="I272" s="623">
        <f t="shared" si="28"/>
        <v>0</v>
      </c>
      <c r="J272" s="623">
        <f t="shared" si="29"/>
        <v>0</v>
      </c>
      <c r="K272" s="623">
        <f t="shared" si="30"/>
        <v>0</v>
      </c>
      <c r="L272" s="624" t="e">
        <f t="shared" si="36"/>
        <v>#DIV/0!</v>
      </c>
      <c r="M272" s="624" t="e">
        <f t="shared" si="37"/>
        <v>#DIV/0!</v>
      </c>
      <c r="N272" s="191"/>
      <c r="O272" s="609">
        <f t="shared" si="31"/>
        <v>360</v>
      </c>
      <c r="P272" s="232" t="e">
        <f t="shared" si="38"/>
        <v>#DIV/0!</v>
      </c>
      <c r="Q272" s="191" t="e">
        <f t="shared" si="39"/>
        <v>#DIV/0!</v>
      </c>
      <c r="R272" s="191"/>
      <c r="S272" s="323" t="e">
        <f t="shared" si="40"/>
        <v>#DIV/0!</v>
      </c>
      <c r="T272" s="323" t="e">
        <f t="shared" si="41"/>
        <v>#DIV/0!</v>
      </c>
      <c r="U272" s="191"/>
      <c r="V272" s="193"/>
      <c r="W272" s="181"/>
      <c r="X272" s="137"/>
      <c r="Z272" s="183"/>
      <c r="AA272" s="183"/>
    </row>
    <row r="273" spans="1:27" s="182" customFormat="1" ht="15" customHeight="1">
      <c r="A273" s="211"/>
      <c r="B273" s="209" t="s">
        <v>994</v>
      </c>
      <c r="C273" s="294">
        <f>IF(R224="Inclinado",C272+2*SIN(RADIANS(Q224))*(I272+N224),C272+2*TAN(RADIANS(Q224))*(I272+N224))</f>
        <v>0</v>
      </c>
      <c r="D273" s="623">
        <f t="shared" si="23"/>
        <v>0</v>
      </c>
      <c r="E273" s="623">
        <f t="shared" si="42"/>
        <v>0</v>
      </c>
      <c r="F273" s="623">
        <f t="shared" si="43"/>
        <v>0</v>
      </c>
      <c r="G273" s="623">
        <f t="shared" si="44"/>
        <v>0</v>
      </c>
      <c r="H273" s="623">
        <f t="shared" si="45"/>
        <v>0</v>
      </c>
      <c r="I273" s="623">
        <f t="shared" si="28"/>
        <v>0</v>
      </c>
      <c r="J273" s="623">
        <f t="shared" si="29"/>
        <v>0</v>
      </c>
      <c r="K273" s="623">
        <f t="shared" si="30"/>
        <v>0</v>
      </c>
      <c r="L273" s="624" t="e">
        <f t="shared" si="36"/>
        <v>#DIV/0!</v>
      </c>
      <c r="M273" s="624" t="e">
        <f t="shared" si="37"/>
        <v>#DIV/0!</v>
      </c>
      <c r="N273" s="191"/>
      <c r="O273" s="609">
        <f t="shared" si="31"/>
        <v>360</v>
      </c>
      <c r="P273" s="232" t="e">
        <f t="shared" si="38"/>
        <v>#DIV/0!</v>
      </c>
      <c r="Q273" s="191" t="e">
        <f t="shared" si="39"/>
        <v>#DIV/0!</v>
      </c>
      <c r="R273" s="191"/>
      <c r="S273" s="323" t="e">
        <f t="shared" si="40"/>
        <v>#DIV/0!</v>
      </c>
      <c r="T273" s="323" t="e">
        <f t="shared" si="41"/>
        <v>#DIV/0!</v>
      </c>
      <c r="U273" s="191"/>
      <c r="V273" s="193"/>
      <c r="W273" s="181"/>
      <c r="X273" s="137"/>
      <c r="Z273" s="183"/>
      <c r="AA273" s="183"/>
    </row>
    <row r="274" spans="1:27" s="182" customFormat="1" ht="15" customHeight="1">
      <c r="A274" s="211"/>
      <c r="B274" s="209" t="s">
        <v>995</v>
      </c>
      <c r="C274" s="294">
        <f>IF(R224="Inclinado",C273+2*SIN(RADIANS(Q224))*(I273+N224),C273+2*TAN(RADIANS(Q224))*(I273+N224))</f>
        <v>0</v>
      </c>
      <c r="D274" s="623">
        <f t="shared" si="23"/>
        <v>0</v>
      </c>
      <c r="E274" s="623">
        <f t="shared" si="42"/>
        <v>0</v>
      </c>
      <c r="F274" s="623">
        <f t="shared" si="43"/>
        <v>0</v>
      </c>
      <c r="G274" s="623">
        <f t="shared" si="44"/>
        <v>0</v>
      </c>
      <c r="H274" s="623">
        <f t="shared" si="45"/>
        <v>0</v>
      </c>
      <c r="I274" s="623">
        <f t="shared" si="28"/>
        <v>0</v>
      </c>
      <c r="J274" s="623">
        <f t="shared" si="29"/>
        <v>0</v>
      </c>
      <c r="K274" s="623">
        <f t="shared" si="30"/>
        <v>0</v>
      </c>
      <c r="L274" s="624" t="e">
        <f t="shared" si="36"/>
        <v>#DIV/0!</v>
      </c>
      <c r="M274" s="624" t="e">
        <f t="shared" si="37"/>
        <v>#DIV/0!</v>
      </c>
      <c r="N274" s="191"/>
      <c r="O274" s="609">
        <f t="shared" si="31"/>
        <v>360</v>
      </c>
      <c r="P274" s="232" t="e">
        <f t="shared" si="38"/>
        <v>#DIV/0!</v>
      </c>
      <c r="Q274" s="191" t="e">
        <f t="shared" si="39"/>
        <v>#DIV/0!</v>
      </c>
      <c r="R274" s="191"/>
      <c r="S274" s="323" t="e">
        <f t="shared" si="40"/>
        <v>#DIV/0!</v>
      </c>
      <c r="T274" s="323" t="e">
        <f t="shared" si="41"/>
        <v>#DIV/0!</v>
      </c>
      <c r="U274" s="191"/>
      <c r="V274" s="193"/>
      <c r="W274" s="181"/>
      <c r="X274" s="137"/>
      <c r="Z274" s="183"/>
      <c r="AA274" s="183"/>
    </row>
    <row r="275" spans="1:27" s="182" customFormat="1" ht="15" customHeight="1">
      <c r="A275" s="211"/>
      <c r="B275" s="209" t="s">
        <v>996</v>
      </c>
      <c r="C275" s="294">
        <f>IF(R224="Inclinado",C274+2*SIN(RADIANS(Q224))*(I274+N224),C274+2*TAN(RADIANS(Q224))*(I274+N224))</f>
        <v>0</v>
      </c>
      <c r="D275" s="623">
        <f t="shared" si="23"/>
        <v>0</v>
      </c>
      <c r="E275" s="623">
        <f t="shared" ref="E275:E284" si="46">E274</f>
        <v>0</v>
      </c>
      <c r="F275" s="623">
        <f t="shared" ref="F275:F284" si="47">F274</f>
        <v>0</v>
      </c>
      <c r="G275" s="623">
        <f t="shared" ref="G275:G284" si="48">G274</f>
        <v>0</v>
      </c>
      <c r="H275" s="623">
        <f t="shared" ref="H275:H284" si="49">H274</f>
        <v>0</v>
      </c>
      <c r="I275" s="623">
        <f t="shared" si="28"/>
        <v>0</v>
      </c>
      <c r="J275" s="623">
        <f t="shared" si="29"/>
        <v>0</v>
      </c>
      <c r="K275" s="623">
        <f t="shared" si="30"/>
        <v>0</v>
      </c>
      <c r="L275" s="624" t="e">
        <f t="shared" si="36"/>
        <v>#DIV/0!</v>
      </c>
      <c r="M275" s="624" t="e">
        <f t="shared" si="37"/>
        <v>#DIV/0!</v>
      </c>
      <c r="N275" s="191"/>
      <c r="O275" s="609">
        <f t="shared" si="31"/>
        <v>360</v>
      </c>
      <c r="P275" s="232" t="e">
        <f t="shared" si="38"/>
        <v>#DIV/0!</v>
      </c>
      <c r="Q275" s="191" t="e">
        <f t="shared" si="39"/>
        <v>#DIV/0!</v>
      </c>
      <c r="R275" s="191"/>
      <c r="S275" s="323" t="e">
        <f t="shared" si="40"/>
        <v>#DIV/0!</v>
      </c>
      <c r="T275" s="323" t="e">
        <f t="shared" si="41"/>
        <v>#DIV/0!</v>
      </c>
      <c r="U275" s="191"/>
      <c r="V275" s="193"/>
      <c r="W275" s="181"/>
      <c r="X275" s="137"/>
      <c r="Z275" s="183"/>
      <c r="AA275" s="183"/>
    </row>
    <row r="276" spans="1:27" s="182" customFormat="1" ht="15" customHeight="1">
      <c r="A276" s="211"/>
      <c r="B276" s="209" t="s">
        <v>997</v>
      </c>
      <c r="C276" s="294">
        <f>IF(R224="Inclinado",C275+2*SIN(RADIANS(Q224))*(I275+N224),C275+2*TAN(RADIANS(Q224))*(I275+N224))</f>
        <v>0</v>
      </c>
      <c r="D276" s="623">
        <f t="shared" si="23"/>
        <v>0</v>
      </c>
      <c r="E276" s="623">
        <f t="shared" si="46"/>
        <v>0</v>
      </c>
      <c r="F276" s="623">
        <f t="shared" si="47"/>
        <v>0</v>
      </c>
      <c r="G276" s="623">
        <f t="shared" si="48"/>
        <v>0</v>
      </c>
      <c r="H276" s="623">
        <f t="shared" si="49"/>
        <v>0</v>
      </c>
      <c r="I276" s="623">
        <f t="shared" si="28"/>
        <v>0</v>
      </c>
      <c r="J276" s="623">
        <f t="shared" si="29"/>
        <v>0</v>
      </c>
      <c r="K276" s="623">
        <f t="shared" si="30"/>
        <v>0</v>
      </c>
      <c r="L276" s="624" t="e">
        <f t="shared" si="36"/>
        <v>#DIV/0!</v>
      </c>
      <c r="M276" s="624" t="e">
        <f t="shared" si="37"/>
        <v>#DIV/0!</v>
      </c>
      <c r="N276" s="191"/>
      <c r="O276" s="609">
        <f t="shared" si="31"/>
        <v>360</v>
      </c>
      <c r="P276" s="232" t="e">
        <f t="shared" si="38"/>
        <v>#DIV/0!</v>
      </c>
      <c r="Q276" s="191" t="e">
        <f t="shared" si="39"/>
        <v>#DIV/0!</v>
      </c>
      <c r="R276" s="191"/>
      <c r="S276" s="323" t="e">
        <f t="shared" si="40"/>
        <v>#DIV/0!</v>
      </c>
      <c r="T276" s="323" t="e">
        <f t="shared" si="41"/>
        <v>#DIV/0!</v>
      </c>
      <c r="U276" s="191"/>
      <c r="V276" s="193"/>
      <c r="W276" s="181"/>
      <c r="X276" s="137"/>
      <c r="Z276" s="183"/>
      <c r="AA276" s="183"/>
    </row>
    <row r="277" spans="1:27" s="182" customFormat="1" ht="15" customHeight="1">
      <c r="A277" s="211"/>
      <c r="B277" s="209" t="s">
        <v>998</v>
      </c>
      <c r="C277" s="294">
        <f>IF(R224="Inclinado",C276+2*SIN(RADIANS(Q224))*(I276+N224),C276+2*TAN(RADIANS(Q224))*(I276+N224))</f>
        <v>0</v>
      </c>
      <c r="D277" s="623">
        <f t="shared" si="23"/>
        <v>0</v>
      </c>
      <c r="E277" s="623">
        <f t="shared" si="46"/>
        <v>0</v>
      </c>
      <c r="F277" s="623">
        <f t="shared" si="47"/>
        <v>0</v>
      </c>
      <c r="G277" s="623">
        <f t="shared" si="48"/>
        <v>0</v>
      </c>
      <c r="H277" s="623">
        <f t="shared" si="49"/>
        <v>0</v>
      </c>
      <c r="I277" s="623">
        <f t="shared" si="28"/>
        <v>0</v>
      </c>
      <c r="J277" s="623">
        <f t="shared" si="29"/>
        <v>0</v>
      </c>
      <c r="K277" s="623">
        <f t="shared" si="30"/>
        <v>0</v>
      </c>
      <c r="L277" s="624" t="e">
        <f t="shared" si="36"/>
        <v>#DIV/0!</v>
      </c>
      <c r="M277" s="624" t="e">
        <f t="shared" si="37"/>
        <v>#DIV/0!</v>
      </c>
      <c r="N277" s="191"/>
      <c r="O277" s="609">
        <f t="shared" si="31"/>
        <v>360</v>
      </c>
      <c r="P277" s="232" t="e">
        <f t="shared" si="38"/>
        <v>#DIV/0!</v>
      </c>
      <c r="Q277" s="191" t="e">
        <f t="shared" si="39"/>
        <v>#DIV/0!</v>
      </c>
      <c r="R277" s="191"/>
      <c r="S277" s="323" t="e">
        <f t="shared" si="40"/>
        <v>#DIV/0!</v>
      </c>
      <c r="T277" s="323" t="e">
        <f t="shared" si="41"/>
        <v>#DIV/0!</v>
      </c>
      <c r="U277" s="191"/>
      <c r="V277" s="193"/>
      <c r="W277" s="181"/>
      <c r="X277" s="137"/>
      <c r="Z277" s="183"/>
      <c r="AA277" s="183"/>
    </row>
    <row r="278" spans="1:27" s="182" customFormat="1" ht="15" customHeight="1">
      <c r="A278" s="211"/>
      <c r="B278" s="209" t="s">
        <v>999</v>
      </c>
      <c r="C278" s="294">
        <f>IF(R224="Inclinado",C277+2*SIN(RADIANS(Q224))*(I277+N224),C277+2*TAN(RADIANS(Q224))*(I277+N224))</f>
        <v>0</v>
      </c>
      <c r="D278" s="623">
        <f t="shared" si="23"/>
        <v>0</v>
      </c>
      <c r="E278" s="623">
        <f t="shared" si="46"/>
        <v>0</v>
      </c>
      <c r="F278" s="623">
        <f t="shared" si="47"/>
        <v>0</v>
      </c>
      <c r="G278" s="623">
        <f t="shared" si="48"/>
        <v>0</v>
      </c>
      <c r="H278" s="623">
        <f t="shared" si="49"/>
        <v>0</v>
      </c>
      <c r="I278" s="623">
        <f t="shared" si="28"/>
        <v>0</v>
      </c>
      <c r="J278" s="623">
        <f t="shared" si="29"/>
        <v>0</v>
      </c>
      <c r="K278" s="623">
        <f t="shared" si="30"/>
        <v>0</v>
      </c>
      <c r="L278" s="624" t="e">
        <f t="shared" si="36"/>
        <v>#DIV/0!</v>
      </c>
      <c r="M278" s="624" t="e">
        <f t="shared" si="37"/>
        <v>#DIV/0!</v>
      </c>
      <c r="N278" s="191"/>
      <c r="O278" s="609">
        <f t="shared" si="31"/>
        <v>360</v>
      </c>
      <c r="P278" s="232" t="e">
        <f t="shared" si="38"/>
        <v>#DIV/0!</v>
      </c>
      <c r="Q278" s="191" t="e">
        <f t="shared" si="39"/>
        <v>#DIV/0!</v>
      </c>
      <c r="R278" s="191"/>
      <c r="S278" s="323" t="e">
        <f t="shared" si="40"/>
        <v>#DIV/0!</v>
      </c>
      <c r="T278" s="323" t="e">
        <f t="shared" si="41"/>
        <v>#DIV/0!</v>
      </c>
      <c r="U278" s="191"/>
      <c r="V278" s="193"/>
      <c r="W278" s="181"/>
      <c r="X278" s="137"/>
      <c r="Z278" s="183"/>
      <c r="AA278" s="183"/>
    </row>
    <row r="279" spans="1:27" s="182" customFormat="1" ht="15" customHeight="1">
      <c r="A279" s="211"/>
      <c r="B279" s="209" t="s">
        <v>1000</v>
      </c>
      <c r="C279" s="294">
        <f>IF(R224="Inclinado",C278+2*SIN(RADIANS(Q224))*(I278+N224),C278+2*TAN(RADIANS(Q224))*(I278+N224))</f>
        <v>0</v>
      </c>
      <c r="D279" s="623">
        <f t="shared" si="23"/>
        <v>0</v>
      </c>
      <c r="E279" s="623">
        <f t="shared" si="46"/>
        <v>0</v>
      </c>
      <c r="F279" s="623">
        <f t="shared" si="47"/>
        <v>0</v>
      </c>
      <c r="G279" s="623">
        <f t="shared" si="48"/>
        <v>0</v>
      </c>
      <c r="H279" s="623">
        <f t="shared" si="49"/>
        <v>0</v>
      </c>
      <c r="I279" s="623">
        <f t="shared" si="28"/>
        <v>0</v>
      </c>
      <c r="J279" s="623">
        <f t="shared" si="29"/>
        <v>0</v>
      </c>
      <c r="K279" s="623">
        <f t="shared" si="30"/>
        <v>0</v>
      </c>
      <c r="L279" s="624" t="e">
        <f t="shared" si="36"/>
        <v>#DIV/0!</v>
      </c>
      <c r="M279" s="624" t="e">
        <f t="shared" si="37"/>
        <v>#DIV/0!</v>
      </c>
      <c r="N279" s="191"/>
      <c r="O279" s="609">
        <f t="shared" si="31"/>
        <v>360</v>
      </c>
      <c r="P279" s="232" t="e">
        <f t="shared" si="38"/>
        <v>#DIV/0!</v>
      </c>
      <c r="Q279" s="191" t="e">
        <f t="shared" si="39"/>
        <v>#DIV/0!</v>
      </c>
      <c r="R279" s="191"/>
      <c r="S279" s="323" t="e">
        <f t="shared" si="40"/>
        <v>#DIV/0!</v>
      </c>
      <c r="T279" s="323" t="e">
        <f t="shared" si="41"/>
        <v>#DIV/0!</v>
      </c>
      <c r="U279" s="191"/>
      <c r="V279" s="193"/>
      <c r="W279" s="181"/>
      <c r="X279" s="137"/>
      <c r="Z279" s="183"/>
      <c r="AA279" s="183"/>
    </row>
    <row r="280" spans="1:27" s="182" customFormat="1" ht="15" customHeight="1">
      <c r="A280" s="211"/>
      <c r="B280" s="209" t="s">
        <v>1001</v>
      </c>
      <c r="C280" s="294">
        <f>IF(R224="Inclinado",C279+2*SIN(RADIANS(Q224))*(I279+N224),C279+2*TAN(RADIANS(Q224))*(I279+N224))</f>
        <v>0</v>
      </c>
      <c r="D280" s="623">
        <f t="shared" si="23"/>
        <v>0</v>
      </c>
      <c r="E280" s="623">
        <f t="shared" si="46"/>
        <v>0</v>
      </c>
      <c r="F280" s="623">
        <f t="shared" si="47"/>
        <v>0</v>
      </c>
      <c r="G280" s="623">
        <f t="shared" si="48"/>
        <v>0</v>
      </c>
      <c r="H280" s="623">
        <f t="shared" si="49"/>
        <v>0</v>
      </c>
      <c r="I280" s="623">
        <f t="shared" si="28"/>
        <v>0</v>
      </c>
      <c r="J280" s="623">
        <f t="shared" si="29"/>
        <v>0</v>
      </c>
      <c r="K280" s="623">
        <f t="shared" si="30"/>
        <v>0</v>
      </c>
      <c r="L280" s="624" t="e">
        <f t="shared" si="36"/>
        <v>#DIV/0!</v>
      </c>
      <c r="M280" s="624" t="e">
        <f t="shared" si="37"/>
        <v>#DIV/0!</v>
      </c>
      <c r="N280" s="191"/>
      <c r="O280" s="609">
        <f t="shared" si="31"/>
        <v>360</v>
      </c>
      <c r="P280" s="232" t="e">
        <f t="shared" si="38"/>
        <v>#DIV/0!</v>
      </c>
      <c r="Q280" s="191" t="e">
        <f t="shared" si="39"/>
        <v>#DIV/0!</v>
      </c>
      <c r="R280" s="191"/>
      <c r="S280" s="323" t="e">
        <f t="shared" si="40"/>
        <v>#DIV/0!</v>
      </c>
      <c r="T280" s="323" t="e">
        <f t="shared" si="41"/>
        <v>#DIV/0!</v>
      </c>
      <c r="U280" s="191"/>
      <c r="V280" s="193"/>
      <c r="W280" s="181"/>
      <c r="X280" s="137"/>
      <c r="Z280" s="183"/>
      <c r="AA280" s="183"/>
    </row>
    <row r="281" spans="1:27" s="182" customFormat="1" ht="15" customHeight="1">
      <c r="A281" s="211"/>
      <c r="B281" s="209" t="s">
        <v>1002</v>
      </c>
      <c r="C281" s="294">
        <f>IF(R224="Inclinado",C280+2*SIN(RADIANS(Q224))*(I280+N224),C280+2*TAN(RADIANS(Q224))*(I280+N224))</f>
        <v>0</v>
      </c>
      <c r="D281" s="623">
        <f t="shared" si="23"/>
        <v>0</v>
      </c>
      <c r="E281" s="623">
        <f t="shared" si="46"/>
        <v>0</v>
      </c>
      <c r="F281" s="623">
        <f t="shared" si="47"/>
        <v>0</v>
      </c>
      <c r="G281" s="623">
        <f t="shared" si="48"/>
        <v>0</v>
      </c>
      <c r="H281" s="623">
        <f t="shared" si="49"/>
        <v>0</v>
      </c>
      <c r="I281" s="623">
        <f t="shared" si="28"/>
        <v>0</v>
      </c>
      <c r="J281" s="623">
        <f t="shared" si="29"/>
        <v>0</v>
      </c>
      <c r="K281" s="623">
        <f t="shared" si="30"/>
        <v>0</v>
      </c>
      <c r="L281" s="624" t="e">
        <f t="shared" si="36"/>
        <v>#DIV/0!</v>
      </c>
      <c r="M281" s="624" t="e">
        <f t="shared" si="37"/>
        <v>#DIV/0!</v>
      </c>
      <c r="N281" s="191"/>
      <c r="O281" s="609">
        <f t="shared" si="31"/>
        <v>360</v>
      </c>
      <c r="P281" s="232" t="e">
        <f t="shared" si="38"/>
        <v>#DIV/0!</v>
      </c>
      <c r="Q281" s="191" t="e">
        <f t="shared" si="39"/>
        <v>#DIV/0!</v>
      </c>
      <c r="R281" s="191"/>
      <c r="S281" s="323" t="e">
        <f t="shared" si="40"/>
        <v>#DIV/0!</v>
      </c>
      <c r="T281" s="323" t="e">
        <f t="shared" si="41"/>
        <v>#DIV/0!</v>
      </c>
      <c r="U281" s="191"/>
      <c r="V281" s="193"/>
      <c r="W281" s="181"/>
      <c r="X281" s="137"/>
      <c r="Z281" s="183"/>
      <c r="AA281" s="183"/>
    </row>
    <row r="282" spans="1:27" s="182" customFormat="1" ht="15" customHeight="1">
      <c r="A282" s="211"/>
      <c r="B282" s="209" t="s">
        <v>1003</v>
      </c>
      <c r="C282" s="294">
        <f>IF(R224="Inclinado",C281+2*SIN(RADIANS(Q224))*(I281+N224),C281+2*TAN(RADIANS(Q224))*(I281+N224))</f>
        <v>0</v>
      </c>
      <c r="D282" s="623">
        <f t="shared" si="23"/>
        <v>0</v>
      </c>
      <c r="E282" s="623">
        <f t="shared" si="46"/>
        <v>0</v>
      </c>
      <c r="F282" s="623">
        <f t="shared" si="47"/>
        <v>0</v>
      </c>
      <c r="G282" s="623">
        <f t="shared" si="48"/>
        <v>0</v>
      </c>
      <c r="H282" s="623">
        <f t="shared" si="49"/>
        <v>0</v>
      </c>
      <c r="I282" s="623">
        <f t="shared" si="28"/>
        <v>0</v>
      </c>
      <c r="J282" s="623">
        <f t="shared" si="29"/>
        <v>0</v>
      </c>
      <c r="K282" s="623">
        <f t="shared" si="30"/>
        <v>0</v>
      </c>
      <c r="L282" s="624" t="e">
        <f t="shared" si="36"/>
        <v>#DIV/0!</v>
      </c>
      <c r="M282" s="624" t="e">
        <f t="shared" si="37"/>
        <v>#DIV/0!</v>
      </c>
      <c r="N282" s="191"/>
      <c r="O282" s="609">
        <f t="shared" si="31"/>
        <v>360</v>
      </c>
      <c r="P282" s="232" t="e">
        <f t="shared" si="38"/>
        <v>#DIV/0!</v>
      </c>
      <c r="Q282" s="191" t="e">
        <f t="shared" si="39"/>
        <v>#DIV/0!</v>
      </c>
      <c r="R282" s="191"/>
      <c r="S282" s="323" t="e">
        <f t="shared" si="40"/>
        <v>#DIV/0!</v>
      </c>
      <c r="T282" s="323" t="e">
        <f t="shared" si="41"/>
        <v>#DIV/0!</v>
      </c>
      <c r="U282" s="191"/>
      <c r="V282" s="193"/>
      <c r="W282" s="181"/>
      <c r="X282" s="137"/>
      <c r="Z282" s="183"/>
      <c r="AA282" s="183"/>
    </row>
    <row r="283" spans="1:27" s="182" customFormat="1" ht="15" customHeight="1">
      <c r="A283" s="211"/>
      <c r="B283" s="209" t="s">
        <v>1004</v>
      </c>
      <c r="C283" s="294">
        <f>IF(R224="Inclinado",C282+2*SIN(RADIANS(Q224))*(I282+N224),C282+2*TAN(RADIANS(Q224))*(I282+N224))</f>
        <v>0</v>
      </c>
      <c r="D283" s="623">
        <f t="shared" si="23"/>
        <v>0</v>
      </c>
      <c r="E283" s="623">
        <f t="shared" si="46"/>
        <v>0</v>
      </c>
      <c r="F283" s="623">
        <f t="shared" si="47"/>
        <v>0</v>
      </c>
      <c r="G283" s="623">
        <f t="shared" si="48"/>
        <v>0</v>
      </c>
      <c r="H283" s="623">
        <f t="shared" si="49"/>
        <v>0</v>
      </c>
      <c r="I283" s="623">
        <f t="shared" si="28"/>
        <v>0</v>
      </c>
      <c r="J283" s="623">
        <f t="shared" si="29"/>
        <v>0</v>
      </c>
      <c r="K283" s="623">
        <f t="shared" si="30"/>
        <v>0</v>
      </c>
      <c r="L283" s="624" t="e">
        <f t="shared" si="36"/>
        <v>#DIV/0!</v>
      </c>
      <c r="M283" s="624" t="e">
        <f t="shared" si="37"/>
        <v>#DIV/0!</v>
      </c>
      <c r="N283" s="191"/>
      <c r="O283" s="609">
        <f t="shared" si="31"/>
        <v>360</v>
      </c>
      <c r="P283" s="232" t="e">
        <f t="shared" si="38"/>
        <v>#DIV/0!</v>
      </c>
      <c r="Q283" s="191" t="e">
        <f t="shared" si="39"/>
        <v>#DIV/0!</v>
      </c>
      <c r="R283" s="191"/>
      <c r="S283" s="323" t="e">
        <f t="shared" si="40"/>
        <v>#DIV/0!</v>
      </c>
      <c r="T283" s="323" t="e">
        <f t="shared" si="41"/>
        <v>#DIV/0!</v>
      </c>
      <c r="U283" s="191"/>
      <c r="V283" s="193"/>
      <c r="W283" s="181"/>
      <c r="X283" s="137"/>
      <c r="Z283" s="183"/>
      <c r="AA283" s="183"/>
    </row>
    <row r="284" spans="1:27" s="182" customFormat="1" ht="15" customHeight="1" thickBot="1">
      <c r="A284" s="211"/>
      <c r="B284" s="209" t="s">
        <v>1005</v>
      </c>
      <c r="C284" s="294">
        <f>IF(R224="Inclinado",C283+2*SIN(RADIANS(Q224))*(I283+N224),C283+2*TAN(RADIANS(Q224))*(I283+N224))</f>
        <v>0</v>
      </c>
      <c r="D284" s="623">
        <f t="shared" si="23"/>
        <v>0</v>
      </c>
      <c r="E284" s="623">
        <f t="shared" si="46"/>
        <v>0</v>
      </c>
      <c r="F284" s="623">
        <f t="shared" si="47"/>
        <v>0</v>
      </c>
      <c r="G284" s="623">
        <f t="shared" si="48"/>
        <v>0</v>
      </c>
      <c r="H284" s="623">
        <f t="shared" si="49"/>
        <v>0</v>
      </c>
      <c r="I284" s="623">
        <f t="shared" si="28"/>
        <v>0</v>
      </c>
      <c r="J284" s="623">
        <f t="shared" si="29"/>
        <v>0</v>
      </c>
      <c r="K284" s="623">
        <f t="shared" si="30"/>
        <v>0</v>
      </c>
      <c r="L284" s="624" t="e">
        <f t="shared" si="36"/>
        <v>#DIV/0!</v>
      </c>
      <c r="M284" s="624" t="e">
        <f t="shared" si="37"/>
        <v>#DIV/0!</v>
      </c>
      <c r="N284" s="191"/>
      <c r="O284" s="610">
        <f t="shared" si="31"/>
        <v>360</v>
      </c>
      <c r="P284" s="232" t="e">
        <f t="shared" si="38"/>
        <v>#DIV/0!</v>
      </c>
      <c r="Q284" s="191" t="e">
        <f t="shared" si="39"/>
        <v>#DIV/0!</v>
      </c>
      <c r="R284" s="191"/>
      <c r="S284" s="323" t="e">
        <f t="shared" si="40"/>
        <v>#DIV/0!</v>
      </c>
      <c r="T284" s="323" t="e">
        <f t="shared" si="41"/>
        <v>#DIV/0!</v>
      </c>
      <c r="U284" s="191"/>
      <c r="V284" s="193"/>
      <c r="W284" s="181"/>
      <c r="X284" s="137"/>
      <c r="Z284" s="183"/>
      <c r="AA284" s="183"/>
    </row>
    <row r="285" spans="1:27" s="182" customFormat="1" ht="15" customHeight="1">
      <c r="A285" s="211"/>
      <c r="B285" s="206"/>
      <c r="C285" s="294"/>
      <c r="D285" s="191"/>
      <c r="E285" s="131"/>
      <c r="F285" s="131"/>
      <c r="G285" s="131"/>
      <c r="H285" s="131"/>
      <c r="I285" s="228"/>
      <c r="J285" s="228"/>
      <c r="K285" s="228"/>
      <c r="L285" s="191"/>
      <c r="M285" s="191"/>
      <c r="N285" s="191"/>
      <c r="O285" s="140"/>
      <c r="P285" s="191"/>
      <c r="Q285" s="191"/>
      <c r="R285" s="191"/>
      <c r="S285" s="191"/>
      <c r="T285" s="191"/>
      <c r="U285" s="191"/>
      <c r="V285" s="193"/>
      <c r="W285" s="181"/>
      <c r="X285" s="137"/>
      <c r="Z285" s="183"/>
      <c r="AA285" s="183"/>
    </row>
    <row r="286" spans="1:27" s="182" customFormat="1" ht="15" customHeight="1" thickBot="1">
      <c r="A286" s="211"/>
      <c r="B286" s="275" t="s">
        <v>1006</v>
      </c>
      <c r="C286" s="276"/>
      <c r="D286" s="277"/>
      <c r="E286" s="277"/>
      <c r="F286" s="277"/>
      <c r="G286" s="277"/>
      <c r="H286" s="277"/>
      <c r="I286" s="277"/>
      <c r="J286" s="278"/>
      <c r="K286" s="278"/>
      <c r="L286" s="279"/>
      <c r="M286" s="277"/>
      <c r="N286" s="277"/>
      <c r="O286" s="277"/>
      <c r="P286" s="277"/>
      <c r="Q286" s="277"/>
      <c r="R286" s="277"/>
      <c r="S286" s="280"/>
      <c r="T286" s="277"/>
      <c r="U286" s="277" t="s">
        <v>674</v>
      </c>
      <c r="V286" s="281" t="s">
        <v>27</v>
      </c>
      <c r="W286" s="282"/>
      <c r="X286" s="283"/>
      <c r="Z286" s="183"/>
      <c r="AA286" s="183"/>
    </row>
    <row r="287" spans="1:27" s="182" customFormat="1" ht="15" customHeight="1" thickBot="1">
      <c r="A287" s="211"/>
      <c r="B287" s="206"/>
      <c r="C287" s="129">
        <f>SUMIF(Densidades!A:A,'Memória TOTAL'!X287,Densidades!B:B)</f>
        <v>0</v>
      </c>
      <c r="D287" s="130">
        <f>SUMIF(Densidades!A:A,'Memória TOTAL'!X287,Densidades!C:C)</f>
        <v>0</v>
      </c>
      <c r="E287" s="130" t="str">
        <f>IF(I287=15,"FIRECLAY MORTAR",IF(I287=16,"ALUMINA MORTAR",IF(I287=17,"BASIC MORTAR",IF(I287=18,"MORTAR","-"))))</f>
        <v>-</v>
      </c>
      <c r="F287" s="130" t="str">
        <f>IF(I287=15,"FIRECLAY MORTAR",IF(I287=16,"ALUMINA MORTAR",IF(I287=17,"BASIC MORTAR",IF(I287=18,"MORTAR","-"))))</f>
        <v>-</v>
      </c>
      <c r="G287" s="130" t="str">
        <f>IF(I287=15,"FIRECLAY MORTAR",IF(I287=16,"ALUMINA MORTAR",IF(I287=17,"BASIC MORTAR",IF(I287=18,"MORTAR","-"))))</f>
        <v>-</v>
      </c>
      <c r="H287" s="130" t="str">
        <f>IF(I287=15,"FIRECLAY MORTAR",IF(I287=16,"ALUMINA MORTAR",IF(I287=17,"BASIC MORTAR",IF(I287=18,"MORTAR","-"))))</f>
        <v>-</v>
      </c>
      <c r="I287" s="130">
        <f>SUMIF(Densidades!A:A,'Memória TOTAL'!X287,Densidades!G:G)</f>
        <v>0</v>
      </c>
      <c r="J287" s="132">
        <f>SUMIF(Formatos!A:A,'Memória TOTAL'!X288,Formatos!G:G)</f>
        <v>0</v>
      </c>
      <c r="K287" s="133">
        <f>SUMIF(Densidades!A:A,'Memória TOTAL'!X287,Densidades!I:I)</f>
        <v>0</v>
      </c>
      <c r="L287" s="184">
        <v>0</v>
      </c>
      <c r="M287" s="185"/>
      <c r="N287" s="185"/>
      <c r="O287" s="185"/>
      <c r="P287" s="185"/>
      <c r="Q287" s="185"/>
      <c r="R287" s="185"/>
      <c r="S287" s="185"/>
      <c r="T287" s="186"/>
      <c r="U287" s="286">
        <v>0.06</v>
      </c>
      <c r="V287" s="188" t="e">
        <f>(W224*J224*C287+W228*J228*C287)*U287</f>
        <v>#VALUE!</v>
      </c>
      <c r="W287" s="189" t="str">
        <f>IF(C287=0,"",ROUNDUP(SUM(V287:V288)*(1+L287),0))</f>
        <v/>
      </c>
      <c r="X287" s="259"/>
      <c r="Z287" s="183"/>
      <c r="AA287" s="183"/>
    </row>
    <row r="288" spans="1:27" s="182" customFormat="1" ht="15" customHeight="1">
      <c r="A288" s="211"/>
      <c r="B288" s="206"/>
      <c r="C288" s="129"/>
      <c r="D288" s="191"/>
      <c r="E288" s="191"/>
      <c r="F288" s="191"/>
      <c r="G288" s="191"/>
      <c r="H288" s="191"/>
      <c r="I288" s="191"/>
      <c r="J288" s="192"/>
      <c r="K288" s="192"/>
      <c r="L288" s="140"/>
      <c r="M288" s="191"/>
      <c r="N288" s="191"/>
      <c r="O288" s="191"/>
      <c r="P288" s="191"/>
      <c r="Q288" s="191"/>
      <c r="R288" s="191"/>
      <c r="S288" s="191"/>
      <c r="T288" s="191"/>
      <c r="U288" s="191"/>
      <c r="V288" s="193"/>
      <c r="W288" s="181"/>
      <c r="X288" s="137" t="str">
        <f>IF(AND(H287="-",G287="-",F287="-"),E287,IF(AND(H287="-",G287="-",E287="-"),F287,IF(AND(H287="-",F287="-",E287="-"),G287,H287)))</f>
        <v>-</v>
      </c>
      <c r="Z288" s="183"/>
      <c r="AA288" s="183"/>
    </row>
    <row r="289" spans="1:27" s="182" customFormat="1" ht="15" customHeight="1">
      <c r="A289" s="211"/>
      <c r="B289" s="209"/>
      <c r="C289" s="129"/>
      <c r="D289" s="191"/>
      <c r="E289" s="191"/>
      <c r="F289" s="191"/>
      <c r="G289" s="191"/>
      <c r="H289" s="191"/>
      <c r="I289" s="191"/>
      <c r="J289" s="192"/>
      <c r="K289" s="192"/>
      <c r="L289" s="140"/>
      <c r="M289" s="191"/>
      <c r="N289" s="191"/>
      <c r="O289" s="191"/>
      <c r="P289" s="191"/>
      <c r="Q289" s="191"/>
      <c r="R289" s="191"/>
      <c r="S289" s="191"/>
      <c r="T289" s="191"/>
      <c r="U289" s="191"/>
      <c r="V289" s="193"/>
      <c r="W289" s="181"/>
      <c r="X289" s="137" t="s">
        <v>2</v>
      </c>
      <c r="Z289" s="183"/>
      <c r="AA289" s="183"/>
    </row>
    <row r="290" spans="1:27" ht="15" customHeight="1">
      <c r="A290" s="211"/>
      <c r="B290" s="127"/>
      <c r="C290" s="165"/>
      <c r="D290" s="166"/>
      <c r="E290" s="166"/>
      <c r="F290" s="166"/>
      <c r="G290" s="166"/>
      <c r="H290" s="166"/>
      <c r="I290" s="166"/>
      <c r="J290" s="167"/>
      <c r="K290" s="167"/>
      <c r="L290" s="168"/>
      <c r="M290" s="166"/>
      <c r="N290" s="166"/>
      <c r="O290" s="166"/>
      <c r="P290" s="166"/>
      <c r="Q290" s="166"/>
      <c r="R290" s="166"/>
      <c r="S290" s="166"/>
      <c r="T290" s="166"/>
      <c r="U290" s="166"/>
      <c r="V290" s="169"/>
      <c r="W290" s="170"/>
      <c r="X290" s="171"/>
    </row>
    <row r="291" spans="1:27" s="182" customFormat="1" ht="15" customHeight="1" thickBot="1">
      <c r="A291" s="211"/>
      <c r="B291" s="275" t="s">
        <v>1007</v>
      </c>
      <c r="C291" s="276"/>
      <c r="D291" s="277"/>
      <c r="E291" s="277"/>
      <c r="F291" s="277"/>
      <c r="G291" s="277"/>
      <c r="H291" s="277"/>
      <c r="I291" s="277"/>
      <c r="J291" s="278"/>
      <c r="K291" s="278"/>
      <c r="L291" s="279"/>
      <c r="M291" s="277"/>
      <c r="N291" s="277"/>
      <c r="O291" s="277"/>
      <c r="P291" s="277"/>
      <c r="Q291" s="277"/>
      <c r="R291" s="277" t="s">
        <v>632</v>
      </c>
      <c r="S291" s="280" t="s">
        <v>633</v>
      </c>
      <c r="T291" s="277" t="s">
        <v>634</v>
      </c>
      <c r="U291" s="277" t="s">
        <v>38</v>
      </c>
      <c r="V291" s="281" t="s">
        <v>27</v>
      </c>
      <c r="W291" s="282"/>
      <c r="X291" s="283"/>
      <c r="Z291" s="183"/>
      <c r="AA291" s="183"/>
    </row>
    <row r="292" spans="1:27" s="182" customFormat="1" ht="15" customHeight="1" thickBot="1">
      <c r="A292" s="211"/>
      <c r="B292" s="206"/>
      <c r="C292" s="129">
        <f>SUMIF(Densidades!A:A,'Memória TOTAL'!X292,Densidades!B:B)</f>
        <v>0</v>
      </c>
      <c r="D292" s="130">
        <f>SUMIF(Densidades!A:A,'Memória TOTAL'!X292,Densidades!C:C)</f>
        <v>0</v>
      </c>
      <c r="E292" s="130" t="str">
        <f>IF(I292=15,"FIRECLAY MORTAR",IF(I292=16,"ALUMINA MORTAR",IF(I292=17,"BASIC MORTAR",IF(I292=18,"MORTAR","-"))))</f>
        <v>-</v>
      </c>
      <c r="F292" s="130" t="str">
        <f>IF(I292=15,"FIRECLAY MORTAR",IF(I292=16,"ALUMINA MORTAR",IF(I292=17,"BASIC MORTAR",IF(I292=18,"MORTAR","-"))))</f>
        <v>-</v>
      </c>
      <c r="G292" s="130" t="str">
        <f>IF(I292=15,"FIRECLAY MORTAR",IF(I292=16,"ALUMINA MORTAR",IF(I292=17,"BASIC MORTAR",IF(I292=18,"MORTAR","-"))))</f>
        <v>-</v>
      </c>
      <c r="H292" s="130" t="str">
        <f>IF(I292=15,"FIRECLAY MORTAR",IF(I292=16,"ALUMINA MORTAR",IF(I292=17,"BASIC MORTAR",IF(I292=18,"MORTAR","-"))))</f>
        <v>-</v>
      </c>
      <c r="I292" s="130">
        <f>SUMIF(Densidades!A:A,'Memória TOTAL'!X292,Densidades!G:G)</f>
        <v>0</v>
      </c>
      <c r="J292" s="132">
        <f>SUMIF(Formatos!A:A,'Memória TOTAL'!X293,Formatos!G:G)</f>
        <v>0</v>
      </c>
      <c r="K292" s="218">
        <f>SUMIF(Densidades!A:A,'Memória TOTAL'!X292,Densidades!I:I)</f>
        <v>0</v>
      </c>
      <c r="L292" s="184">
        <v>0</v>
      </c>
      <c r="M292" s="185"/>
      <c r="N292" s="185"/>
      <c r="O292" s="185"/>
      <c r="P292" s="185"/>
      <c r="Q292" s="185"/>
      <c r="R292" s="186">
        <f>((G224*H224)+(G224*E224)+(H224*E224))/1000000</f>
        <v>0</v>
      </c>
      <c r="S292" s="255">
        <v>2</v>
      </c>
      <c r="T292" s="186">
        <f>R292*S292</f>
        <v>0</v>
      </c>
      <c r="U292" s="187">
        <f>SUM(W224:W229)</f>
        <v>0</v>
      </c>
      <c r="V292" s="188">
        <f>(T292*C292*(1+L292))*U292</f>
        <v>0</v>
      </c>
      <c r="W292" s="189" t="str">
        <f>IF(C292=0,"",ROUNDUP(SUM(V292:V293)*(1+L292),0))</f>
        <v/>
      </c>
      <c r="X292" s="259"/>
      <c r="Z292" s="183"/>
      <c r="AA292" s="183"/>
    </row>
    <row r="293" spans="1:27" s="182" customFormat="1" ht="15" customHeight="1">
      <c r="A293" s="211"/>
      <c r="B293" s="206"/>
      <c r="C293" s="129"/>
      <c r="D293" s="191"/>
      <c r="E293" s="191"/>
      <c r="F293" s="191"/>
      <c r="G293" s="191"/>
      <c r="H293" s="191"/>
      <c r="I293" s="191"/>
      <c r="J293" s="192"/>
      <c r="K293" s="192"/>
      <c r="L293" s="140"/>
      <c r="M293" s="191"/>
      <c r="N293" s="191"/>
      <c r="O293" s="191"/>
      <c r="P293" s="191"/>
      <c r="Q293" s="191"/>
      <c r="R293" s="191"/>
      <c r="S293" s="191"/>
      <c r="T293" s="191"/>
      <c r="U293" s="191"/>
      <c r="V293" s="193"/>
      <c r="W293" s="181"/>
      <c r="X293" s="137" t="str">
        <f>IF(AND(H292="-",G292="-",F292="-"),E292,IF(AND(H292="-",G292="-",E292="-"),F292,IF(AND(H292="-",F292="-",E292="-"),G292,H292)))</f>
        <v>-</v>
      </c>
      <c r="Z293" s="183"/>
      <c r="AA293" s="183"/>
    </row>
    <row r="294" spans="1:27" s="182" customFormat="1" ht="15" customHeight="1">
      <c r="A294" s="211"/>
      <c r="B294" s="209"/>
      <c r="C294" s="129"/>
      <c r="D294" s="191"/>
      <c r="E294" s="191"/>
      <c r="F294" s="191"/>
      <c r="G294" s="191"/>
      <c r="H294" s="191"/>
      <c r="I294" s="191"/>
      <c r="J294" s="192"/>
      <c r="K294" s="192"/>
      <c r="L294" s="140"/>
      <c r="M294" s="191"/>
      <c r="N294" s="191"/>
      <c r="O294" s="191"/>
      <c r="P294" s="191"/>
      <c r="Q294" s="191"/>
      <c r="R294" s="191"/>
      <c r="S294" s="191"/>
      <c r="T294" s="191"/>
      <c r="U294" s="191"/>
      <c r="V294" s="193"/>
      <c r="W294" s="181"/>
      <c r="X294" s="137" t="s">
        <v>2</v>
      </c>
      <c r="Z294" s="183"/>
      <c r="AA294" s="183"/>
    </row>
    <row r="295" spans="1:27" s="182" customFormat="1" ht="15" customHeight="1">
      <c r="A295" s="211"/>
      <c r="B295" s="206"/>
      <c r="C295" s="294"/>
      <c r="D295" s="191"/>
      <c r="E295" s="191"/>
      <c r="F295" s="191"/>
      <c r="G295" s="191"/>
      <c r="H295" s="191"/>
      <c r="I295" s="191"/>
      <c r="J295" s="192"/>
      <c r="K295" s="192"/>
      <c r="L295" s="140"/>
      <c r="M295" s="191"/>
      <c r="N295" s="191"/>
      <c r="O295" s="191"/>
      <c r="P295" s="191"/>
      <c r="Q295" s="191"/>
      <c r="R295" s="191"/>
      <c r="S295" s="191"/>
      <c r="T295" s="191"/>
      <c r="U295" s="191"/>
      <c r="V295" s="193"/>
      <c r="W295" s="181"/>
      <c r="X295" s="137"/>
      <c r="Z295" s="183"/>
      <c r="AA295" s="183"/>
    </row>
    <row r="296" spans="1:27" s="182" customFormat="1" ht="15" customHeight="1" thickBot="1">
      <c r="A296" s="211"/>
      <c r="B296" s="505"/>
      <c r="C296" s="505"/>
      <c r="D296" s="508"/>
      <c r="E296" s="508"/>
      <c r="F296" s="508"/>
      <c r="G296" s="508"/>
      <c r="H296" s="508"/>
      <c r="I296" s="508"/>
      <c r="J296" s="508"/>
      <c r="K296" s="508"/>
      <c r="L296" s="508"/>
      <c r="M296" s="508"/>
      <c r="N296" s="508"/>
      <c r="O296" s="508"/>
      <c r="P296" s="508"/>
      <c r="Q296" s="508"/>
      <c r="R296" s="508"/>
      <c r="S296" s="508"/>
      <c r="T296" s="508"/>
      <c r="U296" s="508"/>
      <c r="V296" s="508"/>
      <c r="W296" s="508"/>
      <c r="X296" s="509"/>
      <c r="Z296" s="183"/>
      <c r="AA296" s="183"/>
    </row>
    <row r="297" spans="1:27" s="182" customFormat="1" ht="15" customHeight="1" thickBot="1">
      <c r="A297" s="211"/>
      <c r="B297" s="510" t="str">
        <f>IF(X298="","TIJOLO / TRONCO DE CONE - 3 TIJOLOS",X298)</f>
        <v>TIJOLO / TRONCO DE CONE - 3 TIJOLOS</v>
      </c>
      <c r="C297" s="511" t="s">
        <v>101</v>
      </c>
      <c r="D297" s="178" t="s">
        <v>102</v>
      </c>
      <c r="E297" s="178" t="s">
        <v>42</v>
      </c>
      <c r="F297" s="178" t="s">
        <v>42</v>
      </c>
      <c r="G297" s="178" t="s">
        <v>43</v>
      </c>
      <c r="H297" s="178" t="s">
        <v>44</v>
      </c>
      <c r="I297" s="178" t="s">
        <v>47</v>
      </c>
      <c r="J297" s="178" t="s">
        <v>103</v>
      </c>
      <c r="K297" s="178" t="s">
        <v>37</v>
      </c>
      <c r="L297" s="178" t="s">
        <v>39</v>
      </c>
      <c r="M297" s="178"/>
      <c r="N297" s="178"/>
      <c r="O297" s="178"/>
      <c r="P297" s="178"/>
      <c r="Q297" s="178"/>
      <c r="R297" s="178"/>
      <c r="S297" s="178"/>
      <c r="T297" s="178"/>
      <c r="U297" s="178"/>
      <c r="V297" s="512" t="s">
        <v>27</v>
      </c>
      <c r="W297" s="513"/>
      <c r="X297" s="514"/>
      <c r="Z297" s="183"/>
      <c r="AA297" s="183"/>
    </row>
    <row r="298" spans="1:27" s="182" customFormat="1" ht="15" customHeight="1" thickBot="1">
      <c r="A298" s="211"/>
      <c r="B298" s="850" t="s">
        <v>1814</v>
      </c>
      <c r="C298" s="129">
        <f>SUMIF(Densidades!A:A,'Memória TOTAL'!X298,Densidades!B:B)</f>
        <v>0</v>
      </c>
      <c r="D298" s="130">
        <f>SUMIF(Densidades!A:A,'Memória TOTAL'!X298,Densidades!C:C)</f>
        <v>0</v>
      </c>
      <c r="E298" s="131">
        <f>SUMIF(Formatos!A:A,'Memória TOTAL'!X299,Formatos!E:E)</f>
        <v>0</v>
      </c>
      <c r="F298" s="131">
        <f>SUMIF(Formatos!A:A,'Memória TOTAL'!X299,Formatos!F:F)</f>
        <v>0</v>
      </c>
      <c r="G298" s="131">
        <f>SUMIF(Formatos!A:A,'Memória TOTAL'!X299,Formatos!C:C)</f>
        <v>0</v>
      </c>
      <c r="H298" s="131">
        <f>SUMIF(Formatos!A:A,'Memória TOTAL'!X299,Formatos!D:D)</f>
        <v>0</v>
      </c>
      <c r="I298" s="131">
        <f>SUMIF(Densidades!A:A,'Memória TOTAL'!X298,Densidades!H:H)</f>
        <v>0</v>
      </c>
      <c r="J298" s="132">
        <f>SUMIF(Formatos!A:A,'Memória TOTAL'!X299,Formatos!G:G)</f>
        <v>0</v>
      </c>
      <c r="K298" s="218">
        <f>SUMIF(Densidades!A:A,'Memória TOTAL'!X298,Densidades!I:I)</f>
        <v>0</v>
      </c>
      <c r="L298" s="219">
        <v>0</v>
      </c>
      <c r="M298" s="191"/>
      <c r="N298" s="191"/>
      <c r="O298" s="191"/>
      <c r="P298" s="191"/>
      <c r="Q298" s="191"/>
      <c r="R298" s="191"/>
      <c r="S298" s="191"/>
      <c r="T298" s="228"/>
      <c r="U298" s="191"/>
      <c r="V298" s="229">
        <f>IF(H339="","-",SUM(H339))</f>
        <v>0</v>
      </c>
      <c r="W298" s="189">
        <f>IF(V298="-","",ROUNDUP(SUM(V298)*(1+L298),0))</f>
        <v>0</v>
      </c>
      <c r="X298" s="259"/>
      <c r="Z298" s="183"/>
      <c r="AA298" s="183"/>
    </row>
    <row r="299" spans="1:27" s="182" customFormat="1" ht="15" customHeight="1" thickBot="1">
      <c r="A299" s="211"/>
      <c r="B299" s="851"/>
      <c r="C299" s="196"/>
      <c r="D299" s="191"/>
      <c r="E299" s="191"/>
      <c r="F299" s="191"/>
      <c r="G299" s="191"/>
      <c r="H299" s="191"/>
      <c r="I299" s="191"/>
      <c r="J299" s="192"/>
      <c r="K299" s="192"/>
      <c r="L299" s="140"/>
      <c r="M299" s="191"/>
      <c r="N299" s="191"/>
      <c r="O299" s="191"/>
      <c r="P299" s="191"/>
      <c r="Q299" s="191"/>
      <c r="R299" s="191"/>
      <c r="S299" s="191"/>
      <c r="T299" s="191"/>
      <c r="U299" s="191"/>
      <c r="V299" s="193"/>
      <c r="W299" s="181"/>
      <c r="X299" s="137" t="str">
        <f>IF(X298="","",G339)</f>
        <v/>
      </c>
      <c r="Z299" s="183"/>
      <c r="AA299" s="183"/>
    </row>
    <row r="300" spans="1:27" s="182" customFormat="1" ht="15" customHeight="1">
      <c r="A300" s="211"/>
      <c r="B300" s="190"/>
      <c r="C300" s="196"/>
      <c r="D300" s="191"/>
      <c r="E300" s="191"/>
      <c r="F300" s="191"/>
      <c r="G300" s="191"/>
      <c r="H300" s="191"/>
      <c r="I300" s="191"/>
      <c r="J300" s="192"/>
      <c r="K300" s="192"/>
      <c r="L300" s="140"/>
      <c r="M300" s="191"/>
      <c r="N300" s="191"/>
      <c r="O300" s="191"/>
      <c r="P300" s="191"/>
      <c r="Q300" s="191"/>
      <c r="R300" s="191"/>
      <c r="S300" s="191"/>
      <c r="T300" s="191"/>
      <c r="U300" s="191"/>
      <c r="V300" s="193"/>
      <c r="W300" s="181"/>
      <c r="X300" s="137" t="s">
        <v>520</v>
      </c>
      <c r="Z300" s="183"/>
      <c r="AA300" s="183"/>
    </row>
    <row r="301" spans="1:27" s="182" customFormat="1" ht="15" customHeight="1">
      <c r="A301" s="211"/>
      <c r="B301" s="190"/>
      <c r="C301" s="196" t="str">
        <f t="shared" ref="C301:L301" si="50">C297</f>
        <v>Dens.</v>
      </c>
      <c r="D301" s="191" t="str">
        <f t="shared" si="50"/>
        <v>Emb.</v>
      </c>
      <c r="E301" s="234" t="str">
        <f t="shared" si="50"/>
        <v>Esp. Tij.</v>
      </c>
      <c r="F301" s="234" t="str">
        <f t="shared" si="50"/>
        <v>Esp. Tij.</v>
      </c>
      <c r="G301" s="234" t="str">
        <f t="shared" si="50"/>
        <v>Comp. Tij.</v>
      </c>
      <c r="H301" s="234" t="str">
        <f t="shared" si="50"/>
        <v>Larg. Tij.</v>
      </c>
      <c r="I301" s="234" t="str">
        <f t="shared" si="50"/>
        <v>Tipo Fator</v>
      </c>
      <c r="J301" s="234" t="str">
        <f t="shared" si="50"/>
        <v>Vol.</v>
      </c>
      <c r="K301" s="234" t="str">
        <f t="shared" si="50"/>
        <v>Class.</v>
      </c>
      <c r="L301" s="191" t="str">
        <f t="shared" si="50"/>
        <v>Coefic. (%)</v>
      </c>
      <c r="M301" s="191"/>
      <c r="N301" s="191"/>
      <c r="O301" s="191"/>
      <c r="P301" s="191"/>
      <c r="Q301" s="191"/>
      <c r="R301" s="191"/>
      <c r="S301" s="191"/>
      <c r="T301" s="191"/>
      <c r="U301" s="191"/>
      <c r="V301" s="193"/>
      <c r="W301" s="181"/>
      <c r="X301" s="137"/>
      <c r="Z301" s="183"/>
      <c r="AA301" s="183"/>
    </row>
    <row r="302" spans="1:27" s="182" customFormat="1" ht="15" customHeight="1">
      <c r="A302" s="211"/>
      <c r="B302" s="190"/>
      <c r="C302" s="129">
        <f>SUMIF(Densidades!A:A,'Memória TOTAL'!X302,Densidades!B:B)</f>
        <v>0</v>
      </c>
      <c r="D302" s="130">
        <f>SUMIF(Densidades!A:A,'Memória TOTAL'!X302,Densidades!C:C)</f>
        <v>620</v>
      </c>
      <c r="E302" s="131">
        <f>SUMIF(Formatos!A:A,'Memória TOTAL'!X303,Formatos!E:E)</f>
        <v>0</v>
      </c>
      <c r="F302" s="131">
        <f>SUMIF(Formatos!A:A,'Memória TOTAL'!X303,Formatos!F:F)</f>
        <v>0</v>
      </c>
      <c r="G302" s="131">
        <f>SUMIF(Formatos!A:A,'Memória TOTAL'!X303,Formatos!C:C)</f>
        <v>0</v>
      </c>
      <c r="H302" s="131">
        <f>SUMIF(Formatos!A:A,'Memória TOTAL'!X303,Formatos!D:D)</f>
        <v>0</v>
      </c>
      <c r="I302" s="131">
        <f>SUMIF(Densidades!A:A,'Memória TOTAL'!X302,Densidades!H:H)</f>
        <v>0</v>
      </c>
      <c r="J302" s="132">
        <f>SUMIF(Formatos!A:A,'Memória TOTAL'!X303,Formatos!G:G)</f>
        <v>0</v>
      </c>
      <c r="K302" s="218">
        <f>SUMIF(Densidades!A:A,'Memória TOTAL'!X302,Densidades!I:I)</f>
        <v>177</v>
      </c>
      <c r="L302" s="219">
        <v>0</v>
      </c>
      <c r="M302" s="191"/>
      <c r="N302" s="191"/>
      <c r="O302" s="191"/>
      <c r="P302" s="191"/>
      <c r="Q302" s="191"/>
      <c r="R302" s="191"/>
      <c r="S302" s="191"/>
      <c r="T302" s="228"/>
      <c r="U302" s="191"/>
      <c r="V302" s="229">
        <f>IF(H340="","-",SUM(H340))</f>
        <v>0</v>
      </c>
      <c r="W302" s="189">
        <f>IF(V302="-","",ROUNDUP(SUM(V302)*(1+L302),0))</f>
        <v>0</v>
      </c>
      <c r="X302" s="137" t="str">
        <f>IF(X298="","",X298)</f>
        <v/>
      </c>
      <c r="Z302" s="183"/>
      <c r="AA302" s="183"/>
    </row>
    <row r="303" spans="1:27" s="182" customFormat="1" ht="15" customHeight="1">
      <c r="A303" s="211"/>
      <c r="B303" s="190"/>
      <c r="C303" s="196"/>
      <c r="D303" s="191"/>
      <c r="E303" s="191"/>
      <c r="F303" s="191"/>
      <c r="G303" s="191"/>
      <c r="H303" s="191"/>
      <c r="I303" s="191"/>
      <c r="J303" s="192"/>
      <c r="K303" s="192"/>
      <c r="L303" s="140"/>
      <c r="M303" s="191"/>
      <c r="N303" s="191"/>
      <c r="O303" s="191"/>
      <c r="P303" s="191"/>
      <c r="Q303" s="191"/>
      <c r="R303" s="191"/>
      <c r="S303" s="191"/>
      <c r="T303" s="191"/>
      <c r="U303" s="191"/>
      <c r="V303" s="193"/>
      <c r="W303" s="181"/>
      <c r="X303" s="137" t="str">
        <f>IF(X302="","",G340)</f>
        <v/>
      </c>
      <c r="Z303" s="183"/>
      <c r="AA303" s="183"/>
    </row>
    <row r="304" spans="1:27" s="182" customFormat="1" ht="15" customHeight="1">
      <c r="A304" s="211"/>
      <c r="B304" s="190"/>
      <c r="C304" s="196"/>
      <c r="D304" s="191"/>
      <c r="E304" s="191"/>
      <c r="F304" s="191"/>
      <c r="G304" s="191"/>
      <c r="H304" s="191"/>
      <c r="I304" s="191"/>
      <c r="J304" s="192"/>
      <c r="K304" s="192"/>
      <c r="L304" s="140"/>
      <c r="M304" s="191"/>
      <c r="N304" s="191"/>
      <c r="O304" s="191"/>
      <c r="P304" s="191"/>
      <c r="Q304" s="191"/>
      <c r="R304" s="191"/>
      <c r="S304" s="191"/>
      <c r="T304" s="191"/>
      <c r="U304" s="191"/>
      <c r="V304" s="193"/>
      <c r="W304" s="181"/>
      <c r="X304" s="137" t="s">
        <v>520</v>
      </c>
      <c r="Z304" s="183"/>
      <c r="AA304" s="183"/>
    </row>
    <row r="305" spans="1:27" s="182" customFormat="1" ht="15" customHeight="1">
      <c r="A305" s="211"/>
      <c r="B305" s="190"/>
      <c r="C305" s="196" t="str">
        <f t="shared" ref="C305:L305" si="51">C301</f>
        <v>Dens.</v>
      </c>
      <c r="D305" s="191" t="str">
        <f t="shared" si="51"/>
        <v>Emb.</v>
      </c>
      <c r="E305" s="234" t="str">
        <f t="shared" si="51"/>
        <v>Esp. Tij.</v>
      </c>
      <c r="F305" s="234" t="str">
        <f t="shared" si="51"/>
        <v>Esp. Tij.</v>
      </c>
      <c r="G305" s="234" t="str">
        <f t="shared" si="51"/>
        <v>Comp. Tij.</v>
      </c>
      <c r="H305" s="234" t="str">
        <f t="shared" si="51"/>
        <v>Larg. Tij.</v>
      </c>
      <c r="I305" s="234" t="str">
        <f t="shared" si="51"/>
        <v>Tipo Fator</v>
      </c>
      <c r="J305" s="234" t="str">
        <f t="shared" si="51"/>
        <v>Vol.</v>
      </c>
      <c r="K305" s="234" t="str">
        <f t="shared" si="51"/>
        <v>Class.</v>
      </c>
      <c r="L305" s="191" t="str">
        <f t="shared" si="51"/>
        <v>Coefic. (%)</v>
      </c>
      <c r="M305" s="191"/>
      <c r="N305" s="191"/>
      <c r="O305" s="191"/>
      <c r="P305" s="191"/>
      <c r="Q305" s="191"/>
      <c r="R305" s="191"/>
      <c r="S305" s="191"/>
      <c r="T305" s="191"/>
      <c r="U305" s="191"/>
      <c r="V305" s="193"/>
      <c r="W305" s="181"/>
      <c r="X305" s="137"/>
      <c r="Z305" s="183"/>
      <c r="AA305" s="183"/>
    </row>
    <row r="306" spans="1:27" s="182" customFormat="1" ht="15" customHeight="1">
      <c r="A306" s="211"/>
      <c r="B306" s="190"/>
      <c r="C306" s="129">
        <f>SUMIF(Densidades!A:A,'Memória TOTAL'!X306,Densidades!B:B)</f>
        <v>0</v>
      </c>
      <c r="D306" s="130">
        <f>SUMIF(Densidades!A:A,'Memória TOTAL'!X306,Densidades!C:C)</f>
        <v>620</v>
      </c>
      <c r="E306" s="131">
        <f>SUMIF(Formatos!A:A,'Memória TOTAL'!X307,Formatos!E:E)</f>
        <v>0</v>
      </c>
      <c r="F306" s="131">
        <f>SUMIF(Formatos!A:A,'Memória TOTAL'!X307,Formatos!F:F)</f>
        <v>0</v>
      </c>
      <c r="G306" s="131">
        <f>SUMIF(Formatos!A:A,'Memória TOTAL'!X307,Formatos!C:C)</f>
        <v>0</v>
      </c>
      <c r="H306" s="131">
        <f>SUMIF(Formatos!A:A,'Memória TOTAL'!X307,Formatos!D:D)</f>
        <v>0</v>
      </c>
      <c r="I306" s="131">
        <f>SUMIF(Densidades!A:A,'Memória TOTAL'!X306,Densidades!H:H)</f>
        <v>0</v>
      </c>
      <c r="J306" s="132">
        <f>SUMIF(Formatos!A:A,'Memória TOTAL'!X307,Formatos!G:G)</f>
        <v>0</v>
      </c>
      <c r="K306" s="218">
        <f>SUMIF(Densidades!A:A,'Memória TOTAL'!X306,Densidades!I:I)</f>
        <v>177</v>
      </c>
      <c r="L306" s="219">
        <v>0</v>
      </c>
      <c r="M306" s="191"/>
      <c r="N306" s="191"/>
      <c r="O306" s="191"/>
      <c r="P306" s="191"/>
      <c r="Q306" s="191"/>
      <c r="R306" s="191"/>
      <c r="S306" s="191"/>
      <c r="T306" s="228"/>
      <c r="U306" s="191"/>
      <c r="V306" s="229" t="e">
        <f>IF(H341="","-",SUM(H341))</f>
        <v>#N/A</v>
      </c>
      <c r="W306" s="189" t="e">
        <f>IF(V306="-","",ROUNDUP(SUM(V306)*(1+L306),0))</f>
        <v>#N/A</v>
      </c>
      <c r="X306" s="137" t="str">
        <f>X302</f>
        <v/>
      </c>
      <c r="Z306" s="183"/>
      <c r="AA306" s="183"/>
    </row>
    <row r="307" spans="1:27" s="182" customFormat="1" ht="15" customHeight="1">
      <c r="A307" s="211"/>
      <c r="B307" s="190"/>
      <c r="C307" s="196"/>
      <c r="D307" s="191"/>
      <c r="E307" s="191"/>
      <c r="F307" s="191"/>
      <c r="G307" s="191"/>
      <c r="H307" s="191"/>
      <c r="I307" s="191"/>
      <c r="J307" s="192"/>
      <c r="K307" s="192"/>
      <c r="L307" s="140"/>
      <c r="M307" s="191"/>
      <c r="N307" s="191"/>
      <c r="O307" s="191"/>
      <c r="P307" s="191"/>
      <c r="Q307" s="191"/>
      <c r="R307" s="191"/>
      <c r="S307" s="191"/>
      <c r="T307" s="191"/>
      <c r="U307" s="191"/>
      <c r="V307" s="193"/>
      <c r="W307" s="181"/>
      <c r="X307" s="137" t="str">
        <f>IF(X306="","",G341)</f>
        <v/>
      </c>
      <c r="Z307" s="183"/>
      <c r="AA307" s="183"/>
    </row>
    <row r="308" spans="1:27" s="182" customFormat="1" ht="15" customHeight="1">
      <c r="A308" s="211"/>
      <c r="B308" s="190"/>
      <c r="C308" s="196"/>
      <c r="D308" s="191"/>
      <c r="E308" s="191"/>
      <c r="F308" s="191"/>
      <c r="G308" s="191"/>
      <c r="H308" s="191"/>
      <c r="I308" s="191"/>
      <c r="J308" s="192"/>
      <c r="K308" s="192"/>
      <c r="L308" s="140"/>
      <c r="M308" s="191"/>
      <c r="N308" s="191"/>
      <c r="O308" s="191"/>
      <c r="P308" s="191"/>
      <c r="Q308" s="191"/>
      <c r="R308" s="191"/>
      <c r="S308" s="191"/>
      <c r="T308" s="191"/>
      <c r="U308" s="191"/>
      <c r="V308" s="193"/>
      <c r="W308" s="181"/>
      <c r="X308" s="137" t="s">
        <v>520</v>
      </c>
      <c r="Z308" s="183"/>
      <c r="AA308" s="183"/>
    </row>
    <row r="309" spans="1:27" s="182" customFormat="1" ht="15" customHeight="1">
      <c r="A309" s="211"/>
      <c r="B309" s="190"/>
      <c r="C309" s="196" t="str">
        <f t="shared" ref="C309:L309" si="52">C305</f>
        <v>Dens.</v>
      </c>
      <c r="D309" s="191" t="str">
        <f t="shared" si="52"/>
        <v>Emb.</v>
      </c>
      <c r="E309" s="234" t="str">
        <f t="shared" si="52"/>
        <v>Esp. Tij.</v>
      </c>
      <c r="F309" s="234" t="str">
        <f t="shared" si="52"/>
        <v>Esp. Tij.</v>
      </c>
      <c r="G309" s="234" t="str">
        <f t="shared" si="52"/>
        <v>Comp. Tij.</v>
      </c>
      <c r="H309" s="234" t="str">
        <f t="shared" si="52"/>
        <v>Larg. Tij.</v>
      </c>
      <c r="I309" s="234" t="str">
        <f t="shared" si="52"/>
        <v>Tipo Fator</v>
      </c>
      <c r="J309" s="234" t="str">
        <f t="shared" si="52"/>
        <v>Vol.</v>
      </c>
      <c r="K309" s="234" t="str">
        <f t="shared" si="52"/>
        <v>Class.</v>
      </c>
      <c r="L309" s="191" t="str">
        <f t="shared" si="52"/>
        <v>Coefic. (%)</v>
      </c>
      <c r="M309" s="191"/>
      <c r="N309" s="191"/>
      <c r="O309" s="191"/>
      <c r="P309" s="191"/>
      <c r="Q309" s="191"/>
      <c r="R309" s="191"/>
      <c r="S309" s="191"/>
      <c r="T309" s="191"/>
      <c r="U309" s="191"/>
      <c r="V309" s="193"/>
      <c r="W309" s="181"/>
      <c r="X309" s="137"/>
      <c r="Z309" s="183"/>
      <c r="AA309" s="183"/>
    </row>
    <row r="310" spans="1:27" s="182" customFormat="1" ht="15" customHeight="1">
      <c r="A310" s="211"/>
      <c r="B310" s="190"/>
      <c r="C310" s="129">
        <f>SUMIF(Densidades!A:A,'Memória TOTAL'!X310,Densidades!B:B)</f>
        <v>0</v>
      </c>
      <c r="D310" s="130">
        <f>SUMIF(Densidades!A:A,'Memória TOTAL'!X310,Densidades!C:C)</f>
        <v>620</v>
      </c>
      <c r="E310" s="131">
        <f>SUMIF(Formatos!A:A,'Memória TOTAL'!X311,Formatos!E:E)</f>
        <v>0</v>
      </c>
      <c r="F310" s="131">
        <f>SUMIF(Formatos!A:A,'Memória TOTAL'!X311,Formatos!F:F)</f>
        <v>0</v>
      </c>
      <c r="G310" s="131">
        <f>SUMIF(Formatos!A:A,'Memória TOTAL'!X311,Formatos!C:C)</f>
        <v>0</v>
      </c>
      <c r="H310" s="131">
        <f>SUMIF(Formatos!A:A,'Memória TOTAL'!X311,Formatos!D:D)</f>
        <v>0</v>
      </c>
      <c r="I310" s="131">
        <f>SUMIF(Densidades!A:A,'Memória TOTAL'!X310,Densidades!H:H)</f>
        <v>0</v>
      </c>
      <c r="J310" s="132">
        <f>SUMIF(Formatos!A:A,'Memória TOTAL'!X311,Formatos!G:G)</f>
        <v>0</v>
      </c>
      <c r="K310" s="218">
        <f>SUMIF(Densidades!A:A,'Memória TOTAL'!X310,Densidades!I:I)</f>
        <v>177</v>
      </c>
      <c r="L310" s="219">
        <v>0</v>
      </c>
      <c r="M310" s="191"/>
      <c r="N310" s="191"/>
      <c r="O310" s="191"/>
      <c r="P310" s="191"/>
      <c r="Q310" s="191"/>
      <c r="R310" s="191"/>
      <c r="S310" s="191"/>
      <c r="T310" s="228"/>
      <c r="U310" s="191"/>
      <c r="V310" s="229">
        <f>IF(H342="","-",SUM(H342))</f>
        <v>0</v>
      </c>
      <c r="W310" s="189">
        <f>IF(V310="-","",ROUNDUP(SUM(V310)*(1+L310),0))</f>
        <v>0</v>
      </c>
      <c r="X310" s="137" t="str">
        <f>X306</f>
        <v/>
      </c>
      <c r="Z310" s="183"/>
      <c r="AA310" s="183"/>
    </row>
    <row r="311" spans="1:27" s="182" customFormat="1" ht="15" customHeight="1">
      <c r="A311" s="211"/>
      <c r="B311" s="190"/>
      <c r="C311" s="196"/>
      <c r="D311" s="191"/>
      <c r="E311" s="191"/>
      <c r="F311" s="191"/>
      <c r="G311" s="191"/>
      <c r="H311" s="191"/>
      <c r="I311" s="191"/>
      <c r="J311" s="192"/>
      <c r="K311" s="192"/>
      <c r="L311" s="140"/>
      <c r="M311" s="191"/>
      <c r="N311" s="191"/>
      <c r="O311" s="191"/>
      <c r="P311" s="191"/>
      <c r="Q311" s="191"/>
      <c r="R311" s="191"/>
      <c r="S311" s="191"/>
      <c r="T311" s="191"/>
      <c r="U311" s="191"/>
      <c r="V311" s="193"/>
      <c r="W311" s="181"/>
      <c r="X311" s="137" t="str">
        <f>IF(X310="","",G342)</f>
        <v/>
      </c>
      <c r="Z311" s="183"/>
      <c r="AA311" s="183"/>
    </row>
    <row r="312" spans="1:27" s="182" customFormat="1" ht="15" customHeight="1">
      <c r="A312" s="211"/>
      <c r="B312" s="190"/>
      <c r="C312" s="196"/>
      <c r="D312" s="191"/>
      <c r="E312" s="191"/>
      <c r="F312" s="191"/>
      <c r="G312" s="191"/>
      <c r="H312" s="191"/>
      <c r="I312" s="191"/>
      <c r="J312" s="192"/>
      <c r="K312" s="192"/>
      <c r="L312" s="140"/>
      <c r="M312" s="191"/>
      <c r="N312" s="191"/>
      <c r="O312" s="191"/>
      <c r="P312" s="191"/>
      <c r="Q312" s="191"/>
      <c r="R312" s="191"/>
      <c r="S312" s="191"/>
      <c r="T312" s="191"/>
      <c r="U312" s="191"/>
      <c r="V312" s="193"/>
      <c r="W312" s="181"/>
      <c r="X312" s="137" t="s">
        <v>520</v>
      </c>
      <c r="Z312" s="183"/>
      <c r="AA312" s="183"/>
    </row>
    <row r="313" spans="1:27" s="182" customFormat="1" ht="15" customHeight="1">
      <c r="A313" s="211"/>
      <c r="B313" s="190"/>
      <c r="C313" s="196" t="str">
        <f t="shared" ref="C313:L313" si="53">C309</f>
        <v>Dens.</v>
      </c>
      <c r="D313" s="191" t="str">
        <f t="shared" si="53"/>
        <v>Emb.</v>
      </c>
      <c r="E313" s="234" t="str">
        <f t="shared" si="53"/>
        <v>Esp. Tij.</v>
      </c>
      <c r="F313" s="234" t="str">
        <f t="shared" si="53"/>
        <v>Esp. Tij.</v>
      </c>
      <c r="G313" s="234" t="str">
        <f t="shared" si="53"/>
        <v>Comp. Tij.</v>
      </c>
      <c r="H313" s="234" t="str">
        <f t="shared" si="53"/>
        <v>Larg. Tij.</v>
      </c>
      <c r="I313" s="234" t="str">
        <f t="shared" si="53"/>
        <v>Tipo Fator</v>
      </c>
      <c r="J313" s="234" t="str">
        <f t="shared" si="53"/>
        <v>Vol.</v>
      </c>
      <c r="K313" s="234" t="str">
        <f t="shared" si="53"/>
        <v>Class.</v>
      </c>
      <c r="L313" s="191" t="str">
        <f t="shared" si="53"/>
        <v>Coefic. (%)</v>
      </c>
      <c r="M313" s="191"/>
      <c r="N313" s="191"/>
      <c r="O313" s="191"/>
      <c r="P313" s="191"/>
      <c r="Q313" s="191"/>
      <c r="R313" s="191"/>
      <c r="S313" s="191"/>
      <c r="T313" s="191"/>
      <c r="U313" s="191"/>
      <c r="V313" s="193"/>
      <c r="W313" s="181"/>
      <c r="X313" s="137"/>
      <c r="Z313" s="183"/>
      <c r="AA313" s="183"/>
    </row>
    <row r="314" spans="1:27" s="182" customFormat="1" ht="15" customHeight="1">
      <c r="A314" s="211"/>
      <c r="B314" s="190"/>
      <c r="C314" s="129">
        <f>SUMIF(Densidades!A:A,'Memória TOTAL'!X314,Densidades!B:B)</f>
        <v>0</v>
      </c>
      <c r="D314" s="130">
        <f>SUMIF(Densidades!A:A,'Memória TOTAL'!X314,Densidades!C:C)</f>
        <v>620</v>
      </c>
      <c r="E314" s="131">
        <f>SUMIF(Formatos!A:A,'Memória TOTAL'!X315,Formatos!E:E)</f>
        <v>0</v>
      </c>
      <c r="F314" s="131">
        <f>SUMIF(Formatos!A:A,'Memória TOTAL'!X315,Formatos!F:F)</f>
        <v>0</v>
      </c>
      <c r="G314" s="131">
        <f>SUMIF(Formatos!A:A,'Memória TOTAL'!X315,Formatos!C:C)</f>
        <v>0</v>
      </c>
      <c r="H314" s="131">
        <f>SUMIF(Formatos!A:A,'Memória TOTAL'!X315,Formatos!D:D)</f>
        <v>0</v>
      </c>
      <c r="I314" s="131">
        <f>SUMIF(Densidades!A:A,'Memória TOTAL'!X314,Densidades!H:H)</f>
        <v>0</v>
      </c>
      <c r="J314" s="132">
        <f>SUMIF(Formatos!A:A,'Memória TOTAL'!X315,Formatos!G:G)</f>
        <v>0</v>
      </c>
      <c r="K314" s="218">
        <f>SUMIF(Densidades!A:A,'Memória TOTAL'!X314,Densidades!I:I)</f>
        <v>177</v>
      </c>
      <c r="L314" s="219">
        <v>0</v>
      </c>
      <c r="M314" s="191"/>
      <c r="N314" s="191"/>
      <c r="O314" s="191"/>
      <c r="P314" s="191"/>
      <c r="Q314" s="191"/>
      <c r="R314" s="191"/>
      <c r="S314" s="191"/>
      <c r="T314" s="228"/>
      <c r="U314" s="191"/>
      <c r="V314" s="229">
        <f>IF(H343="","-",SUM(H343))</f>
        <v>0</v>
      </c>
      <c r="W314" s="189">
        <f>IF(V314="-","",ROUNDUP(SUM(V314)*(1+L314),0))</f>
        <v>0</v>
      </c>
      <c r="X314" s="137" t="str">
        <f>X310</f>
        <v/>
      </c>
      <c r="Z314" s="183"/>
      <c r="AA314" s="183"/>
    </row>
    <row r="315" spans="1:27" s="182" customFormat="1" ht="15" customHeight="1">
      <c r="A315" s="211"/>
      <c r="B315" s="190"/>
      <c r="C315" s="196"/>
      <c r="D315" s="191"/>
      <c r="E315" s="191"/>
      <c r="F315" s="191"/>
      <c r="G315" s="191"/>
      <c r="H315" s="191"/>
      <c r="I315" s="191"/>
      <c r="J315" s="192"/>
      <c r="K315" s="192"/>
      <c r="L315" s="140"/>
      <c r="M315" s="191"/>
      <c r="N315" s="191"/>
      <c r="O315" s="191"/>
      <c r="P315" s="191"/>
      <c r="Q315" s="191"/>
      <c r="R315" s="191"/>
      <c r="S315" s="191"/>
      <c r="T315" s="191"/>
      <c r="U315" s="191"/>
      <c r="V315" s="193"/>
      <c r="W315" s="181"/>
      <c r="X315" s="137" t="str">
        <f>IF(X314="","",G343)</f>
        <v/>
      </c>
      <c r="Z315" s="183"/>
      <c r="AA315" s="183"/>
    </row>
    <row r="316" spans="1:27" s="182" customFormat="1" ht="15" customHeight="1">
      <c r="A316" s="211"/>
      <c r="B316" s="190"/>
      <c r="C316" s="196"/>
      <c r="D316" s="191"/>
      <c r="E316" s="191"/>
      <c r="F316" s="191"/>
      <c r="G316" s="191"/>
      <c r="H316" s="191"/>
      <c r="I316" s="191"/>
      <c r="J316" s="192"/>
      <c r="K316" s="192"/>
      <c r="L316" s="140"/>
      <c r="M316" s="191"/>
      <c r="N316" s="191"/>
      <c r="O316" s="191"/>
      <c r="P316" s="191"/>
      <c r="Q316" s="191"/>
      <c r="R316" s="191"/>
      <c r="S316" s="191"/>
      <c r="T316" s="191"/>
      <c r="U316" s="191"/>
      <c r="V316" s="193"/>
      <c r="W316" s="181"/>
      <c r="X316" s="137" t="s">
        <v>520</v>
      </c>
      <c r="Z316" s="183"/>
      <c r="AA316" s="183"/>
    </row>
    <row r="317" spans="1:27" s="182" customFormat="1" ht="15" customHeight="1">
      <c r="A317" s="211"/>
      <c r="B317" s="190"/>
      <c r="C317" s="196" t="str">
        <f t="shared" ref="C317:L317" si="54">C313</f>
        <v>Dens.</v>
      </c>
      <c r="D317" s="191" t="str">
        <f t="shared" si="54"/>
        <v>Emb.</v>
      </c>
      <c r="E317" s="234" t="str">
        <f t="shared" si="54"/>
        <v>Esp. Tij.</v>
      </c>
      <c r="F317" s="234" t="str">
        <f t="shared" si="54"/>
        <v>Esp. Tij.</v>
      </c>
      <c r="G317" s="234" t="str">
        <f t="shared" si="54"/>
        <v>Comp. Tij.</v>
      </c>
      <c r="H317" s="234" t="str">
        <f t="shared" si="54"/>
        <v>Larg. Tij.</v>
      </c>
      <c r="I317" s="234" t="str">
        <f t="shared" si="54"/>
        <v>Tipo Fator</v>
      </c>
      <c r="J317" s="234" t="str">
        <f t="shared" si="54"/>
        <v>Vol.</v>
      </c>
      <c r="K317" s="234" t="str">
        <f t="shared" si="54"/>
        <v>Class.</v>
      </c>
      <c r="L317" s="191" t="str">
        <f t="shared" si="54"/>
        <v>Coefic. (%)</v>
      </c>
      <c r="M317" s="191"/>
      <c r="N317" s="191"/>
      <c r="O317" s="191"/>
      <c r="P317" s="191"/>
      <c r="Q317" s="191"/>
      <c r="R317" s="191"/>
      <c r="S317" s="191"/>
      <c r="T317" s="191"/>
      <c r="U317" s="191"/>
      <c r="V317" s="193"/>
      <c r="W317" s="181"/>
      <c r="X317" s="137"/>
      <c r="Z317" s="183"/>
      <c r="AA317" s="183"/>
    </row>
    <row r="318" spans="1:27" s="182" customFormat="1" ht="15" customHeight="1">
      <c r="A318" s="211"/>
      <c r="B318" s="190"/>
      <c r="C318" s="129">
        <f>SUMIF(Densidades!A:A,'Memória TOTAL'!X318,Densidades!B:B)</f>
        <v>0</v>
      </c>
      <c r="D318" s="130">
        <f>SUMIF(Densidades!A:A,'Memória TOTAL'!X318,Densidades!C:C)</f>
        <v>620</v>
      </c>
      <c r="E318" s="131">
        <f>SUMIF(Formatos!A:A,'Memória TOTAL'!X319,Formatos!E:E)</f>
        <v>0</v>
      </c>
      <c r="F318" s="131">
        <f>SUMIF(Formatos!A:A,'Memória TOTAL'!X319,Formatos!F:F)</f>
        <v>0</v>
      </c>
      <c r="G318" s="131">
        <f>SUMIF(Formatos!A:A,'Memória TOTAL'!X319,Formatos!C:C)</f>
        <v>0</v>
      </c>
      <c r="H318" s="131">
        <f>SUMIF(Formatos!A:A,'Memória TOTAL'!X319,Formatos!D:D)</f>
        <v>0</v>
      </c>
      <c r="I318" s="131">
        <f>SUMIF(Densidades!A:A,'Memória TOTAL'!X318,Densidades!H:H)</f>
        <v>0</v>
      </c>
      <c r="J318" s="132">
        <f>SUMIF(Formatos!A:A,'Memória TOTAL'!X319,Formatos!G:G)</f>
        <v>0</v>
      </c>
      <c r="K318" s="218">
        <f>SUMIF(Densidades!A:A,'Memória TOTAL'!X318,Densidades!I:I)</f>
        <v>177</v>
      </c>
      <c r="L318" s="219">
        <v>0</v>
      </c>
      <c r="M318" s="191"/>
      <c r="N318" s="191"/>
      <c r="O318" s="191"/>
      <c r="P318" s="191"/>
      <c r="Q318" s="191"/>
      <c r="R318" s="191"/>
      <c r="S318" s="191"/>
      <c r="T318" s="228"/>
      <c r="U318" s="191"/>
      <c r="V318" s="229">
        <f>IF(H344="","-",SUM(H344))</f>
        <v>0</v>
      </c>
      <c r="W318" s="189">
        <f>IF(V318="-","",ROUNDUP(SUM(V318)*(1+L318),0))</f>
        <v>0</v>
      </c>
      <c r="X318" s="137" t="str">
        <f>X314</f>
        <v/>
      </c>
      <c r="Z318" s="183"/>
      <c r="AA318" s="183"/>
    </row>
    <row r="319" spans="1:27" s="182" customFormat="1" ht="15" customHeight="1">
      <c r="A319" s="211"/>
      <c r="B319" s="190"/>
      <c r="C319" s="196"/>
      <c r="D319" s="191"/>
      <c r="E319" s="191"/>
      <c r="F319" s="191"/>
      <c r="G319" s="191"/>
      <c r="H319" s="191"/>
      <c r="I319" s="191"/>
      <c r="J319" s="192"/>
      <c r="K319" s="192"/>
      <c r="L319" s="140"/>
      <c r="M319" s="191"/>
      <c r="N319" s="191"/>
      <c r="O319" s="191"/>
      <c r="P319" s="191"/>
      <c r="Q319" s="191"/>
      <c r="R319" s="191"/>
      <c r="S319" s="191"/>
      <c r="T319" s="191"/>
      <c r="U319" s="191"/>
      <c r="V319" s="193"/>
      <c r="W319" s="181"/>
      <c r="X319" s="137" t="str">
        <f>IF(X318="","",G344)</f>
        <v/>
      </c>
      <c r="Z319" s="183"/>
      <c r="AA319" s="183"/>
    </row>
    <row r="320" spans="1:27" s="182" customFormat="1" ht="15" customHeight="1">
      <c r="A320" s="211"/>
      <c r="B320" s="190"/>
      <c r="C320" s="196"/>
      <c r="D320" s="191"/>
      <c r="E320" s="191"/>
      <c r="F320" s="191"/>
      <c r="G320" s="191"/>
      <c r="H320" s="191"/>
      <c r="I320" s="191"/>
      <c r="J320" s="192"/>
      <c r="K320" s="192"/>
      <c r="L320" s="140"/>
      <c r="M320" s="191"/>
      <c r="N320" s="191"/>
      <c r="O320" s="191"/>
      <c r="P320" s="191"/>
      <c r="Q320" s="191"/>
      <c r="R320" s="191"/>
      <c r="S320" s="191"/>
      <c r="T320" s="191"/>
      <c r="U320" s="191"/>
      <c r="V320" s="193"/>
      <c r="W320" s="181"/>
      <c r="X320" s="137" t="s">
        <v>520</v>
      </c>
      <c r="Z320" s="183"/>
      <c r="AA320" s="183"/>
    </row>
    <row r="321" spans="1:27" s="182" customFormat="1" ht="15" customHeight="1">
      <c r="A321" s="211"/>
      <c r="B321" s="190"/>
      <c r="C321" s="196" t="str">
        <f t="shared" ref="C321:L321" si="55">C317</f>
        <v>Dens.</v>
      </c>
      <c r="D321" s="191" t="str">
        <f t="shared" si="55"/>
        <v>Emb.</v>
      </c>
      <c r="E321" s="234" t="str">
        <f t="shared" si="55"/>
        <v>Esp. Tij.</v>
      </c>
      <c r="F321" s="234" t="str">
        <f t="shared" si="55"/>
        <v>Esp. Tij.</v>
      </c>
      <c r="G321" s="234" t="str">
        <f t="shared" si="55"/>
        <v>Comp. Tij.</v>
      </c>
      <c r="H321" s="234" t="str">
        <f t="shared" si="55"/>
        <v>Larg. Tij.</v>
      </c>
      <c r="I321" s="234" t="str">
        <f t="shared" si="55"/>
        <v>Tipo Fator</v>
      </c>
      <c r="J321" s="234" t="str">
        <f t="shared" si="55"/>
        <v>Vol.</v>
      </c>
      <c r="K321" s="234" t="str">
        <f t="shared" si="55"/>
        <v>Class.</v>
      </c>
      <c r="L321" s="191" t="str">
        <f t="shared" si="55"/>
        <v>Coefic. (%)</v>
      </c>
      <c r="M321" s="191"/>
      <c r="N321" s="191"/>
      <c r="O321" s="191"/>
      <c r="P321" s="191"/>
      <c r="Q321" s="191"/>
      <c r="R321" s="191"/>
      <c r="S321" s="191"/>
      <c r="T321" s="191"/>
      <c r="U321" s="191"/>
      <c r="V321" s="193"/>
      <c r="W321" s="181"/>
      <c r="X321" s="137"/>
      <c r="Z321" s="183"/>
      <c r="AA321" s="183"/>
    </row>
    <row r="322" spans="1:27" s="182" customFormat="1" ht="15" customHeight="1">
      <c r="A322" s="211"/>
      <c r="B322" s="190"/>
      <c r="C322" s="129">
        <f>SUMIF(Densidades!A:A,'Memória TOTAL'!X322,Densidades!B:B)</f>
        <v>0</v>
      </c>
      <c r="D322" s="130">
        <f>SUMIF(Densidades!A:A,'Memória TOTAL'!X322,Densidades!C:C)</f>
        <v>620</v>
      </c>
      <c r="E322" s="131">
        <f>SUMIF(Formatos!A:A,'Memória TOTAL'!X323,Formatos!E:E)</f>
        <v>0</v>
      </c>
      <c r="F322" s="131">
        <f>SUMIF(Formatos!A:A,'Memória TOTAL'!X323,Formatos!F:F)</f>
        <v>0</v>
      </c>
      <c r="G322" s="131">
        <f>SUMIF(Formatos!A:A,'Memória TOTAL'!X323,Formatos!C:C)</f>
        <v>0</v>
      </c>
      <c r="H322" s="131">
        <f>SUMIF(Formatos!A:A,'Memória TOTAL'!X323,Formatos!D:D)</f>
        <v>0</v>
      </c>
      <c r="I322" s="131">
        <f>SUMIF(Densidades!A:A,'Memória TOTAL'!X322,Densidades!H:H)</f>
        <v>0</v>
      </c>
      <c r="J322" s="132">
        <f>SUMIF(Formatos!A:A,'Memória TOTAL'!X323,Formatos!G:G)</f>
        <v>0</v>
      </c>
      <c r="K322" s="218">
        <f>SUMIF(Densidades!A:A,'Memória TOTAL'!X322,Densidades!I:I)</f>
        <v>177</v>
      </c>
      <c r="L322" s="219">
        <v>0</v>
      </c>
      <c r="M322" s="191"/>
      <c r="N322" s="191"/>
      <c r="O322" s="191"/>
      <c r="P322" s="191"/>
      <c r="Q322" s="191"/>
      <c r="R322" s="191"/>
      <c r="S322" s="191"/>
      <c r="T322" s="228"/>
      <c r="U322" s="191"/>
      <c r="V322" s="229">
        <f>IF(H345="","-",SUM(H345))</f>
        <v>0</v>
      </c>
      <c r="W322" s="189">
        <f>IF(V322="-","",ROUNDUP(SUM(V322)*(1+L322),0))</f>
        <v>0</v>
      </c>
      <c r="X322" s="137" t="str">
        <f>X318</f>
        <v/>
      </c>
      <c r="Z322" s="183"/>
      <c r="AA322" s="183"/>
    </row>
    <row r="323" spans="1:27" s="182" customFormat="1" ht="15" customHeight="1">
      <c r="A323" s="211"/>
      <c r="B323" s="190"/>
      <c r="C323" s="196"/>
      <c r="D323" s="191"/>
      <c r="E323" s="191"/>
      <c r="F323" s="191"/>
      <c r="G323" s="191"/>
      <c r="H323" s="191"/>
      <c r="I323" s="191"/>
      <c r="J323" s="192"/>
      <c r="K323" s="192"/>
      <c r="L323" s="140"/>
      <c r="M323" s="191"/>
      <c r="N323" s="191"/>
      <c r="O323" s="191"/>
      <c r="P323" s="191"/>
      <c r="Q323" s="191"/>
      <c r="R323" s="191"/>
      <c r="S323" s="191"/>
      <c r="T323" s="191"/>
      <c r="U323" s="191"/>
      <c r="V323" s="193"/>
      <c r="W323" s="181"/>
      <c r="X323" s="137" t="str">
        <f>IF(X322="","",G345)</f>
        <v/>
      </c>
      <c r="Z323" s="183"/>
      <c r="AA323" s="183"/>
    </row>
    <row r="324" spans="1:27" s="182" customFormat="1" ht="15" customHeight="1">
      <c r="A324" s="211"/>
      <c r="B324" s="190"/>
      <c r="C324" s="196"/>
      <c r="D324" s="191"/>
      <c r="E324" s="191"/>
      <c r="F324" s="191"/>
      <c r="G324" s="191"/>
      <c r="H324" s="191"/>
      <c r="I324" s="191"/>
      <c r="J324" s="192"/>
      <c r="K324" s="192"/>
      <c r="L324" s="140"/>
      <c r="M324" s="191"/>
      <c r="N324" s="191"/>
      <c r="O324" s="191"/>
      <c r="P324" s="191"/>
      <c r="Q324" s="191"/>
      <c r="R324" s="191"/>
      <c r="S324" s="191"/>
      <c r="T324" s="191"/>
      <c r="U324" s="191"/>
      <c r="V324" s="193"/>
      <c r="W324" s="181"/>
      <c r="X324" s="137" t="s">
        <v>520</v>
      </c>
      <c r="Z324" s="183"/>
      <c r="AA324" s="183"/>
    </row>
    <row r="325" spans="1:27" s="182" customFormat="1" ht="15" customHeight="1">
      <c r="A325" s="211"/>
      <c r="B325" s="190"/>
      <c r="C325" s="196" t="str">
        <f t="shared" ref="C325:L325" si="56">C321</f>
        <v>Dens.</v>
      </c>
      <c r="D325" s="191" t="str">
        <f t="shared" si="56"/>
        <v>Emb.</v>
      </c>
      <c r="E325" s="234" t="str">
        <f t="shared" si="56"/>
        <v>Esp. Tij.</v>
      </c>
      <c r="F325" s="234" t="str">
        <f t="shared" si="56"/>
        <v>Esp. Tij.</v>
      </c>
      <c r="G325" s="234" t="str">
        <f t="shared" si="56"/>
        <v>Comp. Tij.</v>
      </c>
      <c r="H325" s="234" t="str">
        <f t="shared" si="56"/>
        <v>Larg. Tij.</v>
      </c>
      <c r="I325" s="234" t="str">
        <f t="shared" si="56"/>
        <v>Tipo Fator</v>
      </c>
      <c r="J325" s="234" t="str">
        <f t="shared" si="56"/>
        <v>Vol.</v>
      </c>
      <c r="K325" s="234" t="str">
        <f t="shared" si="56"/>
        <v>Class.</v>
      </c>
      <c r="L325" s="191" t="str">
        <f t="shared" si="56"/>
        <v>Coefic. (%)</v>
      </c>
      <c r="M325" s="191"/>
      <c r="N325" s="191" t="s">
        <v>1090</v>
      </c>
      <c r="O325" s="191"/>
      <c r="P325" s="191"/>
      <c r="Q325" s="191"/>
      <c r="R325" s="191"/>
      <c r="S325" s="191"/>
      <c r="T325" s="191"/>
      <c r="U325" s="191"/>
      <c r="V325" s="193"/>
      <c r="W325" s="181"/>
      <c r="X325" s="137"/>
      <c r="Z325" s="183"/>
      <c r="AA325" s="183"/>
    </row>
    <row r="326" spans="1:27" s="182" customFormat="1" ht="15" customHeight="1">
      <c r="A326" s="211"/>
      <c r="B326" s="190"/>
      <c r="C326" s="129">
        <f>SUMIF(Densidades!A:A,'Memória TOTAL'!X326,Densidades!B:B)</f>
        <v>0</v>
      </c>
      <c r="D326" s="130">
        <f>SUMIF(Densidades!A:A,'Memória TOTAL'!X326,Densidades!C:C)</f>
        <v>620</v>
      </c>
      <c r="E326" s="131">
        <f>SUMIF(Formatos!A:A,'Memória TOTAL'!X327,Formatos!E:E)</f>
        <v>0</v>
      </c>
      <c r="F326" s="131">
        <f>SUMIF(Formatos!A:A,'Memória TOTAL'!X327,Formatos!F:F)</f>
        <v>0</v>
      </c>
      <c r="G326" s="131">
        <f>SUMIF(Formatos!A:A,'Memória TOTAL'!X327,Formatos!C:C)</f>
        <v>0</v>
      </c>
      <c r="H326" s="131">
        <f>SUMIF(Formatos!A:A,'Memória TOTAL'!X327,Formatos!D:D)</f>
        <v>0</v>
      </c>
      <c r="I326" s="131">
        <f>SUMIF(Densidades!A:A,'Memória TOTAL'!X326,Densidades!H:H)</f>
        <v>0</v>
      </c>
      <c r="J326" s="132">
        <f>SUMIF(Formatos!A:A,'Memória TOTAL'!X327,Formatos!G:G)</f>
        <v>0</v>
      </c>
      <c r="K326" s="218">
        <f>SUMIF(Densidades!A:A,'Memória TOTAL'!X326,Densidades!I:I)</f>
        <v>177</v>
      </c>
      <c r="L326" s="219">
        <v>0</v>
      </c>
      <c r="M326" s="191"/>
      <c r="N326" s="191"/>
      <c r="O326" s="191"/>
      <c r="P326" s="191"/>
      <c r="Q326" s="191"/>
      <c r="R326" s="191"/>
      <c r="S326" s="191"/>
      <c r="T326" s="228"/>
      <c r="U326" s="191"/>
      <c r="V326" s="229">
        <f>IF(H346="","-",SUM(H346))</f>
        <v>0</v>
      </c>
      <c r="W326" s="189">
        <f>IF(V326="-","",ROUNDUP(SUM(V326)*(1+L326),0))</f>
        <v>0</v>
      </c>
      <c r="X326" s="137" t="str">
        <f>X322</f>
        <v/>
      </c>
      <c r="Z326" s="183"/>
      <c r="AA326" s="183"/>
    </row>
    <row r="327" spans="1:27" s="182" customFormat="1" ht="15" customHeight="1">
      <c r="A327" s="211"/>
      <c r="B327" s="190"/>
      <c r="C327" s="196"/>
      <c r="D327" s="191"/>
      <c r="E327" s="191"/>
      <c r="F327" s="191"/>
      <c r="G327" s="191"/>
      <c r="H327" s="191"/>
      <c r="I327" s="191"/>
      <c r="J327" s="192"/>
      <c r="K327" s="192"/>
      <c r="L327" s="140"/>
      <c r="M327" s="191"/>
      <c r="N327" s="237"/>
      <c r="O327" s="237"/>
      <c r="P327" s="237"/>
      <c r="Q327" s="237"/>
      <c r="R327" s="237"/>
      <c r="S327" s="237"/>
      <c r="T327" s="237"/>
      <c r="U327" s="237"/>
      <c r="V327" s="193"/>
      <c r="W327" s="181"/>
      <c r="X327" s="137" t="str">
        <f>IF(X326="","",G346)</f>
        <v/>
      </c>
      <c r="Z327" s="183"/>
      <c r="AA327" s="183"/>
    </row>
    <row r="328" spans="1:27" s="182" customFormat="1" ht="15" customHeight="1">
      <c r="A328" s="211"/>
      <c r="B328" s="190"/>
      <c r="C328" s="196"/>
      <c r="D328" s="191"/>
      <c r="E328" s="191"/>
      <c r="F328" s="191"/>
      <c r="G328" s="191"/>
      <c r="H328" s="191"/>
      <c r="I328" s="191"/>
      <c r="J328" s="192"/>
      <c r="K328" s="192"/>
      <c r="L328" s="140"/>
      <c r="M328" s="231"/>
      <c r="N328" s="330" t="s">
        <v>1078</v>
      </c>
      <c r="O328" s="331"/>
      <c r="P328" s="331"/>
      <c r="Q328" s="331"/>
      <c r="R328" s="331"/>
      <c r="S328" s="331"/>
      <c r="T328" s="331"/>
      <c r="U328" s="331"/>
      <c r="V328" s="329"/>
      <c r="W328" s="181"/>
      <c r="X328" s="137" t="s">
        <v>520</v>
      </c>
      <c r="Z328" s="183"/>
      <c r="AA328" s="183"/>
    </row>
    <row r="329" spans="1:27" s="182" customFormat="1" ht="15" customHeight="1">
      <c r="A329" s="211"/>
      <c r="B329" s="190"/>
      <c r="C329" s="196" t="str">
        <f t="shared" ref="C329:L329" si="57">C325</f>
        <v>Dens.</v>
      </c>
      <c r="D329" s="191" t="str">
        <f t="shared" si="57"/>
        <v>Emb.</v>
      </c>
      <c r="E329" s="234" t="str">
        <f t="shared" si="57"/>
        <v>Esp. Tij.</v>
      </c>
      <c r="F329" s="234" t="str">
        <f t="shared" si="57"/>
        <v>Esp. Tij.</v>
      </c>
      <c r="G329" s="234" t="str">
        <f t="shared" si="57"/>
        <v>Comp. Tij.</v>
      </c>
      <c r="H329" s="234" t="str">
        <f t="shared" si="57"/>
        <v>Larg. Tij.</v>
      </c>
      <c r="I329" s="234" t="str">
        <f t="shared" si="57"/>
        <v>Tipo Fator</v>
      </c>
      <c r="J329" s="234" t="str">
        <f t="shared" si="57"/>
        <v>Vol.</v>
      </c>
      <c r="K329" s="234" t="str">
        <f t="shared" si="57"/>
        <v>Class.</v>
      </c>
      <c r="L329" s="191" t="str">
        <f t="shared" si="57"/>
        <v>Coefic. (%)</v>
      </c>
      <c r="M329" s="231"/>
      <c r="N329" s="330" t="s">
        <v>2167</v>
      </c>
      <c r="O329" s="331"/>
      <c r="P329" s="331"/>
      <c r="Q329" s="331"/>
      <c r="R329" s="331"/>
      <c r="S329" s="331"/>
      <c r="T329" s="331"/>
      <c r="U329" s="331"/>
      <c r="V329" s="329"/>
      <c r="W329" s="181"/>
      <c r="X329" s="137"/>
      <c r="Z329" s="183"/>
      <c r="AA329" s="183"/>
    </row>
    <row r="330" spans="1:27" s="182" customFormat="1" ht="15" customHeight="1">
      <c r="A330" s="211"/>
      <c r="B330" s="190"/>
      <c r="C330" s="129">
        <f>SUMIF(Densidades!A:A,'Memória TOTAL'!X330,Densidades!B:B)</f>
        <v>0</v>
      </c>
      <c r="D330" s="130">
        <f>SUMIF(Densidades!A:A,'Memória TOTAL'!X330,Densidades!C:C)</f>
        <v>620</v>
      </c>
      <c r="E330" s="131">
        <f>SUMIF(Formatos!A:A,'Memória TOTAL'!X331,Formatos!E:E)</f>
        <v>0</v>
      </c>
      <c r="F330" s="131">
        <f>SUMIF(Formatos!A:A,'Memória TOTAL'!X331,Formatos!F:F)</f>
        <v>0</v>
      </c>
      <c r="G330" s="131">
        <f>SUMIF(Formatos!A:A,'Memória TOTAL'!X331,Formatos!C:C)</f>
        <v>0</v>
      </c>
      <c r="H330" s="131">
        <f>SUMIF(Formatos!A:A,'Memória TOTAL'!X331,Formatos!D:D)</f>
        <v>0</v>
      </c>
      <c r="I330" s="131">
        <f>SUMIF(Densidades!A:A,'Memória TOTAL'!X330,Densidades!H:H)</f>
        <v>0</v>
      </c>
      <c r="J330" s="132">
        <f>SUMIF(Formatos!A:A,'Memória TOTAL'!X331,Formatos!G:G)</f>
        <v>0</v>
      </c>
      <c r="K330" s="218">
        <f>SUMIF(Densidades!A:A,'Memória TOTAL'!X330,Densidades!I:I)</f>
        <v>177</v>
      </c>
      <c r="L330" s="219">
        <v>0</v>
      </c>
      <c r="M330" s="231"/>
      <c r="N330" s="330" t="s">
        <v>2161</v>
      </c>
      <c r="O330" s="331"/>
      <c r="P330" s="331"/>
      <c r="Q330" s="331"/>
      <c r="R330" s="331"/>
      <c r="S330" s="331"/>
      <c r="T330" s="332"/>
      <c r="U330" s="331"/>
      <c r="V330" s="265">
        <f>IF(H347="","-",SUM(H347))</f>
        <v>0</v>
      </c>
      <c r="W330" s="189">
        <f>IF(V330="-","",ROUNDUP(SUM(V330)*(1+L330),0))</f>
        <v>0</v>
      </c>
      <c r="X330" s="137" t="str">
        <f>X326</f>
        <v/>
      </c>
      <c r="Z330" s="183"/>
      <c r="AA330" s="183"/>
    </row>
    <row r="331" spans="1:27" s="182" customFormat="1" ht="15" customHeight="1">
      <c r="A331" s="211"/>
      <c r="B331" s="190"/>
      <c r="C331" s="196"/>
      <c r="D331" s="191"/>
      <c r="E331" s="191"/>
      <c r="F331" s="191"/>
      <c r="G331" s="191"/>
      <c r="H331" s="191"/>
      <c r="I331" s="191"/>
      <c r="J331" s="192"/>
      <c r="K331" s="192"/>
      <c r="L331" s="140"/>
      <c r="M331" s="231"/>
      <c r="N331" s="330" t="s">
        <v>2162</v>
      </c>
      <c r="O331" s="331"/>
      <c r="P331" s="331"/>
      <c r="Q331" s="331"/>
      <c r="R331" s="331"/>
      <c r="S331" s="331"/>
      <c r="T331" s="331"/>
      <c r="U331" s="331"/>
      <c r="V331" s="329"/>
      <c r="W331" s="181"/>
      <c r="X331" s="137" t="str">
        <f>IF(X330="","",G347)</f>
        <v/>
      </c>
      <c r="Z331" s="183"/>
      <c r="AA331" s="183"/>
    </row>
    <row r="332" spans="1:27" s="182" customFormat="1" ht="15" customHeight="1">
      <c r="A332" s="211"/>
      <c r="B332" s="190"/>
      <c r="C332" s="196"/>
      <c r="D332" s="191"/>
      <c r="E332" s="191"/>
      <c r="F332" s="191"/>
      <c r="G332" s="191"/>
      <c r="H332" s="191"/>
      <c r="I332" s="191"/>
      <c r="J332" s="192"/>
      <c r="K332" s="192"/>
      <c r="L332" s="140"/>
      <c r="M332" s="231"/>
      <c r="N332" s="330" t="s">
        <v>2163</v>
      </c>
      <c r="O332" s="331"/>
      <c r="P332" s="331"/>
      <c r="Q332" s="331"/>
      <c r="R332" s="331"/>
      <c r="S332" s="331"/>
      <c r="T332" s="331"/>
      <c r="U332" s="331"/>
      <c r="V332" s="329"/>
      <c r="W332" s="181"/>
      <c r="X332" s="137" t="s">
        <v>520</v>
      </c>
      <c r="Z332" s="183"/>
      <c r="AA332" s="183"/>
    </row>
    <row r="333" spans="1:27" s="182" customFormat="1" ht="15" customHeight="1">
      <c r="A333" s="211"/>
      <c r="B333" s="190"/>
      <c r="C333" s="196" t="str">
        <f t="shared" ref="C333:L333" si="58">C329</f>
        <v>Dens.</v>
      </c>
      <c r="D333" s="191" t="str">
        <f t="shared" si="58"/>
        <v>Emb.</v>
      </c>
      <c r="E333" s="234" t="str">
        <f t="shared" si="58"/>
        <v>Esp. Tij.</v>
      </c>
      <c r="F333" s="234" t="str">
        <f t="shared" si="58"/>
        <v>Esp. Tij.</v>
      </c>
      <c r="G333" s="234" t="str">
        <f t="shared" si="58"/>
        <v>Comp. Tij.</v>
      </c>
      <c r="H333" s="234" t="str">
        <f t="shared" si="58"/>
        <v>Larg. Tij.</v>
      </c>
      <c r="I333" s="234" t="str">
        <f t="shared" si="58"/>
        <v>Tipo Fator</v>
      </c>
      <c r="J333" s="234" t="str">
        <f t="shared" si="58"/>
        <v>Vol.</v>
      </c>
      <c r="K333" s="234" t="str">
        <f t="shared" si="58"/>
        <v>Class.</v>
      </c>
      <c r="L333" s="191" t="str">
        <f t="shared" si="58"/>
        <v>Coefic. (%)</v>
      </c>
      <c r="M333" s="231"/>
      <c r="N333" s="330" t="s">
        <v>2164</v>
      </c>
      <c r="O333" s="331"/>
      <c r="P333" s="331"/>
      <c r="Q333" s="331"/>
      <c r="R333" s="331"/>
      <c r="S333" s="331"/>
      <c r="T333" s="331"/>
      <c r="U333" s="331"/>
      <c r="V333" s="329"/>
      <c r="W333" s="181"/>
      <c r="X333" s="137"/>
      <c r="Z333" s="183"/>
      <c r="AA333" s="183"/>
    </row>
    <row r="334" spans="1:27" s="182" customFormat="1" ht="15" customHeight="1">
      <c r="A334" s="211"/>
      <c r="B334" s="190"/>
      <c r="C334" s="129">
        <f>SUMIF(Densidades!A:A,'Memória TOTAL'!X334,Densidades!B:B)</f>
        <v>0</v>
      </c>
      <c r="D334" s="130">
        <f>SUMIF(Densidades!A:A,'Memória TOTAL'!X334,Densidades!C:C)</f>
        <v>620</v>
      </c>
      <c r="E334" s="131">
        <f>SUMIF(Formatos!A:A,'Memória TOTAL'!X335,Formatos!E:E)</f>
        <v>0</v>
      </c>
      <c r="F334" s="131">
        <f>SUMIF(Formatos!A:A,'Memória TOTAL'!X335,Formatos!F:F)</f>
        <v>0</v>
      </c>
      <c r="G334" s="131">
        <f>SUMIF(Formatos!A:A,'Memória TOTAL'!X335,Formatos!C:C)</f>
        <v>0</v>
      </c>
      <c r="H334" s="131">
        <f>SUMIF(Formatos!A:A,'Memória TOTAL'!X335,Formatos!D:D)</f>
        <v>0</v>
      </c>
      <c r="I334" s="131">
        <f>SUMIF(Densidades!A:A,'Memória TOTAL'!X334,Densidades!H:H)</f>
        <v>0</v>
      </c>
      <c r="J334" s="132">
        <f>SUMIF(Formatos!A:A,'Memória TOTAL'!X335,Formatos!G:G)</f>
        <v>0</v>
      </c>
      <c r="K334" s="218">
        <f>SUMIF(Densidades!A:A,'Memória TOTAL'!X334,Densidades!I:I)</f>
        <v>177</v>
      </c>
      <c r="L334" s="219">
        <v>0</v>
      </c>
      <c r="M334" s="231"/>
      <c r="N334" s="330" t="s">
        <v>2165</v>
      </c>
      <c r="O334" s="331"/>
      <c r="P334" s="331"/>
      <c r="Q334" s="331"/>
      <c r="R334" s="331"/>
      <c r="S334" s="331"/>
      <c r="T334" s="332"/>
      <c r="U334" s="331"/>
      <c r="V334" s="265">
        <f>IF(H348="","-",SUM(H348))</f>
        <v>0</v>
      </c>
      <c r="W334" s="189">
        <f>IF(V334="-","",ROUNDUP(SUM(V334)*(1+L334),0))</f>
        <v>0</v>
      </c>
      <c r="X334" s="137" t="str">
        <f>X330</f>
        <v/>
      </c>
      <c r="Z334" s="183"/>
      <c r="AA334" s="183"/>
    </row>
    <row r="335" spans="1:27" s="182" customFormat="1" ht="15" customHeight="1">
      <c r="A335" s="211"/>
      <c r="B335" s="190"/>
      <c r="C335" s="196"/>
      <c r="D335" s="191"/>
      <c r="E335" s="191"/>
      <c r="F335" s="191"/>
      <c r="G335" s="191"/>
      <c r="H335" s="191"/>
      <c r="I335" s="191"/>
      <c r="J335" s="192"/>
      <c r="K335" s="192"/>
      <c r="L335" s="140"/>
      <c r="M335" s="191"/>
      <c r="N335" s="330" t="s">
        <v>2166</v>
      </c>
      <c r="O335" s="191"/>
      <c r="P335" s="191"/>
      <c r="Q335" s="191"/>
      <c r="R335" s="191"/>
      <c r="S335" s="191"/>
      <c r="T335" s="191"/>
      <c r="U335" s="191"/>
      <c r="V335" s="193"/>
      <c r="W335" s="181"/>
      <c r="X335" s="137" t="str">
        <f>IF(X334="","",G348)</f>
        <v/>
      </c>
      <c r="Z335" s="183"/>
      <c r="AA335" s="183"/>
    </row>
    <row r="336" spans="1:27" s="182" customFormat="1" ht="15" customHeight="1">
      <c r="A336" s="211"/>
      <c r="B336" s="190"/>
      <c r="C336" s="196"/>
      <c r="D336" s="191"/>
      <c r="E336" s="191"/>
      <c r="F336" s="191"/>
      <c r="G336" s="191"/>
      <c r="H336" s="191"/>
      <c r="I336" s="191"/>
      <c r="J336" s="192"/>
      <c r="K336" s="192"/>
      <c r="L336" s="140"/>
      <c r="M336" s="191"/>
      <c r="N336" s="191"/>
      <c r="O336" s="191"/>
      <c r="P336" s="191"/>
      <c r="Q336" s="191"/>
      <c r="R336" s="191"/>
      <c r="S336" s="191"/>
      <c r="T336" s="191"/>
      <c r="U336" s="191"/>
      <c r="V336" s="193"/>
      <c r="W336" s="181"/>
      <c r="X336" s="137" t="s">
        <v>520</v>
      </c>
      <c r="Z336" s="183"/>
      <c r="AA336" s="183"/>
    </row>
    <row r="337" spans="1:27" s="182" customFormat="1" ht="15" customHeight="1" thickBot="1">
      <c r="A337" s="211"/>
      <c r="B337" s="190"/>
      <c r="C337" s="196"/>
      <c r="D337" s="191"/>
      <c r="E337" s="191"/>
      <c r="F337" s="191"/>
      <c r="G337" s="237"/>
      <c r="H337" s="237"/>
      <c r="I337" s="191"/>
      <c r="J337" s="192"/>
      <c r="K337" s="192"/>
      <c r="L337" s="140"/>
      <c r="M337" s="191"/>
      <c r="N337" s="191"/>
      <c r="O337" s="191"/>
      <c r="P337" s="191"/>
      <c r="Q337" s="191"/>
      <c r="R337" s="191"/>
      <c r="S337" s="191"/>
      <c r="T337" s="191"/>
      <c r="U337" s="191"/>
      <c r="V337" s="193"/>
      <c r="W337" s="181"/>
      <c r="X337" s="137"/>
      <c r="Z337" s="183"/>
      <c r="AA337" s="183"/>
    </row>
    <row r="338" spans="1:27" s="182" customFormat="1" ht="15" customHeight="1" thickBot="1">
      <c r="A338" s="211"/>
      <c r="B338" s="190"/>
      <c r="C338" s="196"/>
      <c r="D338" s="191"/>
      <c r="E338" s="191"/>
      <c r="F338" s="231"/>
      <c r="G338" s="844" t="s">
        <v>1019</v>
      </c>
      <c r="H338" s="844"/>
      <c r="I338" s="232"/>
      <c r="J338" s="192"/>
      <c r="K338" s="192"/>
      <c r="L338" s="192"/>
      <c r="M338" s="845" t="s">
        <v>1011</v>
      </c>
      <c r="N338" s="846"/>
      <c r="O338" s="846"/>
      <c r="P338" s="846"/>
      <c r="Q338" s="847"/>
      <c r="R338" s="845" t="s">
        <v>1012</v>
      </c>
      <c r="S338" s="846"/>
      <c r="T338" s="846"/>
      <c r="U338" s="846"/>
      <c r="V338" s="847"/>
      <c r="W338" s="181"/>
      <c r="X338" s="137"/>
      <c r="Z338" s="183"/>
      <c r="AA338" s="183"/>
    </row>
    <row r="339" spans="1:27" s="182" customFormat="1" ht="15" customHeight="1" thickBot="1">
      <c r="A339" s="211"/>
      <c r="B339" s="190"/>
      <c r="C339" s="293" t="s">
        <v>985</v>
      </c>
      <c r="D339" s="191"/>
      <c r="E339" s="191"/>
      <c r="F339" s="231"/>
      <c r="G339" s="322" t="str">
        <f>M340</f>
        <v>S9X41/2X3</v>
      </c>
      <c r="H339" s="322">
        <f>IF(I339=1,SUMIF(M352:M401,G339,T352:T401)+SUMIF(O352:O401,G339,U352:U401)+SUMIF(Q352:Q401,G339,V352:V401),0)</f>
        <v>0</v>
      </c>
      <c r="I339" s="232">
        <f>COUNTIF(G339,G339)</f>
        <v>1</v>
      </c>
      <c r="J339" s="192"/>
      <c r="K339" s="192"/>
      <c r="L339" s="324" t="s">
        <v>1074</v>
      </c>
      <c r="M339" s="313" t="s">
        <v>104</v>
      </c>
      <c r="N339" s="314" t="s">
        <v>1071</v>
      </c>
      <c r="O339" s="314" t="s">
        <v>65</v>
      </c>
      <c r="P339" s="314" t="s">
        <v>7</v>
      </c>
      <c r="Q339" s="314" t="s">
        <v>15</v>
      </c>
      <c r="R339" s="313" t="s">
        <v>104</v>
      </c>
      <c r="S339" s="314" t="s">
        <v>1071</v>
      </c>
      <c r="T339" s="314" t="s">
        <v>65</v>
      </c>
      <c r="U339" s="314" t="s">
        <v>535</v>
      </c>
      <c r="V339" s="315" t="s">
        <v>536</v>
      </c>
      <c r="W339" s="181"/>
      <c r="X339" s="137"/>
      <c r="Z339" s="183"/>
      <c r="AA339" s="183"/>
    </row>
    <row r="340" spans="1:27" s="182" customFormat="1" ht="15" customHeight="1" thickBot="1">
      <c r="A340" s="211"/>
      <c r="B340" s="190"/>
      <c r="C340" s="252"/>
      <c r="D340" s="191"/>
      <c r="E340" s="191"/>
      <c r="F340" s="231"/>
      <c r="G340" s="322" t="str">
        <f>M341</f>
        <v>A9X41/2X3-23/4</v>
      </c>
      <c r="H340" s="322">
        <f>IF(I340=1,SUMIF(M352:M401,G340,T352:T401)+SUMIF(O352:O401,G340,U352:U401)+SUMIF(Q352:Q401,G340,V352:V401),0)</f>
        <v>0</v>
      </c>
      <c r="I340" s="232">
        <f>COUNTIF(G339:G340,G340)</f>
        <v>1</v>
      </c>
      <c r="J340" s="192"/>
      <c r="K340" s="192"/>
      <c r="L340" s="325" t="e">
        <f>IF(M340="","",((O340*Q340)/(P340-Q340)+O340)*2)</f>
        <v>#DIV/0!</v>
      </c>
      <c r="M340" s="259" t="s">
        <v>1313</v>
      </c>
      <c r="N340" s="316">
        <f>IF(M340="","",IF(VLOOKUP(M340,Formatos!A:F,2,FALSE)="S",IF(VLOOKUP(M341,Formatos!A:F,2,FALSE)="W",VLOOKUP(M341,Formatos!A:F,4,FALSE),VLOOKUP(M341,Formatos!A:F,3,FALSE)),IF(VLOOKUP(M340,Formatos!A:F,2,FALSE)="W",VLOOKUP(M340,Formatos!A:F,4,FALSE),VLOOKUP(M340,Formatos!A:F,3,FALSE))))</f>
        <v>228.6</v>
      </c>
      <c r="O340" s="316">
        <f>IF(M340="","",IF(VLOOKUP(M340,Formatos!A:F,2,FALSE)="S",IF(VLOOKUP(M341,Formatos!A:F,2,FALSE)="W",VLOOKUP(M341,Formatos!A:F,3,FALSE),VLOOKUP(M341,Formatos!A:F,4,FALSE)),IF(VLOOKUP(M340,Formatos!A:F,2,FALSE)="W",VLOOKUP(M340,Formatos!A:F,3,FALSE),VLOOKUP(M340,Formatos!A:F,4,FALSE))))</f>
        <v>114.3</v>
      </c>
      <c r="P340" s="316">
        <f>IF(M340="","",IF(VLOOKUP(M340,Formatos!A:F,5,FALSE)=O340,VLOOKUP(M340,Formatos!A:F,4,FALSE),VLOOKUP(M340,Formatos!A:F,5,FALSE)))</f>
        <v>76.2</v>
      </c>
      <c r="Q340" s="316">
        <f>IF(M340="","",IF(VLOOKUP(M340,Formatos!A:F,6,FALSE)=O340,VLOOKUP(M340,Formatos!A:F,4,FALSE),VLOOKUP(M340,Formatos!A:F,6,FALSE)))</f>
        <v>76.2</v>
      </c>
      <c r="R340" s="259" t="s">
        <v>1521</v>
      </c>
      <c r="S340" s="316">
        <f>IF(R340="","",IF(VLOOKUP(R340,Formatos!A:F,3,FALSE)=N340,VLOOKUP(R340,Formatos!A:F,3,FALSE),VLOOKUP(R340,Formatos!A:F,4,FALSE)))</f>
        <v>228.6</v>
      </c>
      <c r="T340" s="316">
        <f>IF(R340="","",IF(VLOOKUP(R340,Formatos!A:F,4,FALSE)=O340,VLOOKUP(R340,Formatos!A:F,4,FALSE),VLOOKUP(R340,Formatos!A:F,3,FALSE)))</f>
        <v>114.3</v>
      </c>
      <c r="U340" s="316">
        <f>IF(R340="","",VLOOKUP(R340,Formatos!A:F,5,FALSE))</f>
        <v>76.2</v>
      </c>
      <c r="V340" s="316">
        <f>IF(R340="","",VLOOKUP(R340,Formatos!A:F,6,FALSE))</f>
        <v>50.8</v>
      </c>
      <c r="W340" s="181"/>
      <c r="X340" s="137"/>
      <c r="Z340" s="183"/>
      <c r="AA340" s="183"/>
    </row>
    <row r="341" spans="1:27" s="182" customFormat="1" ht="15" customHeight="1" thickBot="1">
      <c r="A341" s="211"/>
      <c r="B341" s="190"/>
      <c r="C341" s="196"/>
      <c r="D341" s="191"/>
      <c r="E341" s="191"/>
      <c r="F341" s="231"/>
      <c r="G341" s="322">
        <f>M342</f>
        <v>0</v>
      </c>
      <c r="H341" s="322" t="e">
        <f>IF(I341=1,SUMIF(M352:M401,G341,T352:T401)+SUMIF(O352:O401,G341,U352:U401)+SUMIF(Q352:Q401,G341,V352:V401),0)</f>
        <v>#N/A</v>
      </c>
      <c r="I341" s="232">
        <f>COUNTIF(G339:G341,G341)</f>
        <v>1</v>
      </c>
      <c r="J341" s="192"/>
      <c r="K341" s="192"/>
      <c r="L341" s="325">
        <f>IF(M341="","",((O341*Q341)/(P341-Q341)+O341)*2)</f>
        <v>2764.9714285714299</v>
      </c>
      <c r="M341" s="259" t="s">
        <v>1122</v>
      </c>
      <c r="N341" s="316">
        <f>IF(M341="","",IF(VLOOKUP(M341,Formatos!A:F,2,FALSE)="S",IF(VLOOKUP(M342,Formatos!A:F,2,FALSE)="W",VLOOKUP(M342,Formatos!A:F,4,FALSE),VLOOKUP(M342,Formatos!A:F,3,FALSE)),IF(VLOOKUP(M341,Formatos!A:F,2,FALSE)="W",VLOOKUP(M341,Formatos!A:F,4,FALSE),VLOOKUP(M341,Formatos!A:F,3,FALSE))))</f>
        <v>228.6</v>
      </c>
      <c r="O341" s="316">
        <f>IF(M341="","",IF(VLOOKUP(M341,Formatos!A:F,2,FALSE)="S",IF(VLOOKUP(M342,Formatos!A:F,2,FALSE)="W",VLOOKUP(M342,Formatos!A:F,3,FALSE),VLOOKUP(M342,Formatos!A:F,4,FALSE)),IF(VLOOKUP(M341,Formatos!A:F,2,FALSE)="W",VLOOKUP(M341,Formatos!A:F,3,FALSE),VLOOKUP(M341,Formatos!A:F,4,FALSE))))</f>
        <v>114.3</v>
      </c>
      <c r="P341" s="316">
        <f>IF(M341="","",IF(VLOOKUP(M341,Formatos!A:F,5,FALSE)=O341,VLOOKUP(M341,Formatos!A:F,4,FALSE),VLOOKUP(M341,Formatos!A:F,5,FALSE)))</f>
        <v>76.2</v>
      </c>
      <c r="Q341" s="316">
        <f>IF(M341="","",IF(VLOOKUP(M341,Formatos!A:F,6,FALSE)=O341,VLOOKUP(M341,Formatos!A:F,4,FALSE),VLOOKUP(M341,Formatos!A:F,6,FALSE)))</f>
        <v>69.900000000000006</v>
      </c>
      <c r="R341" s="259"/>
      <c r="S341" s="316" t="str">
        <f>IF(R341="","",IF(VLOOKUP(R341,Formatos!A:F,3,FALSE)=N340,VLOOKUP(R341,Formatos!A:F,3,FALSE),VLOOKUP(R341,Formatos!A:F,4,FALSE)))</f>
        <v/>
      </c>
      <c r="T341" s="316" t="str">
        <f>IF(R341="","",IF(VLOOKUP(R341,Formatos!A:F,4,FALSE)=O340,VLOOKUP(R341,Formatos!A:F,4,FALSE),VLOOKUP(R341,Formatos!A:F,3,FALSE)))</f>
        <v/>
      </c>
      <c r="U341" s="316" t="str">
        <f>IF(R341="","",VLOOKUP(R341,Formatos!A:F,5,FALSE))</f>
        <v/>
      </c>
      <c r="V341" s="316" t="str">
        <f>IF(R341="","",VLOOKUP(R341,Formatos!A:F,6,FALSE))</f>
        <v/>
      </c>
      <c r="W341" s="181"/>
      <c r="X341" s="137"/>
      <c r="Z341" s="183"/>
      <c r="AA341" s="183"/>
    </row>
    <row r="342" spans="1:27" s="182" customFormat="1" ht="15" customHeight="1" thickBot="1">
      <c r="A342" s="211"/>
      <c r="B342" s="190"/>
      <c r="C342" s="293" t="s">
        <v>46</v>
      </c>
      <c r="D342" s="191"/>
      <c r="E342" s="191"/>
      <c r="F342" s="231"/>
      <c r="G342" s="322">
        <f>M343</f>
        <v>0</v>
      </c>
      <c r="H342" s="322">
        <f>IF(I342=1,SUMIF(M352:M401,G342,T352:T401)+SUMIF(O352:O401,G342,U352:U401)+SUMIF(Q352:Q401,G342,V352:V401),0)</f>
        <v>0</v>
      </c>
      <c r="I342" s="232">
        <f>COUNTIF(G339:G342,G342)</f>
        <v>2</v>
      </c>
      <c r="J342" s="192"/>
      <c r="K342" s="192"/>
      <c r="L342" s="325" t="str">
        <f>IF(M342="","",((O342*Q342)/(P342-Q342)+O342)*2)</f>
        <v/>
      </c>
      <c r="M342" s="259"/>
      <c r="N342" s="316" t="str">
        <f>IF(M342="","",IF(VLOOKUP(M342,Formatos!A:F,2,FALSE)="S",IF(VLOOKUP(M343,Formatos!A:F,2,FALSE)="W",VLOOKUP(M343,Formatos!A:F,4,FALSE),VLOOKUP(M343,Formatos!A:F,3,FALSE)),IF(VLOOKUP(M342,Formatos!A:F,2,FALSE)="W",VLOOKUP(M342,Formatos!A:F,4,FALSE),VLOOKUP(M342,Formatos!A:F,3,FALSE))))</f>
        <v/>
      </c>
      <c r="O342" s="316" t="str">
        <f>IF(M342="","",IF(VLOOKUP(M342,Formatos!A:F,2,FALSE)="S",IF(VLOOKUP(M343,Formatos!A:F,2,FALSE)="W",VLOOKUP(M343,Formatos!A:F,3,FALSE),VLOOKUP(M343,Formatos!A:F,4,FALSE)),IF(VLOOKUP(M342,Formatos!A:F,2,FALSE)="W",VLOOKUP(M342,Formatos!A:F,3,FALSE),VLOOKUP(M342,Formatos!A:F,4,FALSE))))</f>
        <v/>
      </c>
      <c r="P342" s="316" t="str">
        <f>IF(M342="","",IF(VLOOKUP(M342,Formatos!A:F,5,FALSE)=O342,VLOOKUP(M342,Formatos!A:F,4,FALSE),VLOOKUP(M342,Formatos!A:F,5,FALSE)))</f>
        <v/>
      </c>
      <c r="Q342" s="316" t="str">
        <f>IF(M342="","",IF(VLOOKUP(M342,Formatos!A:F,6,FALSE)=O342,VLOOKUP(M342,Formatos!A:F,4,FALSE),VLOOKUP(M342,Formatos!A:F,6,FALSE)))</f>
        <v/>
      </c>
      <c r="R342" s="259"/>
      <c r="S342" s="316" t="str">
        <f>IF(R342="","",IF(VLOOKUP(R342,Formatos!A:F,3,FALSE)=N340,VLOOKUP(R342,Formatos!A:F,3,FALSE),VLOOKUP(R342,Formatos!A:F,4,FALSE)))</f>
        <v/>
      </c>
      <c r="T342" s="316" t="str">
        <f>IF(R342="","",IF(VLOOKUP(R342,Formatos!A:F,4,FALSE)=O340,VLOOKUP(R342,Formatos!A:F,4,FALSE),VLOOKUP(R342,Formatos!A:F,3,FALSE)))</f>
        <v/>
      </c>
      <c r="U342" s="316" t="str">
        <f>IF(R342="","",VLOOKUP(R342,Formatos!A:F,5,FALSE))</f>
        <v/>
      </c>
      <c r="V342" s="316" t="str">
        <f>IF(R342="","",VLOOKUP(R342,Formatos!A:F,6,FALSE))</f>
        <v/>
      </c>
      <c r="W342" s="181"/>
      <c r="X342" s="137"/>
      <c r="Z342" s="183"/>
      <c r="AA342" s="183"/>
    </row>
    <row r="343" spans="1:27" s="182" customFormat="1" ht="15" customHeight="1" thickBot="1">
      <c r="A343" s="211"/>
      <c r="B343" s="190"/>
      <c r="C343" s="602"/>
      <c r="D343" s="191"/>
      <c r="E343" s="191"/>
      <c r="F343" s="231"/>
      <c r="G343" s="322">
        <f>M344</f>
        <v>0</v>
      </c>
      <c r="H343" s="322">
        <f>IF(I343=1,SUMIF(M352:M401,G343,T352:T401)+SUMIF(O352:O401,G343,U352:U401)+SUMIF(Q352:Q401,G343,V352:V401),0)</f>
        <v>0</v>
      </c>
      <c r="I343" s="232">
        <f>COUNTIF(G339:G343,G343)</f>
        <v>3</v>
      </c>
      <c r="J343" s="192"/>
      <c r="K343" s="192"/>
      <c r="L343" s="192" t="str">
        <f>IF(M343="","",((O343*Q343)/(P343-Q343)+O343)*2)</f>
        <v/>
      </c>
      <c r="M343" s="259"/>
      <c r="N343" s="316" t="str">
        <f>IF(M343="","",IF(VLOOKUP(M343,Formatos!A:F,2,FALSE)="S",IF(VLOOKUP(M344,Formatos!A:F,2,FALSE)="W",VLOOKUP(M344,Formatos!A:F,4,FALSE),VLOOKUP(M344,Formatos!A:F,3,FALSE)),IF(VLOOKUP(M343,Formatos!A:F,2,FALSE)="W",VLOOKUP(M343,Formatos!A:F,4,FALSE),VLOOKUP(M343,Formatos!A:F,3,FALSE))))</f>
        <v/>
      </c>
      <c r="O343" s="316" t="str">
        <f>IF(M343="","",IF(VLOOKUP(M343,Formatos!A:F,2,FALSE)="S",IF(VLOOKUP(M344,Formatos!A:F,2,FALSE)="W",VLOOKUP(M344,Formatos!A:F,3,FALSE),VLOOKUP(M344,Formatos!A:F,4,FALSE)),IF(VLOOKUP(M343,Formatos!A:F,2,FALSE)="W",VLOOKUP(M343,Formatos!A:F,3,FALSE),VLOOKUP(M343,Formatos!A:F,4,FALSE))))</f>
        <v/>
      </c>
      <c r="P343" s="316" t="str">
        <f>IF(M343="","",IF(VLOOKUP(M343,Formatos!A:F,5,FALSE)=O343,VLOOKUP(M343,Formatos!A:F,4,FALSE),VLOOKUP(M343,Formatos!A:F,5,FALSE)))</f>
        <v/>
      </c>
      <c r="Q343" s="316" t="str">
        <f>IF(M343="","",IF(VLOOKUP(M343,Formatos!A:F,6,FALSE)=O343,VLOOKUP(M343,Formatos!A:F,4,FALSE),VLOOKUP(M343,Formatos!A:F,6,FALSE)))</f>
        <v/>
      </c>
      <c r="R343" s="259"/>
      <c r="S343" s="316" t="str">
        <f>IF(R343="","",IF(VLOOKUP(R343,Formatos!A:F,3,FALSE)=N340,VLOOKUP(R343,Formatos!A:F,3,FALSE),VLOOKUP(R343,Formatos!A:F,4,FALSE)))</f>
        <v/>
      </c>
      <c r="T343" s="316" t="str">
        <f>IF(R343="","",IF(VLOOKUP(R343,Formatos!A:F,4,FALSE)=O340,VLOOKUP(R343,Formatos!A:F,4,FALSE),VLOOKUP(R343,Formatos!A:F,3,FALSE)))</f>
        <v/>
      </c>
      <c r="U343" s="316" t="str">
        <f>IF(R343="","",VLOOKUP(R343,Formatos!A:F,5,FALSE))</f>
        <v/>
      </c>
      <c r="V343" s="316" t="str">
        <f>IF(R343="","",VLOOKUP(R343,Formatos!A:F,6,FALSE))</f>
        <v/>
      </c>
      <c r="W343" s="181"/>
      <c r="X343" s="137"/>
      <c r="Z343" s="183"/>
      <c r="AA343" s="183"/>
    </row>
    <row r="344" spans="1:27" s="182" customFormat="1" ht="15" customHeight="1" thickBot="1">
      <c r="A344" s="211"/>
      <c r="B344" s="190"/>
      <c r="C344" s="196"/>
      <c r="D344" s="191"/>
      <c r="E344" s="191"/>
      <c r="F344" s="231"/>
      <c r="G344" s="322" t="str">
        <f>R340</f>
        <v>W9X41/2X3-2</v>
      </c>
      <c r="H344" s="322">
        <f>IF(I344=1,SUMIF(M352:M401,G344,T352:T401)+SUMIF(O352:O401,G344,U352:U401)+SUMIF(Q352:Q401,G344,V352:V401),0)</f>
        <v>0</v>
      </c>
      <c r="I344" s="232">
        <f>COUNTIF(G339:G344,G344)</f>
        <v>1</v>
      </c>
      <c r="J344" s="192"/>
      <c r="K344" s="192"/>
      <c r="L344" s="192" t="str">
        <f>IF(M344="","",((O344*Q344)/(P344-Q344)+O344)*2)</f>
        <v/>
      </c>
      <c r="M344" s="259"/>
      <c r="N344" s="316" t="str">
        <f>IF(M344="","",IF(VLOOKUP(M344,Formatos!A:F,2,FALSE)="S",IF(VLOOKUP(M345,Formatos!A:F,2,FALSE)="W",VLOOKUP(M345,Formatos!A:F,4,FALSE),VLOOKUP(M345,Formatos!A:F,3,FALSE)),IF(VLOOKUP(M344,Formatos!A:F,2,FALSE)="W",VLOOKUP(M344,Formatos!A:F,4,FALSE),VLOOKUP(M344,Formatos!A:F,3,FALSE))))</f>
        <v/>
      </c>
      <c r="O344" s="316" t="str">
        <f>IF(M344="","",IF(VLOOKUP(M344,Formatos!A:F,2,FALSE)="S",IF(VLOOKUP(M345,Formatos!A:F,2,FALSE)="W",VLOOKUP(M345,Formatos!A:F,3,FALSE),VLOOKUP(M345,Formatos!A:F,4,FALSE)),IF(VLOOKUP(M344,Formatos!A:F,2,FALSE)="W",VLOOKUP(M344,Formatos!A:F,3,FALSE),VLOOKUP(M344,Formatos!A:F,4,FALSE))))</f>
        <v/>
      </c>
      <c r="P344" s="316" t="str">
        <f>IF(M344="","",IF(VLOOKUP(M344,Formatos!A:F,5,FALSE)=O344,VLOOKUP(M344,Formatos!A:F,4,FALSE),VLOOKUP(M344,Formatos!A:F,5,FALSE)))</f>
        <v/>
      </c>
      <c r="Q344" s="316" t="str">
        <f>IF(M344="","",IF(VLOOKUP(M344,Formatos!A:F,6,FALSE)=O344,VLOOKUP(M344,Formatos!A:F,4,FALSE),VLOOKUP(M344,Formatos!A:F,6,FALSE)))</f>
        <v/>
      </c>
      <c r="R344" s="259"/>
      <c r="S344" s="316" t="str">
        <f>IF(R344="","",IF(VLOOKUP(R344,Formatos!A:F,3,FALSE)=N340,VLOOKUP(R344,Formatos!A:F,3,FALSE),VLOOKUP(R344,Formatos!A:F,4,FALSE)))</f>
        <v/>
      </c>
      <c r="T344" s="316" t="str">
        <f>IF(R344="","",IF(VLOOKUP(R344,Formatos!A:F,4,FALSE)=O340,VLOOKUP(R344,Formatos!A:F,4,FALSE),VLOOKUP(R344,Formatos!A:F,3,FALSE)))</f>
        <v/>
      </c>
      <c r="U344" s="316" t="str">
        <f>IF(R344="","",VLOOKUP(R344,Formatos!A:F,5,FALSE))</f>
        <v/>
      </c>
      <c r="V344" s="316" t="str">
        <f>IF(R344="","",VLOOKUP(R344,Formatos!A:F,6,FALSE))</f>
        <v/>
      </c>
      <c r="W344" s="181"/>
      <c r="X344" s="137"/>
      <c r="Z344" s="183"/>
      <c r="AA344" s="183"/>
    </row>
    <row r="345" spans="1:27" s="182" customFormat="1" ht="15" customHeight="1" thickBot="1">
      <c r="A345" s="211"/>
      <c r="B345" s="190"/>
      <c r="C345" s="293" t="s">
        <v>53</v>
      </c>
      <c r="D345" s="191"/>
      <c r="E345" s="191"/>
      <c r="F345" s="231"/>
      <c r="G345" s="322">
        <f>R341</f>
        <v>0</v>
      </c>
      <c r="H345" s="322">
        <f>IF(I345=1,SUMIF(M352:M401,G345,T352:T401)+SUMIF(O352:O401,G345,U352:U401)+SUMIF(Q352:Q401,G345,V352:V401),0)</f>
        <v>0</v>
      </c>
      <c r="I345" s="232">
        <f>COUNTIF(G339:G345,G345)</f>
        <v>4</v>
      </c>
      <c r="J345" s="192"/>
      <c r="K345" s="192"/>
      <c r="L345" s="192"/>
      <c r="S345" s="191"/>
      <c r="T345" s="191"/>
      <c r="U345" s="191"/>
      <c r="V345" s="193"/>
      <c r="W345" s="181"/>
      <c r="X345" s="137"/>
      <c r="Z345" s="183"/>
      <c r="AA345" s="183"/>
    </row>
    <row r="346" spans="1:27" s="182" customFormat="1" ht="15" customHeight="1" thickBot="1">
      <c r="A346" s="211"/>
      <c r="B346" s="190"/>
      <c r="C346" s="252"/>
      <c r="D346" s="191"/>
      <c r="E346" s="191"/>
      <c r="F346" s="231"/>
      <c r="G346" s="322">
        <f>R342</f>
        <v>0</v>
      </c>
      <c r="H346" s="322">
        <f>IF(I346=1,SUMIF(M352:M401,G346,T352:T401)+SUMIF(O352:O401,G346,U352:U401)+SUMIF(Q352:Q401,G346,V352:V401),0)</f>
        <v>0</v>
      </c>
      <c r="I346" s="232">
        <f>COUNTIF(G339:G346,G346)</f>
        <v>5</v>
      </c>
      <c r="J346" s="192"/>
      <c r="K346" s="192"/>
      <c r="L346" s="192"/>
      <c r="M346" s="317" t="s">
        <v>1010</v>
      </c>
      <c r="N346" s="317" t="str">
        <f>IF(R340="","CN1",R340)</f>
        <v>W9X41/2X3-2</v>
      </c>
      <c r="O346" s="317" t="str">
        <f>IF(R341="","CN2",R341)</f>
        <v>CN2</v>
      </c>
      <c r="P346" s="317" t="str">
        <f>IF(R342="","CN3",R342)</f>
        <v>CN3</v>
      </c>
      <c r="Q346" s="317" t="str">
        <f>IF(R343="","CN4",R343)</f>
        <v>CN4</v>
      </c>
      <c r="R346" s="317" t="str">
        <f>IF(R344="","CN5",R344)</f>
        <v>CN5</v>
      </c>
      <c r="S346" s="191"/>
      <c r="T346" s="191"/>
      <c r="U346" s="191"/>
      <c r="V346" s="193"/>
      <c r="W346" s="181"/>
      <c r="X346" s="137"/>
      <c r="Z346" s="183"/>
      <c r="AA346" s="183"/>
    </row>
    <row r="347" spans="1:27" s="182" customFormat="1" ht="15" customHeight="1" thickBot="1">
      <c r="A347" s="211"/>
      <c r="B347" s="190"/>
      <c r="C347" s="196"/>
      <c r="D347" s="191"/>
      <c r="E347" s="191"/>
      <c r="F347" s="231"/>
      <c r="G347" s="322">
        <f>R343</f>
        <v>0</v>
      </c>
      <c r="H347" s="322">
        <f>IF(I347=1,SUMIF(M352:M401,G347,T352:T401)+SUMIF(O352:O401,G347,U352:U401)+SUMIF(Q352:Q401,G347,V352:V401),0)</f>
        <v>0</v>
      </c>
      <c r="I347" s="232">
        <f>COUNTIF(G338:G347,G347)</f>
        <v>6</v>
      </c>
      <c r="J347" s="192"/>
      <c r="K347" s="192"/>
      <c r="L347" s="192"/>
      <c r="M347" s="572">
        <f>C346</f>
        <v>0</v>
      </c>
      <c r="N347" s="318">
        <f>IF(R340="","",SIN(RADIANS(M347))*S340*2*PI()/(U340-V340))</f>
        <v>0</v>
      </c>
      <c r="O347" s="318" t="str">
        <f>IF(R341="","",SIN(RADIANS(M347))*S341*2*PI()/(U341-V341))</f>
        <v/>
      </c>
      <c r="P347" s="318" t="str">
        <f>IF(R342="","",SIN(RADIANS(M347))*S342*2*PI()/(U342-V342))</f>
        <v/>
      </c>
      <c r="Q347" s="318" t="str">
        <f>IF(R343="","",SIN(RADIANS(M347))*S343*2*PI()/(U343-V343))</f>
        <v/>
      </c>
      <c r="R347" s="318" t="str">
        <f>IF(R344="","",SIN(RADIANS(M347))*S344*2*PI()/(U344-V344))</f>
        <v/>
      </c>
      <c r="S347" s="191"/>
      <c r="T347" s="191"/>
      <c r="U347" s="191"/>
      <c r="V347" s="193"/>
      <c r="W347" s="181"/>
      <c r="X347" s="137"/>
      <c r="Z347" s="183"/>
      <c r="AA347" s="183"/>
    </row>
    <row r="348" spans="1:27" s="182" customFormat="1" ht="15" customHeight="1">
      <c r="A348" s="211"/>
      <c r="B348" s="190"/>
      <c r="C348" s="196"/>
      <c r="D348" s="191"/>
      <c r="E348" s="191"/>
      <c r="F348" s="231"/>
      <c r="G348" s="322">
        <f>R344</f>
        <v>0</v>
      </c>
      <c r="H348" s="322">
        <f>IF(I348=1,SUMIF(M352:M401,G348,T352:T401)+SUMIF(O352:O401,G348,U352:U401)+SUMIF(Q352:Q401,G348,V352:V401),0)</f>
        <v>0</v>
      </c>
      <c r="I348" s="232">
        <f>COUNTIF(G339:G348,G348)</f>
        <v>7</v>
      </c>
      <c r="J348" s="192"/>
      <c r="K348" s="192"/>
      <c r="L348" s="192"/>
      <c r="M348" s="191"/>
      <c r="N348" s="191"/>
      <c r="O348" s="191"/>
      <c r="P348" s="191"/>
      <c r="Q348" s="191"/>
      <c r="R348" s="191"/>
      <c r="S348" s="191"/>
      <c r="T348" s="191"/>
      <c r="U348" s="191"/>
      <c r="V348" s="193"/>
      <c r="W348" s="227"/>
      <c r="X348" s="137"/>
      <c r="Z348" s="183"/>
      <c r="AA348" s="183"/>
    </row>
    <row r="349" spans="1:27" s="182" customFormat="1" ht="15" customHeight="1">
      <c r="A349" s="211"/>
      <c r="B349" s="190"/>
      <c r="C349" s="196"/>
      <c r="D349" s="191"/>
      <c r="E349" s="191"/>
      <c r="F349" s="191"/>
      <c r="G349" s="191"/>
      <c r="H349" s="191"/>
      <c r="I349" s="191"/>
      <c r="J349" s="192"/>
      <c r="K349" s="192"/>
      <c r="L349" s="192"/>
      <c r="M349" s="191"/>
      <c r="N349" s="191"/>
      <c r="O349" s="191"/>
      <c r="P349" s="191"/>
      <c r="Q349" s="191"/>
      <c r="R349" s="191"/>
      <c r="S349" s="191"/>
      <c r="T349" s="191"/>
      <c r="U349" s="191"/>
      <c r="V349" s="193"/>
      <c r="W349" s="181"/>
      <c r="X349" s="137"/>
      <c r="Z349" s="183"/>
      <c r="AA349" s="183"/>
    </row>
    <row r="350" spans="1:27" s="182" customFormat="1" ht="15" customHeight="1">
      <c r="A350" s="211"/>
      <c r="B350" s="190"/>
      <c r="C350" s="196"/>
      <c r="D350" s="191"/>
      <c r="E350" s="191"/>
      <c r="F350" s="191"/>
      <c r="G350" s="191"/>
      <c r="H350" s="191"/>
      <c r="I350" s="191"/>
      <c r="J350" s="192"/>
      <c r="K350" s="192"/>
      <c r="L350" s="140"/>
      <c r="M350" s="191"/>
      <c r="N350" s="191"/>
      <c r="O350" s="191"/>
      <c r="P350" s="191"/>
      <c r="Q350" s="191"/>
      <c r="R350" s="191"/>
      <c r="S350" s="191"/>
      <c r="T350" s="191"/>
      <c r="U350" s="191"/>
      <c r="V350" s="193"/>
      <c r="W350" s="181"/>
      <c r="X350" s="137"/>
      <c r="Z350" s="183"/>
      <c r="AA350" s="183"/>
    </row>
    <row r="351" spans="1:27" s="182" customFormat="1" ht="15" customHeight="1" thickBot="1">
      <c r="A351" s="211"/>
      <c r="B351" s="190"/>
      <c r="C351" s="293" t="s">
        <v>985</v>
      </c>
      <c r="D351" s="312" t="s">
        <v>1013</v>
      </c>
      <c r="E351" s="311" t="s">
        <v>1014</v>
      </c>
      <c r="F351" s="311" t="s">
        <v>1015</v>
      </c>
      <c r="G351" s="320" t="s">
        <v>1017</v>
      </c>
      <c r="H351" s="320" t="s">
        <v>7</v>
      </c>
      <c r="I351" s="320" t="s">
        <v>15</v>
      </c>
      <c r="J351" s="320" t="s">
        <v>535</v>
      </c>
      <c r="K351" s="320" t="s">
        <v>536</v>
      </c>
      <c r="L351" s="311" t="s">
        <v>1016</v>
      </c>
      <c r="M351" s="168"/>
      <c r="N351" s="191" t="s">
        <v>57</v>
      </c>
      <c r="O351" s="237"/>
      <c r="P351" s="191" t="s">
        <v>54</v>
      </c>
      <c r="Q351" s="237"/>
      <c r="R351" s="191" t="s">
        <v>55</v>
      </c>
      <c r="S351" s="237" t="s">
        <v>1018</v>
      </c>
      <c r="T351" s="191" t="s">
        <v>57</v>
      </c>
      <c r="U351" s="191" t="s">
        <v>54</v>
      </c>
      <c r="V351" s="193" t="s">
        <v>55</v>
      </c>
      <c r="W351" s="181"/>
      <c r="X351" s="137"/>
      <c r="Z351" s="183"/>
      <c r="AA351" s="183"/>
    </row>
    <row r="352" spans="1:27" s="182" customFormat="1" ht="15" customHeight="1">
      <c r="A352" s="211"/>
      <c r="B352" s="164" t="s">
        <v>1020</v>
      </c>
      <c r="C352" s="293">
        <f>C340</f>
        <v>0</v>
      </c>
      <c r="D352" s="319">
        <f>(C352-(SIN(RADIANS(M347))*N340)-(COS(RADIANS(M347))*O340))*PI()/MEDIAN(U340:V344,P340:Q344)</f>
        <v>-4.7123889803846897</v>
      </c>
      <c r="E352" s="319" t="e">
        <f>(C352*PI()-N352*(G352+C343))/PI()</f>
        <v>#N/A</v>
      </c>
      <c r="F352" s="319" t="e">
        <f>E352-2*O340*COS(RADIANS(M347))</f>
        <v>#N/A</v>
      </c>
      <c r="G352" s="321" t="e">
        <f>ROUND(VLOOKUP(M352,R340:V344,4,FALSE),)</f>
        <v>#N/A</v>
      </c>
      <c r="H352" s="321" t="e">
        <f>ROUND(VLOOKUP(O352,M340:Q344,4,FALSE),)</f>
        <v>#N/A</v>
      </c>
      <c r="I352" s="321" t="e">
        <f>ROUND(VLOOKUP(O352,M340:Q344,5,FALSE),)</f>
        <v>#N/A</v>
      </c>
      <c r="J352" s="321" t="e">
        <f>ROUND(VLOOKUP(Q352,M340:Q344,4,FALSE),)</f>
        <v>#N/A</v>
      </c>
      <c r="K352" s="321" t="e">
        <f>ROUND(VLOOKUP(Q352,M340:Q344,5,FALSE),)</f>
        <v>#N/A</v>
      </c>
      <c r="L352" s="614">
        <f t="shared" ref="L352:L383" si="59">D352/3</f>
        <v>-1.5707963267948966</v>
      </c>
      <c r="M352" s="284"/>
      <c r="N352" s="615" t="e">
        <f>ROUND(HLOOKUP(M352,N346:R347,2,FALSE),)</f>
        <v>#N/A</v>
      </c>
      <c r="O352" s="284"/>
      <c r="P352" s="616" t="e">
        <f>PI()*(F352*(J352+C343)-E352*(K352+C343))/(((J352+C343)*(I352+C343))-((H352+C343)*(K352+C343)))</f>
        <v>#N/A</v>
      </c>
      <c r="Q352" s="284"/>
      <c r="R352" s="616" t="e">
        <f>(E352*PI()-P352*(H352+C343))/(J352+C343)</f>
        <v>#N/A</v>
      </c>
      <c r="S352" s="618">
        <v>360</v>
      </c>
      <c r="T352" s="232" t="e">
        <f t="shared" ref="T352:T383" si="60">ROUND(N352/360*S352,)</f>
        <v>#N/A</v>
      </c>
      <c r="U352" s="191" t="e">
        <f t="shared" ref="U352:U383" si="61">ROUND(P352/360*S352,)</f>
        <v>#N/A</v>
      </c>
      <c r="V352" s="191" t="e">
        <f t="shared" ref="V352:V383" si="62">ROUND(R352/360*S352,)</f>
        <v>#N/A</v>
      </c>
      <c r="W352" s="181"/>
      <c r="X352" s="137"/>
      <c r="Z352" s="183"/>
      <c r="AA352" s="183"/>
    </row>
    <row r="353" spans="1:27" s="182" customFormat="1" ht="15" customHeight="1">
      <c r="A353" s="211"/>
      <c r="B353" s="164" t="s">
        <v>1021</v>
      </c>
      <c r="C353" s="294">
        <f>C352+2*SIN(RADIANS(M347))*(N340+C343)</f>
        <v>0</v>
      </c>
      <c r="D353" s="319">
        <f>(C353-(SIN(RADIANS(M347))*N340)-(COS(RADIANS(M347))*O340))*PI()/MEDIAN(U340:V344,P340:Q344)</f>
        <v>-4.7123889803846897</v>
      </c>
      <c r="E353" s="319" t="e">
        <f>(C353*PI()-N353*(G353+C343))/PI()</f>
        <v>#N/A</v>
      </c>
      <c r="F353" s="319" t="e">
        <f>E353-2*O340*COS(RADIANS(M347))</f>
        <v>#N/A</v>
      </c>
      <c r="G353" s="321" t="e">
        <f>ROUND(VLOOKUP(M353,R340:V344,4,FALSE),)</f>
        <v>#N/A</v>
      </c>
      <c r="H353" s="321" t="e">
        <f>ROUND(VLOOKUP(O353,M340:Q344,4,FALSE),)</f>
        <v>#N/A</v>
      </c>
      <c r="I353" s="321" t="e">
        <f>ROUND(VLOOKUP(O353,M340:Q344,5,FALSE),)</f>
        <v>#N/A</v>
      </c>
      <c r="J353" s="321" t="e">
        <f>ROUND(VLOOKUP(Q353,M340:Q344,4,FALSE),)</f>
        <v>#N/A</v>
      </c>
      <c r="K353" s="321" t="e">
        <f>ROUND(VLOOKUP(Q353,M340:Q344,5,FALSE),)</f>
        <v>#N/A</v>
      </c>
      <c r="L353" s="614">
        <f t="shared" si="59"/>
        <v>-1.5707963267948966</v>
      </c>
      <c r="M353" s="617">
        <f t="shared" ref="M353:M384" si="63">M352</f>
        <v>0</v>
      </c>
      <c r="N353" s="615" t="e">
        <f>ROUND(HLOOKUP(M353,N346:R347,2,FALSE),)</f>
        <v>#N/A</v>
      </c>
      <c r="O353" s="617">
        <f t="shared" ref="O353:O384" si="64">O352</f>
        <v>0</v>
      </c>
      <c r="P353" s="616" t="e">
        <f>PI()*(F353*(J353+C343)-E353*(K353+C343))/(((J353+C343)*(I353+C343))-((H353+C343)*(K353+C343)))</f>
        <v>#N/A</v>
      </c>
      <c r="Q353" s="617">
        <f t="shared" ref="Q353:Q384" si="65">Q352</f>
        <v>0</v>
      </c>
      <c r="R353" s="616" t="e">
        <f>(E353*PI()-P353*(H353+C343))/(J353+C343)</f>
        <v>#N/A</v>
      </c>
      <c r="S353" s="619">
        <f>S352</f>
        <v>360</v>
      </c>
      <c r="T353" s="232" t="e">
        <f t="shared" si="60"/>
        <v>#N/A</v>
      </c>
      <c r="U353" s="191" t="e">
        <f t="shared" si="61"/>
        <v>#N/A</v>
      </c>
      <c r="V353" s="191" t="e">
        <f t="shared" si="62"/>
        <v>#N/A</v>
      </c>
      <c r="W353" s="181"/>
      <c r="X353" s="137"/>
      <c r="Z353" s="183"/>
      <c r="AA353" s="183"/>
    </row>
    <row r="354" spans="1:27" s="182" customFormat="1" ht="15" customHeight="1">
      <c r="A354" s="211"/>
      <c r="B354" s="164" t="s">
        <v>1022</v>
      </c>
      <c r="C354" s="294">
        <f>C353+2*SIN(RADIANS(M347))*(N340+C343)</f>
        <v>0</v>
      </c>
      <c r="D354" s="319">
        <f>(C354-(SIN(RADIANS(M347))*N340)-(COS(RADIANS(M347))*O340))*PI()/MEDIAN(U340:V344,P340:Q344)</f>
        <v>-4.7123889803846897</v>
      </c>
      <c r="E354" s="319" t="e">
        <f>(C354*PI()-N354*(G354+C343))/PI()</f>
        <v>#N/A</v>
      </c>
      <c r="F354" s="319" t="e">
        <f>E354-2*O340*COS(RADIANS(M347))</f>
        <v>#N/A</v>
      </c>
      <c r="G354" s="321" t="e">
        <f>ROUND(VLOOKUP(M354,R340:V344,4,FALSE),)</f>
        <v>#N/A</v>
      </c>
      <c r="H354" s="321" t="e">
        <f>ROUND(VLOOKUP(O354,M340:Q344,4,FALSE),)</f>
        <v>#N/A</v>
      </c>
      <c r="I354" s="321" t="e">
        <f>ROUND(VLOOKUP(O354,M340:Q344,5,FALSE),)</f>
        <v>#N/A</v>
      </c>
      <c r="J354" s="321" t="e">
        <f>ROUND(VLOOKUP(Q354,M340:Q344,4,FALSE),)</f>
        <v>#N/A</v>
      </c>
      <c r="K354" s="321" t="e">
        <f>ROUND(VLOOKUP(Q354,M340:Q344,5,FALSE),)</f>
        <v>#N/A</v>
      </c>
      <c r="L354" s="614">
        <f t="shared" si="59"/>
        <v>-1.5707963267948966</v>
      </c>
      <c r="M354" s="617">
        <f t="shared" si="63"/>
        <v>0</v>
      </c>
      <c r="N354" s="615" t="e">
        <f>ROUND(HLOOKUP(M354,N346:R347,2,FALSE),)</f>
        <v>#N/A</v>
      </c>
      <c r="O354" s="617">
        <f t="shared" si="64"/>
        <v>0</v>
      </c>
      <c r="P354" s="616" t="e">
        <f>PI()*(F354*(J354+C343)-E354*(K354+C343))/(((J354+C343)*(I354+C343))-((H354+C343)*(K354+C343)))</f>
        <v>#N/A</v>
      </c>
      <c r="Q354" s="617">
        <f t="shared" si="65"/>
        <v>0</v>
      </c>
      <c r="R354" s="616" t="e">
        <f>(E354*PI()-P354*(H354+C343))/(J354+C343)</f>
        <v>#N/A</v>
      </c>
      <c r="S354" s="619">
        <f t="shared" ref="S354:S401" si="66">S353</f>
        <v>360</v>
      </c>
      <c r="T354" s="232" t="e">
        <f t="shared" si="60"/>
        <v>#N/A</v>
      </c>
      <c r="U354" s="191" t="e">
        <f t="shared" si="61"/>
        <v>#N/A</v>
      </c>
      <c r="V354" s="191" t="e">
        <f t="shared" si="62"/>
        <v>#N/A</v>
      </c>
      <c r="W354" s="181"/>
      <c r="X354" s="137"/>
      <c r="Z354" s="183"/>
      <c r="AA354" s="183"/>
    </row>
    <row r="355" spans="1:27" s="182" customFormat="1" ht="15" customHeight="1">
      <c r="A355" s="211"/>
      <c r="B355" s="164" t="s">
        <v>1023</v>
      </c>
      <c r="C355" s="294">
        <f>C354+2*SIN(RADIANS(M347))*(N340+C343)</f>
        <v>0</v>
      </c>
      <c r="D355" s="319">
        <f>(C355-(SIN(RADIANS(M347))*N340)-(COS(RADIANS(M347))*O340))*PI()/MEDIAN(U340:V344,P340:Q344)</f>
        <v>-4.7123889803846897</v>
      </c>
      <c r="E355" s="319" t="e">
        <f>(C355*PI()-N355*(G355+C343))/PI()</f>
        <v>#N/A</v>
      </c>
      <c r="F355" s="319" t="e">
        <f>E355-2*O340*COS(RADIANS(M347))</f>
        <v>#N/A</v>
      </c>
      <c r="G355" s="321" t="e">
        <f>ROUND(VLOOKUP(M355,R340:V344,4,FALSE),)</f>
        <v>#N/A</v>
      </c>
      <c r="H355" s="321" t="e">
        <f>ROUND(VLOOKUP(O355,M340:Q344,4,FALSE),)</f>
        <v>#N/A</v>
      </c>
      <c r="I355" s="321" t="e">
        <f>ROUND(VLOOKUP(O355,M340:Q344,5,FALSE),)</f>
        <v>#N/A</v>
      </c>
      <c r="J355" s="321" t="e">
        <f>ROUND(VLOOKUP(Q355,M340:Q344,4,FALSE),)</f>
        <v>#N/A</v>
      </c>
      <c r="K355" s="321" t="e">
        <f>ROUND(VLOOKUP(Q355,M340:Q344,5,FALSE),)</f>
        <v>#N/A</v>
      </c>
      <c r="L355" s="614">
        <f t="shared" si="59"/>
        <v>-1.5707963267948966</v>
      </c>
      <c r="M355" s="617">
        <f t="shared" si="63"/>
        <v>0</v>
      </c>
      <c r="N355" s="615" t="e">
        <f>ROUND(HLOOKUP(M355,N346:R347,2,FALSE),)</f>
        <v>#N/A</v>
      </c>
      <c r="O355" s="617">
        <f t="shared" si="64"/>
        <v>0</v>
      </c>
      <c r="P355" s="616" t="e">
        <f>PI()*(F355*(J355+C343)-E355*(K355+C343))/(((J355+C343)*(I355+C343))-((H355+C343)*(K355+C343)))</f>
        <v>#N/A</v>
      </c>
      <c r="Q355" s="617">
        <f t="shared" si="65"/>
        <v>0</v>
      </c>
      <c r="R355" s="616" t="e">
        <f>(E355*PI()-P355*(H355+C343))/(J355+C343)</f>
        <v>#N/A</v>
      </c>
      <c r="S355" s="619">
        <f t="shared" si="66"/>
        <v>360</v>
      </c>
      <c r="T355" s="232" t="e">
        <f t="shared" si="60"/>
        <v>#N/A</v>
      </c>
      <c r="U355" s="191" t="e">
        <f t="shared" si="61"/>
        <v>#N/A</v>
      </c>
      <c r="V355" s="191" t="e">
        <f t="shared" si="62"/>
        <v>#N/A</v>
      </c>
      <c r="W355" s="181"/>
      <c r="X355" s="137"/>
      <c r="Z355" s="183"/>
      <c r="AA355" s="183"/>
    </row>
    <row r="356" spans="1:27" s="182" customFormat="1" ht="15" customHeight="1">
      <c r="A356" s="211"/>
      <c r="B356" s="164" t="s">
        <v>1024</v>
      </c>
      <c r="C356" s="294">
        <f>C355+2*SIN(RADIANS(M347))*(N340+C343)</f>
        <v>0</v>
      </c>
      <c r="D356" s="319">
        <f>(C356-(SIN(RADIANS(M347))*N340)-(COS(RADIANS(M347))*O340))*PI()/MEDIAN(U340:V344,P340:Q344)</f>
        <v>-4.7123889803846897</v>
      </c>
      <c r="E356" s="319" t="e">
        <f>(C356*PI()-N356*(G356+C343))/PI()</f>
        <v>#N/A</v>
      </c>
      <c r="F356" s="319" t="e">
        <f>E356-2*O340*COS(RADIANS(M347))</f>
        <v>#N/A</v>
      </c>
      <c r="G356" s="321" t="e">
        <f>ROUND(VLOOKUP(M356,R340:V344,4,FALSE),)</f>
        <v>#N/A</v>
      </c>
      <c r="H356" s="321" t="e">
        <f>ROUND(VLOOKUP(O356,M340:Q344,4,FALSE),)</f>
        <v>#N/A</v>
      </c>
      <c r="I356" s="321" t="e">
        <f>ROUND(VLOOKUP(O356,M340:Q344,5,FALSE),)</f>
        <v>#N/A</v>
      </c>
      <c r="J356" s="321" t="e">
        <f>ROUND(VLOOKUP(Q356,M340:Q344,4,FALSE),)</f>
        <v>#N/A</v>
      </c>
      <c r="K356" s="321" t="e">
        <f>ROUND(VLOOKUP(Q356,M340:Q344,5,FALSE),)</f>
        <v>#N/A</v>
      </c>
      <c r="L356" s="614">
        <f t="shared" si="59"/>
        <v>-1.5707963267948966</v>
      </c>
      <c r="M356" s="617">
        <f t="shared" si="63"/>
        <v>0</v>
      </c>
      <c r="N356" s="615" t="e">
        <f>ROUND(HLOOKUP(M356,N346:R347,2,FALSE),)</f>
        <v>#N/A</v>
      </c>
      <c r="O356" s="617">
        <f t="shared" si="64"/>
        <v>0</v>
      </c>
      <c r="P356" s="616" t="e">
        <f>PI()*(F356*(J356+C343)-E356*(K356+C343))/(((J356+C343)*(I356+C343))-((H356+C343)*(K356+C343)))</f>
        <v>#N/A</v>
      </c>
      <c r="Q356" s="617">
        <f t="shared" si="65"/>
        <v>0</v>
      </c>
      <c r="R356" s="616" t="e">
        <f>(E356*PI()-P356*(H356+C343))/(J356+C343)</f>
        <v>#N/A</v>
      </c>
      <c r="S356" s="619">
        <f t="shared" si="66"/>
        <v>360</v>
      </c>
      <c r="T356" s="232" t="e">
        <f t="shared" si="60"/>
        <v>#N/A</v>
      </c>
      <c r="U356" s="191" t="e">
        <f t="shared" si="61"/>
        <v>#N/A</v>
      </c>
      <c r="V356" s="191" t="e">
        <f t="shared" si="62"/>
        <v>#N/A</v>
      </c>
      <c r="W356" s="181"/>
      <c r="X356" s="137"/>
      <c r="Z356" s="183"/>
      <c r="AA356" s="183"/>
    </row>
    <row r="357" spans="1:27" s="182" customFormat="1" ht="15" customHeight="1">
      <c r="A357" s="211"/>
      <c r="B357" s="164" t="s">
        <v>1025</v>
      </c>
      <c r="C357" s="294">
        <f>C356+2*SIN(RADIANS(M347))*(N340+C343)</f>
        <v>0</v>
      </c>
      <c r="D357" s="319">
        <f>(C357-(SIN(RADIANS(M347))*N340)-(COS(RADIANS(M347))*O340))*PI()/MEDIAN(U340:V344,P340:Q344)</f>
        <v>-4.7123889803846897</v>
      </c>
      <c r="E357" s="319" t="e">
        <f>(C357*PI()-N357*(G357+C343))/PI()</f>
        <v>#N/A</v>
      </c>
      <c r="F357" s="319" t="e">
        <f>E357-2*O340*COS(RADIANS(M347))</f>
        <v>#N/A</v>
      </c>
      <c r="G357" s="321" t="e">
        <f>ROUND(VLOOKUP(M357,R340:V344,4,FALSE),)</f>
        <v>#N/A</v>
      </c>
      <c r="H357" s="321" t="e">
        <f>ROUND(VLOOKUP(O357,M340:Q344,4,FALSE),)</f>
        <v>#N/A</v>
      </c>
      <c r="I357" s="321" t="e">
        <f>ROUND(VLOOKUP(O357,M340:Q344,5,FALSE),)</f>
        <v>#N/A</v>
      </c>
      <c r="J357" s="321" t="e">
        <f>ROUND(VLOOKUP(Q357,M340:Q344,4,FALSE),)</f>
        <v>#N/A</v>
      </c>
      <c r="K357" s="321" t="e">
        <f>ROUND(VLOOKUP(Q357,M340:Q344,5,FALSE),)</f>
        <v>#N/A</v>
      </c>
      <c r="L357" s="614">
        <f t="shared" si="59"/>
        <v>-1.5707963267948966</v>
      </c>
      <c r="M357" s="617">
        <f>M356</f>
        <v>0</v>
      </c>
      <c r="N357" s="615" t="e">
        <f>ROUND(HLOOKUP(M357,N346:R347,2,FALSE),)</f>
        <v>#N/A</v>
      </c>
      <c r="O357" s="617">
        <f>O356</f>
        <v>0</v>
      </c>
      <c r="P357" s="616" t="e">
        <f>PI()*(F357*(J357+C343)-E357*(K357+C343))/(((J357+C343)*(I357+C343))-((H357+C343)*(K357+C343)))</f>
        <v>#N/A</v>
      </c>
      <c r="Q357" s="617">
        <f>Q356</f>
        <v>0</v>
      </c>
      <c r="R357" s="616" t="e">
        <f>(E357*PI()-P357*(H357+C343))/(J357+C343)</f>
        <v>#N/A</v>
      </c>
      <c r="S357" s="619">
        <f t="shared" si="66"/>
        <v>360</v>
      </c>
      <c r="T357" s="232" t="e">
        <f t="shared" si="60"/>
        <v>#N/A</v>
      </c>
      <c r="U357" s="191" t="e">
        <f t="shared" si="61"/>
        <v>#N/A</v>
      </c>
      <c r="V357" s="191" t="e">
        <f t="shared" si="62"/>
        <v>#N/A</v>
      </c>
      <c r="W357" s="181"/>
      <c r="X357" s="137"/>
      <c r="Z357" s="183"/>
      <c r="AA357" s="183"/>
    </row>
    <row r="358" spans="1:27" s="182" customFormat="1" ht="15" customHeight="1">
      <c r="A358" s="211"/>
      <c r="B358" s="164" t="s">
        <v>1026</v>
      </c>
      <c r="C358" s="294">
        <f>C357+2*SIN(RADIANS(M347))*(N340+C343)</f>
        <v>0</v>
      </c>
      <c r="D358" s="319">
        <f>(C358-(SIN(RADIANS(M347))*N340)-(COS(RADIANS(M347))*O340))*PI()/MEDIAN(U340:V344,P340:Q344)</f>
        <v>-4.7123889803846897</v>
      </c>
      <c r="E358" s="319" t="e">
        <f>(C358*PI()-N358*(G358+C343))/PI()</f>
        <v>#N/A</v>
      </c>
      <c r="F358" s="319" t="e">
        <f>E358-2*O340*COS(RADIANS(M347))</f>
        <v>#N/A</v>
      </c>
      <c r="G358" s="321" t="e">
        <f>ROUND(VLOOKUP(M358,R340:V344,4,FALSE),)</f>
        <v>#N/A</v>
      </c>
      <c r="H358" s="321" t="e">
        <f>ROUND(VLOOKUP(O358,M340:Q344,4,FALSE),)</f>
        <v>#N/A</v>
      </c>
      <c r="I358" s="321" t="e">
        <f>ROUND(VLOOKUP(O358,M340:Q344,5,FALSE),)</f>
        <v>#N/A</v>
      </c>
      <c r="J358" s="321" t="e">
        <f>ROUND(VLOOKUP(Q358,M340:Q344,4,FALSE),)</f>
        <v>#N/A</v>
      </c>
      <c r="K358" s="321" t="e">
        <f>ROUND(VLOOKUP(Q358,M340:Q344,5,FALSE),)</f>
        <v>#N/A</v>
      </c>
      <c r="L358" s="614">
        <f t="shared" si="59"/>
        <v>-1.5707963267948966</v>
      </c>
      <c r="M358" s="617">
        <f t="shared" si="63"/>
        <v>0</v>
      </c>
      <c r="N358" s="615" t="e">
        <f>ROUND(HLOOKUP(M358,N346:R347,2,FALSE),)</f>
        <v>#N/A</v>
      </c>
      <c r="O358" s="617">
        <f t="shared" si="64"/>
        <v>0</v>
      </c>
      <c r="P358" s="616" t="e">
        <f>PI()*(F358*(J358+C343)-E358*(K358+C343))/(((J358+C343)*(I358+C343))-((H358+C343)*(K358+C343)))</f>
        <v>#N/A</v>
      </c>
      <c r="Q358" s="617">
        <f t="shared" si="65"/>
        <v>0</v>
      </c>
      <c r="R358" s="616" t="e">
        <f>(E358*PI()-P358*(H358+C343))/(J358+C343)</f>
        <v>#N/A</v>
      </c>
      <c r="S358" s="619">
        <f t="shared" si="66"/>
        <v>360</v>
      </c>
      <c r="T358" s="232" t="e">
        <f t="shared" si="60"/>
        <v>#N/A</v>
      </c>
      <c r="U358" s="191" t="e">
        <f t="shared" si="61"/>
        <v>#N/A</v>
      </c>
      <c r="V358" s="191" t="e">
        <f t="shared" si="62"/>
        <v>#N/A</v>
      </c>
      <c r="W358" s="181"/>
      <c r="X358" s="137"/>
      <c r="Z358" s="183"/>
      <c r="AA358" s="183"/>
    </row>
    <row r="359" spans="1:27" s="182" customFormat="1" ht="15" customHeight="1">
      <c r="A359" s="211"/>
      <c r="B359" s="164" t="s">
        <v>1027</v>
      </c>
      <c r="C359" s="294">
        <f>C358+2*SIN(RADIANS(M347))*(N340+C343)</f>
        <v>0</v>
      </c>
      <c r="D359" s="319">
        <f>(C359-(SIN(RADIANS(M347))*N340)-(COS(RADIANS(M347))*O340))*PI()/MEDIAN(U340:V344,P340:Q344)</f>
        <v>-4.7123889803846897</v>
      </c>
      <c r="E359" s="319" t="e">
        <f>(C359*PI()-N359*(G359+C343))/PI()</f>
        <v>#N/A</v>
      </c>
      <c r="F359" s="319" t="e">
        <f>E359-2*O340*COS(RADIANS(M347))</f>
        <v>#N/A</v>
      </c>
      <c r="G359" s="321" t="e">
        <f>ROUND(VLOOKUP(M359,R340:V344,4,FALSE),)</f>
        <v>#N/A</v>
      </c>
      <c r="H359" s="321" t="e">
        <f>ROUND(VLOOKUP(O359,M340:Q344,4,FALSE),)</f>
        <v>#N/A</v>
      </c>
      <c r="I359" s="321" t="e">
        <f>ROUND(VLOOKUP(O359,M340:Q344,5,FALSE),)</f>
        <v>#N/A</v>
      </c>
      <c r="J359" s="321" t="e">
        <f>ROUND(VLOOKUP(Q359,M340:Q344,4,FALSE),)</f>
        <v>#N/A</v>
      </c>
      <c r="K359" s="321" t="e">
        <f>ROUND(VLOOKUP(Q359,M340:Q344,5,FALSE),)</f>
        <v>#N/A</v>
      </c>
      <c r="L359" s="614">
        <f t="shared" si="59"/>
        <v>-1.5707963267948966</v>
      </c>
      <c r="M359" s="617">
        <f t="shared" si="63"/>
        <v>0</v>
      </c>
      <c r="N359" s="615" t="e">
        <f>ROUND(HLOOKUP(M359,N346:R347,2,FALSE),)</f>
        <v>#N/A</v>
      </c>
      <c r="O359" s="617">
        <f t="shared" si="64"/>
        <v>0</v>
      </c>
      <c r="P359" s="616" t="e">
        <f>PI()*(F359*(J359+C343)-E359*(K359+C343))/(((J359+C343)*(I359+C343))-((H359+C343)*(K359+C343)))</f>
        <v>#N/A</v>
      </c>
      <c r="Q359" s="617">
        <f t="shared" si="65"/>
        <v>0</v>
      </c>
      <c r="R359" s="616" t="e">
        <f>(E359*PI()-P359*(H359+C343))/(J359+C343)</f>
        <v>#N/A</v>
      </c>
      <c r="S359" s="619">
        <f t="shared" si="66"/>
        <v>360</v>
      </c>
      <c r="T359" s="232" t="e">
        <f t="shared" si="60"/>
        <v>#N/A</v>
      </c>
      <c r="U359" s="191" t="e">
        <f t="shared" si="61"/>
        <v>#N/A</v>
      </c>
      <c r="V359" s="191" t="e">
        <f t="shared" si="62"/>
        <v>#N/A</v>
      </c>
      <c r="W359" s="181"/>
      <c r="X359" s="137"/>
      <c r="Z359" s="183"/>
      <c r="AA359" s="183"/>
    </row>
    <row r="360" spans="1:27" s="182" customFormat="1" ht="15" customHeight="1">
      <c r="A360" s="211"/>
      <c r="B360" s="164" t="s">
        <v>1028</v>
      </c>
      <c r="C360" s="294">
        <f>C359+2*SIN(RADIANS(M347))*(N340+C343)</f>
        <v>0</v>
      </c>
      <c r="D360" s="319">
        <f>(C360-(SIN(RADIANS(M347))*N340)-(COS(RADIANS(M347))*O340))*PI()/MEDIAN(U340:V344,P340:Q344)</f>
        <v>-4.7123889803846897</v>
      </c>
      <c r="E360" s="319" t="e">
        <f>(C360*PI()-N360*(G360+C343))/PI()</f>
        <v>#N/A</v>
      </c>
      <c r="F360" s="319" t="e">
        <f>E360-2*O340*COS(RADIANS(M347))</f>
        <v>#N/A</v>
      </c>
      <c r="G360" s="321" t="e">
        <f>ROUND(VLOOKUP(M360,R340:V344,4,FALSE),)</f>
        <v>#N/A</v>
      </c>
      <c r="H360" s="321" t="e">
        <f>ROUND(VLOOKUP(O360,M340:Q344,4,FALSE),)</f>
        <v>#N/A</v>
      </c>
      <c r="I360" s="321" t="e">
        <f>ROUND(VLOOKUP(O360,M340:Q344,5,FALSE),)</f>
        <v>#N/A</v>
      </c>
      <c r="J360" s="321" t="e">
        <f>ROUND(VLOOKUP(Q360,M340:Q344,4,FALSE),)</f>
        <v>#N/A</v>
      </c>
      <c r="K360" s="321" t="e">
        <f>ROUND(VLOOKUP(Q360,M340:Q344,5,FALSE),)</f>
        <v>#N/A</v>
      </c>
      <c r="L360" s="614">
        <f t="shared" si="59"/>
        <v>-1.5707963267948966</v>
      </c>
      <c r="M360" s="617">
        <f t="shared" si="63"/>
        <v>0</v>
      </c>
      <c r="N360" s="615" t="e">
        <f>ROUND(HLOOKUP(M360,N346:R347,2,FALSE),)</f>
        <v>#N/A</v>
      </c>
      <c r="O360" s="617">
        <f t="shared" si="64"/>
        <v>0</v>
      </c>
      <c r="P360" s="616" t="e">
        <f>PI()*(F360*(J360+C343)-E360*(K360+C343))/(((J360+C343)*(I360+C343))-((H360+C343)*(K360+C343)))</f>
        <v>#N/A</v>
      </c>
      <c r="Q360" s="617">
        <f t="shared" si="65"/>
        <v>0</v>
      </c>
      <c r="R360" s="616" t="e">
        <f>(E360*PI()-P360*(H360+C343))/(J360+C343)</f>
        <v>#N/A</v>
      </c>
      <c r="S360" s="619">
        <f t="shared" si="66"/>
        <v>360</v>
      </c>
      <c r="T360" s="232" t="e">
        <f t="shared" si="60"/>
        <v>#N/A</v>
      </c>
      <c r="U360" s="191" t="e">
        <f t="shared" si="61"/>
        <v>#N/A</v>
      </c>
      <c r="V360" s="191" t="e">
        <f t="shared" si="62"/>
        <v>#N/A</v>
      </c>
      <c r="W360" s="181"/>
      <c r="X360" s="137"/>
      <c r="Z360" s="183"/>
      <c r="AA360" s="183"/>
    </row>
    <row r="361" spans="1:27" s="182" customFormat="1" ht="15" customHeight="1">
      <c r="A361" s="211"/>
      <c r="B361" s="164" t="s">
        <v>1029</v>
      </c>
      <c r="C361" s="294">
        <f>C360+2*SIN(RADIANS(M347))*(N340+C343)</f>
        <v>0</v>
      </c>
      <c r="D361" s="319">
        <f>(C361-(SIN(RADIANS(M347))*N340)-(COS(RADIANS(M347))*O340))*PI()/MEDIAN(U340:V344,P340:Q344)</f>
        <v>-4.7123889803846897</v>
      </c>
      <c r="E361" s="319" t="e">
        <f>(C361*PI()-N361*(G361+C343))/PI()</f>
        <v>#N/A</v>
      </c>
      <c r="F361" s="319" t="e">
        <f>E361-2*O340*COS(RADIANS(M347))</f>
        <v>#N/A</v>
      </c>
      <c r="G361" s="321" t="e">
        <f>ROUND(VLOOKUP(M361,R340:V344,4,FALSE),)</f>
        <v>#N/A</v>
      </c>
      <c r="H361" s="321" t="e">
        <f>ROUND(VLOOKUP(O361,M340:Q344,4,FALSE),)</f>
        <v>#N/A</v>
      </c>
      <c r="I361" s="321" t="e">
        <f>ROUND(VLOOKUP(O361,M340:Q344,5,FALSE),)</f>
        <v>#N/A</v>
      </c>
      <c r="J361" s="321" t="e">
        <f>ROUND(VLOOKUP(Q361,M340:Q344,4,FALSE),)</f>
        <v>#N/A</v>
      </c>
      <c r="K361" s="321" t="e">
        <f>ROUND(VLOOKUP(Q361,M340:Q344,5,FALSE),)</f>
        <v>#N/A</v>
      </c>
      <c r="L361" s="614">
        <f t="shared" si="59"/>
        <v>-1.5707963267948966</v>
      </c>
      <c r="M361" s="617">
        <f t="shared" si="63"/>
        <v>0</v>
      </c>
      <c r="N361" s="615" t="e">
        <f>ROUND(HLOOKUP(M361,N346:R347,2,FALSE),)</f>
        <v>#N/A</v>
      </c>
      <c r="O361" s="617">
        <f t="shared" si="64"/>
        <v>0</v>
      </c>
      <c r="P361" s="616" t="e">
        <f>PI()*(F361*(J361+C343)-E361*(K361+C343))/(((J361+C343)*(I361+C343))-((H361+C343)*(K361+C343)))</f>
        <v>#N/A</v>
      </c>
      <c r="Q361" s="617">
        <f t="shared" si="65"/>
        <v>0</v>
      </c>
      <c r="R361" s="616" t="e">
        <f>(E361*PI()-P361*(H361+C343))/(J361+C343)</f>
        <v>#N/A</v>
      </c>
      <c r="S361" s="619">
        <f t="shared" si="66"/>
        <v>360</v>
      </c>
      <c r="T361" s="232" t="e">
        <f t="shared" si="60"/>
        <v>#N/A</v>
      </c>
      <c r="U361" s="191" t="e">
        <f t="shared" si="61"/>
        <v>#N/A</v>
      </c>
      <c r="V361" s="191" t="e">
        <f t="shared" si="62"/>
        <v>#N/A</v>
      </c>
      <c r="W361" s="181"/>
      <c r="X361" s="137"/>
      <c r="Z361" s="183"/>
      <c r="AA361" s="183"/>
    </row>
    <row r="362" spans="1:27" s="182" customFormat="1" ht="15" customHeight="1">
      <c r="A362" s="211"/>
      <c r="B362" s="164" t="s">
        <v>1030</v>
      </c>
      <c r="C362" s="294">
        <f>C361+2*SIN(RADIANS(M347))*(N340+C343)</f>
        <v>0</v>
      </c>
      <c r="D362" s="319">
        <f>(C362-(SIN(RADIANS(M347))*N340)-(COS(RADIANS(M347))*O340))*PI()/MEDIAN(U340:V344,P340:Q344)</f>
        <v>-4.7123889803846897</v>
      </c>
      <c r="E362" s="319" t="e">
        <f>(C362*PI()-N362*(G362+C343))/PI()</f>
        <v>#N/A</v>
      </c>
      <c r="F362" s="319" t="e">
        <f>E362-2*O340*COS(RADIANS(M347))</f>
        <v>#N/A</v>
      </c>
      <c r="G362" s="321" t="e">
        <f>ROUND(VLOOKUP(M362,R340:V344,4,FALSE),)</f>
        <v>#N/A</v>
      </c>
      <c r="H362" s="321" t="e">
        <f>ROUND(VLOOKUP(O362,M340:Q344,4,FALSE),)</f>
        <v>#N/A</v>
      </c>
      <c r="I362" s="321" t="e">
        <f>ROUND(VLOOKUP(O362,M340:Q344,5,FALSE),)</f>
        <v>#N/A</v>
      </c>
      <c r="J362" s="321" t="e">
        <f>ROUND(VLOOKUP(Q362,M340:Q344,4,FALSE),)</f>
        <v>#N/A</v>
      </c>
      <c r="K362" s="321" t="e">
        <f>ROUND(VLOOKUP(Q362,M340:Q344,5,FALSE),)</f>
        <v>#N/A</v>
      </c>
      <c r="L362" s="614">
        <f t="shared" si="59"/>
        <v>-1.5707963267948966</v>
      </c>
      <c r="M362" s="617">
        <f t="shared" si="63"/>
        <v>0</v>
      </c>
      <c r="N362" s="615" t="e">
        <f>ROUND(HLOOKUP(M362,N346:R347,2,FALSE),)</f>
        <v>#N/A</v>
      </c>
      <c r="O362" s="617">
        <f t="shared" si="64"/>
        <v>0</v>
      </c>
      <c r="P362" s="616" t="e">
        <f>PI()*(F362*(J362+C343)-E362*(K362+C343))/(((J362+C343)*(I362+C343))-((H362+C343)*(K362+C343)))</f>
        <v>#N/A</v>
      </c>
      <c r="Q362" s="617">
        <f t="shared" si="65"/>
        <v>0</v>
      </c>
      <c r="R362" s="616" t="e">
        <f>(E362*PI()-P362*(H362+C343))/(J362+C343)</f>
        <v>#N/A</v>
      </c>
      <c r="S362" s="619">
        <f t="shared" si="66"/>
        <v>360</v>
      </c>
      <c r="T362" s="232" t="e">
        <f t="shared" si="60"/>
        <v>#N/A</v>
      </c>
      <c r="U362" s="191" t="e">
        <f t="shared" si="61"/>
        <v>#N/A</v>
      </c>
      <c r="V362" s="191" t="e">
        <f t="shared" si="62"/>
        <v>#N/A</v>
      </c>
      <c r="W362" s="181"/>
      <c r="X362" s="137"/>
      <c r="Z362" s="183"/>
      <c r="AA362" s="183"/>
    </row>
    <row r="363" spans="1:27" s="182" customFormat="1" ht="15" customHeight="1">
      <c r="A363" s="211"/>
      <c r="B363" s="164" t="s">
        <v>1031</v>
      </c>
      <c r="C363" s="294">
        <f>C362+2*SIN(RADIANS(M347))*(N340+C343)</f>
        <v>0</v>
      </c>
      <c r="D363" s="319">
        <f>(C363-(SIN(RADIANS(M347))*N340)-(COS(RADIANS(M347))*O340))*PI()/MEDIAN(U340:V344,P340:Q344)</f>
        <v>-4.7123889803846897</v>
      </c>
      <c r="E363" s="319" t="e">
        <f>(C363*PI()-N363*(G363+C343))/PI()</f>
        <v>#N/A</v>
      </c>
      <c r="F363" s="319" t="e">
        <f>E363-2*O340*COS(RADIANS(M347))</f>
        <v>#N/A</v>
      </c>
      <c r="G363" s="321" t="e">
        <f>ROUND(VLOOKUP(M363,R340:V344,4,FALSE),)</f>
        <v>#N/A</v>
      </c>
      <c r="H363" s="321" t="e">
        <f>ROUND(VLOOKUP(O363,M340:Q344,4,FALSE),)</f>
        <v>#N/A</v>
      </c>
      <c r="I363" s="321" t="e">
        <f>ROUND(VLOOKUP(O363,M340:Q344,5,FALSE),)</f>
        <v>#N/A</v>
      </c>
      <c r="J363" s="321" t="e">
        <f>ROUND(VLOOKUP(Q363,M340:Q344,4,FALSE),)</f>
        <v>#N/A</v>
      </c>
      <c r="K363" s="321" t="e">
        <f>ROUND(VLOOKUP(Q363,M340:Q344,5,FALSE),)</f>
        <v>#N/A</v>
      </c>
      <c r="L363" s="614">
        <f t="shared" si="59"/>
        <v>-1.5707963267948966</v>
      </c>
      <c r="M363" s="617">
        <f t="shared" si="63"/>
        <v>0</v>
      </c>
      <c r="N363" s="615" t="e">
        <f>ROUND(HLOOKUP(M363,N346:R347,2,FALSE),)</f>
        <v>#N/A</v>
      </c>
      <c r="O363" s="617">
        <f t="shared" si="64"/>
        <v>0</v>
      </c>
      <c r="P363" s="616" t="e">
        <f>PI()*(F363*(J363+C343)-E363*(K363+C343))/(((J363+C343)*(I363+C343))-((H363+C343)*(K363+C343)))</f>
        <v>#N/A</v>
      </c>
      <c r="Q363" s="617">
        <f t="shared" si="65"/>
        <v>0</v>
      </c>
      <c r="R363" s="616" t="e">
        <f>(E363*PI()-P363*(H363+C343))/(J363+C343)</f>
        <v>#N/A</v>
      </c>
      <c r="S363" s="619">
        <f t="shared" si="66"/>
        <v>360</v>
      </c>
      <c r="T363" s="232" t="e">
        <f t="shared" si="60"/>
        <v>#N/A</v>
      </c>
      <c r="U363" s="191" t="e">
        <f t="shared" si="61"/>
        <v>#N/A</v>
      </c>
      <c r="V363" s="191" t="e">
        <f t="shared" si="62"/>
        <v>#N/A</v>
      </c>
      <c r="W363" s="181"/>
      <c r="X363" s="137"/>
      <c r="Z363" s="183"/>
      <c r="AA363" s="183"/>
    </row>
    <row r="364" spans="1:27" s="182" customFormat="1" ht="15" customHeight="1">
      <c r="A364" s="211"/>
      <c r="B364" s="164" t="s">
        <v>1032</v>
      </c>
      <c r="C364" s="294">
        <f>C363+2*SIN(RADIANS(M347))*(N340+C343)</f>
        <v>0</v>
      </c>
      <c r="D364" s="319">
        <f>(C364-(SIN(RADIANS(M347))*N340)-(COS(RADIANS(M347))*O340))*PI()/MEDIAN(U340:V344,P340:Q344)</f>
        <v>-4.7123889803846897</v>
      </c>
      <c r="E364" s="319" t="e">
        <f>(C364*PI()-N364*(G364+C343))/PI()</f>
        <v>#N/A</v>
      </c>
      <c r="F364" s="319" t="e">
        <f>E364-2*O340*COS(RADIANS(M347))</f>
        <v>#N/A</v>
      </c>
      <c r="G364" s="321" t="e">
        <f>ROUND(VLOOKUP(M364,R340:V344,4,FALSE),)</f>
        <v>#N/A</v>
      </c>
      <c r="H364" s="321" t="e">
        <f>ROUND(VLOOKUP(O364,M340:Q344,4,FALSE),)</f>
        <v>#N/A</v>
      </c>
      <c r="I364" s="321" t="e">
        <f>ROUND(VLOOKUP(O364,M340:Q344,5,FALSE),)</f>
        <v>#N/A</v>
      </c>
      <c r="J364" s="321" t="e">
        <f>ROUND(VLOOKUP(Q364,M340:Q344,4,FALSE),)</f>
        <v>#N/A</v>
      </c>
      <c r="K364" s="321" t="e">
        <f>ROUND(VLOOKUP(Q364,M340:Q344,5,FALSE),)</f>
        <v>#N/A</v>
      </c>
      <c r="L364" s="614">
        <f t="shared" si="59"/>
        <v>-1.5707963267948966</v>
      </c>
      <c r="M364" s="617">
        <f t="shared" si="63"/>
        <v>0</v>
      </c>
      <c r="N364" s="615" t="e">
        <f>ROUND(HLOOKUP(M364,N346:R347,2,FALSE),)</f>
        <v>#N/A</v>
      </c>
      <c r="O364" s="617">
        <f t="shared" si="64"/>
        <v>0</v>
      </c>
      <c r="P364" s="616" t="e">
        <f>PI()*(F364*(J364+C343)-E364*(K364+C343))/(((J364+C343)*(I364+C343))-((H364+C343)*(K364+C343)))</f>
        <v>#N/A</v>
      </c>
      <c r="Q364" s="617">
        <f t="shared" si="65"/>
        <v>0</v>
      </c>
      <c r="R364" s="616" t="e">
        <f>(E364*PI()-P364*(H364+C343))/(J364+C343)</f>
        <v>#N/A</v>
      </c>
      <c r="S364" s="619">
        <f t="shared" si="66"/>
        <v>360</v>
      </c>
      <c r="T364" s="232" t="e">
        <f t="shared" si="60"/>
        <v>#N/A</v>
      </c>
      <c r="U364" s="191" t="e">
        <f t="shared" si="61"/>
        <v>#N/A</v>
      </c>
      <c r="V364" s="191" t="e">
        <f t="shared" si="62"/>
        <v>#N/A</v>
      </c>
      <c r="W364" s="181"/>
      <c r="X364" s="137"/>
      <c r="Z364" s="183"/>
      <c r="AA364" s="183"/>
    </row>
    <row r="365" spans="1:27" s="182" customFormat="1" ht="15" customHeight="1">
      <c r="A365" s="211"/>
      <c r="B365" s="164" t="s">
        <v>1033</v>
      </c>
      <c r="C365" s="294">
        <f>C364+2*SIN(RADIANS(M347))*(N340+C343)</f>
        <v>0</v>
      </c>
      <c r="D365" s="319">
        <f>(C365-(SIN(RADIANS(M347))*N340)-(COS(RADIANS(M347))*O340))*PI()/MEDIAN(U340:V344,P340:Q344)</f>
        <v>-4.7123889803846897</v>
      </c>
      <c r="E365" s="319" t="e">
        <f>(C365*PI()-N365*(G365+C343))/PI()</f>
        <v>#N/A</v>
      </c>
      <c r="F365" s="319" t="e">
        <f>E365-2*O340*COS(RADIANS(M347))</f>
        <v>#N/A</v>
      </c>
      <c r="G365" s="321" t="e">
        <f>ROUND(VLOOKUP(M365,R340:V344,4,FALSE),)</f>
        <v>#N/A</v>
      </c>
      <c r="H365" s="321" t="e">
        <f>ROUND(VLOOKUP(O365,M340:Q344,4,FALSE),)</f>
        <v>#N/A</v>
      </c>
      <c r="I365" s="321" t="e">
        <f>ROUND(VLOOKUP(O365,M340:Q344,5,FALSE),)</f>
        <v>#N/A</v>
      </c>
      <c r="J365" s="321" t="e">
        <f>ROUND(VLOOKUP(Q365,M340:Q344,4,FALSE),)</f>
        <v>#N/A</v>
      </c>
      <c r="K365" s="321" t="e">
        <f>ROUND(VLOOKUP(Q365,M340:Q344,5,FALSE),)</f>
        <v>#N/A</v>
      </c>
      <c r="L365" s="614">
        <f t="shared" si="59"/>
        <v>-1.5707963267948966</v>
      </c>
      <c r="M365" s="617">
        <f t="shared" si="63"/>
        <v>0</v>
      </c>
      <c r="N365" s="615" t="e">
        <f>ROUND(HLOOKUP(M365,N346:R347,2,FALSE),)</f>
        <v>#N/A</v>
      </c>
      <c r="O365" s="617">
        <f t="shared" si="64"/>
        <v>0</v>
      </c>
      <c r="P365" s="616" t="e">
        <f>PI()*(F365*(J365+C343)-E365*(K365+C343))/(((J365+C343)*(I365+C343))-((H365+C343)*(K365+C343)))</f>
        <v>#N/A</v>
      </c>
      <c r="Q365" s="617">
        <f t="shared" si="65"/>
        <v>0</v>
      </c>
      <c r="R365" s="616" t="e">
        <f>(E365*PI()-P365*(H365+C343))/(J365+C343)</f>
        <v>#N/A</v>
      </c>
      <c r="S365" s="619">
        <f t="shared" si="66"/>
        <v>360</v>
      </c>
      <c r="T365" s="232" t="e">
        <f t="shared" si="60"/>
        <v>#N/A</v>
      </c>
      <c r="U365" s="191" t="e">
        <f t="shared" si="61"/>
        <v>#N/A</v>
      </c>
      <c r="V365" s="191" t="e">
        <f t="shared" si="62"/>
        <v>#N/A</v>
      </c>
      <c r="W365" s="181"/>
      <c r="X365" s="137"/>
      <c r="Z365" s="183"/>
      <c r="AA365" s="183"/>
    </row>
    <row r="366" spans="1:27" s="182" customFormat="1" ht="15" customHeight="1">
      <c r="A366" s="211"/>
      <c r="B366" s="164" t="s">
        <v>1034</v>
      </c>
      <c r="C366" s="294">
        <f>C365+2*SIN(RADIANS(M347))*(N340+C343)</f>
        <v>0</v>
      </c>
      <c r="D366" s="319">
        <f>(C366-(SIN(RADIANS(M347))*N340)-(COS(RADIANS(M347))*O340))*PI()/MEDIAN(U340:V344,P340:Q344)</f>
        <v>-4.7123889803846897</v>
      </c>
      <c r="E366" s="319" t="e">
        <f>(C366*PI()-N366*(G366+C343))/PI()</f>
        <v>#N/A</v>
      </c>
      <c r="F366" s="319" t="e">
        <f>E366-2*O340*COS(RADIANS(M347))</f>
        <v>#N/A</v>
      </c>
      <c r="G366" s="321" t="e">
        <f>ROUND(VLOOKUP(M366,R340:V344,4,FALSE),)</f>
        <v>#N/A</v>
      </c>
      <c r="H366" s="321" t="e">
        <f>ROUND(VLOOKUP(O366,M340:Q344,4,FALSE),)</f>
        <v>#N/A</v>
      </c>
      <c r="I366" s="321" t="e">
        <f>ROUND(VLOOKUP(O366,M340:Q344,5,FALSE),)</f>
        <v>#N/A</v>
      </c>
      <c r="J366" s="321" t="e">
        <f>ROUND(VLOOKUP(Q366,M340:Q344,4,FALSE),)</f>
        <v>#N/A</v>
      </c>
      <c r="K366" s="321" t="e">
        <f>ROUND(VLOOKUP(Q366,M340:Q344,5,FALSE),)</f>
        <v>#N/A</v>
      </c>
      <c r="L366" s="614">
        <f t="shared" si="59"/>
        <v>-1.5707963267948966</v>
      </c>
      <c r="M366" s="617">
        <f t="shared" si="63"/>
        <v>0</v>
      </c>
      <c r="N366" s="615" t="e">
        <f>ROUND(HLOOKUP(M366,N346:R347,2,FALSE),)</f>
        <v>#N/A</v>
      </c>
      <c r="O366" s="617">
        <f t="shared" si="64"/>
        <v>0</v>
      </c>
      <c r="P366" s="616" t="e">
        <f>PI()*(F366*(J366+C343)-E366*(K366+C343))/(((J366+C343)*(I366+C343))-((H366+C343)*(K366+C343)))</f>
        <v>#N/A</v>
      </c>
      <c r="Q366" s="617">
        <f t="shared" si="65"/>
        <v>0</v>
      </c>
      <c r="R366" s="616" t="e">
        <f>(E366*PI()-P366*(H366+C343))/(J366+C343)</f>
        <v>#N/A</v>
      </c>
      <c r="S366" s="619">
        <f t="shared" si="66"/>
        <v>360</v>
      </c>
      <c r="T366" s="232" t="e">
        <f t="shared" si="60"/>
        <v>#N/A</v>
      </c>
      <c r="U366" s="191" t="e">
        <f t="shared" si="61"/>
        <v>#N/A</v>
      </c>
      <c r="V366" s="191" t="e">
        <f t="shared" si="62"/>
        <v>#N/A</v>
      </c>
      <c r="W366" s="181"/>
      <c r="X366" s="137"/>
      <c r="Z366" s="183"/>
      <c r="AA366" s="183"/>
    </row>
    <row r="367" spans="1:27" s="182" customFormat="1" ht="15" customHeight="1">
      <c r="A367" s="211"/>
      <c r="B367" s="164" t="s">
        <v>1035</v>
      </c>
      <c r="C367" s="294">
        <f>C366+2*SIN(RADIANS(M347))*(N340+C343)</f>
        <v>0</v>
      </c>
      <c r="D367" s="319">
        <f>(C367-(SIN(RADIANS(M347))*N340)-(COS(RADIANS(M347))*O340))*PI()/MEDIAN(U340:V344,P340:Q344)</f>
        <v>-4.7123889803846897</v>
      </c>
      <c r="E367" s="319" t="e">
        <f>(C367*PI()-N367*(G367+C343))/PI()</f>
        <v>#N/A</v>
      </c>
      <c r="F367" s="319" t="e">
        <f>E367-2*O340*COS(RADIANS(M347))</f>
        <v>#N/A</v>
      </c>
      <c r="G367" s="321" t="e">
        <f>ROUND(VLOOKUP(M367,R340:V344,4,FALSE),)</f>
        <v>#N/A</v>
      </c>
      <c r="H367" s="321" t="e">
        <f>ROUND(VLOOKUP(O367,M340:Q344,4,FALSE),)</f>
        <v>#N/A</v>
      </c>
      <c r="I367" s="321" t="e">
        <f>ROUND(VLOOKUP(O367,M340:Q344,5,FALSE),)</f>
        <v>#N/A</v>
      </c>
      <c r="J367" s="321" t="e">
        <f>ROUND(VLOOKUP(Q367,M340:Q344,4,FALSE),)</f>
        <v>#N/A</v>
      </c>
      <c r="K367" s="321" t="e">
        <f>ROUND(VLOOKUP(Q367,M340:Q344,5,FALSE),)</f>
        <v>#N/A</v>
      </c>
      <c r="L367" s="614">
        <f t="shared" si="59"/>
        <v>-1.5707963267948966</v>
      </c>
      <c r="M367" s="617">
        <f t="shared" si="63"/>
        <v>0</v>
      </c>
      <c r="N367" s="615" t="e">
        <f>ROUND(HLOOKUP(M367,N346:R347,2,FALSE),)</f>
        <v>#N/A</v>
      </c>
      <c r="O367" s="617">
        <f t="shared" si="64"/>
        <v>0</v>
      </c>
      <c r="P367" s="616" t="e">
        <f>PI()*(F367*(J367+C343)-E367*(K367+C343))/(((J367+C343)*(I367+C343))-((H367+C343)*(K367+C343)))</f>
        <v>#N/A</v>
      </c>
      <c r="Q367" s="617">
        <f t="shared" si="65"/>
        <v>0</v>
      </c>
      <c r="R367" s="616" t="e">
        <f>(E367*PI()-P367*(H367+C343))/(J367+C343)</f>
        <v>#N/A</v>
      </c>
      <c r="S367" s="619">
        <f t="shared" si="66"/>
        <v>360</v>
      </c>
      <c r="T367" s="232" t="e">
        <f t="shared" si="60"/>
        <v>#N/A</v>
      </c>
      <c r="U367" s="191" t="e">
        <f t="shared" si="61"/>
        <v>#N/A</v>
      </c>
      <c r="V367" s="191" t="e">
        <f t="shared" si="62"/>
        <v>#N/A</v>
      </c>
      <c r="W367" s="181"/>
      <c r="X367" s="137"/>
      <c r="Z367" s="183"/>
      <c r="AA367" s="183"/>
    </row>
    <row r="368" spans="1:27" s="182" customFormat="1" ht="15" customHeight="1">
      <c r="A368" s="211"/>
      <c r="B368" s="164" t="s">
        <v>1036</v>
      </c>
      <c r="C368" s="294">
        <f>C367+2*SIN(RADIANS(M347))*(N340+C343)</f>
        <v>0</v>
      </c>
      <c r="D368" s="319">
        <f>(C368-(SIN(RADIANS(M347))*N340)-(COS(RADIANS(M347))*O340))*PI()/MEDIAN(U340:V344,P340:Q344)</f>
        <v>-4.7123889803846897</v>
      </c>
      <c r="E368" s="319" t="e">
        <f>(C368*PI()-N368*(G368+C343))/PI()</f>
        <v>#N/A</v>
      </c>
      <c r="F368" s="319" t="e">
        <f>E368-2*O340*COS(RADIANS(M347))</f>
        <v>#N/A</v>
      </c>
      <c r="G368" s="321" t="e">
        <f>ROUND(VLOOKUP(M368,R340:V344,4,FALSE),)</f>
        <v>#N/A</v>
      </c>
      <c r="H368" s="321" t="e">
        <f>ROUND(VLOOKUP(O368,M340:Q344,4,FALSE),)</f>
        <v>#N/A</v>
      </c>
      <c r="I368" s="321" t="e">
        <f>ROUND(VLOOKUP(O368,M340:Q344,5,FALSE),)</f>
        <v>#N/A</v>
      </c>
      <c r="J368" s="321" t="e">
        <f>ROUND(VLOOKUP(Q368,M340:Q344,4,FALSE),)</f>
        <v>#N/A</v>
      </c>
      <c r="K368" s="321" t="e">
        <f>ROUND(VLOOKUP(Q368,M340:Q344,5,FALSE),)</f>
        <v>#N/A</v>
      </c>
      <c r="L368" s="614">
        <f t="shared" si="59"/>
        <v>-1.5707963267948966</v>
      </c>
      <c r="M368" s="617">
        <f t="shared" si="63"/>
        <v>0</v>
      </c>
      <c r="N368" s="615" t="e">
        <f>ROUND(HLOOKUP(M368,N346:R347,2,FALSE),)</f>
        <v>#N/A</v>
      </c>
      <c r="O368" s="617">
        <f t="shared" si="64"/>
        <v>0</v>
      </c>
      <c r="P368" s="616" t="e">
        <f>PI()*(F368*(J368+C343)-E368*(K368+C343))/(((J368+C343)*(I368+C343))-((H368+C343)*(K368+C343)))</f>
        <v>#N/A</v>
      </c>
      <c r="Q368" s="617">
        <f t="shared" si="65"/>
        <v>0</v>
      </c>
      <c r="R368" s="616" t="e">
        <f>(E368*PI()-P368*(H368+C343))/(J368+C343)</f>
        <v>#N/A</v>
      </c>
      <c r="S368" s="619">
        <f t="shared" si="66"/>
        <v>360</v>
      </c>
      <c r="T368" s="232" t="e">
        <f t="shared" si="60"/>
        <v>#N/A</v>
      </c>
      <c r="U368" s="191" t="e">
        <f t="shared" si="61"/>
        <v>#N/A</v>
      </c>
      <c r="V368" s="191" t="e">
        <f t="shared" si="62"/>
        <v>#N/A</v>
      </c>
      <c r="W368" s="181"/>
      <c r="X368" s="137"/>
      <c r="Z368" s="183"/>
      <c r="AA368" s="183"/>
    </row>
    <row r="369" spans="1:27" s="182" customFormat="1" ht="15" customHeight="1">
      <c r="A369" s="211"/>
      <c r="B369" s="164" t="s">
        <v>1037</v>
      </c>
      <c r="C369" s="294">
        <f>C368+2*SIN(RADIANS(M347))*(N340+C343)</f>
        <v>0</v>
      </c>
      <c r="D369" s="319">
        <f>(C369-(SIN(RADIANS(M347))*N340)-(COS(RADIANS(M347))*O340))*PI()/MEDIAN(U340:V344,P340:Q344)</f>
        <v>-4.7123889803846897</v>
      </c>
      <c r="E369" s="319" t="e">
        <f>(C369*PI()-N369*(G369+C343))/PI()</f>
        <v>#N/A</v>
      </c>
      <c r="F369" s="319" t="e">
        <f>E369-2*O340*COS(RADIANS(M347))</f>
        <v>#N/A</v>
      </c>
      <c r="G369" s="321" t="e">
        <f>ROUND(VLOOKUP(M369,R340:V344,4,FALSE),)</f>
        <v>#N/A</v>
      </c>
      <c r="H369" s="321" t="e">
        <f>ROUND(VLOOKUP(O369,M340:Q344,4,FALSE),)</f>
        <v>#N/A</v>
      </c>
      <c r="I369" s="321" t="e">
        <f>ROUND(VLOOKUP(O369,M340:Q344,5,FALSE),)</f>
        <v>#N/A</v>
      </c>
      <c r="J369" s="321" t="e">
        <f>ROUND(VLOOKUP(Q369,M340:Q344,4,FALSE),)</f>
        <v>#N/A</v>
      </c>
      <c r="K369" s="321" t="e">
        <f>ROUND(VLOOKUP(Q369,M340:Q344,5,FALSE),)</f>
        <v>#N/A</v>
      </c>
      <c r="L369" s="614">
        <f t="shared" si="59"/>
        <v>-1.5707963267948966</v>
      </c>
      <c r="M369" s="617">
        <f t="shared" si="63"/>
        <v>0</v>
      </c>
      <c r="N369" s="615" t="e">
        <f>ROUND(HLOOKUP(M369,N346:R347,2,FALSE),)</f>
        <v>#N/A</v>
      </c>
      <c r="O369" s="617">
        <f t="shared" si="64"/>
        <v>0</v>
      </c>
      <c r="P369" s="616" t="e">
        <f>PI()*(F369*(J369+C343)-E369*(K369+C343))/(((J369+C343)*(I369+C343))-((H369+C343)*(K369+C343)))</f>
        <v>#N/A</v>
      </c>
      <c r="Q369" s="617">
        <f t="shared" si="65"/>
        <v>0</v>
      </c>
      <c r="R369" s="616" t="e">
        <f>(E369*PI()-P369*(H369+C343))/(J369+C343)</f>
        <v>#N/A</v>
      </c>
      <c r="S369" s="619">
        <f t="shared" si="66"/>
        <v>360</v>
      </c>
      <c r="T369" s="232" t="e">
        <f t="shared" si="60"/>
        <v>#N/A</v>
      </c>
      <c r="U369" s="191" t="e">
        <f t="shared" si="61"/>
        <v>#N/A</v>
      </c>
      <c r="V369" s="191" t="e">
        <f t="shared" si="62"/>
        <v>#N/A</v>
      </c>
      <c r="W369" s="181"/>
      <c r="X369" s="137"/>
      <c r="Z369" s="183"/>
      <c r="AA369" s="183"/>
    </row>
    <row r="370" spans="1:27" s="182" customFormat="1" ht="15" customHeight="1">
      <c r="A370" s="211"/>
      <c r="B370" s="164" t="s">
        <v>1038</v>
      </c>
      <c r="C370" s="294">
        <f>C369+2*SIN(RADIANS(M347))*(N340+C343)</f>
        <v>0</v>
      </c>
      <c r="D370" s="319">
        <f>(C370-(SIN(RADIANS(M347))*N340)-(COS(RADIANS(M347))*O340))*PI()/MEDIAN(U340:V344,P340:Q344)</f>
        <v>-4.7123889803846897</v>
      </c>
      <c r="E370" s="319" t="e">
        <f>(C370*PI()-N370*(G370+C343))/PI()</f>
        <v>#N/A</v>
      </c>
      <c r="F370" s="319" t="e">
        <f>E370-2*O340*COS(RADIANS(M347))</f>
        <v>#N/A</v>
      </c>
      <c r="G370" s="321" t="e">
        <f>ROUND(VLOOKUP(M370,R340:V344,4,FALSE),)</f>
        <v>#N/A</v>
      </c>
      <c r="H370" s="321" t="e">
        <f>ROUND(VLOOKUP(O370,M340:Q344,4,FALSE),)</f>
        <v>#N/A</v>
      </c>
      <c r="I370" s="321" t="e">
        <f>ROUND(VLOOKUP(O370,M340:Q344,5,FALSE),)</f>
        <v>#N/A</v>
      </c>
      <c r="J370" s="321" t="e">
        <f>ROUND(VLOOKUP(Q370,M340:Q344,4,FALSE),)</f>
        <v>#N/A</v>
      </c>
      <c r="K370" s="321" t="e">
        <f>ROUND(VLOOKUP(Q370,M340:Q344,5,FALSE),)</f>
        <v>#N/A</v>
      </c>
      <c r="L370" s="614">
        <f t="shared" si="59"/>
        <v>-1.5707963267948966</v>
      </c>
      <c r="M370" s="617">
        <f t="shared" si="63"/>
        <v>0</v>
      </c>
      <c r="N370" s="615" t="e">
        <f>ROUND(HLOOKUP(M370,N346:R347,2,FALSE),)</f>
        <v>#N/A</v>
      </c>
      <c r="O370" s="617">
        <f t="shared" si="64"/>
        <v>0</v>
      </c>
      <c r="P370" s="616" t="e">
        <f>PI()*(F370*(J370+C343)-E370*(K370+C343))/(((J370+C343)*(I370+C343))-((H370+C343)*(K370+C343)))</f>
        <v>#N/A</v>
      </c>
      <c r="Q370" s="617">
        <f t="shared" si="65"/>
        <v>0</v>
      </c>
      <c r="R370" s="616" t="e">
        <f>(E370*PI()-P370*(H370+C343))/(J370+C343)</f>
        <v>#N/A</v>
      </c>
      <c r="S370" s="619">
        <f t="shared" si="66"/>
        <v>360</v>
      </c>
      <c r="T370" s="232" t="e">
        <f t="shared" si="60"/>
        <v>#N/A</v>
      </c>
      <c r="U370" s="191" t="e">
        <f t="shared" si="61"/>
        <v>#N/A</v>
      </c>
      <c r="V370" s="191" t="e">
        <f t="shared" si="62"/>
        <v>#N/A</v>
      </c>
      <c r="W370" s="181"/>
      <c r="X370" s="137"/>
      <c r="Z370" s="183"/>
      <c r="AA370" s="183"/>
    </row>
    <row r="371" spans="1:27" s="182" customFormat="1" ht="15" customHeight="1">
      <c r="A371" s="211"/>
      <c r="B371" s="164" t="s">
        <v>1039</v>
      </c>
      <c r="C371" s="294">
        <f>C370+2*SIN(RADIANS(M347))*(N340+C343)</f>
        <v>0</v>
      </c>
      <c r="D371" s="319">
        <f>(C371-(SIN(RADIANS(M347))*N340)-(COS(RADIANS(M347))*O340))*PI()/MEDIAN(U340:V344,P340:Q344)</f>
        <v>-4.7123889803846897</v>
      </c>
      <c r="E371" s="319" t="e">
        <f>(C371*PI()-N371*(G371+C343))/PI()</f>
        <v>#N/A</v>
      </c>
      <c r="F371" s="319" t="e">
        <f>E371-2*O340*COS(RADIANS(M347))</f>
        <v>#N/A</v>
      </c>
      <c r="G371" s="321" t="e">
        <f>ROUND(VLOOKUP(M371,R340:V344,4,FALSE),)</f>
        <v>#N/A</v>
      </c>
      <c r="H371" s="321" t="e">
        <f>ROUND(VLOOKUP(O371,M340:Q344,4,FALSE),)</f>
        <v>#N/A</v>
      </c>
      <c r="I371" s="321" t="e">
        <f>ROUND(VLOOKUP(O371,M340:Q344,5,FALSE),)</f>
        <v>#N/A</v>
      </c>
      <c r="J371" s="321" t="e">
        <f>ROUND(VLOOKUP(Q371,M340:Q344,4,FALSE),)</f>
        <v>#N/A</v>
      </c>
      <c r="K371" s="321" t="e">
        <f>ROUND(VLOOKUP(Q371,M340:Q344,5,FALSE),)</f>
        <v>#N/A</v>
      </c>
      <c r="L371" s="614">
        <f t="shared" si="59"/>
        <v>-1.5707963267948966</v>
      </c>
      <c r="M371" s="617">
        <f t="shared" si="63"/>
        <v>0</v>
      </c>
      <c r="N371" s="615" t="e">
        <f>ROUND(HLOOKUP(M371,N346:R347,2,FALSE),)</f>
        <v>#N/A</v>
      </c>
      <c r="O371" s="617">
        <f t="shared" si="64"/>
        <v>0</v>
      </c>
      <c r="P371" s="616" t="e">
        <f>PI()*(F371*(J371+C343)-E371*(K371+C343))/(((J371+C343)*(I371+C343))-((H371+C343)*(K371+C343)))</f>
        <v>#N/A</v>
      </c>
      <c r="Q371" s="617">
        <f t="shared" si="65"/>
        <v>0</v>
      </c>
      <c r="R371" s="616" t="e">
        <f>(E371*PI()-P371*(H371+C343))/(J371+C343)</f>
        <v>#N/A</v>
      </c>
      <c r="S371" s="619">
        <f t="shared" si="66"/>
        <v>360</v>
      </c>
      <c r="T371" s="232" t="e">
        <f t="shared" si="60"/>
        <v>#N/A</v>
      </c>
      <c r="U371" s="191" t="e">
        <f t="shared" si="61"/>
        <v>#N/A</v>
      </c>
      <c r="V371" s="191" t="e">
        <f t="shared" si="62"/>
        <v>#N/A</v>
      </c>
      <c r="W371" s="181"/>
      <c r="X371" s="137"/>
      <c r="Z371" s="183"/>
      <c r="AA371" s="183"/>
    </row>
    <row r="372" spans="1:27" s="182" customFormat="1" ht="15" customHeight="1">
      <c r="A372" s="211"/>
      <c r="B372" s="164" t="s">
        <v>1040</v>
      </c>
      <c r="C372" s="294">
        <f>C371+2*SIN(RADIANS(M347))*(N340+C343)</f>
        <v>0</v>
      </c>
      <c r="D372" s="319">
        <f>(C372-(SIN(RADIANS(M347))*N340)-(COS(RADIANS(M347))*O340))*PI()/MEDIAN(U340:V344,P340:Q344)</f>
        <v>-4.7123889803846897</v>
      </c>
      <c r="E372" s="319" t="e">
        <f>(C372*PI()-N372*(G372+C343))/PI()</f>
        <v>#N/A</v>
      </c>
      <c r="F372" s="319" t="e">
        <f>E372-2*O340*COS(RADIANS(M347))</f>
        <v>#N/A</v>
      </c>
      <c r="G372" s="321" t="e">
        <f>ROUND(VLOOKUP(M372,R340:V344,4,FALSE),)</f>
        <v>#N/A</v>
      </c>
      <c r="H372" s="321" t="e">
        <f>ROUND(VLOOKUP(O372,M340:Q344,4,FALSE),)</f>
        <v>#N/A</v>
      </c>
      <c r="I372" s="321" t="e">
        <f>ROUND(VLOOKUP(O372,M340:Q344,5,FALSE),)</f>
        <v>#N/A</v>
      </c>
      <c r="J372" s="321" t="e">
        <f>ROUND(VLOOKUP(Q372,M340:Q344,4,FALSE),)</f>
        <v>#N/A</v>
      </c>
      <c r="K372" s="321" t="e">
        <f>ROUND(VLOOKUP(Q372,M340:Q344,5,FALSE),)</f>
        <v>#N/A</v>
      </c>
      <c r="L372" s="614">
        <f t="shared" si="59"/>
        <v>-1.5707963267948966</v>
      </c>
      <c r="M372" s="617">
        <f t="shared" si="63"/>
        <v>0</v>
      </c>
      <c r="N372" s="615" t="e">
        <f>ROUND(HLOOKUP(M372,N346:R347,2,FALSE),)</f>
        <v>#N/A</v>
      </c>
      <c r="O372" s="617">
        <f t="shared" si="64"/>
        <v>0</v>
      </c>
      <c r="P372" s="616" t="e">
        <f>PI()*(F372*(J372+C343)-E372*(K372+C343))/(((J372+C343)*(I372+C343))-((H372+C343)*(K372+C343)))</f>
        <v>#N/A</v>
      </c>
      <c r="Q372" s="617">
        <f t="shared" si="65"/>
        <v>0</v>
      </c>
      <c r="R372" s="616" t="e">
        <f>(E372*PI()-P372*(H372+C343))/(J372+C343)</f>
        <v>#N/A</v>
      </c>
      <c r="S372" s="619">
        <f t="shared" si="66"/>
        <v>360</v>
      </c>
      <c r="T372" s="232" t="e">
        <f t="shared" si="60"/>
        <v>#N/A</v>
      </c>
      <c r="U372" s="191" t="e">
        <f t="shared" si="61"/>
        <v>#N/A</v>
      </c>
      <c r="V372" s="191" t="e">
        <f t="shared" si="62"/>
        <v>#N/A</v>
      </c>
      <c r="W372" s="181"/>
      <c r="X372" s="137"/>
      <c r="Z372" s="183"/>
      <c r="AA372" s="183"/>
    </row>
    <row r="373" spans="1:27" s="182" customFormat="1" ht="15" customHeight="1">
      <c r="A373" s="211"/>
      <c r="B373" s="164" t="s">
        <v>1041</v>
      </c>
      <c r="C373" s="294">
        <f>C372+2*SIN(RADIANS(M347))*(N340+C343)</f>
        <v>0</v>
      </c>
      <c r="D373" s="319">
        <f>(C373-(SIN(RADIANS(M347))*N340)-(COS(RADIANS(M347))*O340))*PI()/MEDIAN(U340:V344,P340:Q344)</f>
        <v>-4.7123889803846897</v>
      </c>
      <c r="E373" s="319" t="e">
        <f>(C373*PI()-N373*(G373+C343))/PI()</f>
        <v>#N/A</v>
      </c>
      <c r="F373" s="319" t="e">
        <f>E373-2*O340*COS(RADIANS(M347))</f>
        <v>#N/A</v>
      </c>
      <c r="G373" s="321" t="e">
        <f>ROUND(VLOOKUP(M373,R340:V344,4,FALSE),)</f>
        <v>#N/A</v>
      </c>
      <c r="H373" s="321" t="e">
        <f>ROUND(VLOOKUP(O373,M340:Q344,4,FALSE),)</f>
        <v>#N/A</v>
      </c>
      <c r="I373" s="321" t="e">
        <f>ROUND(VLOOKUP(O373,M340:Q344,5,FALSE),)</f>
        <v>#N/A</v>
      </c>
      <c r="J373" s="321" t="e">
        <f>ROUND(VLOOKUP(Q373,M340:Q344,4,FALSE),)</f>
        <v>#N/A</v>
      </c>
      <c r="K373" s="321" t="e">
        <f>ROUND(VLOOKUP(Q373,M340:Q344,5,FALSE),)</f>
        <v>#N/A</v>
      </c>
      <c r="L373" s="614">
        <f t="shared" si="59"/>
        <v>-1.5707963267948966</v>
      </c>
      <c r="M373" s="617">
        <f t="shared" si="63"/>
        <v>0</v>
      </c>
      <c r="N373" s="615" t="e">
        <f>ROUND(HLOOKUP(M373,N346:R347,2,FALSE),)</f>
        <v>#N/A</v>
      </c>
      <c r="O373" s="617">
        <f t="shared" si="64"/>
        <v>0</v>
      </c>
      <c r="P373" s="616" t="e">
        <f>PI()*(F373*(J373+C343)-E373*(K373+C343))/(((J373+C343)*(I373+C343))-((H373+C343)*(K373+C343)))</f>
        <v>#N/A</v>
      </c>
      <c r="Q373" s="617">
        <f t="shared" si="65"/>
        <v>0</v>
      </c>
      <c r="R373" s="616" t="e">
        <f>(E373*PI()-P373*(H373+C343))/(J373+C343)</f>
        <v>#N/A</v>
      </c>
      <c r="S373" s="619">
        <f t="shared" si="66"/>
        <v>360</v>
      </c>
      <c r="T373" s="232" t="e">
        <f t="shared" si="60"/>
        <v>#N/A</v>
      </c>
      <c r="U373" s="191" t="e">
        <f t="shared" si="61"/>
        <v>#N/A</v>
      </c>
      <c r="V373" s="191" t="e">
        <f t="shared" si="62"/>
        <v>#N/A</v>
      </c>
      <c r="W373" s="181"/>
      <c r="X373" s="137"/>
      <c r="Z373" s="183"/>
      <c r="AA373" s="183"/>
    </row>
    <row r="374" spans="1:27" s="182" customFormat="1" ht="15" customHeight="1">
      <c r="A374" s="211"/>
      <c r="B374" s="164" t="s">
        <v>1042</v>
      </c>
      <c r="C374" s="294">
        <f>C373+2*SIN(RADIANS(M347))*(N340+C343)</f>
        <v>0</v>
      </c>
      <c r="D374" s="319">
        <f>(C374-(SIN(RADIANS(M347))*N340)-(COS(RADIANS(M347))*O340))*PI()/MEDIAN(U340:V344,P340:Q344)</f>
        <v>-4.7123889803846897</v>
      </c>
      <c r="E374" s="319" t="e">
        <f>(C374*PI()-N374*(G374+C343))/PI()</f>
        <v>#N/A</v>
      </c>
      <c r="F374" s="319" t="e">
        <f>E374-2*O340*COS(RADIANS(M347))</f>
        <v>#N/A</v>
      </c>
      <c r="G374" s="321" t="e">
        <f>ROUND(VLOOKUP(M374,R340:V344,4,FALSE),)</f>
        <v>#N/A</v>
      </c>
      <c r="H374" s="321" t="e">
        <f>ROUND(VLOOKUP(O374,M340:Q344,4,FALSE),)</f>
        <v>#N/A</v>
      </c>
      <c r="I374" s="321" t="e">
        <f>ROUND(VLOOKUP(O374,M340:Q344,5,FALSE),)</f>
        <v>#N/A</v>
      </c>
      <c r="J374" s="321" t="e">
        <f>ROUND(VLOOKUP(Q374,M340:Q344,4,FALSE),)</f>
        <v>#N/A</v>
      </c>
      <c r="K374" s="321" t="e">
        <f>ROUND(VLOOKUP(Q374,M340:Q344,5,FALSE),)</f>
        <v>#N/A</v>
      </c>
      <c r="L374" s="614">
        <f t="shared" si="59"/>
        <v>-1.5707963267948966</v>
      </c>
      <c r="M374" s="617">
        <f t="shared" si="63"/>
        <v>0</v>
      </c>
      <c r="N374" s="615" t="e">
        <f>ROUND(HLOOKUP(M374,N346:R347,2,FALSE),)</f>
        <v>#N/A</v>
      </c>
      <c r="O374" s="617">
        <f t="shared" si="64"/>
        <v>0</v>
      </c>
      <c r="P374" s="616" t="e">
        <f>PI()*(F374*(J374+C343)-E374*(K374+C343))/(((J374+C343)*(I374+C343))-((H374+C343)*(K374+C343)))</f>
        <v>#N/A</v>
      </c>
      <c r="Q374" s="617">
        <f t="shared" si="65"/>
        <v>0</v>
      </c>
      <c r="R374" s="616" t="e">
        <f>(E374*PI()-P374*(H374+C343))/(J374+C343)</f>
        <v>#N/A</v>
      </c>
      <c r="S374" s="619">
        <f t="shared" si="66"/>
        <v>360</v>
      </c>
      <c r="T374" s="232" t="e">
        <f t="shared" si="60"/>
        <v>#N/A</v>
      </c>
      <c r="U374" s="191" t="e">
        <f t="shared" si="61"/>
        <v>#N/A</v>
      </c>
      <c r="V374" s="191" t="e">
        <f t="shared" si="62"/>
        <v>#N/A</v>
      </c>
      <c r="W374" s="181"/>
      <c r="X374" s="137"/>
      <c r="Z374" s="183"/>
      <c r="AA374" s="183"/>
    </row>
    <row r="375" spans="1:27" s="182" customFormat="1" ht="15" customHeight="1">
      <c r="A375" s="211"/>
      <c r="B375" s="164" t="s">
        <v>1043</v>
      </c>
      <c r="C375" s="294">
        <f>C374+2*SIN(RADIANS(M347))*(N340+C343)</f>
        <v>0</v>
      </c>
      <c r="D375" s="319">
        <f>(C375-(SIN(RADIANS(M347))*N340)-(COS(RADIANS(M347))*O340))*PI()/MEDIAN(U340:V344,P340:Q344)</f>
        <v>-4.7123889803846897</v>
      </c>
      <c r="E375" s="319" t="e">
        <f>(C375*PI()-N375*(G375+C343))/PI()</f>
        <v>#N/A</v>
      </c>
      <c r="F375" s="319" t="e">
        <f>E375-2*O340*COS(RADIANS(M347))</f>
        <v>#N/A</v>
      </c>
      <c r="G375" s="321" t="e">
        <f>ROUND(VLOOKUP(M375,R340:V344,4,FALSE),)</f>
        <v>#N/A</v>
      </c>
      <c r="H375" s="321" t="e">
        <f>ROUND(VLOOKUP(O375,M340:Q344,4,FALSE),)</f>
        <v>#N/A</v>
      </c>
      <c r="I375" s="321" t="e">
        <f>ROUND(VLOOKUP(O375,M340:Q344,5,FALSE),)</f>
        <v>#N/A</v>
      </c>
      <c r="J375" s="321" t="e">
        <f>ROUND(VLOOKUP(Q375,M340:Q344,4,FALSE),)</f>
        <v>#N/A</v>
      </c>
      <c r="K375" s="321" t="e">
        <f>ROUND(VLOOKUP(Q375,M340:Q344,5,FALSE),)</f>
        <v>#N/A</v>
      </c>
      <c r="L375" s="614">
        <f t="shared" si="59"/>
        <v>-1.5707963267948966</v>
      </c>
      <c r="M375" s="617">
        <f t="shared" si="63"/>
        <v>0</v>
      </c>
      <c r="N375" s="615" t="e">
        <f>ROUND(HLOOKUP(M375,N346:R347,2,FALSE),)</f>
        <v>#N/A</v>
      </c>
      <c r="O375" s="617">
        <f t="shared" si="64"/>
        <v>0</v>
      </c>
      <c r="P375" s="616" t="e">
        <f>PI()*(F375*(J375+C343)-E375*(K375+C343))/(((J375+C343)*(I375+C343))-((H375+C343)*(K375+C343)))</f>
        <v>#N/A</v>
      </c>
      <c r="Q375" s="617">
        <f t="shared" si="65"/>
        <v>0</v>
      </c>
      <c r="R375" s="616" t="e">
        <f>(E375*PI()-P375*(H375+C343))/(J375+C343)</f>
        <v>#N/A</v>
      </c>
      <c r="S375" s="619">
        <f t="shared" si="66"/>
        <v>360</v>
      </c>
      <c r="T375" s="232" t="e">
        <f t="shared" si="60"/>
        <v>#N/A</v>
      </c>
      <c r="U375" s="191" t="e">
        <f t="shared" si="61"/>
        <v>#N/A</v>
      </c>
      <c r="V375" s="191" t="e">
        <f t="shared" si="62"/>
        <v>#N/A</v>
      </c>
      <c r="W375" s="181"/>
      <c r="X375" s="137"/>
      <c r="Z375" s="183"/>
      <c r="AA375" s="183"/>
    </row>
    <row r="376" spans="1:27" s="182" customFormat="1" ht="15" customHeight="1">
      <c r="A376" s="211"/>
      <c r="B376" s="164" t="s">
        <v>1044</v>
      </c>
      <c r="C376" s="294">
        <f>C375+2*SIN(RADIANS(M347))*(N340+C343)</f>
        <v>0</v>
      </c>
      <c r="D376" s="319">
        <f>(C376-(SIN(RADIANS(M347))*N340)-(COS(RADIANS(M347))*O340))*PI()/MEDIAN(U340:V344,P340:Q344)</f>
        <v>-4.7123889803846897</v>
      </c>
      <c r="E376" s="319" t="e">
        <f>(C376*PI()-N376*(G376+C343))/PI()</f>
        <v>#N/A</v>
      </c>
      <c r="F376" s="319" t="e">
        <f>E376-2*O340*COS(RADIANS(M347))</f>
        <v>#N/A</v>
      </c>
      <c r="G376" s="321" t="e">
        <f>ROUND(VLOOKUP(M376,R340:V344,4,FALSE),)</f>
        <v>#N/A</v>
      </c>
      <c r="H376" s="321" t="e">
        <f>ROUND(VLOOKUP(O376,M340:Q344,4,FALSE),)</f>
        <v>#N/A</v>
      </c>
      <c r="I376" s="321" t="e">
        <f>ROUND(VLOOKUP(O376,M340:Q344,5,FALSE),)</f>
        <v>#N/A</v>
      </c>
      <c r="J376" s="321" t="e">
        <f>ROUND(VLOOKUP(Q376,M340:Q344,4,FALSE),)</f>
        <v>#N/A</v>
      </c>
      <c r="K376" s="321" t="e">
        <f>ROUND(VLOOKUP(Q376,M340:Q344,5,FALSE),)</f>
        <v>#N/A</v>
      </c>
      <c r="L376" s="614">
        <f t="shared" si="59"/>
        <v>-1.5707963267948966</v>
      </c>
      <c r="M376" s="617">
        <f t="shared" si="63"/>
        <v>0</v>
      </c>
      <c r="N376" s="615" t="e">
        <f>ROUND(HLOOKUP(M376,N346:R347,2,FALSE),)</f>
        <v>#N/A</v>
      </c>
      <c r="O376" s="617">
        <f t="shared" si="64"/>
        <v>0</v>
      </c>
      <c r="P376" s="616" t="e">
        <f>PI()*(F376*(J376+C343)-E376*(K376+C343))/(((J376+C343)*(I376+C343))-((H376+C343)*(K376+C343)))</f>
        <v>#N/A</v>
      </c>
      <c r="Q376" s="617">
        <f t="shared" si="65"/>
        <v>0</v>
      </c>
      <c r="R376" s="616" t="e">
        <f>(E376*PI()-P376*(H376+C343))/(J376+C343)</f>
        <v>#N/A</v>
      </c>
      <c r="S376" s="619">
        <f t="shared" si="66"/>
        <v>360</v>
      </c>
      <c r="T376" s="232" t="e">
        <f t="shared" si="60"/>
        <v>#N/A</v>
      </c>
      <c r="U376" s="191" t="e">
        <f t="shared" si="61"/>
        <v>#N/A</v>
      </c>
      <c r="V376" s="191" t="e">
        <f t="shared" si="62"/>
        <v>#N/A</v>
      </c>
      <c r="W376" s="181"/>
      <c r="X376" s="137"/>
      <c r="Z376" s="183"/>
      <c r="AA376" s="183"/>
    </row>
    <row r="377" spans="1:27" s="182" customFormat="1" ht="15" customHeight="1">
      <c r="A377" s="211"/>
      <c r="B377" s="164" t="s">
        <v>1045</v>
      </c>
      <c r="C377" s="294">
        <f>C376+2*SIN(RADIANS(M347))*(N340+C343)</f>
        <v>0</v>
      </c>
      <c r="D377" s="319">
        <f>(C377-(SIN(RADIANS(M347))*N340)-(COS(RADIANS(M347))*O340))*PI()/MEDIAN(U340:V344,P340:Q344)</f>
        <v>-4.7123889803846897</v>
      </c>
      <c r="E377" s="319" t="e">
        <f>(C377*PI()-N377*(G377+C343))/PI()</f>
        <v>#N/A</v>
      </c>
      <c r="F377" s="319" t="e">
        <f>E377-2*O340*COS(RADIANS(M347))</f>
        <v>#N/A</v>
      </c>
      <c r="G377" s="321" t="e">
        <f>ROUND(VLOOKUP(M377,R340:V344,4,FALSE),)</f>
        <v>#N/A</v>
      </c>
      <c r="H377" s="321" t="e">
        <f>ROUND(VLOOKUP(O377,M340:Q344,4,FALSE),)</f>
        <v>#N/A</v>
      </c>
      <c r="I377" s="321" t="e">
        <f>ROUND(VLOOKUP(O377,M340:Q344,5,FALSE),)</f>
        <v>#N/A</v>
      </c>
      <c r="J377" s="321" t="e">
        <f>ROUND(VLOOKUP(Q377,M340:Q344,4,FALSE),)</f>
        <v>#N/A</v>
      </c>
      <c r="K377" s="321" t="e">
        <f>ROUND(VLOOKUP(Q377,M340:Q344,5,FALSE),)</f>
        <v>#N/A</v>
      </c>
      <c r="L377" s="614">
        <f t="shared" si="59"/>
        <v>-1.5707963267948966</v>
      </c>
      <c r="M377" s="617">
        <f t="shared" si="63"/>
        <v>0</v>
      </c>
      <c r="N377" s="615" t="e">
        <f>ROUND(HLOOKUP(M377,N346:R347,2,FALSE),)</f>
        <v>#N/A</v>
      </c>
      <c r="O377" s="617">
        <f t="shared" si="64"/>
        <v>0</v>
      </c>
      <c r="P377" s="616" t="e">
        <f t="shared" ref="P377" si="67">PI()*(F377*(J377+$C$343)-E377*(K377+$C$343))/(((J377+$C$343)*(I377+$C$343))-((H377+$C$343)*(K377+$C$343)))</f>
        <v>#N/A</v>
      </c>
      <c r="Q377" s="617">
        <f t="shared" si="65"/>
        <v>0</v>
      </c>
      <c r="R377" s="616" t="e">
        <f>(E377*PI()-P377*(H377+C343))/(J377+C343)</f>
        <v>#N/A</v>
      </c>
      <c r="S377" s="619">
        <f t="shared" si="66"/>
        <v>360</v>
      </c>
      <c r="T377" s="232" t="e">
        <f t="shared" si="60"/>
        <v>#N/A</v>
      </c>
      <c r="U377" s="191" t="e">
        <f t="shared" si="61"/>
        <v>#N/A</v>
      </c>
      <c r="V377" s="191" t="e">
        <f t="shared" si="62"/>
        <v>#N/A</v>
      </c>
      <c r="W377" s="181"/>
      <c r="X377" s="137"/>
      <c r="Z377" s="183"/>
      <c r="AA377" s="183"/>
    </row>
    <row r="378" spans="1:27" s="182" customFormat="1" ht="15" customHeight="1">
      <c r="A378" s="211"/>
      <c r="B378" s="164" t="s">
        <v>1046</v>
      </c>
      <c r="C378" s="294">
        <f>C377+2*SIN(RADIANS(M347))*(N340+C343)</f>
        <v>0</v>
      </c>
      <c r="D378" s="319">
        <f>(C378-(SIN(RADIANS(M347))*N340)-(COS(RADIANS(M347))*O340))*PI()/MEDIAN(U340:V344,P340:Q344)</f>
        <v>-4.7123889803846897</v>
      </c>
      <c r="E378" s="319" t="e">
        <f>(C378*PI()-N378*(G378+C343))/PI()</f>
        <v>#N/A</v>
      </c>
      <c r="F378" s="319" t="e">
        <f>E378-2*O340*COS(RADIANS(M347))</f>
        <v>#N/A</v>
      </c>
      <c r="G378" s="321" t="e">
        <f>ROUND(VLOOKUP(M378,R340:V344,4,FALSE),)</f>
        <v>#N/A</v>
      </c>
      <c r="H378" s="321" t="e">
        <f>ROUND(VLOOKUP(O378,M340:Q344,4,FALSE),)</f>
        <v>#N/A</v>
      </c>
      <c r="I378" s="321" t="e">
        <f>ROUND(VLOOKUP(O378,M340:Q344,5,FALSE),)</f>
        <v>#N/A</v>
      </c>
      <c r="J378" s="321" t="e">
        <f>ROUND(VLOOKUP(Q378,M340:Q344,4,FALSE),)</f>
        <v>#N/A</v>
      </c>
      <c r="K378" s="321" t="e">
        <f>ROUND(VLOOKUP(Q378,M340:Q344,5,FALSE),)</f>
        <v>#N/A</v>
      </c>
      <c r="L378" s="614">
        <f t="shared" si="59"/>
        <v>-1.5707963267948966</v>
      </c>
      <c r="M378" s="617">
        <f t="shared" si="63"/>
        <v>0</v>
      </c>
      <c r="N378" s="615" t="e">
        <f>ROUND(HLOOKUP(M378,N346:R347,2,FALSE),)</f>
        <v>#N/A</v>
      </c>
      <c r="O378" s="617">
        <f t="shared" si="64"/>
        <v>0</v>
      </c>
      <c r="P378" s="616" t="e">
        <f>PI()*(F378*(J378+C343)-E378*(K378+C343))/(((J378+C343)*(I378+C343))-((H378+C343)*(K378+C343)))</f>
        <v>#N/A</v>
      </c>
      <c r="Q378" s="617">
        <f t="shared" si="65"/>
        <v>0</v>
      </c>
      <c r="R378" s="616" t="e">
        <f>(E378*PI()-P378*(H378+C343))/(J378+C343)</f>
        <v>#N/A</v>
      </c>
      <c r="S378" s="619">
        <f t="shared" si="66"/>
        <v>360</v>
      </c>
      <c r="T378" s="232" t="e">
        <f t="shared" si="60"/>
        <v>#N/A</v>
      </c>
      <c r="U378" s="191" t="e">
        <f t="shared" si="61"/>
        <v>#N/A</v>
      </c>
      <c r="V378" s="191" t="e">
        <f t="shared" si="62"/>
        <v>#N/A</v>
      </c>
      <c r="W378" s="181"/>
      <c r="X378" s="137"/>
      <c r="Z378" s="183"/>
      <c r="AA378" s="183"/>
    </row>
    <row r="379" spans="1:27" s="182" customFormat="1" ht="15" customHeight="1">
      <c r="A379" s="211"/>
      <c r="B379" s="164" t="s">
        <v>1047</v>
      </c>
      <c r="C379" s="294">
        <f>C378+2*SIN(RADIANS(M347))*(N340+C343)</f>
        <v>0</v>
      </c>
      <c r="D379" s="319">
        <f>(C379-(SIN(RADIANS(M347))*N340)-(COS(RADIANS(M347))*O340))*PI()/MEDIAN(U340:V344,P340:Q344)</f>
        <v>-4.7123889803846897</v>
      </c>
      <c r="E379" s="319" t="e">
        <f>(C379*PI()-N379*(G379+C343))/PI()</f>
        <v>#N/A</v>
      </c>
      <c r="F379" s="319" t="e">
        <f>E379-2*O340*COS(RADIANS(M347))</f>
        <v>#N/A</v>
      </c>
      <c r="G379" s="321" t="e">
        <f>ROUND(VLOOKUP(M379,R340:V344,4,FALSE),)</f>
        <v>#N/A</v>
      </c>
      <c r="H379" s="321" t="e">
        <f>ROUND(VLOOKUP(O379,M340:Q344,4,FALSE),)</f>
        <v>#N/A</v>
      </c>
      <c r="I379" s="321" t="e">
        <f>ROUND(VLOOKUP(O379,M340:Q344,5,FALSE),)</f>
        <v>#N/A</v>
      </c>
      <c r="J379" s="321" t="e">
        <f>ROUND(VLOOKUP(Q379,M340:Q344,4,FALSE),)</f>
        <v>#N/A</v>
      </c>
      <c r="K379" s="321" t="e">
        <f>ROUND(VLOOKUP(Q379,M340:Q344,5,FALSE),)</f>
        <v>#N/A</v>
      </c>
      <c r="L379" s="614">
        <f t="shared" si="59"/>
        <v>-1.5707963267948966</v>
      </c>
      <c r="M379" s="617">
        <f t="shared" si="63"/>
        <v>0</v>
      </c>
      <c r="N379" s="615" t="e">
        <f>ROUND(HLOOKUP(M379,N346:R347,2,FALSE),)</f>
        <v>#N/A</v>
      </c>
      <c r="O379" s="617">
        <f t="shared" si="64"/>
        <v>0</v>
      </c>
      <c r="P379" s="616" t="e">
        <f>PI()*(F379*(J379+C343)-E379*(K379+C343))/(((J379+C343)*(I379+C343))-((H379+C343)*(K379+C343)))</f>
        <v>#N/A</v>
      </c>
      <c r="Q379" s="617">
        <f t="shared" si="65"/>
        <v>0</v>
      </c>
      <c r="R379" s="616" t="e">
        <f>(E379*PI()-P379*(H379+C343))/(J379+C343)</f>
        <v>#N/A</v>
      </c>
      <c r="S379" s="619">
        <f t="shared" si="66"/>
        <v>360</v>
      </c>
      <c r="T379" s="232" t="e">
        <f t="shared" si="60"/>
        <v>#N/A</v>
      </c>
      <c r="U379" s="191" t="e">
        <f t="shared" si="61"/>
        <v>#N/A</v>
      </c>
      <c r="V379" s="191" t="e">
        <f t="shared" si="62"/>
        <v>#N/A</v>
      </c>
      <c r="W379" s="181"/>
      <c r="X379" s="137"/>
      <c r="Z379" s="183"/>
      <c r="AA379" s="183"/>
    </row>
    <row r="380" spans="1:27" s="182" customFormat="1" ht="15" customHeight="1">
      <c r="A380" s="211"/>
      <c r="B380" s="164" t="s">
        <v>1048</v>
      </c>
      <c r="C380" s="294">
        <f>C379+2*SIN(RADIANS(M347))*(N340+C343)</f>
        <v>0</v>
      </c>
      <c r="D380" s="319">
        <f>(C380-(SIN(RADIANS(M347))*N340)-(COS(RADIANS(M347))*O340))*PI()/MEDIAN(U340:V344,P340:Q344)</f>
        <v>-4.7123889803846897</v>
      </c>
      <c r="E380" s="319" t="e">
        <f>(C380*PI()-N380*(G380+C343))/PI()</f>
        <v>#N/A</v>
      </c>
      <c r="F380" s="319" t="e">
        <f>E380-2*O340*COS(RADIANS(M347))</f>
        <v>#N/A</v>
      </c>
      <c r="G380" s="321" t="e">
        <f>ROUND(VLOOKUP(M380,R340:V344,4,FALSE),)</f>
        <v>#N/A</v>
      </c>
      <c r="H380" s="321" t="e">
        <f>ROUND(VLOOKUP(O380,M340:Q344,4,FALSE),)</f>
        <v>#N/A</v>
      </c>
      <c r="I380" s="321" t="e">
        <f>ROUND(VLOOKUP(O380,M340:Q344,5,FALSE),)</f>
        <v>#N/A</v>
      </c>
      <c r="J380" s="321" t="e">
        <f>ROUND(VLOOKUP(Q380,M340:Q344,4,FALSE),)</f>
        <v>#N/A</v>
      </c>
      <c r="K380" s="321" t="e">
        <f>ROUND(VLOOKUP(Q380,M340:Q344,5,FALSE),)</f>
        <v>#N/A</v>
      </c>
      <c r="L380" s="614">
        <f t="shared" si="59"/>
        <v>-1.5707963267948966</v>
      </c>
      <c r="M380" s="617">
        <f t="shared" si="63"/>
        <v>0</v>
      </c>
      <c r="N380" s="615" t="e">
        <f>ROUND(HLOOKUP(M380,N346:R347,2,FALSE),)</f>
        <v>#N/A</v>
      </c>
      <c r="O380" s="617">
        <f t="shared" si="64"/>
        <v>0</v>
      </c>
      <c r="P380" s="616" t="e">
        <f>PI()*(F380*(J380+C343)-E380*(K380+C343))/(((J380+C343)*(I380+C343))-((H380+C343)*(K380+C343)))</f>
        <v>#N/A</v>
      </c>
      <c r="Q380" s="617">
        <f t="shared" si="65"/>
        <v>0</v>
      </c>
      <c r="R380" s="616" t="e">
        <f>(E380*PI()-P380*(H380+C343))/(J380+C343)</f>
        <v>#N/A</v>
      </c>
      <c r="S380" s="619">
        <f t="shared" si="66"/>
        <v>360</v>
      </c>
      <c r="T380" s="232" t="e">
        <f t="shared" si="60"/>
        <v>#N/A</v>
      </c>
      <c r="U380" s="191" t="e">
        <f t="shared" si="61"/>
        <v>#N/A</v>
      </c>
      <c r="V380" s="191" t="e">
        <f t="shared" si="62"/>
        <v>#N/A</v>
      </c>
      <c r="W380" s="181"/>
      <c r="X380" s="137"/>
      <c r="Z380" s="183"/>
      <c r="AA380" s="183"/>
    </row>
    <row r="381" spans="1:27" s="182" customFormat="1" ht="15" customHeight="1">
      <c r="A381" s="211"/>
      <c r="B381" s="164" t="s">
        <v>1049</v>
      </c>
      <c r="C381" s="294">
        <f>C380+2*SIN(RADIANS(M347))*(N340+C343)</f>
        <v>0</v>
      </c>
      <c r="D381" s="319">
        <f>(C381-(SIN(RADIANS(M347))*N340)-(COS(RADIANS(M347))*O340))*PI()/MEDIAN(U340:V344,P340:Q344)</f>
        <v>-4.7123889803846897</v>
      </c>
      <c r="E381" s="319" t="e">
        <f>(C381*PI()-N381*(G381+C343))/PI()</f>
        <v>#N/A</v>
      </c>
      <c r="F381" s="319" t="e">
        <f>E381-2*O340*COS(RADIANS(M347))</f>
        <v>#N/A</v>
      </c>
      <c r="G381" s="321" t="e">
        <f>ROUND(VLOOKUP(M381,R340:V344,4,FALSE),)</f>
        <v>#N/A</v>
      </c>
      <c r="H381" s="321" t="e">
        <f>ROUND(VLOOKUP(O381,M340:Q344,4,FALSE),)</f>
        <v>#N/A</v>
      </c>
      <c r="I381" s="321" t="e">
        <f>ROUND(VLOOKUP(O381,M340:Q344,5,FALSE),)</f>
        <v>#N/A</v>
      </c>
      <c r="J381" s="321" t="e">
        <f>ROUND(VLOOKUP(Q381,M340:Q344,4,FALSE),)</f>
        <v>#N/A</v>
      </c>
      <c r="K381" s="321" t="e">
        <f>ROUND(VLOOKUP(Q381,M340:Q344,5,FALSE),)</f>
        <v>#N/A</v>
      </c>
      <c r="L381" s="614">
        <f t="shared" si="59"/>
        <v>-1.5707963267948966</v>
      </c>
      <c r="M381" s="617">
        <f t="shared" si="63"/>
        <v>0</v>
      </c>
      <c r="N381" s="615" t="e">
        <f>ROUND(HLOOKUP(M381,N346:R347,2,FALSE),)</f>
        <v>#N/A</v>
      </c>
      <c r="O381" s="617">
        <f t="shared" si="64"/>
        <v>0</v>
      </c>
      <c r="P381" s="616" t="e">
        <f>PI()*(F381*(J381+C343)-E381*(K381+C343))/(((J381+C343)*(I381+C343))-((H381+C343)*(K381+C343)))</f>
        <v>#N/A</v>
      </c>
      <c r="Q381" s="617">
        <f t="shared" si="65"/>
        <v>0</v>
      </c>
      <c r="R381" s="616" t="e">
        <f>(E381*PI()-P381*(H381+C343))/(J381+C343)</f>
        <v>#N/A</v>
      </c>
      <c r="S381" s="619">
        <f t="shared" si="66"/>
        <v>360</v>
      </c>
      <c r="T381" s="232" t="e">
        <f t="shared" si="60"/>
        <v>#N/A</v>
      </c>
      <c r="U381" s="191" t="e">
        <f t="shared" si="61"/>
        <v>#N/A</v>
      </c>
      <c r="V381" s="191" t="e">
        <f t="shared" si="62"/>
        <v>#N/A</v>
      </c>
      <c r="W381" s="181"/>
      <c r="X381" s="137"/>
      <c r="Z381" s="183"/>
      <c r="AA381" s="183"/>
    </row>
    <row r="382" spans="1:27" s="182" customFormat="1" ht="15" customHeight="1">
      <c r="A382" s="211"/>
      <c r="B382" s="164" t="s">
        <v>1050</v>
      </c>
      <c r="C382" s="294">
        <f>C381+2*SIN(RADIANS(M347))*(N340+C343)</f>
        <v>0</v>
      </c>
      <c r="D382" s="319">
        <f>(C382-(SIN(RADIANS(M347))*N340)-(COS(RADIANS(M347))*O340))*PI()/MEDIAN(U340:V344,P340:Q344)</f>
        <v>-4.7123889803846897</v>
      </c>
      <c r="E382" s="319" t="e">
        <f>(C382*PI()-N382*(G382+C343))/PI()</f>
        <v>#N/A</v>
      </c>
      <c r="F382" s="319" t="e">
        <f>E382-2*O340*COS(RADIANS(M347))</f>
        <v>#N/A</v>
      </c>
      <c r="G382" s="321" t="e">
        <f>ROUND(VLOOKUP(M382,R340:V344,4,FALSE),)</f>
        <v>#N/A</v>
      </c>
      <c r="H382" s="321" t="e">
        <f>ROUND(VLOOKUP(O382,M340:Q344,4,FALSE),)</f>
        <v>#N/A</v>
      </c>
      <c r="I382" s="321" t="e">
        <f>ROUND(VLOOKUP(O382,M340:Q344,5,FALSE),)</f>
        <v>#N/A</v>
      </c>
      <c r="J382" s="321" t="e">
        <f>ROUND(VLOOKUP(Q382,M340:Q344,4,FALSE),)</f>
        <v>#N/A</v>
      </c>
      <c r="K382" s="321" t="e">
        <f>ROUND(VLOOKUP(Q382,M340:Q344,5,FALSE),)</f>
        <v>#N/A</v>
      </c>
      <c r="L382" s="614">
        <f t="shared" si="59"/>
        <v>-1.5707963267948966</v>
      </c>
      <c r="M382" s="617">
        <f t="shared" si="63"/>
        <v>0</v>
      </c>
      <c r="N382" s="615" t="e">
        <f>ROUND(HLOOKUP(M382,N346:R347,2,FALSE),)</f>
        <v>#N/A</v>
      </c>
      <c r="O382" s="617">
        <f t="shared" si="64"/>
        <v>0</v>
      </c>
      <c r="P382" s="616" t="e">
        <f>PI()*(F382*(J382+C343)-E382*(K382+C343))/(((J382+C343)*(I382+C343))-((H382+C343)*(K382+C343)))</f>
        <v>#N/A</v>
      </c>
      <c r="Q382" s="617">
        <f t="shared" si="65"/>
        <v>0</v>
      </c>
      <c r="R382" s="616" t="e">
        <f>(E382*PI()-P382*(H382+C343))/(J382+C343)</f>
        <v>#N/A</v>
      </c>
      <c r="S382" s="619">
        <f t="shared" si="66"/>
        <v>360</v>
      </c>
      <c r="T382" s="232" t="e">
        <f t="shared" si="60"/>
        <v>#N/A</v>
      </c>
      <c r="U382" s="191" t="e">
        <f t="shared" si="61"/>
        <v>#N/A</v>
      </c>
      <c r="V382" s="191" t="e">
        <f t="shared" si="62"/>
        <v>#N/A</v>
      </c>
      <c r="W382" s="181"/>
      <c r="X382" s="137"/>
      <c r="Z382" s="183"/>
      <c r="AA382" s="183"/>
    </row>
    <row r="383" spans="1:27" s="182" customFormat="1" ht="15" customHeight="1">
      <c r="A383" s="211"/>
      <c r="B383" s="164" t="s">
        <v>1051</v>
      </c>
      <c r="C383" s="294">
        <f>C382+2*SIN(RADIANS(M347))*(N340+C343)</f>
        <v>0</v>
      </c>
      <c r="D383" s="319">
        <f>(C383-(SIN(RADIANS(M347))*N340)-(COS(RADIANS(M347))*O340))*PI()/MEDIAN(U340:V344,P340:Q344)</f>
        <v>-4.7123889803846897</v>
      </c>
      <c r="E383" s="319" t="e">
        <f>(C383*PI()-N383*(G383+C343))/PI()</f>
        <v>#N/A</v>
      </c>
      <c r="F383" s="319" t="e">
        <f>E383-2*O340*COS(RADIANS(M347))</f>
        <v>#N/A</v>
      </c>
      <c r="G383" s="321" t="e">
        <f>ROUND(VLOOKUP(M383,R340:V344,4,FALSE),)</f>
        <v>#N/A</v>
      </c>
      <c r="H383" s="321" t="e">
        <f>ROUND(VLOOKUP(O383,M340:Q344,4,FALSE),)</f>
        <v>#N/A</v>
      </c>
      <c r="I383" s="321" t="e">
        <f>ROUND(VLOOKUP(O383,M340:Q344,5,FALSE),)</f>
        <v>#N/A</v>
      </c>
      <c r="J383" s="321" t="e">
        <f>ROUND(VLOOKUP(Q383,M340:Q344,4,FALSE),)</f>
        <v>#N/A</v>
      </c>
      <c r="K383" s="321" t="e">
        <f>ROUND(VLOOKUP(Q383,M340:Q344,5,FALSE),)</f>
        <v>#N/A</v>
      </c>
      <c r="L383" s="614">
        <f t="shared" si="59"/>
        <v>-1.5707963267948966</v>
      </c>
      <c r="M383" s="617">
        <f t="shared" si="63"/>
        <v>0</v>
      </c>
      <c r="N383" s="615" t="e">
        <f>ROUND(HLOOKUP(M383,N346:R347,2,FALSE),)</f>
        <v>#N/A</v>
      </c>
      <c r="O383" s="617">
        <f t="shared" si="64"/>
        <v>0</v>
      </c>
      <c r="P383" s="616" t="e">
        <f>PI()*(F383*(J383+C343)-E383*(K383+C343))/(((J383+C343)*(I383+C343))-((H383+C343)*(K383+C343)))</f>
        <v>#N/A</v>
      </c>
      <c r="Q383" s="617">
        <f t="shared" si="65"/>
        <v>0</v>
      </c>
      <c r="R383" s="616" t="e">
        <f>(E383*PI()-P383*(H383+C343))/(J383+C343)</f>
        <v>#N/A</v>
      </c>
      <c r="S383" s="619">
        <f t="shared" si="66"/>
        <v>360</v>
      </c>
      <c r="T383" s="232" t="e">
        <f t="shared" si="60"/>
        <v>#N/A</v>
      </c>
      <c r="U383" s="191" t="e">
        <f t="shared" si="61"/>
        <v>#N/A</v>
      </c>
      <c r="V383" s="191" t="e">
        <f t="shared" si="62"/>
        <v>#N/A</v>
      </c>
      <c r="W383" s="181"/>
      <c r="X383" s="137"/>
      <c r="Z383" s="183"/>
      <c r="AA383" s="183"/>
    </row>
    <row r="384" spans="1:27" s="182" customFormat="1" ht="15" customHeight="1">
      <c r="A384" s="211"/>
      <c r="B384" s="164" t="s">
        <v>1052</v>
      </c>
      <c r="C384" s="294">
        <f>C383+2*SIN(RADIANS(M347))*(N340+C343)</f>
        <v>0</v>
      </c>
      <c r="D384" s="319">
        <f>(C384-(SIN(RADIANS(M347))*N340)-(COS(RADIANS(M347))*O340))*PI()/MEDIAN(U340:V344,P340:Q344)</f>
        <v>-4.7123889803846897</v>
      </c>
      <c r="E384" s="319" t="e">
        <f>(C384*PI()-N384*(G384+C343))/PI()</f>
        <v>#N/A</v>
      </c>
      <c r="F384" s="319" t="e">
        <f>E384-2*O340*COS(RADIANS(M347))</f>
        <v>#N/A</v>
      </c>
      <c r="G384" s="321" t="e">
        <f>ROUND(VLOOKUP(M384,R340:V344,4,FALSE),)</f>
        <v>#N/A</v>
      </c>
      <c r="H384" s="321" t="e">
        <f>ROUND(VLOOKUP(O384,M340:Q344,4,FALSE),)</f>
        <v>#N/A</v>
      </c>
      <c r="I384" s="321" t="e">
        <f>ROUND(VLOOKUP(O384,M340:Q344,5,FALSE),)</f>
        <v>#N/A</v>
      </c>
      <c r="J384" s="321" t="e">
        <f>ROUND(VLOOKUP(Q384,M340:Q344,4,FALSE),)</f>
        <v>#N/A</v>
      </c>
      <c r="K384" s="321" t="e">
        <f>ROUND(VLOOKUP(Q384,M340:Q344,5,FALSE),)</f>
        <v>#N/A</v>
      </c>
      <c r="L384" s="614">
        <f t="shared" ref="L384:L401" si="68">D384/3</f>
        <v>-1.5707963267948966</v>
      </c>
      <c r="M384" s="617">
        <f t="shared" si="63"/>
        <v>0</v>
      </c>
      <c r="N384" s="615" t="e">
        <f>ROUND(HLOOKUP(M384,N346:R347,2,FALSE),)</f>
        <v>#N/A</v>
      </c>
      <c r="O384" s="617">
        <f t="shared" si="64"/>
        <v>0</v>
      </c>
      <c r="P384" s="616" t="e">
        <f>PI()*(F384*(J384+C343)-E384*(K384+C343))/(((J384+C343)*(I384+C343))-((H384+C343)*(K384+C343)))</f>
        <v>#N/A</v>
      </c>
      <c r="Q384" s="617">
        <f t="shared" si="65"/>
        <v>0</v>
      </c>
      <c r="R384" s="616" t="e">
        <f>(E384*PI()-P384*(H384+C343))/(J384+C343)</f>
        <v>#N/A</v>
      </c>
      <c r="S384" s="619">
        <f t="shared" si="66"/>
        <v>360</v>
      </c>
      <c r="T384" s="232" t="e">
        <f t="shared" ref="T384:T401" si="69">ROUND(N384/360*S384,)</f>
        <v>#N/A</v>
      </c>
      <c r="U384" s="191" t="e">
        <f t="shared" ref="U384:U401" si="70">ROUND(P384/360*S384,)</f>
        <v>#N/A</v>
      </c>
      <c r="V384" s="191" t="e">
        <f t="shared" ref="V384:V401" si="71">ROUND(R384/360*S384,)</f>
        <v>#N/A</v>
      </c>
      <c r="W384" s="181"/>
      <c r="X384" s="137"/>
      <c r="Z384" s="183"/>
      <c r="AA384" s="183"/>
    </row>
    <row r="385" spans="1:27" s="182" customFormat="1" ht="15" customHeight="1">
      <c r="A385" s="211"/>
      <c r="B385" s="164" t="s">
        <v>1053</v>
      </c>
      <c r="C385" s="294">
        <f>C384+2*SIN(RADIANS(M347))*(N340+C343)</f>
        <v>0</v>
      </c>
      <c r="D385" s="319">
        <f>(C385-(SIN(RADIANS(M347))*N340)-(COS(RADIANS(M347))*O340))*PI()/MEDIAN(U340:V344,P340:Q344)</f>
        <v>-4.7123889803846897</v>
      </c>
      <c r="E385" s="319" t="e">
        <f>(C385*PI()-N385*(G385+C343))/PI()</f>
        <v>#N/A</v>
      </c>
      <c r="F385" s="319" t="e">
        <f>E385-2*O340*COS(RADIANS(M347))</f>
        <v>#N/A</v>
      </c>
      <c r="G385" s="321" t="e">
        <f>ROUND(VLOOKUP(M385,R340:V344,4,FALSE),)</f>
        <v>#N/A</v>
      </c>
      <c r="H385" s="321" t="e">
        <f>ROUND(VLOOKUP(O385,M340:Q344,4,FALSE),)</f>
        <v>#N/A</v>
      </c>
      <c r="I385" s="321" t="e">
        <f>ROUND(VLOOKUP(O385,M340:Q344,5,FALSE),)</f>
        <v>#N/A</v>
      </c>
      <c r="J385" s="321" t="e">
        <f>ROUND(VLOOKUP(Q385,M340:Q344,4,FALSE),)</f>
        <v>#N/A</v>
      </c>
      <c r="K385" s="321" t="e">
        <f>ROUND(VLOOKUP(Q385,M340:Q344,5,FALSE),)</f>
        <v>#N/A</v>
      </c>
      <c r="L385" s="614">
        <f t="shared" si="68"/>
        <v>-1.5707963267948966</v>
      </c>
      <c r="M385" s="617">
        <f t="shared" ref="M385:M401" si="72">M384</f>
        <v>0</v>
      </c>
      <c r="N385" s="615" t="e">
        <f>ROUND(HLOOKUP(M385,N346:R347,2,FALSE),)</f>
        <v>#N/A</v>
      </c>
      <c r="O385" s="617">
        <f t="shared" ref="O385:O401" si="73">O384</f>
        <v>0</v>
      </c>
      <c r="P385" s="616" t="e">
        <f>PI()*(F385*(J385+C343)-E385*(K385+C343))/(((J385+C343)*(I385+C343))-((H385+C343)*(K385+C343)))</f>
        <v>#N/A</v>
      </c>
      <c r="Q385" s="617">
        <f t="shared" ref="Q385:Q401" si="74">Q384</f>
        <v>0</v>
      </c>
      <c r="R385" s="616" t="e">
        <f>(E385*PI()-P385*(H385+C343))/(J385+C343)</f>
        <v>#N/A</v>
      </c>
      <c r="S385" s="619">
        <f t="shared" si="66"/>
        <v>360</v>
      </c>
      <c r="T385" s="232" t="e">
        <f t="shared" si="69"/>
        <v>#N/A</v>
      </c>
      <c r="U385" s="191" t="e">
        <f t="shared" si="70"/>
        <v>#N/A</v>
      </c>
      <c r="V385" s="191" t="e">
        <f t="shared" si="71"/>
        <v>#N/A</v>
      </c>
      <c r="W385" s="181"/>
      <c r="X385" s="137"/>
      <c r="Z385" s="183"/>
      <c r="AA385" s="183"/>
    </row>
    <row r="386" spans="1:27" s="182" customFormat="1" ht="15" customHeight="1">
      <c r="A386" s="211"/>
      <c r="B386" s="164" t="s">
        <v>1054</v>
      </c>
      <c r="C386" s="294">
        <f>C385+2*SIN(RADIANS(M347))*(N340+C343)</f>
        <v>0</v>
      </c>
      <c r="D386" s="319">
        <f>(C386-(SIN(RADIANS(M347))*N340)-(COS(RADIANS(M347))*O340))*PI()/MEDIAN(U340:V344,P340:Q344)</f>
        <v>-4.7123889803846897</v>
      </c>
      <c r="E386" s="319" t="e">
        <f>(C386*PI()-N386*(G386+C343))/PI()</f>
        <v>#N/A</v>
      </c>
      <c r="F386" s="319" t="e">
        <f>E386-2*O340*COS(RADIANS(M347))</f>
        <v>#N/A</v>
      </c>
      <c r="G386" s="321" t="e">
        <f>ROUND(VLOOKUP(M386,R340:V344,4,FALSE),)</f>
        <v>#N/A</v>
      </c>
      <c r="H386" s="321" t="e">
        <f>ROUND(VLOOKUP(O386,M340:Q344,4,FALSE),)</f>
        <v>#N/A</v>
      </c>
      <c r="I386" s="321" t="e">
        <f>ROUND(VLOOKUP(O386,M340:Q344,5,FALSE),)</f>
        <v>#N/A</v>
      </c>
      <c r="J386" s="321" t="e">
        <f>ROUND(VLOOKUP(Q386,M340:Q344,4,FALSE),)</f>
        <v>#N/A</v>
      </c>
      <c r="K386" s="321" t="e">
        <f>ROUND(VLOOKUP(Q386,M340:Q344,5,FALSE),)</f>
        <v>#N/A</v>
      </c>
      <c r="L386" s="614">
        <f t="shared" si="68"/>
        <v>-1.5707963267948966</v>
      </c>
      <c r="M386" s="617">
        <f t="shared" si="72"/>
        <v>0</v>
      </c>
      <c r="N386" s="615" t="e">
        <f>ROUND(HLOOKUP(M386,N346:R347,2,FALSE),)</f>
        <v>#N/A</v>
      </c>
      <c r="O386" s="617">
        <f t="shared" si="73"/>
        <v>0</v>
      </c>
      <c r="P386" s="616" t="e">
        <f>PI()*(F386*(J386+C343)-E386*(K386+C343))/(((J386+C343)*(I386+C343))-((H386+C343)*(K386+C343)))</f>
        <v>#N/A</v>
      </c>
      <c r="Q386" s="617">
        <f t="shared" si="74"/>
        <v>0</v>
      </c>
      <c r="R386" s="616" t="e">
        <f>(E386*PI()-P386*(H386+C343))/(J386+C343)</f>
        <v>#N/A</v>
      </c>
      <c r="S386" s="619">
        <f t="shared" si="66"/>
        <v>360</v>
      </c>
      <c r="T386" s="232" t="e">
        <f t="shared" si="69"/>
        <v>#N/A</v>
      </c>
      <c r="U386" s="191" t="e">
        <f t="shared" si="70"/>
        <v>#N/A</v>
      </c>
      <c r="V386" s="191" t="e">
        <f t="shared" si="71"/>
        <v>#N/A</v>
      </c>
      <c r="W386" s="181"/>
      <c r="X386" s="137"/>
      <c r="Z386" s="183"/>
      <c r="AA386" s="183"/>
    </row>
    <row r="387" spans="1:27" s="182" customFormat="1" ht="15" customHeight="1">
      <c r="A387" s="211"/>
      <c r="B387" s="164" t="s">
        <v>1055</v>
      </c>
      <c r="C387" s="294">
        <f>C386+2*SIN(RADIANS(M347))*(N340+C343)</f>
        <v>0</v>
      </c>
      <c r="D387" s="319">
        <f>(C387-(SIN(RADIANS(M347))*N340)-(COS(RADIANS(M347))*O340))*PI()/MEDIAN(U340:V344,P340:Q344)</f>
        <v>-4.7123889803846897</v>
      </c>
      <c r="E387" s="319" t="e">
        <f>(C387*PI()-N387*(G387+C343))/PI()</f>
        <v>#N/A</v>
      </c>
      <c r="F387" s="319" t="e">
        <f>E387-2*O340*COS(RADIANS(M347))</f>
        <v>#N/A</v>
      </c>
      <c r="G387" s="321" t="e">
        <f>ROUND(VLOOKUP(M387,R340:V344,4,FALSE),)</f>
        <v>#N/A</v>
      </c>
      <c r="H387" s="321" t="e">
        <f>ROUND(VLOOKUP(O387,M340:Q344,4,FALSE),)</f>
        <v>#N/A</v>
      </c>
      <c r="I387" s="321" t="e">
        <f>ROUND(VLOOKUP(O387,M340:Q344,5,FALSE),)</f>
        <v>#N/A</v>
      </c>
      <c r="J387" s="321" t="e">
        <f>ROUND(VLOOKUP(Q387,M340:Q344,4,FALSE),)</f>
        <v>#N/A</v>
      </c>
      <c r="K387" s="321" t="e">
        <f>ROUND(VLOOKUP(Q387,M340:Q344,5,FALSE),)</f>
        <v>#N/A</v>
      </c>
      <c r="L387" s="614">
        <f t="shared" si="68"/>
        <v>-1.5707963267948966</v>
      </c>
      <c r="M387" s="617">
        <f t="shared" si="72"/>
        <v>0</v>
      </c>
      <c r="N387" s="615" t="e">
        <f>ROUND(HLOOKUP(M387,N346:R347,2,FALSE),)</f>
        <v>#N/A</v>
      </c>
      <c r="O387" s="617">
        <f t="shared" si="73"/>
        <v>0</v>
      </c>
      <c r="P387" s="616" t="e">
        <f>PI()*(F387*(J387+C343)-E387*(K387+C343))/(((J387+C343)*(I387+C343))-((H387+C343)*(K387+C343)))</f>
        <v>#N/A</v>
      </c>
      <c r="Q387" s="617">
        <f t="shared" si="74"/>
        <v>0</v>
      </c>
      <c r="R387" s="616" t="e">
        <f>(E387*PI()-P387*(H387+C343))/(J387+C343)</f>
        <v>#N/A</v>
      </c>
      <c r="S387" s="619">
        <f t="shared" si="66"/>
        <v>360</v>
      </c>
      <c r="T387" s="232" t="e">
        <f t="shared" si="69"/>
        <v>#N/A</v>
      </c>
      <c r="U387" s="191" t="e">
        <f t="shared" si="70"/>
        <v>#N/A</v>
      </c>
      <c r="V387" s="191" t="e">
        <f t="shared" si="71"/>
        <v>#N/A</v>
      </c>
      <c r="W387" s="181"/>
      <c r="X387" s="137"/>
      <c r="Z387" s="183"/>
      <c r="AA387" s="183"/>
    </row>
    <row r="388" spans="1:27" s="182" customFormat="1" ht="15" customHeight="1">
      <c r="A388" s="211"/>
      <c r="B388" s="164" t="s">
        <v>1056</v>
      </c>
      <c r="C388" s="294">
        <f>C387+2*SIN(RADIANS(M347))*(N340+C343)</f>
        <v>0</v>
      </c>
      <c r="D388" s="319">
        <f>(C388-(SIN(RADIANS(M347))*N340)-(COS(RADIANS(M347))*O340))*PI()/MEDIAN(U340:V344,P340:Q344)</f>
        <v>-4.7123889803846897</v>
      </c>
      <c r="E388" s="319" t="e">
        <f>(C388*PI()-N388*(G388+C343))/PI()</f>
        <v>#N/A</v>
      </c>
      <c r="F388" s="319" t="e">
        <f>E388-2*O340*COS(RADIANS(M347))</f>
        <v>#N/A</v>
      </c>
      <c r="G388" s="321" t="e">
        <f>ROUND(VLOOKUP(M388,R340:V344,4,FALSE),)</f>
        <v>#N/A</v>
      </c>
      <c r="H388" s="321" t="e">
        <f>ROUND(VLOOKUP(O388,M340:Q344,4,FALSE),)</f>
        <v>#N/A</v>
      </c>
      <c r="I388" s="321" t="e">
        <f>ROUND(VLOOKUP(O388,M340:Q344,5,FALSE),)</f>
        <v>#N/A</v>
      </c>
      <c r="J388" s="321" t="e">
        <f>ROUND(VLOOKUP(Q388,M340:Q344,4,FALSE),)</f>
        <v>#N/A</v>
      </c>
      <c r="K388" s="321" t="e">
        <f>ROUND(VLOOKUP(Q388,M340:Q344,5,FALSE),)</f>
        <v>#N/A</v>
      </c>
      <c r="L388" s="614">
        <f t="shared" si="68"/>
        <v>-1.5707963267948966</v>
      </c>
      <c r="M388" s="617">
        <f t="shared" si="72"/>
        <v>0</v>
      </c>
      <c r="N388" s="615" t="e">
        <f>ROUND(HLOOKUP(M388,N346:R347,2,FALSE),)</f>
        <v>#N/A</v>
      </c>
      <c r="O388" s="617">
        <f t="shared" si="73"/>
        <v>0</v>
      </c>
      <c r="P388" s="616" t="e">
        <f>PI()*(F388*(J388+C343)-E388*(K388+C343))/(((J388+C343)*(I388+C343))-((H388+C343)*(K388+C343)))</f>
        <v>#N/A</v>
      </c>
      <c r="Q388" s="617">
        <f t="shared" si="74"/>
        <v>0</v>
      </c>
      <c r="R388" s="616" t="e">
        <f>(E388*PI()-P388*(H388+C343))/(J388+C343)</f>
        <v>#N/A</v>
      </c>
      <c r="S388" s="619">
        <f t="shared" si="66"/>
        <v>360</v>
      </c>
      <c r="T388" s="232" t="e">
        <f t="shared" si="69"/>
        <v>#N/A</v>
      </c>
      <c r="U388" s="191" t="e">
        <f t="shared" si="70"/>
        <v>#N/A</v>
      </c>
      <c r="V388" s="191" t="e">
        <f t="shared" si="71"/>
        <v>#N/A</v>
      </c>
      <c r="W388" s="181"/>
      <c r="X388" s="137"/>
      <c r="Z388" s="183"/>
      <c r="AA388" s="183"/>
    </row>
    <row r="389" spans="1:27" s="182" customFormat="1" ht="15" customHeight="1">
      <c r="A389" s="211"/>
      <c r="B389" s="164" t="s">
        <v>1057</v>
      </c>
      <c r="C389" s="294">
        <f>C388+2*SIN(RADIANS(M347))*(N340+C343)</f>
        <v>0</v>
      </c>
      <c r="D389" s="319">
        <f>(C389-(SIN(RADIANS(M347))*N340)-(COS(RADIANS(M347))*O340))*PI()/MEDIAN(U340:V344,P340:Q344)</f>
        <v>-4.7123889803846897</v>
      </c>
      <c r="E389" s="319" t="e">
        <f>(C389*PI()-N389*(G389+C343))/PI()</f>
        <v>#N/A</v>
      </c>
      <c r="F389" s="319" t="e">
        <f>E389-2*O340*COS(RADIANS(M347))</f>
        <v>#N/A</v>
      </c>
      <c r="G389" s="321" t="e">
        <f>ROUND(VLOOKUP(M389,R340:V344,4,FALSE),)</f>
        <v>#N/A</v>
      </c>
      <c r="H389" s="321" t="e">
        <f>ROUND(VLOOKUP(O389,M340:Q344,4,FALSE),)</f>
        <v>#N/A</v>
      </c>
      <c r="I389" s="321" t="e">
        <f>ROUND(VLOOKUP(O389,M340:Q344,5,FALSE),)</f>
        <v>#N/A</v>
      </c>
      <c r="J389" s="321" t="e">
        <f>ROUND(VLOOKUP(Q389,M340:Q344,4,FALSE),)</f>
        <v>#N/A</v>
      </c>
      <c r="K389" s="321" t="e">
        <f>ROUND(VLOOKUP(Q389,M340:Q344,5,FALSE),)</f>
        <v>#N/A</v>
      </c>
      <c r="L389" s="614">
        <f t="shared" si="68"/>
        <v>-1.5707963267948966</v>
      </c>
      <c r="M389" s="617">
        <f t="shared" si="72"/>
        <v>0</v>
      </c>
      <c r="N389" s="615" t="e">
        <f>ROUND(HLOOKUP(M389,N346:R347,2,FALSE),)</f>
        <v>#N/A</v>
      </c>
      <c r="O389" s="617">
        <f t="shared" si="73"/>
        <v>0</v>
      </c>
      <c r="P389" s="616" t="e">
        <f>PI()*(F389*(J389+C343)-E389*(K389+C343))/(((J389+C343)*(I389+C343))-((H389+C343)*(K389+C343)))</f>
        <v>#N/A</v>
      </c>
      <c r="Q389" s="617">
        <f t="shared" si="74"/>
        <v>0</v>
      </c>
      <c r="R389" s="616" t="e">
        <f>(E389*PI()-P389*(H389+C343))/(J389+C343)</f>
        <v>#N/A</v>
      </c>
      <c r="S389" s="619">
        <f t="shared" si="66"/>
        <v>360</v>
      </c>
      <c r="T389" s="232" t="e">
        <f t="shared" si="69"/>
        <v>#N/A</v>
      </c>
      <c r="U389" s="191" t="e">
        <f t="shared" si="70"/>
        <v>#N/A</v>
      </c>
      <c r="V389" s="191" t="e">
        <f t="shared" si="71"/>
        <v>#N/A</v>
      </c>
      <c r="W389" s="181"/>
      <c r="X389" s="137"/>
      <c r="Z389" s="183"/>
      <c r="AA389" s="183"/>
    </row>
    <row r="390" spans="1:27" s="182" customFormat="1" ht="15" customHeight="1">
      <c r="A390" s="211"/>
      <c r="B390" s="164" t="s">
        <v>1058</v>
      </c>
      <c r="C390" s="294">
        <f>C389+2*SIN(RADIANS(M347))*(N340+C343)</f>
        <v>0</v>
      </c>
      <c r="D390" s="319">
        <f>(C390-(SIN(RADIANS(M347))*N340)-(COS(RADIANS(M347))*O340))*PI()/MEDIAN(U340:V344,P340:Q344)</f>
        <v>-4.7123889803846897</v>
      </c>
      <c r="E390" s="319" t="e">
        <f>(C390*PI()-N390*(G390+C343))/PI()</f>
        <v>#N/A</v>
      </c>
      <c r="F390" s="319" t="e">
        <f>E390-2*O340*COS(RADIANS(M347))</f>
        <v>#N/A</v>
      </c>
      <c r="G390" s="321" t="e">
        <f>ROUND(VLOOKUP(M390,R340:V344,4,FALSE),)</f>
        <v>#N/A</v>
      </c>
      <c r="H390" s="321" t="e">
        <f>ROUND(VLOOKUP(O390,M340:Q344,4,FALSE),)</f>
        <v>#N/A</v>
      </c>
      <c r="I390" s="321" t="e">
        <f>ROUND(VLOOKUP(O390,M340:Q344,5,FALSE),)</f>
        <v>#N/A</v>
      </c>
      <c r="J390" s="321" t="e">
        <f>ROUND(VLOOKUP(Q390,M340:Q344,4,FALSE),)</f>
        <v>#N/A</v>
      </c>
      <c r="K390" s="321" t="e">
        <f>ROUND(VLOOKUP(Q390,M340:Q344,5,FALSE),)</f>
        <v>#N/A</v>
      </c>
      <c r="L390" s="614">
        <f t="shared" si="68"/>
        <v>-1.5707963267948966</v>
      </c>
      <c r="M390" s="617">
        <f t="shared" si="72"/>
        <v>0</v>
      </c>
      <c r="N390" s="615" t="e">
        <f>ROUND(HLOOKUP(M390,N346:R347,2,FALSE),)</f>
        <v>#N/A</v>
      </c>
      <c r="O390" s="617">
        <f t="shared" si="73"/>
        <v>0</v>
      </c>
      <c r="P390" s="616" t="e">
        <f>PI()*(F390*(J390+C343)-E390*(K390+C343))/(((J390+C343)*(I390+C343))-((H390+C343)*(K390+C343)))</f>
        <v>#N/A</v>
      </c>
      <c r="Q390" s="617">
        <f t="shared" si="74"/>
        <v>0</v>
      </c>
      <c r="R390" s="616" t="e">
        <f>(E390*PI()-P390*(H390+C343))/(J390+C343)</f>
        <v>#N/A</v>
      </c>
      <c r="S390" s="619">
        <f t="shared" si="66"/>
        <v>360</v>
      </c>
      <c r="T390" s="232" t="e">
        <f t="shared" si="69"/>
        <v>#N/A</v>
      </c>
      <c r="U390" s="191" t="e">
        <f t="shared" si="70"/>
        <v>#N/A</v>
      </c>
      <c r="V390" s="191" t="e">
        <f t="shared" si="71"/>
        <v>#N/A</v>
      </c>
      <c r="W390" s="181"/>
      <c r="X390" s="137"/>
      <c r="Z390" s="183"/>
      <c r="AA390" s="183"/>
    </row>
    <row r="391" spans="1:27" s="182" customFormat="1" ht="15" customHeight="1">
      <c r="A391" s="211"/>
      <c r="B391" s="164" t="s">
        <v>1059</v>
      </c>
      <c r="C391" s="294">
        <f>C390+2*SIN(RADIANS(M347))*(N340+C343)</f>
        <v>0</v>
      </c>
      <c r="D391" s="319">
        <f>(C391-(SIN(RADIANS(M347))*N340)-(COS(RADIANS(M347))*O340))*PI()/MEDIAN(U340:V344,P340:Q344)</f>
        <v>-4.7123889803846897</v>
      </c>
      <c r="E391" s="319" t="e">
        <f>(C391*PI()-N391*(G391+C343))/PI()</f>
        <v>#N/A</v>
      </c>
      <c r="F391" s="319" t="e">
        <f>E391-2*O340*COS(RADIANS(M347))</f>
        <v>#N/A</v>
      </c>
      <c r="G391" s="321" t="e">
        <f>ROUND(VLOOKUP(M391,R340:V344,4,FALSE),)</f>
        <v>#N/A</v>
      </c>
      <c r="H391" s="321" t="e">
        <f>ROUND(VLOOKUP(O391,M340:Q344,4,FALSE),)</f>
        <v>#N/A</v>
      </c>
      <c r="I391" s="321" t="e">
        <f>ROUND(VLOOKUP(O391,M340:Q344,5,FALSE),)</f>
        <v>#N/A</v>
      </c>
      <c r="J391" s="321" t="e">
        <f>ROUND(VLOOKUP(Q391,M340:Q344,4,FALSE),)</f>
        <v>#N/A</v>
      </c>
      <c r="K391" s="321" t="e">
        <f>ROUND(VLOOKUP(Q391,M340:Q344,5,FALSE),)</f>
        <v>#N/A</v>
      </c>
      <c r="L391" s="614">
        <f t="shared" si="68"/>
        <v>-1.5707963267948966</v>
      </c>
      <c r="M391" s="617">
        <f t="shared" si="72"/>
        <v>0</v>
      </c>
      <c r="N391" s="615" t="e">
        <f>ROUND(HLOOKUP(M391,N346:R347,2,FALSE),)</f>
        <v>#N/A</v>
      </c>
      <c r="O391" s="617">
        <f t="shared" si="73"/>
        <v>0</v>
      </c>
      <c r="P391" s="616" t="e">
        <f>PI()*(F391*(J391+C343)-E391*(K391+C343))/(((J391+C343)*(I391+C343))-((H391+C343)*(K391+C343)))</f>
        <v>#N/A</v>
      </c>
      <c r="Q391" s="617">
        <f t="shared" si="74"/>
        <v>0</v>
      </c>
      <c r="R391" s="616" t="e">
        <f>(E391*PI()-P391*(H391+C343))/(J391+C343)</f>
        <v>#N/A</v>
      </c>
      <c r="S391" s="619">
        <f t="shared" si="66"/>
        <v>360</v>
      </c>
      <c r="T391" s="232" t="e">
        <f t="shared" si="69"/>
        <v>#N/A</v>
      </c>
      <c r="U391" s="191" t="e">
        <f t="shared" si="70"/>
        <v>#N/A</v>
      </c>
      <c r="V391" s="191" t="e">
        <f t="shared" si="71"/>
        <v>#N/A</v>
      </c>
      <c r="W391" s="181"/>
      <c r="X391" s="137"/>
      <c r="Z391" s="183"/>
      <c r="AA391" s="183"/>
    </row>
    <row r="392" spans="1:27" s="182" customFormat="1" ht="15" customHeight="1">
      <c r="A392" s="211"/>
      <c r="B392" s="164" t="s">
        <v>1060</v>
      </c>
      <c r="C392" s="294">
        <f>C391+2*SIN(RADIANS(M347))*(N340+C343)</f>
        <v>0</v>
      </c>
      <c r="D392" s="319">
        <f>(C392-(SIN(RADIANS(M347))*N340)-(COS(RADIANS(M347))*O340))*PI()/MEDIAN(U340:V344,P340:Q344)</f>
        <v>-4.7123889803846897</v>
      </c>
      <c r="E392" s="319" t="e">
        <f>(C392*PI()-N392*(G392+C343))/PI()</f>
        <v>#N/A</v>
      </c>
      <c r="F392" s="319" t="e">
        <f>E392-2*O340*COS(RADIANS(M347))</f>
        <v>#N/A</v>
      </c>
      <c r="G392" s="321" t="e">
        <f>ROUND(VLOOKUP(M392,R340:V344,4,FALSE),)</f>
        <v>#N/A</v>
      </c>
      <c r="H392" s="321" t="e">
        <f>ROUND(VLOOKUP(O392,M340:Q344,4,FALSE),)</f>
        <v>#N/A</v>
      </c>
      <c r="I392" s="321" t="e">
        <f>ROUND(VLOOKUP(O392,M340:Q344,5,FALSE),)</f>
        <v>#N/A</v>
      </c>
      <c r="J392" s="321" t="e">
        <f>ROUND(VLOOKUP(Q392,M340:Q344,4,FALSE),)</f>
        <v>#N/A</v>
      </c>
      <c r="K392" s="321" t="e">
        <f>ROUND(VLOOKUP(Q392,M340:Q344,5,FALSE),)</f>
        <v>#N/A</v>
      </c>
      <c r="L392" s="614">
        <f t="shared" si="68"/>
        <v>-1.5707963267948966</v>
      </c>
      <c r="M392" s="617">
        <f t="shared" si="72"/>
        <v>0</v>
      </c>
      <c r="N392" s="615" t="e">
        <f>ROUND(HLOOKUP(M392,N346:R347,2,FALSE),)</f>
        <v>#N/A</v>
      </c>
      <c r="O392" s="617">
        <f t="shared" si="73"/>
        <v>0</v>
      </c>
      <c r="P392" s="616" t="e">
        <f>PI()*(F392*(J392+C343)-E392*(K392+C343))/(((J392+C343)*(I392+C343))-((H392+C343)*(K392+C343)))</f>
        <v>#N/A</v>
      </c>
      <c r="Q392" s="617">
        <f t="shared" si="74"/>
        <v>0</v>
      </c>
      <c r="R392" s="616" t="e">
        <f>(E392*PI()-P392*(H392+C343))/(J392+C343)</f>
        <v>#N/A</v>
      </c>
      <c r="S392" s="619">
        <f t="shared" si="66"/>
        <v>360</v>
      </c>
      <c r="T392" s="232" t="e">
        <f t="shared" si="69"/>
        <v>#N/A</v>
      </c>
      <c r="U392" s="191" t="e">
        <f t="shared" si="70"/>
        <v>#N/A</v>
      </c>
      <c r="V392" s="191" t="e">
        <f t="shared" si="71"/>
        <v>#N/A</v>
      </c>
      <c r="W392" s="181"/>
      <c r="X392" s="137"/>
      <c r="Z392" s="183"/>
      <c r="AA392" s="183"/>
    </row>
    <row r="393" spans="1:27" s="182" customFormat="1" ht="15" customHeight="1">
      <c r="A393" s="211"/>
      <c r="B393" s="164" t="s">
        <v>1061</v>
      </c>
      <c r="C393" s="294">
        <f>C392+2*SIN(RADIANS(M347))*(N340+C343)</f>
        <v>0</v>
      </c>
      <c r="D393" s="319">
        <f>(C393-(SIN(RADIANS(M347))*N340)-(COS(RADIANS(M347))*O340))*PI()/MEDIAN(U340:V344,P340:Q344)</f>
        <v>-4.7123889803846897</v>
      </c>
      <c r="E393" s="319" t="e">
        <f>(C393*PI()-N393*(G393+C343))/PI()</f>
        <v>#N/A</v>
      </c>
      <c r="F393" s="319" t="e">
        <f>E393-2*O340*COS(RADIANS(M347))</f>
        <v>#N/A</v>
      </c>
      <c r="G393" s="321" t="e">
        <f>ROUND(VLOOKUP(M393,R340:V344,4,FALSE),)</f>
        <v>#N/A</v>
      </c>
      <c r="H393" s="321" t="e">
        <f>ROUND(VLOOKUP(O393,M340:Q344,4,FALSE),)</f>
        <v>#N/A</v>
      </c>
      <c r="I393" s="321" t="e">
        <f>ROUND(VLOOKUP(O393,M340:Q344,5,FALSE),)</f>
        <v>#N/A</v>
      </c>
      <c r="J393" s="321" t="e">
        <f>ROUND(VLOOKUP(Q393,M340:Q344,4,FALSE),)</f>
        <v>#N/A</v>
      </c>
      <c r="K393" s="321" t="e">
        <f>ROUND(VLOOKUP(Q393,M340:Q344,5,FALSE),)</f>
        <v>#N/A</v>
      </c>
      <c r="L393" s="614">
        <f t="shared" si="68"/>
        <v>-1.5707963267948966</v>
      </c>
      <c r="M393" s="617">
        <f t="shared" si="72"/>
        <v>0</v>
      </c>
      <c r="N393" s="615" t="e">
        <f>ROUND(HLOOKUP(M393,N346:R347,2,FALSE),)</f>
        <v>#N/A</v>
      </c>
      <c r="O393" s="617">
        <f t="shared" si="73"/>
        <v>0</v>
      </c>
      <c r="P393" s="616" t="e">
        <f>PI()*(F393*(J393+C343)-E393*(K393+C343))/(((J393+C343)*(I393+C343))-((H393+C343)*(K393+C343)))</f>
        <v>#N/A</v>
      </c>
      <c r="Q393" s="617">
        <f t="shared" si="74"/>
        <v>0</v>
      </c>
      <c r="R393" s="616" t="e">
        <f>(E393*PI()-P393*(H393+C343))/(J393+C343)</f>
        <v>#N/A</v>
      </c>
      <c r="S393" s="619">
        <f t="shared" si="66"/>
        <v>360</v>
      </c>
      <c r="T393" s="232" t="e">
        <f t="shared" si="69"/>
        <v>#N/A</v>
      </c>
      <c r="U393" s="191" t="e">
        <f t="shared" si="70"/>
        <v>#N/A</v>
      </c>
      <c r="V393" s="191" t="e">
        <f t="shared" si="71"/>
        <v>#N/A</v>
      </c>
      <c r="W393" s="181"/>
      <c r="X393" s="137"/>
      <c r="Z393" s="183"/>
      <c r="AA393" s="183"/>
    </row>
    <row r="394" spans="1:27" s="182" customFormat="1" ht="15" customHeight="1">
      <c r="A394" s="211"/>
      <c r="B394" s="164" t="s">
        <v>1062</v>
      </c>
      <c r="C394" s="294">
        <f>C393+2*SIN(RADIANS(M347))*(N340+C343)</f>
        <v>0</v>
      </c>
      <c r="D394" s="319">
        <f>(C394-(SIN(RADIANS(M347))*N340)-(COS(RADIANS(M347))*O340))*PI()/MEDIAN(U340:V344,P340:Q344)</f>
        <v>-4.7123889803846897</v>
      </c>
      <c r="E394" s="319" t="e">
        <f>(C394*PI()-N394*(G394+C343))/PI()</f>
        <v>#N/A</v>
      </c>
      <c r="F394" s="319" t="e">
        <f>E394-2*O340*COS(RADIANS(M347))</f>
        <v>#N/A</v>
      </c>
      <c r="G394" s="321" t="e">
        <f>ROUND(VLOOKUP(M394,R340:V344,4,FALSE),)</f>
        <v>#N/A</v>
      </c>
      <c r="H394" s="321" t="e">
        <f>ROUND(VLOOKUP(O394,M340:Q344,4,FALSE),)</f>
        <v>#N/A</v>
      </c>
      <c r="I394" s="321" t="e">
        <f>ROUND(VLOOKUP(O394,M340:Q344,5,FALSE),)</f>
        <v>#N/A</v>
      </c>
      <c r="J394" s="321" t="e">
        <f>ROUND(VLOOKUP(Q394,M340:Q344,4,FALSE),)</f>
        <v>#N/A</v>
      </c>
      <c r="K394" s="321" t="e">
        <f>ROUND(VLOOKUP(Q394,M340:Q344,5,FALSE),)</f>
        <v>#N/A</v>
      </c>
      <c r="L394" s="614">
        <f t="shared" si="68"/>
        <v>-1.5707963267948966</v>
      </c>
      <c r="M394" s="617">
        <f t="shared" si="72"/>
        <v>0</v>
      </c>
      <c r="N394" s="615" t="e">
        <f>ROUND(HLOOKUP(M394,N346:R347,2,FALSE),)</f>
        <v>#N/A</v>
      </c>
      <c r="O394" s="617">
        <f t="shared" si="73"/>
        <v>0</v>
      </c>
      <c r="P394" s="616" t="e">
        <f>PI()*(F394*(J394+C343)-E394*(K394+C343))/(((J394+C343)*(I394+C343))-((H394+C343)*(K394+C343)))</f>
        <v>#N/A</v>
      </c>
      <c r="Q394" s="617">
        <f t="shared" si="74"/>
        <v>0</v>
      </c>
      <c r="R394" s="616" t="e">
        <f>(E394*PI()-P394*(H394+C343))/(J394+C343)</f>
        <v>#N/A</v>
      </c>
      <c r="S394" s="619">
        <f t="shared" si="66"/>
        <v>360</v>
      </c>
      <c r="T394" s="232" t="e">
        <f t="shared" si="69"/>
        <v>#N/A</v>
      </c>
      <c r="U394" s="191" t="e">
        <f t="shared" si="70"/>
        <v>#N/A</v>
      </c>
      <c r="V394" s="191" t="e">
        <f t="shared" si="71"/>
        <v>#N/A</v>
      </c>
      <c r="W394" s="181"/>
      <c r="X394" s="137"/>
      <c r="Z394" s="183"/>
      <c r="AA394" s="183"/>
    </row>
    <row r="395" spans="1:27" s="182" customFormat="1" ht="15" customHeight="1">
      <c r="A395" s="211"/>
      <c r="B395" s="164" t="s">
        <v>1063</v>
      </c>
      <c r="C395" s="294">
        <f>C394+2*SIN(RADIANS(M347))*(N340+C343)</f>
        <v>0</v>
      </c>
      <c r="D395" s="319">
        <f>(C395-(SIN(RADIANS(M347))*N340)-(COS(RADIANS(M347))*O340))*PI()/MEDIAN(U340:V344,P340:Q344)</f>
        <v>-4.7123889803846897</v>
      </c>
      <c r="E395" s="319" t="e">
        <f>(C395*PI()-N395*(G395+C343))/PI()</f>
        <v>#N/A</v>
      </c>
      <c r="F395" s="319" t="e">
        <f>E395-2*O340*COS(RADIANS(M347))</f>
        <v>#N/A</v>
      </c>
      <c r="G395" s="321" t="e">
        <f>ROUND(VLOOKUP(M395,R340:V344,4,FALSE),)</f>
        <v>#N/A</v>
      </c>
      <c r="H395" s="321" t="e">
        <f>ROUND(VLOOKUP(O395,M340:Q344,4,FALSE),)</f>
        <v>#N/A</v>
      </c>
      <c r="I395" s="321" t="e">
        <f>ROUND(VLOOKUP(O395,M340:Q344,5,FALSE),)</f>
        <v>#N/A</v>
      </c>
      <c r="J395" s="321" t="e">
        <f>ROUND(VLOOKUP(Q395,M340:Q344,4,FALSE),)</f>
        <v>#N/A</v>
      </c>
      <c r="K395" s="321" t="e">
        <f>ROUND(VLOOKUP(Q395,M340:Q344,5,FALSE),)</f>
        <v>#N/A</v>
      </c>
      <c r="L395" s="614">
        <f t="shared" si="68"/>
        <v>-1.5707963267948966</v>
      </c>
      <c r="M395" s="617">
        <f t="shared" si="72"/>
        <v>0</v>
      </c>
      <c r="N395" s="615" t="e">
        <f>ROUND(HLOOKUP(M395,N346:R347,2,FALSE),)</f>
        <v>#N/A</v>
      </c>
      <c r="O395" s="617">
        <f t="shared" si="73"/>
        <v>0</v>
      </c>
      <c r="P395" s="616" t="e">
        <f>PI()*(F395*(J395+C343)-E395*(K395+C343))/(((J395+C343)*(I395+C343))-((H395+C343)*(K395+C343)))</f>
        <v>#N/A</v>
      </c>
      <c r="Q395" s="617">
        <f t="shared" si="74"/>
        <v>0</v>
      </c>
      <c r="R395" s="616" t="e">
        <f>(E395*PI()-P395*(H395+C343))/(J395+C343)</f>
        <v>#N/A</v>
      </c>
      <c r="S395" s="619">
        <f t="shared" si="66"/>
        <v>360</v>
      </c>
      <c r="T395" s="232" t="e">
        <f t="shared" si="69"/>
        <v>#N/A</v>
      </c>
      <c r="U395" s="191" t="e">
        <f t="shared" si="70"/>
        <v>#N/A</v>
      </c>
      <c r="V395" s="191" t="e">
        <f t="shared" si="71"/>
        <v>#N/A</v>
      </c>
      <c r="W395" s="181"/>
      <c r="X395" s="137"/>
      <c r="Z395" s="183"/>
      <c r="AA395" s="183"/>
    </row>
    <row r="396" spans="1:27" s="182" customFormat="1" ht="15" customHeight="1">
      <c r="A396" s="211"/>
      <c r="B396" s="164" t="s">
        <v>1064</v>
      </c>
      <c r="C396" s="294">
        <f>C395+2*SIN(RADIANS(M347))*(N340+C343)</f>
        <v>0</v>
      </c>
      <c r="D396" s="319">
        <f>(C396-(SIN(RADIANS(M347))*N340)-(COS(RADIANS(M347))*O340))*PI()/MEDIAN(U340:V344,P340:Q344)</f>
        <v>-4.7123889803846897</v>
      </c>
      <c r="E396" s="319" t="e">
        <f>(C396*PI()-N396*(G396+C343))/PI()</f>
        <v>#N/A</v>
      </c>
      <c r="F396" s="319" t="e">
        <f>E396-2*O340*COS(RADIANS(M347))</f>
        <v>#N/A</v>
      </c>
      <c r="G396" s="321" t="e">
        <f>ROUND(VLOOKUP(M396,R340:V344,4,FALSE),)</f>
        <v>#N/A</v>
      </c>
      <c r="H396" s="321" t="e">
        <f>ROUND(VLOOKUP(O396,M340:Q344,4,FALSE),)</f>
        <v>#N/A</v>
      </c>
      <c r="I396" s="321" t="e">
        <f>ROUND(VLOOKUP(O396,M340:Q344,5,FALSE),)</f>
        <v>#N/A</v>
      </c>
      <c r="J396" s="321" t="e">
        <f>ROUND(VLOOKUP(Q396,M340:Q344,4,FALSE),)</f>
        <v>#N/A</v>
      </c>
      <c r="K396" s="321" t="e">
        <f>ROUND(VLOOKUP(Q396,M340:Q344,5,FALSE),)</f>
        <v>#N/A</v>
      </c>
      <c r="L396" s="614">
        <f t="shared" si="68"/>
        <v>-1.5707963267948966</v>
      </c>
      <c r="M396" s="617">
        <f t="shared" si="72"/>
        <v>0</v>
      </c>
      <c r="N396" s="615" t="e">
        <f>ROUND(HLOOKUP(M396,N346:R347,2,FALSE),)</f>
        <v>#N/A</v>
      </c>
      <c r="O396" s="617">
        <f t="shared" si="73"/>
        <v>0</v>
      </c>
      <c r="P396" s="616" t="e">
        <f>PI()*(F396*(J396+C343)-E396*(K396+C343))/(((J396+C343)*(I396+C343))-((H396+C343)*(K396+C343)))</f>
        <v>#N/A</v>
      </c>
      <c r="Q396" s="617">
        <f t="shared" si="74"/>
        <v>0</v>
      </c>
      <c r="R396" s="616" t="e">
        <f>(E396*PI()-P396*(H396+C343))/(J396+C343)</f>
        <v>#N/A</v>
      </c>
      <c r="S396" s="619">
        <f t="shared" si="66"/>
        <v>360</v>
      </c>
      <c r="T396" s="232" t="e">
        <f t="shared" si="69"/>
        <v>#N/A</v>
      </c>
      <c r="U396" s="191" t="e">
        <f t="shared" si="70"/>
        <v>#N/A</v>
      </c>
      <c r="V396" s="191" t="e">
        <f t="shared" si="71"/>
        <v>#N/A</v>
      </c>
      <c r="W396" s="181"/>
      <c r="X396" s="137"/>
      <c r="Z396" s="183"/>
      <c r="AA396" s="183"/>
    </row>
    <row r="397" spans="1:27" s="182" customFormat="1" ht="15" customHeight="1">
      <c r="A397" s="211"/>
      <c r="B397" s="164" t="s">
        <v>1065</v>
      </c>
      <c r="C397" s="294">
        <f>C396+2*SIN(RADIANS(M347))*(N340+C343)</f>
        <v>0</v>
      </c>
      <c r="D397" s="319">
        <f>(C397-(SIN(RADIANS(M347))*N340)-(COS(RADIANS(M347))*O340))*PI()/MEDIAN(U340:V344,P340:Q344)</f>
        <v>-4.7123889803846897</v>
      </c>
      <c r="E397" s="319" t="e">
        <f>(C397*PI()-N397*(G397+C343))/PI()</f>
        <v>#N/A</v>
      </c>
      <c r="F397" s="319" t="e">
        <f>E397-2*O340*COS(RADIANS(M347))</f>
        <v>#N/A</v>
      </c>
      <c r="G397" s="321" t="e">
        <f>ROUND(VLOOKUP(M397,R340:V344,4,FALSE),)</f>
        <v>#N/A</v>
      </c>
      <c r="H397" s="321" t="e">
        <f>ROUND(VLOOKUP(O397,M340:Q344,4,FALSE),)</f>
        <v>#N/A</v>
      </c>
      <c r="I397" s="321" t="e">
        <f>ROUND(VLOOKUP(O397,M340:Q344,5,FALSE),)</f>
        <v>#N/A</v>
      </c>
      <c r="J397" s="321" t="e">
        <f>ROUND(VLOOKUP(Q397,M340:Q344,4,FALSE),)</f>
        <v>#N/A</v>
      </c>
      <c r="K397" s="321" t="e">
        <f>ROUND(VLOOKUP(Q397,M340:Q344,5,FALSE),)</f>
        <v>#N/A</v>
      </c>
      <c r="L397" s="614">
        <f t="shared" si="68"/>
        <v>-1.5707963267948966</v>
      </c>
      <c r="M397" s="617">
        <f t="shared" si="72"/>
        <v>0</v>
      </c>
      <c r="N397" s="615" t="e">
        <f>ROUND(HLOOKUP(M397,N346:R347,2,FALSE),)</f>
        <v>#N/A</v>
      </c>
      <c r="O397" s="617">
        <f t="shared" si="73"/>
        <v>0</v>
      </c>
      <c r="P397" s="616" t="e">
        <f>PI()*(F397*(J397+C343)-E397*(K397+C343))/(((J397+C343)*(I397+C343))-((H397+C343)*(K397+C343)))</f>
        <v>#N/A</v>
      </c>
      <c r="Q397" s="617">
        <f t="shared" si="74"/>
        <v>0</v>
      </c>
      <c r="R397" s="616" t="e">
        <f>(E397*PI()-P397*(H397+C343))/(J397+C343)</f>
        <v>#N/A</v>
      </c>
      <c r="S397" s="619">
        <f t="shared" si="66"/>
        <v>360</v>
      </c>
      <c r="T397" s="232" t="e">
        <f t="shared" si="69"/>
        <v>#N/A</v>
      </c>
      <c r="U397" s="191" t="e">
        <f t="shared" si="70"/>
        <v>#N/A</v>
      </c>
      <c r="V397" s="191" t="e">
        <f t="shared" si="71"/>
        <v>#N/A</v>
      </c>
      <c r="W397" s="181"/>
      <c r="X397" s="137"/>
      <c r="Z397" s="183"/>
      <c r="AA397" s="183"/>
    </row>
    <row r="398" spans="1:27" s="182" customFormat="1" ht="15" customHeight="1">
      <c r="A398" s="211"/>
      <c r="B398" s="164" t="s">
        <v>1066</v>
      </c>
      <c r="C398" s="294">
        <f>C397+2*SIN(RADIANS(M347))*(N340+C343)</f>
        <v>0</v>
      </c>
      <c r="D398" s="319">
        <f>(C398-(SIN(RADIANS(M347))*N340)-(COS(RADIANS(M347))*O340))*PI()/MEDIAN(U340:V344,P340:Q344)</f>
        <v>-4.7123889803846897</v>
      </c>
      <c r="E398" s="319" t="e">
        <f>(C398*PI()-N398*(G398+C343))/PI()</f>
        <v>#N/A</v>
      </c>
      <c r="F398" s="319" t="e">
        <f>E398-2*O340*COS(RADIANS(M347))</f>
        <v>#N/A</v>
      </c>
      <c r="G398" s="321" t="e">
        <f>ROUND(VLOOKUP(M398,R340:V344,4,FALSE),)</f>
        <v>#N/A</v>
      </c>
      <c r="H398" s="321" t="e">
        <f>ROUND(VLOOKUP(O398,M340:Q344,4,FALSE),)</f>
        <v>#N/A</v>
      </c>
      <c r="I398" s="321" t="e">
        <f>ROUND(VLOOKUP(O398,M340:Q344,5,FALSE),)</f>
        <v>#N/A</v>
      </c>
      <c r="J398" s="321" t="e">
        <f>ROUND(VLOOKUP(Q398,M340:Q344,4,FALSE),)</f>
        <v>#N/A</v>
      </c>
      <c r="K398" s="321" t="e">
        <f>ROUND(VLOOKUP(Q398,M340:Q344,5,FALSE),)</f>
        <v>#N/A</v>
      </c>
      <c r="L398" s="614">
        <f t="shared" si="68"/>
        <v>-1.5707963267948966</v>
      </c>
      <c r="M398" s="617">
        <f t="shared" si="72"/>
        <v>0</v>
      </c>
      <c r="N398" s="615" t="e">
        <f>ROUND(HLOOKUP(M398,N346:R347,2,FALSE),)</f>
        <v>#N/A</v>
      </c>
      <c r="O398" s="617">
        <f t="shared" si="73"/>
        <v>0</v>
      </c>
      <c r="P398" s="616" t="e">
        <f>PI()*(F398*(J398+C343)-E398*(K398+C343))/(((J398+C343)*(I398+C343))-((H398+C343)*(K398+C343)))</f>
        <v>#N/A</v>
      </c>
      <c r="Q398" s="617">
        <f t="shared" si="74"/>
        <v>0</v>
      </c>
      <c r="R398" s="616" t="e">
        <f>(E398*PI()-P398*(H398+C343))/(J398+C343)</f>
        <v>#N/A</v>
      </c>
      <c r="S398" s="619">
        <f t="shared" si="66"/>
        <v>360</v>
      </c>
      <c r="T398" s="232" t="e">
        <f t="shared" si="69"/>
        <v>#N/A</v>
      </c>
      <c r="U398" s="191" t="e">
        <f t="shared" si="70"/>
        <v>#N/A</v>
      </c>
      <c r="V398" s="191" t="e">
        <f t="shared" si="71"/>
        <v>#N/A</v>
      </c>
      <c r="W398" s="181"/>
      <c r="X398" s="137"/>
      <c r="Z398" s="183"/>
      <c r="AA398" s="183"/>
    </row>
    <row r="399" spans="1:27" s="182" customFormat="1" ht="15" customHeight="1">
      <c r="A399" s="211"/>
      <c r="B399" s="164" t="s">
        <v>1067</v>
      </c>
      <c r="C399" s="294">
        <f>C398+2*SIN(RADIANS(M347))*(N340+C343)</f>
        <v>0</v>
      </c>
      <c r="D399" s="319">
        <f>(C399-(SIN(RADIANS(M347))*N340)-(COS(RADIANS(M347))*O340))*PI()/MEDIAN(U340:V344,P340:Q344)</f>
        <v>-4.7123889803846897</v>
      </c>
      <c r="E399" s="319" t="e">
        <f>(C399*PI()-N399*(G399+C343))/PI()</f>
        <v>#N/A</v>
      </c>
      <c r="F399" s="319" t="e">
        <f>E399-2*O340*COS(RADIANS(M347))</f>
        <v>#N/A</v>
      </c>
      <c r="G399" s="321" t="e">
        <f>ROUND(VLOOKUP(M399,R340:V344,4,FALSE),)</f>
        <v>#N/A</v>
      </c>
      <c r="H399" s="321" t="e">
        <f>ROUND(VLOOKUP(O399,M340:Q344,4,FALSE),)</f>
        <v>#N/A</v>
      </c>
      <c r="I399" s="321" t="e">
        <f>ROUND(VLOOKUP(O399,M340:Q344,5,FALSE),)</f>
        <v>#N/A</v>
      </c>
      <c r="J399" s="321" t="e">
        <f>ROUND(VLOOKUP(Q399,M340:Q344,4,FALSE),)</f>
        <v>#N/A</v>
      </c>
      <c r="K399" s="321" t="e">
        <f>ROUND(VLOOKUP(Q399,M340:Q344,5,FALSE),)</f>
        <v>#N/A</v>
      </c>
      <c r="L399" s="614">
        <f t="shared" si="68"/>
        <v>-1.5707963267948966</v>
      </c>
      <c r="M399" s="617">
        <f t="shared" si="72"/>
        <v>0</v>
      </c>
      <c r="N399" s="615" t="e">
        <f>ROUND(HLOOKUP(M399,N346:R347,2,FALSE),)</f>
        <v>#N/A</v>
      </c>
      <c r="O399" s="617">
        <f t="shared" si="73"/>
        <v>0</v>
      </c>
      <c r="P399" s="616" t="e">
        <f>PI()*(F399*(J399+C343)-E399*(K399+C343))/(((J399+C343)*(I399+C343))-((H399+C343)*(K399+C343)))</f>
        <v>#N/A</v>
      </c>
      <c r="Q399" s="617">
        <f t="shared" si="74"/>
        <v>0</v>
      </c>
      <c r="R399" s="616" t="e">
        <f>(E399*PI()-P399*(H399+C343))/(J399+C343)</f>
        <v>#N/A</v>
      </c>
      <c r="S399" s="619">
        <f t="shared" si="66"/>
        <v>360</v>
      </c>
      <c r="T399" s="232" t="e">
        <f t="shared" si="69"/>
        <v>#N/A</v>
      </c>
      <c r="U399" s="191" t="e">
        <f t="shared" si="70"/>
        <v>#N/A</v>
      </c>
      <c r="V399" s="191" t="e">
        <f t="shared" si="71"/>
        <v>#N/A</v>
      </c>
      <c r="W399" s="181"/>
      <c r="X399" s="137"/>
      <c r="Z399" s="183"/>
      <c r="AA399" s="183"/>
    </row>
    <row r="400" spans="1:27" s="182" customFormat="1" ht="15" customHeight="1">
      <c r="A400" s="211"/>
      <c r="B400" s="164" t="s">
        <v>1068</v>
      </c>
      <c r="C400" s="294">
        <f>C399+2*SIN(RADIANS(M347))*(N340+C343)</f>
        <v>0</v>
      </c>
      <c r="D400" s="319">
        <f>(C400-(SIN(RADIANS(M347))*N340)-(COS(RADIANS(M347))*O340))*PI()/MEDIAN(U340:V344,P340:Q344)</f>
        <v>-4.7123889803846897</v>
      </c>
      <c r="E400" s="319" t="e">
        <f>(C400*PI()-N400*(G400+C343))/PI()</f>
        <v>#N/A</v>
      </c>
      <c r="F400" s="319" t="e">
        <f>E400-2*O340*COS(RADIANS(M347))</f>
        <v>#N/A</v>
      </c>
      <c r="G400" s="321" t="e">
        <f>ROUND(VLOOKUP(M400,R340:V344,4,FALSE),)</f>
        <v>#N/A</v>
      </c>
      <c r="H400" s="321" t="e">
        <f>ROUND(VLOOKUP(O400,M340:Q344,4,FALSE),)</f>
        <v>#N/A</v>
      </c>
      <c r="I400" s="321" t="e">
        <f>ROUND(VLOOKUP(O400,M340:Q344,5,FALSE),)</f>
        <v>#N/A</v>
      </c>
      <c r="J400" s="321" t="e">
        <f>ROUND(VLOOKUP(Q400,M340:Q344,4,FALSE),)</f>
        <v>#N/A</v>
      </c>
      <c r="K400" s="321" t="e">
        <f>ROUND(VLOOKUP(Q400,M340:Q344,5,FALSE),)</f>
        <v>#N/A</v>
      </c>
      <c r="L400" s="614">
        <f t="shared" si="68"/>
        <v>-1.5707963267948966</v>
      </c>
      <c r="M400" s="617">
        <f t="shared" si="72"/>
        <v>0</v>
      </c>
      <c r="N400" s="615" t="e">
        <f>ROUND(HLOOKUP(M400,N346:R347,2,FALSE),)</f>
        <v>#N/A</v>
      </c>
      <c r="O400" s="617">
        <f t="shared" si="73"/>
        <v>0</v>
      </c>
      <c r="P400" s="616" t="e">
        <f>PI()*(F400*(J400+C343)-E400*(K400+C343))/(((J400+C343)*(I400+C343))-((H400+C343)*(K400+C343)))</f>
        <v>#N/A</v>
      </c>
      <c r="Q400" s="617">
        <f t="shared" si="74"/>
        <v>0</v>
      </c>
      <c r="R400" s="616" t="e">
        <f>(E400*PI()-P400*(H400+C343))/(J400+C343)</f>
        <v>#N/A</v>
      </c>
      <c r="S400" s="619">
        <f t="shared" si="66"/>
        <v>360</v>
      </c>
      <c r="T400" s="232" t="e">
        <f t="shared" si="69"/>
        <v>#N/A</v>
      </c>
      <c r="U400" s="191" t="e">
        <f t="shared" si="70"/>
        <v>#N/A</v>
      </c>
      <c r="V400" s="191" t="e">
        <f t="shared" si="71"/>
        <v>#N/A</v>
      </c>
      <c r="W400" s="181"/>
      <c r="X400" s="137"/>
      <c r="Z400" s="183"/>
      <c r="AA400" s="183"/>
    </row>
    <row r="401" spans="1:27" s="182" customFormat="1" ht="15" customHeight="1" thickBot="1">
      <c r="A401" s="211"/>
      <c r="B401" s="164" t="s">
        <v>1069</v>
      </c>
      <c r="C401" s="294">
        <f>C400+2*SIN(RADIANS(M347))*(N340+C343)</f>
        <v>0</v>
      </c>
      <c r="D401" s="319">
        <f>(C401-(SIN(RADIANS(M347))*N340)-(COS(RADIANS(M347))*O340))*PI()/MEDIAN(U340:V344,P340:Q344)</f>
        <v>-4.7123889803846897</v>
      </c>
      <c r="E401" s="319" t="e">
        <f>(C401*PI()-N401*(G401+C343))/PI()</f>
        <v>#N/A</v>
      </c>
      <c r="F401" s="319" t="e">
        <f>E401-2*O340*COS(RADIANS(M347))</f>
        <v>#N/A</v>
      </c>
      <c r="G401" s="321" t="e">
        <f>ROUND(VLOOKUP(M401,R340:V344,4,FALSE),)</f>
        <v>#N/A</v>
      </c>
      <c r="H401" s="321" t="e">
        <f>ROUND(VLOOKUP(O401,M340:Q344,4,FALSE),)</f>
        <v>#N/A</v>
      </c>
      <c r="I401" s="321" t="e">
        <f>ROUND(VLOOKUP(O401,M340:Q344,5,FALSE),)</f>
        <v>#N/A</v>
      </c>
      <c r="J401" s="321" t="e">
        <f>ROUND(VLOOKUP(Q401,M340:Q344,4,FALSE),)</f>
        <v>#N/A</v>
      </c>
      <c r="K401" s="321" t="e">
        <f>ROUND(VLOOKUP(Q401,M340:Q344,5,FALSE),)</f>
        <v>#N/A</v>
      </c>
      <c r="L401" s="614">
        <f t="shared" si="68"/>
        <v>-1.5707963267948966</v>
      </c>
      <c r="M401" s="285">
        <f t="shared" si="72"/>
        <v>0</v>
      </c>
      <c r="N401" s="615" t="e">
        <f>ROUND(HLOOKUP(M401,N346:R347,2,FALSE),)</f>
        <v>#N/A</v>
      </c>
      <c r="O401" s="285">
        <f t="shared" si="73"/>
        <v>0</v>
      </c>
      <c r="P401" s="616" t="e">
        <f>PI()*(F401*(J401+C343)-E401*(K401+C343))/(((J401+C343)*(I401+C343))-((H401+C343)*(K401+C343)))</f>
        <v>#N/A</v>
      </c>
      <c r="Q401" s="285">
        <f t="shared" si="74"/>
        <v>0</v>
      </c>
      <c r="R401" s="616" t="e">
        <f>(E401*PI()-P401*(H401+C343))/(J401+C343)</f>
        <v>#N/A</v>
      </c>
      <c r="S401" s="620">
        <f t="shared" si="66"/>
        <v>360</v>
      </c>
      <c r="T401" s="232" t="e">
        <f t="shared" si="69"/>
        <v>#N/A</v>
      </c>
      <c r="U401" s="191" t="e">
        <f t="shared" si="70"/>
        <v>#N/A</v>
      </c>
      <c r="V401" s="191" t="e">
        <f t="shared" si="71"/>
        <v>#N/A</v>
      </c>
      <c r="W401" s="181"/>
      <c r="X401" s="137"/>
      <c r="Z401" s="183"/>
      <c r="AA401" s="183"/>
    </row>
    <row r="402" spans="1:27" s="182" customFormat="1" ht="15" customHeight="1">
      <c r="A402" s="211"/>
      <c r="B402" s="190"/>
      <c r="C402" s="196"/>
      <c r="D402" s="191"/>
      <c r="E402" s="191"/>
      <c r="F402" s="191"/>
      <c r="G402" s="191"/>
      <c r="H402" s="191"/>
      <c r="I402" s="191"/>
      <c r="J402" s="192"/>
      <c r="K402" s="192"/>
      <c r="L402" s="140"/>
      <c r="M402" s="191"/>
      <c r="N402" s="191"/>
      <c r="O402" s="191"/>
      <c r="P402" s="191"/>
      <c r="Q402" s="191"/>
      <c r="R402" s="191"/>
      <c r="S402" s="191"/>
      <c r="T402" s="191"/>
      <c r="U402" s="191"/>
      <c r="V402" s="193"/>
      <c r="W402" s="181"/>
      <c r="X402" s="137"/>
      <c r="Z402" s="183"/>
      <c r="AA402" s="183"/>
    </row>
    <row r="403" spans="1:27" s="182" customFormat="1" ht="15" customHeight="1">
      <c r="A403" s="211"/>
      <c r="B403" s="190"/>
      <c r="C403" s="196"/>
      <c r="D403" s="191"/>
      <c r="E403" s="191"/>
      <c r="F403" s="191"/>
      <c r="G403" s="191"/>
      <c r="H403" s="191"/>
      <c r="I403" s="191"/>
      <c r="J403" s="192"/>
      <c r="K403" s="192"/>
      <c r="L403" s="140"/>
      <c r="M403" s="191"/>
      <c r="N403" s="191"/>
      <c r="O403" s="191"/>
      <c r="P403" s="191"/>
      <c r="Q403" s="191"/>
      <c r="R403" s="191"/>
      <c r="S403" s="191"/>
      <c r="T403" s="191"/>
      <c r="U403" s="191"/>
      <c r="V403" s="193"/>
      <c r="W403" s="181"/>
      <c r="X403" s="137"/>
      <c r="Z403" s="183"/>
      <c r="AA403" s="183"/>
    </row>
    <row r="404" spans="1:27" s="182" customFormat="1" ht="15" customHeight="1" thickBot="1">
      <c r="A404" s="211"/>
      <c r="B404" s="275" t="s">
        <v>1006</v>
      </c>
      <c r="C404" s="276"/>
      <c r="D404" s="277"/>
      <c r="E404" s="277"/>
      <c r="F404" s="277"/>
      <c r="G404" s="277"/>
      <c r="H404" s="277"/>
      <c r="I404" s="277"/>
      <c r="J404" s="278"/>
      <c r="K404" s="278"/>
      <c r="L404" s="279"/>
      <c r="M404" s="277"/>
      <c r="N404" s="277"/>
      <c r="O404" s="277"/>
      <c r="P404" s="277"/>
      <c r="Q404" s="277"/>
      <c r="R404" s="277"/>
      <c r="S404" s="280"/>
      <c r="T404" s="277"/>
      <c r="U404" s="277" t="s">
        <v>674</v>
      </c>
      <c r="V404" s="281" t="s">
        <v>27</v>
      </c>
      <c r="W404" s="282"/>
      <c r="X404" s="283"/>
      <c r="Z404" s="183"/>
      <c r="AA404" s="183"/>
    </row>
    <row r="405" spans="1:27" s="182" customFormat="1" ht="15" customHeight="1" thickBot="1">
      <c r="A405" s="211"/>
      <c r="B405" s="206"/>
      <c r="C405" s="129">
        <f>SUMIF(Densidades!A:A,'Memória TOTAL'!X405,Densidades!B:B)</f>
        <v>0</v>
      </c>
      <c r="D405" s="130">
        <f>SUMIF(Densidades!A:A,'Memória TOTAL'!X405,Densidades!C:C)</f>
        <v>0</v>
      </c>
      <c r="E405" s="130" t="str">
        <f>IF(I405=15,"FIRECLAY MORTAR",IF(I405=16,"ALUMINA MORTAR",IF(I405=17,"BASIC MORTAR",IF(I405=18,"MORTAR","-"))))</f>
        <v>-</v>
      </c>
      <c r="F405" s="130" t="str">
        <f>IF(I405=15,"FIRECLAY MORTAR",IF(I405=16,"ALUMINA MORTAR",IF(I405=17,"BASIC MORTAR",IF(I405=18,"MORTAR","-"))))</f>
        <v>-</v>
      </c>
      <c r="G405" s="130" t="str">
        <f>IF(I405=15,"FIRECLAY MORTAR",IF(I405=16,"ALUMINA MORTAR",IF(I405=17,"BASIC MORTAR",IF(I405=18,"MORTAR","-"))))</f>
        <v>-</v>
      </c>
      <c r="H405" s="130" t="str">
        <f>IF(I405=15,"FIRECLAY MORTAR",IF(I405=16,"ALUMINA MORTAR",IF(I405=17,"BASIC MORTAR",IF(I405=18,"MORTAR","-"))))</f>
        <v>-</v>
      </c>
      <c r="I405" s="130">
        <f>SUMIF(Densidades!A:A,'Memória TOTAL'!X405,Densidades!G:G)</f>
        <v>0</v>
      </c>
      <c r="J405" s="132">
        <f>SUMIF(Formatos!A:A,'Memória TOTAL'!X406,Formatos!G:G)</f>
        <v>0</v>
      </c>
      <c r="K405" s="133">
        <f>SUMIF(Densidades!A:A,'Memória TOTAL'!X405,Densidades!I:I)</f>
        <v>0</v>
      </c>
      <c r="L405" s="184">
        <v>0</v>
      </c>
      <c r="M405" s="185"/>
      <c r="N405" s="185"/>
      <c r="O405" s="185"/>
      <c r="P405" s="185"/>
      <c r="Q405" s="185"/>
      <c r="R405" s="185"/>
      <c r="S405" s="185"/>
      <c r="T405" s="186"/>
      <c r="U405" s="286"/>
      <c r="V405" s="188" t="e">
        <f>(W298*J298*C405+W302*J302*C405+W306*J306*C405+W310*J310*C405+W314*J314*C405+W318*J318*C405+W322*J322*C405+W326*J326*C405+W330*J330*C405+W334*J334*C405)*U405</f>
        <v>#N/A</v>
      </c>
      <c r="W405" s="189" t="str">
        <f>IF(C405=0,"",ROUNDUP(SUM(V405:V406)*(1+L405),0))</f>
        <v/>
      </c>
      <c r="X405" s="259"/>
      <c r="Z405" s="183"/>
      <c r="AA405" s="183"/>
    </row>
    <row r="406" spans="1:27" s="182" customFormat="1" ht="15" customHeight="1">
      <c r="A406" s="211"/>
      <c r="B406" s="206"/>
      <c r="C406" s="129"/>
      <c r="D406" s="191"/>
      <c r="E406" s="191"/>
      <c r="F406" s="191"/>
      <c r="G406" s="191"/>
      <c r="H406" s="191"/>
      <c r="I406" s="191"/>
      <c r="J406" s="192"/>
      <c r="K406" s="192"/>
      <c r="L406" s="140"/>
      <c r="M406" s="191"/>
      <c r="N406" s="191"/>
      <c r="O406" s="191"/>
      <c r="P406" s="191"/>
      <c r="Q406" s="191"/>
      <c r="R406" s="191"/>
      <c r="S406" s="191"/>
      <c r="T406" s="191"/>
      <c r="U406" s="191"/>
      <c r="V406" s="193"/>
      <c r="W406" s="181"/>
      <c r="X406" s="137" t="str">
        <f>IF(AND(H405="-",G405="-",F405="-"),E405,IF(AND(H405="-",G405="-",E405="-"),F405,IF(AND(H405="-",F405="-",E405="-"),G405,H405)))</f>
        <v>-</v>
      </c>
      <c r="Z406" s="183"/>
      <c r="AA406" s="183"/>
    </row>
    <row r="407" spans="1:27" s="182" customFormat="1" ht="15" customHeight="1">
      <c r="A407" s="211"/>
      <c r="B407" s="209"/>
      <c r="C407" s="129"/>
      <c r="D407" s="191"/>
      <c r="E407" s="191"/>
      <c r="F407" s="191"/>
      <c r="G407" s="191"/>
      <c r="H407" s="191"/>
      <c r="I407" s="191"/>
      <c r="J407" s="192"/>
      <c r="K407" s="192"/>
      <c r="L407" s="140"/>
      <c r="M407" s="191"/>
      <c r="N407" s="191"/>
      <c r="O407" s="191"/>
      <c r="P407" s="191"/>
      <c r="Q407" s="191"/>
      <c r="R407" s="191"/>
      <c r="S407" s="191"/>
      <c r="T407" s="191"/>
      <c r="U407" s="191"/>
      <c r="V407" s="193"/>
      <c r="W407" s="181"/>
      <c r="X407" s="137" t="s">
        <v>2</v>
      </c>
      <c r="Z407" s="183"/>
      <c r="AA407" s="183"/>
    </row>
    <row r="408" spans="1:27" ht="15" customHeight="1">
      <c r="A408" s="211"/>
      <c r="B408" s="127"/>
      <c r="C408" s="165"/>
      <c r="D408" s="166"/>
      <c r="E408" s="166"/>
      <c r="F408" s="166"/>
      <c r="G408" s="166"/>
      <c r="H408" s="166"/>
      <c r="I408" s="166"/>
      <c r="J408" s="167"/>
      <c r="K408" s="167"/>
      <c r="L408" s="168"/>
      <c r="M408" s="166"/>
      <c r="N408" s="166"/>
      <c r="O408" s="166"/>
      <c r="P408" s="166"/>
      <c r="Q408" s="166"/>
      <c r="R408" s="166"/>
      <c r="S408" s="166"/>
      <c r="T408" s="166"/>
      <c r="U408" s="166"/>
      <c r="V408" s="169"/>
      <c r="W408" s="170"/>
      <c r="X408" s="171"/>
      <c r="Y408" s="182"/>
    </row>
    <row r="409" spans="1:27" s="182" customFormat="1" ht="15" customHeight="1" thickBot="1">
      <c r="A409" s="211"/>
      <c r="B409" s="275" t="s">
        <v>1007</v>
      </c>
      <c r="C409" s="276"/>
      <c r="D409" s="277"/>
      <c r="E409" s="277"/>
      <c r="F409" s="277"/>
      <c r="G409" s="277"/>
      <c r="H409" s="277"/>
      <c r="I409" s="277"/>
      <c r="J409" s="278"/>
      <c r="K409" s="278"/>
      <c r="L409" s="279"/>
      <c r="M409" s="277"/>
      <c r="N409" s="277"/>
      <c r="O409" s="277"/>
      <c r="P409" s="277"/>
      <c r="Q409" s="277"/>
      <c r="R409" s="277" t="s">
        <v>632</v>
      </c>
      <c r="S409" s="280" t="s">
        <v>633</v>
      </c>
      <c r="T409" s="277" t="s">
        <v>634</v>
      </c>
      <c r="U409" s="277" t="s">
        <v>38</v>
      </c>
      <c r="V409" s="281" t="s">
        <v>27</v>
      </c>
      <c r="W409" s="282"/>
      <c r="X409" s="283"/>
      <c r="Z409" s="183"/>
      <c r="AA409" s="183"/>
    </row>
    <row r="410" spans="1:27" s="182" customFormat="1" ht="15" customHeight="1" thickBot="1">
      <c r="A410" s="211"/>
      <c r="B410" s="206"/>
      <c r="C410" s="129">
        <f>SUMIF(Densidades!A:A,'Memória TOTAL'!X410,Densidades!B:B)</f>
        <v>0</v>
      </c>
      <c r="D410" s="130">
        <f>SUMIF(Densidades!A:A,'Memória TOTAL'!X410,Densidades!C:C)</f>
        <v>0</v>
      </c>
      <c r="E410" s="130" t="str">
        <f>IF(I410=15,"FIRECLAY MORTAR",IF(I410=16,"ALUMINA MORTAR",IF(I410=17,"BASIC MORTAR",IF(I410=18,"MORTAR","-"))))</f>
        <v>-</v>
      </c>
      <c r="F410" s="130" t="str">
        <f>IF(I410=15,"FIRECLAY MORTAR",IF(I410=16,"ALUMINA MORTAR",IF(I410=17,"BASIC MORTAR",IF(I410=18,"MORTAR","-"))))</f>
        <v>-</v>
      </c>
      <c r="G410" s="130" t="str">
        <f>IF(I410=15,"FIRECLAY MORTAR",IF(I410=16,"ALUMINA MORTAR",IF(I410=17,"BASIC MORTAR",IF(I410=18,"MORTAR","-"))))</f>
        <v>-</v>
      </c>
      <c r="H410" s="130" t="str">
        <f>IF(I410=15,"FIRECLAY MORTAR",IF(I410=16,"ALUMINA MORTAR",IF(I410=17,"BASIC MORTAR",IF(I410=18,"MORTAR","-"))))</f>
        <v>-</v>
      </c>
      <c r="I410" s="130">
        <f>SUMIF(Densidades!A:A,'Memória TOTAL'!X410,Densidades!G:G)</f>
        <v>0</v>
      </c>
      <c r="J410" s="132">
        <f>SUMIF(Formatos!A:A,'Memória TOTAL'!X411,Formatos!G:G)</f>
        <v>0</v>
      </c>
      <c r="K410" s="218">
        <f>SUMIF(Densidades!A:A,'Memória TOTAL'!X410,Densidades!I:I)</f>
        <v>0</v>
      </c>
      <c r="L410" s="184">
        <v>0</v>
      </c>
      <c r="M410" s="185"/>
      <c r="N410" s="185"/>
      <c r="O410" s="185"/>
      <c r="P410" s="185"/>
      <c r="Q410" s="185"/>
      <c r="R410" s="186">
        <f>((G298*H298)+(G298*E298)+(H298*E298))/1000000</f>
        <v>0</v>
      </c>
      <c r="S410" s="255">
        <v>2</v>
      </c>
      <c r="T410" s="186">
        <f>R410*S410</f>
        <v>0</v>
      </c>
      <c r="U410" s="187" t="e">
        <f>SUM(W298:W336)</f>
        <v>#N/A</v>
      </c>
      <c r="V410" s="188" t="e">
        <f>(T410*C410*(1+L410))*U410</f>
        <v>#N/A</v>
      </c>
      <c r="W410" s="189" t="str">
        <f>IF(C410=0,"",ROUNDUP(SUM(V410:V411)*(1+L410),0))</f>
        <v/>
      </c>
      <c r="X410" s="259"/>
      <c r="Z410" s="183"/>
      <c r="AA410" s="183"/>
    </row>
    <row r="411" spans="1:27" s="182" customFormat="1" ht="15" customHeight="1">
      <c r="A411" s="211"/>
      <c r="B411" s="206"/>
      <c r="C411" s="129"/>
      <c r="D411" s="191"/>
      <c r="E411" s="191"/>
      <c r="F411" s="191"/>
      <c r="G411" s="191"/>
      <c r="H411" s="191"/>
      <c r="I411" s="191"/>
      <c r="J411" s="192"/>
      <c r="K411" s="192"/>
      <c r="L411" s="140"/>
      <c r="M411" s="191"/>
      <c r="N411" s="191"/>
      <c r="O411" s="191"/>
      <c r="P411" s="191"/>
      <c r="Q411" s="191"/>
      <c r="R411" s="191"/>
      <c r="S411" s="191"/>
      <c r="T411" s="191"/>
      <c r="U411" s="191"/>
      <c r="V411" s="193"/>
      <c r="W411" s="181"/>
      <c r="X411" s="137" t="str">
        <f>IF(AND(H410="-",G410="-",F410="-"),E410,IF(AND(H410="-",G410="-",E410="-"),F410,IF(AND(H410="-",F410="-",E410="-"),G410,H410)))</f>
        <v>-</v>
      </c>
      <c r="Z411" s="183"/>
      <c r="AA411" s="183"/>
    </row>
    <row r="412" spans="1:27" s="182" customFormat="1" ht="15" customHeight="1">
      <c r="A412" s="211"/>
      <c r="B412" s="209"/>
      <c r="C412" s="129"/>
      <c r="D412" s="191"/>
      <c r="E412" s="191"/>
      <c r="F412" s="191"/>
      <c r="G412" s="191"/>
      <c r="H412" s="191"/>
      <c r="I412" s="191"/>
      <c r="J412" s="192"/>
      <c r="K412" s="192"/>
      <c r="L412" s="140"/>
      <c r="M412" s="191"/>
      <c r="N412" s="191"/>
      <c r="O412" s="191"/>
      <c r="P412" s="191"/>
      <c r="Q412" s="191"/>
      <c r="R412" s="191"/>
      <c r="S412" s="191"/>
      <c r="T412" s="191"/>
      <c r="U412" s="191"/>
      <c r="V412" s="193"/>
      <c r="W412" s="181"/>
      <c r="X412" s="137" t="s">
        <v>2</v>
      </c>
      <c r="Z412" s="183"/>
      <c r="AA412" s="183"/>
    </row>
    <row r="413" spans="1:27" s="182" customFormat="1" ht="15" customHeight="1">
      <c r="A413" s="210"/>
      <c r="B413" s="206"/>
      <c r="C413" s="294"/>
      <c r="D413" s="191"/>
      <c r="E413" s="191"/>
      <c r="F413" s="191"/>
      <c r="G413" s="191"/>
      <c r="H413" s="191"/>
      <c r="I413" s="191"/>
      <c r="J413" s="192"/>
      <c r="K413" s="192"/>
      <c r="L413" s="140"/>
      <c r="M413" s="191"/>
      <c r="N413" s="191"/>
      <c r="O413" s="191"/>
      <c r="P413" s="191"/>
      <c r="Q413" s="191"/>
      <c r="R413" s="191"/>
      <c r="S413" s="191"/>
      <c r="T413" s="191"/>
      <c r="U413" s="191"/>
      <c r="V413" s="193"/>
      <c r="W413" s="181"/>
      <c r="X413" s="137"/>
      <c r="Z413" s="183"/>
      <c r="AA413" s="183"/>
    </row>
    <row r="414" spans="1:27" s="182" customFormat="1" ht="15" customHeight="1" thickBot="1">
      <c r="A414" s="210"/>
      <c r="B414" s="505"/>
      <c r="C414" s="505"/>
      <c r="D414" s="508"/>
      <c r="E414" s="508"/>
      <c r="F414" s="508"/>
      <c r="G414" s="508"/>
      <c r="H414" s="508"/>
      <c r="I414" s="508"/>
      <c r="J414" s="508"/>
      <c r="K414" s="508"/>
      <c r="L414" s="508"/>
      <c r="M414" s="508"/>
      <c r="N414" s="508"/>
      <c r="O414" s="508"/>
      <c r="P414" s="508"/>
      <c r="Q414" s="508"/>
      <c r="R414" s="508"/>
      <c r="S414" s="508"/>
      <c r="T414" s="508"/>
      <c r="U414" s="508"/>
      <c r="V414" s="508"/>
      <c r="W414" s="508"/>
      <c r="X414" s="509"/>
      <c r="Z414" s="183"/>
      <c r="AA414" s="183"/>
    </row>
    <row r="415" spans="1:27" s="182" customFormat="1" ht="15" customHeight="1" thickBot="1">
      <c r="A415" s="211"/>
      <c r="B415" s="510" t="str">
        <f>IF(X416="","TIJOLO / TRONCO DE CONE - 3 TIJOLOS",X416)</f>
        <v>TIJOLO / TRONCO DE CONE - 3 TIJOLOS</v>
      </c>
      <c r="C415" s="648" t="s">
        <v>101</v>
      </c>
      <c r="D415" s="649" t="s">
        <v>102</v>
      </c>
      <c r="E415" s="649" t="s">
        <v>42</v>
      </c>
      <c r="F415" s="649" t="s">
        <v>42</v>
      </c>
      <c r="G415" s="649" t="s">
        <v>43</v>
      </c>
      <c r="H415" s="649" t="s">
        <v>44</v>
      </c>
      <c r="I415" s="649" t="s">
        <v>47</v>
      </c>
      <c r="J415" s="649" t="s">
        <v>103</v>
      </c>
      <c r="K415" s="649" t="s">
        <v>37</v>
      </c>
      <c r="L415" s="649" t="s">
        <v>39</v>
      </c>
      <c r="M415" s="649"/>
      <c r="N415" s="649" t="s">
        <v>2251</v>
      </c>
      <c r="O415" s="649" t="s">
        <v>2260</v>
      </c>
      <c r="P415" s="649" t="s">
        <v>46</v>
      </c>
      <c r="Q415" s="649" t="s">
        <v>62</v>
      </c>
      <c r="R415" s="649"/>
      <c r="S415" s="649"/>
      <c r="T415" s="649"/>
      <c r="U415" s="649"/>
      <c r="V415" s="669" t="s">
        <v>27</v>
      </c>
      <c r="W415" s="513"/>
      <c r="X415" s="514"/>
      <c r="Z415" s="183"/>
      <c r="AA415" s="183"/>
    </row>
    <row r="416" spans="1:27" s="182" customFormat="1" ht="15" customHeight="1" thickBot="1">
      <c r="A416" s="211"/>
      <c r="B416" s="190"/>
      <c r="C416" s="129">
        <f>SUMIF(Densidades!A:A,'Memória TOTAL'!X416,Densidades!B:B)</f>
        <v>0</v>
      </c>
      <c r="D416" s="130">
        <f>SUMIF(Densidades!A:A,'Memória TOTAL'!X416,Densidades!C:C)</f>
        <v>0</v>
      </c>
      <c r="E416" s="131">
        <f>SUMIF(Formatos!A:A,'Memória TOTAL'!X417,Formatos!E:E)</f>
        <v>0</v>
      </c>
      <c r="F416" s="131">
        <f>SUMIF(Formatos!A:A,'Memória TOTAL'!X417,Formatos!F:F)</f>
        <v>0</v>
      </c>
      <c r="G416" s="131">
        <f>SUMIF(Formatos!A:A,'Memória TOTAL'!X417,Formatos!C:C)</f>
        <v>0</v>
      </c>
      <c r="H416" s="131">
        <f>SUMIF(Formatos!A:A,'Memória TOTAL'!X417,Formatos!D:D)</f>
        <v>0</v>
      </c>
      <c r="I416" s="131">
        <f>SUMIF(Densidades!A:A,'Memória TOTAL'!X416,Densidades!H:H)</f>
        <v>0</v>
      </c>
      <c r="J416" s="132">
        <f>SUMIF(Formatos!A:A,'Memória TOTAL'!X417,Formatos!G:G)</f>
        <v>0</v>
      </c>
      <c r="K416" s="218">
        <f>SUMIF(Densidades!A:A,'Memória TOTAL'!X416,Densidades!I:I)</f>
        <v>0</v>
      </c>
      <c r="L416" s="219">
        <v>0</v>
      </c>
      <c r="M416" s="191"/>
      <c r="N416" s="262"/>
      <c r="O416" s="727"/>
      <c r="P416" s="637"/>
      <c r="Q416" s="727"/>
      <c r="R416" s="191"/>
      <c r="S416" s="191"/>
      <c r="T416" s="228"/>
      <c r="U416" s="231"/>
      <c r="V416" s="670" t="str">
        <f>IF(SUM(S430:S480)=0,"-",SUM(S430:S480))</f>
        <v>-</v>
      </c>
      <c r="W416" s="189" t="str">
        <f>IF(V416="-","",ROUNDUP(SUM(V416)*(1+L416),0))</f>
        <v/>
      </c>
      <c r="X416" s="259"/>
      <c r="Z416" s="183"/>
      <c r="AA416" s="183"/>
    </row>
    <row r="417" spans="1:27" s="182" customFormat="1" ht="15" customHeight="1">
      <c r="A417" s="211"/>
      <c r="B417" s="190"/>
      <c r="C417" s="196"/>
      <c r="D417" s="191"/>
      <c r="E417" s="191"/>
      <c r="F417" s="191"/>
      <c r="G417" s="191"/>
      <c r="H417" s="191"/>
      <c r="I417" s="191"/>
      <c r="J417" s="192"/>
      <c r="K417" s="192"/>
      <c r="L417" s="140"/>
      <c r="M417" s="191"/>
      <c r="N417" s="191"/>
      <c r="O417" s="191"/>
      <c r="P417" s="191"/>
      <c r="Q417" s="191"/>
      <c r="R417" s="191"/>
      <c r="S417" s="191"/>
      <c r="T417" s="191"/>
      <c r="U417" s="191"/>
      <c r="V417" s="193"/>
      <c r="W417" s="181"/>
      <c r="X417" s="137" t="str">
        <f>IF(X416="","",O422)</f>
        <v/>
      </c>
      <c r="Z417" s="183"/>
      <c r="AA417" s="183"/>
    </row>
    <row r="418" spans="1:27" s="182" customFormat="1" ht="15" customHeight="1">
      <c r="A418" s="211"/>
      <c r="B418" s="190"/>
      <c r="C418" s="650"/>
      <c r="D418" s="237"/>
      <c r="E418" s="237"/>
      <c r="F418" s="237"/>
      <c r="G418" s="237"/>
      <c r="H418" s="237"/>
      <c r="I418" s="237"/>
      <c r="J418" s="636"/>
      <c r="K418" s="636"/>
      <c r="L418" s="168"/>
      <c r="M418" s="191"/>
      <c r="N418" s="191"/>
      <c r="O418" s="191"/>
      <c r="P418" s="191"/>
      <c r="Q418" s="191"/>
      <c r="R418" s="191"/>
      <c r="S418" s="191"/>
      <c r="T418" s="191"/>
      <c r="U418" s="191"/>
      <c r="V418" s="193"/>
      <c r="W418" s="181"/>
      <c r="X418" s="137" t="s">
        <v>520</v>
      </c>
      <c r="Z418" s="183"/>
      <c r="AA418" s="183"/>
    </row>
    <row r="419" spans="1:27" s="182" customFormat="1" ht="15" customHeight="1" thickBot="1">
      <c r="A419" s="211"/>
      <c r="B419" s="190"/>
      <c r="C419" s="215" t="str">
        <f t="shared" ref="C419:L419" si="75">C415</f>
        <v>Dens.</v>
      </c>
      <c r="D419" s="651" t="str">
        <f t="shared" si="75"/>
        <v>Emb.</v>
      </c>
      <c r="E419" s="651" t="str">
        <f t="shared" si="75"/>
        <v>Esp. Tij.</v>
      </c>
      <c r="F419" s="651" t="str">
        <f t="shared" si="75"/>
        <v>Esp. Tij.</v>
      </c>
      <c r="G419" s="651" t="str">
        <f t="shared" si="75"/>
        <v>Comp. Tij.</v>
      </c>
      <c r="H419" s="651" t="str">
        <f t="shared" si="75"/>
        <v>Larg. Tij.</v>
      </c>
      <c r="I419" s="651" t="str">
        <f t="shared" si="75"/>
        <v>Tipo Fator</v>
      </c>
      <c r="J419" s="651" t="str">
        <f t="shared" si="75"/>
        <v>Vol.</v>
      </c>
      <c r="K419" s="651" t="str">
        <f t="shared" si="75"/>
        <v>Class.</v>
      </c>
      <c r="L419" s="651" t="str">
        <f t="shared" si="75"/>
        <v>Coefic. (%)</v>
      </c>
      <c r="M419" s="191"/>
      <c r="N419" s="191"/>
      <c r="O419" s="191"/>
      <c r="P419" s="191"/>
      <c r="Q419" s="191"/>
      <c r="R419" s="191"/>
      <c r="S419" s="191"/>
      <c r="T419" s="191"/>
      <c r="U419" s="191"/>
      <c r="V419" s="238"/>
      <c r="W419" s="181"/>
      <c r="X419" s="137"/>
      <c r="Z419" s="183"/>
      <c r="AA419" s="183"/>
    </row>
    <row r="420" spans="1:27" s="182" customFormat="1" ht="15" customHeight="1" thickBot="1">
      <c r="A420" s="211"/>
      <c r="B420" s="190"/>
      <c r="C420" s="129">
        <f>SUMIF(Densidades!A:A,'Memória TOTAL'!X420,Densidades!B:B)</f>
        <v>0</v>
      </c>
      <c r="D420" s="130">
        <f>SUMIF(Densidades!A:A,'Memória TOTAL'!X420,Densidades!C:C)</f>
        <v>620</v>
      </c>
      <c r="E420" s="131">
        <f>SUMIF(Formatos!A:A,'Memória TOTAL'!X421,Formatos!E:E)</f>
        <v>0</v>
      </c>
      <c r="F420" s="131">
        <f>SUMIF(Formatos!A:A,'Memória TOTAL'!X421,Formatos!F:F)</f>
        <v>0</v>
      </c>
      <c r="G420" s="131">
        <f>SUMIF(Formatos!A:A,'Memória TOTAL'!X421,Formatos!C:C)</f>
        <v>0</v>
      </c>
      <c r="H420" s="131">
        <f>SUMIF(Formatos!A:A,'Memória TOTAL'!X421,Formatos!D:D)</f>
        <v>0</v>
      </c>
      <c r="I420" s="131">
        <f>SUMIF(Densidades!A:A,'Memória TOTAL'!X420,Densidades!H:H)</f>
        <v>0</v>
      </c>
      <c r="J420" s="132">
        <f>SUMIF(Formatos!A:A,'Memória TOTAL'!X421,Formatos!G:G)</f>
        <v>0</v>
      </c>
      <c r="K420" s="218">
        <f>SUMIF(Densidades!A:A,'Memória TOTAL'!X420,Densidades!I:I)</f>
        <v>177</v>
      </c>
      <c r="L420" s="219">
        <v>0</v>
      </c>
      <c r="M420" s="191"/>
      <c r="N420" s="191"/>
      <c r="O420" s="855" t="s">
        <v>1011</v>
      </c>
      <c r="P420" s="856"/>
      <c r="Q420" s="856"/>
      <c r="R420" s="856"/>
      <c r="S420" s="857"/>
      <c r="T420" s="228"/>
      <c r="U420" s="231"/>
      <c r="V420" s="670" t="str">
        <f>IFERROR(IF(SUM(T430:T480)=0,"-",SUM(T430:T480)),"-")</f>
        <v>-</v>
      </c>
      <c r="W420" s="189" t="str">
        <f>IF(V420="-","",ROUNDUP(SUM(V420)*(1+L420),0))</f>
        <v/>
      </c>
      <c r="X420" s="137" t="str">
        <f>IF(X416="","",X416)</f>
        <v/>
      </c>
      <c r="Z420" s="183"/>
      <c r="AA420" s="183"/>
    </row>
    <row r="421" spans="1:27" s="182" customFormat="1" ht="15" customHeight="1" thickBot="1">
      <c r="A421" s="211"/>
      <c r="B421" s="190"/>
      <c r="C421" s="196"/>
      <c r="D421" s="191"/>
      <c r="E421" s="191"/>
      <c r="F421" s="191"/>
      <c r="G421" s="191"/>
      <c r="H421" s="191"/>
      <c r="I421" s="191"/>
      <c r="J421" s="192"/>
      <c r="K421" s="192"/>
      <c r="L421" s="140"/>
      <c r="M421" s="191"/>
      <c r="N421" s="636"/>
      <c r="O421" s="655" t="s">
        <v>2258</v>
      </c>
      <c r="P421" s="656" t="s">
        <v>1071</v>
      </c>
      <c r="Q421" s="656" t="s">
        <v>2257</v>
      </c>
      <c r="R421" s="656" t="s">
        <v>7</v>
      </c>
      <c r="S421" s="671" t="s">
        <v>15</v>
      </c>
      <c r="T421" s="191"/>
      <c r="U421" s="191"/>
      <c r="V421" s="193"/>
      <c r="W421" s="181"/>
      <c r="X421" s="137" t="str">
        <f>IF(X420="","",O423)</f>
        <v/>
      </c>
      <c r="Z421" s="183"/>
      <c r="AA421" s="183"/>
    </row>
    <row r="422" spans="1:27" s="182" customFormat="1" ht="15" customHeight="1">
      <c r="A422" s="211"/>
      <c r="B422" s="190"/>
      <c r="C422" s="650"/>
      <c r="D422" s="237"/>
      <c r="E422" s="237"/>
      <c r="F422" s="237"/>
      <c r="G422" s="237"/>
      <c r="H422" s="237"/>
      <c r="I422" s="237"/>
      <c r="J422" s="636"/>
      <c r="K422" s="636"/>
      <c r="L422" s="168"/>
      <c r="M422" s="191"/>
      <c r="N422" s="652" t="s">
        <v>2252</v>
      </c>
      <c r="O422" s="673"/>
      <c r="P422" s="316" t="str">
        <f>IF(O422="","",IF(VLOOKUP(O422,Formatos!A:F,2,FALSE)="S",IF(VLOOKUP(O423,Formatos!A:F,2,FALSE)="W",VLOOKUP(O423,Formatos!A:F,4,FALSE),VLOOKUP(O423,Formatos!A:F,3,FALSE)),IF(VLOOKUP(O422,Formatos!A:F,2,FALSE)="W",VLOOKUP(O422,Formatos!A:F,4,FALSE),VLOOKUP(O422,Formatos!A:F,3,FALSE))))</f>
        <v/>
      </c>
      <c r="Q422" s="316" t="str">
        <f>IF(O422="","",IF(VLOOKUP(O422,Formatos!A:F,2,FALSE)="S",IF(VLOOKUP(O423,Formatos!A:F,2,FALSE)="W",VLOOKUP(O423,Formatos!A:F,3,FALSE),VLOOKUP(O423,Formatos!A:F,4,FALSE)),IF(VLOOKUP(O422,Formatos!A:F,2,FALSE)="W",VLOOKUP(O422,Formatos!A:F,3,FALSE),VLOOKUP(O422,Formatos!A:F,4,FALSE))))</f>
        <v/>
      </c>
      <c r="R422" s="676" t="str">
        <f>IF(O422="","",VLOOKUP(O422,Formatos!A:F,5,FALSE)+P416)</f>
        <v/>
      </c>
      <c r="S422" s="677" t="str">
        <f>IF(O422="","",VLOOKUP(O422,Formatos!A:F,6,FALSE)+P416)</f>
        <v/>
      </c>
      <c r="T422" s="191"/>
      <c r="U422" s="191"/>
      <c r="V422" s="193"/>
      <c r="W422" s="181"/>
      <c r="X422" s="137" t="s">
        <v>520</v>
      </c>
      <c r="Z422" s="183"/>
      <c r="AA422" s="183"/>
    </row>
    <row r="423" spans="1:27" s="182" customFormat="1" ht="15" customHeight="1" thickBot="1">
      <c r="A423" s="211"/>
      <c r="B423" s="190"/>
      <c r="C423" s="215" t="str">
        <f t="shared" ref="C423:L423" si="76">C419</f>
        <v>Dens.</v>
      </c>
      <c r="D423" s="651" t="str">
        <f t="shared" si="76"/>
        <v>Emb.</v>
      </c>
      <c r="E423" s="651" t="str">
        <f t="shared" si="76"/>
        <v>Esp. Tij.</v>
      </c>
      <c r="F423" s="651" t="str">
        <f t="shared" si="76"/>
        <v>Esp. Tij.</v>
      </c>
      <c r="G423" s="651" t="str">
        <f t="shared" si="76"/>
        <v>Comp. Tij.</v>
      </c>
      <c r="H423" s="651" t="str">
        <f t="shared" si="76"/>
        <v>Larg. Tij.</v>
      </c>
      <c r="I423" s="651" t="str">
        <f t="shared" si="76"/>
        <v>Tipo Fator</v>
      </c>
      <c r="J423" s="651" t="str">
        <f t="shared" si="76"/>
        <v>Vol.</v>
      </c>
      <c r="K423" s="651" t="str">
        <f t="shared" si="76"/>
        <v>Class.</v>
      </c>
      <c r="L423" s="651" t="str">
        <f t="shared" si="76"/>
        <v>Coefic. (%)</v>
      </c>
      <c r="M423" s="191"/>
      <c r="N423" s="653" t="s">
        <v>2253</v>
      </c>
      <c r="O423" s="674"/>
      <c r="P423" s="316" t="str">
        <f>IF(O423="","",IF(VLOOKUP(O423,Formatos!A:F,2,FALSE)="S",IF(VLOOKUP(O424,Formatos!A:F,2,FALSE)="W",VLOOKUP(O424,Formatos!A:F,4,FALSE),VLOOKUP(O424,Formatos!A:F,3,FALSE)),IF(VLOOKUP(O423,Formatos!A:F,2,FALSE)="W",VLOOKUP(O423,Formatos!A:F,4,FALSE),VLOOKUP(O423,Formatos!A:F,3,FALSE))))</f>
        <v/>
      </c>
      <c r="Q423" s="316" t="str">
        <f>IF(O423="","",IF(VLOOKUP(O423,Formatos!A:F,2,FALSE)="S",IF(VLOOKUP(O424,Formatos!A:F,2,FALSE)="W",VLOOKUP(O424,Formatos!A:F,3,FALSE),VLOOKUP(O424,Formatos!A:F,4,FALSE)),IF(VLOOKUP(O423,Formatos!A:F,2,FALSE)="W",VLOOKUP(O423,Formatos!A:F,3,FALSE),VLOOKUP(O423,Formatos!A:F,4,FALSE))))</f>
        <v/>
      </c>
      <c r="R423" s="676" t="str">
        <f>IF(O423="","",VLOOKUP(O423,Formatos!A:F,5,FALSE)+P416)</f>
        <v/>
      </c>
      <c r="S423" s="677" t="str">
        <f>IF(O423="","",VLOOKUP(O423,Formatos!A:F,6,FALSE)+P416)</f>
        <v/>
      </c>
      <c r="T423" s="191"/>
      <c r="U423" s="191"/>
      <c r="V423" s="238"/>
      <c r="W423" s="181"/>
      <c r="X423" s="137"/>
      <c r="Z423" s="183"/>
      <c r="AA423" s="183"/>
    </row>
    <row r="424" spans="1:27" s="182" customFormat="1" ht="15" customHeight="1" thickBot="1">
      <c r="A424" s="211"/>
      <c r="B424" s="190"/>
      <c r="C424" s="129">
        <f>SUMIF(Densidades!A:A,'Memória TOTAL'!X424,Densidades!B:B)</f>
        <v>0</v>
      </c>
      <c r="D424" s="130">
        <f>SUMIF(Densidades!A:A,'Memória TOTAL'!X424,Densidades!C:C)</f>
        <v>620</v>
      </c>
      <c r="E424" s="131">
        <f>SUMIF(Formatos!A:A,'Memória TOTAL'!X425,Formatos!E:E)</f>
        <v>0</v>
      </c>
      <c r="F424" s="131">
        <f>SUMIF(Formatos!A:A,'Memória TOTAL'!X425,Formatos!F:F)</f>
        <v>0</v>
      </c>
      <c r="G424" s="131">
        <f>SUMIF(Formatos!A:A,'Memória TOTAL'!X425,Formatos!C:C)</f>
        <v>0</v>
      </c>
      <c r="H424" s="131">
        <f>SUMIF(Formatos!A:A,'Memória TOTAL'!X425,Formatos!D:D)</f>
        <v>0</v>
      </c>
      <c r="I424" s="131">
        <f>SUMIF(Densidades!A:A,'Memória TOTAL'!X424,Densidades!H:H)</f>
        <v>0</v>
      </c>
      <c r="J424" s="132">
        <f>SUMIF(Formatos!A:A,'Memória TOTAL'!X425,Formatos!G:G)</f>
        <v>0</v>
      </c>
      <c r="K424" s="218">
        <f>SUMIF(Densidades!A:A,'Memória TOTAL'!X424,Densidades!I:I)</f>
        <v>177</v>
      </c>
      <c r="L424" s="219">
        <v>0</v>
      </c>
      <c r="M424" s="191"/>
      <c r="N424" s="654" t="s">
        <v>2254</v>
      </c>
      <c r="O424" s="675"/>
      <c r="P424" s="672" t="str">
        <f>IF(O424="","",IF(VLOOKUP(O424,Formatos!A:F,2,FALSE)="S",IF(VLOOKUP(#REF!,Formatos!A:F,2,FALSE)="W",VLOOKUP(#REF!,Formatos!A:F,4,FALSE),VLOOKUP(#REF!,Formatos!A:F,3,FALSE)),IF(VLOOKUP(O424,Formatos!A:F,2,FALSE)="W",VLOOKUP(O424,Formatos!A:F,4,FALSE),VLOOKUP(O424,Formatos!A:F,3,FALSE))))</f>
        <v/>
      </c>
      <c r="Q424" s="672" t="str">
        <f>IF(O424="","",IF(VLOOKUP(O424,Formatos!A:F,2,FALSE)="S",IF(VLOOKUP(#REF!,Formatos!A:F,2,FALSE)="W",VLOOKUP(#REF!,Formatos!A:F,3,FALSE),VLOOKUP(#REF!,Formatos!A:F,4,FALSE)),IF(VLOOKUP(O424,Formatos!A:F,2,FALSE)="W",VLOOKUP(O424,Formatos!A:F,3,FALSE),VLOOKUP(O424,Formatos!A:F,4,FALSE))))</f>
        <v/>
      </c>
      <c r="R424" s="678" t="str">
        <f>IF(O424="","",VLOOKUP(O424,Formatos!A:F,5,FALSE)+P416)</f>
        <v/>
      </c>
      <c r="S424" s="679" t="str">
        <f>IF(O424="","",VLOOKUP(O424,Formatos!A:F,6,FALSE)+P416)</f>
        <v/>
      </c>
      <c r="T424" s="228"/>
      <c r="U424" s="231"/>
      <c r="V424" s="670" t="str">
        <f>IFERROR(IF(SUM(U430:U480)=0,"-",SUM(U430:U480)),"-")</f>
        <v>-</v>
      </c>
      <c r="W424" s="189" t="str">
        <f>IF(V424="-","",ROUNDUP(SUM(V424)*(1+L424),0))</f>
        <v/>
      </c>
      <c r="X424" s="137" t="str">
        <f>X420</f>
        <v/>
      </c>
      <c r="Z424" s="183"/>
      <c r="AA424" s="183"/>
    </row>
    <row r="425" spans="1:27" s="182" customFormat="1" ht="15" customHeight="1">
      <c r="A425" s="211"/>
      <c r="B425" s="190"/>
      <c r="C425" s="196"/>
      <c r="D425" s="191"/>
      <c r="E425" s="191"/>
      <c r="F425" s="191"/>
      <c r="G425" s="191"/>
      <c r="H425" s="191"/>
      <c r="I425" s="191"/>
      <c r="J425" s="192"/>
      <c r="K425" s="192"/>
      <c r="L425" s="140"/>
      <c r="M425" s="191"/>
      <c r="N425" s="191"/>
      <c r="O425" s="191"/>
      <c r="P425" s="191"/>
      <c r="Q425" s="191"/>
      <c r="R425" s="191"/>
      <c r="S425" s="191"/>
      <c r="T425" s="191"/>
      <c r="U425" s="191"/>
      <c r="V425" s="193"/>
      <c r="W425" s="181"/>
      <c r="X425" s="137" t="str">
        <f>IF(X424="","",O424)</f>
        <v/>
      </c>
      <c r="Z425" s="183"/>
      <c r="AA425" s="183"/>
    </row>
    <row r="426" spans="1:27" s="182" customFormat="1" ht="15" customHeight="1">
      <c r="A426" s="211"/>
      <c r="B426" s="190"/>
      <c r="C426" s="196"/>
      <c r="D426" s="191"/>
      <c r="E426" s="191"/>
      <c r="F426" s="191"/>
      <c r="G426" s="191"/>
      <c r="H426" s="191"/>
      <c r="I426" s="191"/>
      <c r="J426" s="192"/>
      <c r="K426" s="192"/>
      <c r="L426" s="140"/>
      <c r="M426" s="191"/>
      <c r="N426" s="191"/>
      <c r="O426" s="191"/>
      <c r="P426" s="191"/>
      <c r="Q426" s="191"/>
      <c r="R426" s="191"/>
      <c r="S426" s="191"/>
      <c r="T426" s="191"/>
      <c r="U426" s="191"/>
      <c r="V426" s="193"/>
      <c r="W426" s="181"/>
      <c r="X426" s="137" t="s">
        <v>520</v>
      </c>
      <c r="Z426" s="183"/>
      <c r="AA426" s="183"/>
    </row>
    <row r="427" spans="1:27" s="182" customFormat="1" ht="15" customHeight="1" thickBot="1">
      <c r="A427" s="211"/>
      <c r="B427" s="190"/>
      <c r="C427" s="196"/>
      <c r="D427" s="191"/>
      <c r="E427" s="191"/>
      <c r="F427" s="191"/>
      <c r="G427" s="191"/>
      <c r="H427" s="191"/>
      <c r="I427" s="191"/>
      <c r="J427" s="192"/>
      <c r="K427" s="192"/>
      <c r="L427" s="192"/>
      <c r="M427" s="191"/>
      <c r="N427" s="191"/>
      <c r="O427" s="191"/>
      <c r="P427" s="191"/>
      <c r="Q427" s="191"/>
      <c r="R427" s="191"/>
      <c r="S427" s="237"/>
      <c r="T427" s="237"/>
      <c r="U427" s="237"/>
      <c r="V427" s="193"/>
      <c r="W427" s="181"/>
      <c r="X427" s="137"/>
      <c r="Z427" s="183"/>
      <c r="AA427" s="183"/>
    </row>
    <row r="428" spans="1:27" s="182" customFormat="1" ht="15" customHeight="1" thickBot="1">
      <c r="A428" s="211"/>
      <c r="B428" s="190"/>
      <c r="C428" s="650"/>
      <c r="D428" s="232"/>
      <c r="E428" s="191"/>
      <c r="F428" s="191"/>
      <c r="G428" s="191"/>
      <c r="H428" s="191"/>
      <c r="I428" s="191"/>
      <c r="J428" s="192"/>
      <c r="K428" s="635"/>
      <c r="L428" s="636"/>
      <c r="M428" s="237"/>
      <c r="N428" s="237"/>
      <c r="O428" s="237"/>
      <c r="P428" s="661" t="s">
        <v>2252</v>
      </c>
      <c r="Q428" s="667" t="s">
        <v>2253</v>
      </c>
      <c r="R428" s="728" t="s">
        <v>2254</v>
      </c>
      <c r="S428" s="661" t="s">
        <v>2252</v>
      </c>
      <c r="T428" s="667" t="s">
        <v>2253</v>
      </c>
      <c r="U428" s="668" t="s">
        <v>2254</v>
      </c>
      <c r="V428" s="329"/>
      <c r="W428" s="181"/>
      <c r="X428" s="137"/>
      <c r="Z428" s="183"/>
      <c r="AA428" s="183"/>
    </row>
    <row r="429" spans="1:27" s="182" customFormat="1" ht="15" customHeight="1" thickBot="1">
      <c r="A429" s="211"/>
      <c r="B429" s="190"/>
      <c r="C429" s="660" t="s">
        <v>2259</v>
      </c>
      <c r="D429" s="232"/>
      <c r="E429" s="191"/>
      <c r="F429" s="191"/>
      <c r="G429" s="191"/>
      <c r="H429" s="191"/>
      <c r="I429" s="191"/>
      <c r="J429" s="192"/>
      <c r="K429" s="635"/>
      <c r="L429" s="661" t="s">
        <v>2251</v>
      </c>
      <c r="M429" s="662" t="s">
        <v>2255</v>
      </c>
      <c r="N429" s="663" t="s">
        <v>2256</v>
      </c>
      <c r="O429" s="664" t="s">
        <v>1018</v>
      </c>
      <c r="P429" s="665" t="str">
        <f>IF(O422="","",O422)</f>
        <v/>
      </c>
      <c r="Q429" s="666" t="str">
        <f>IF(O423="","",O423)</f>
        <v/>
      </c>
      <c r="R429" s="729" t="str">
        <f>IF(O424="","",O424)</f>
        <v/>
      </c>
      <c r="S429" s="730" t="str">
        <f>IF(O422="","",O422)</f>
        <v/>
      </c>
      <c r="T429" s="731" t="str">
        <f>IF(O423="","",O423)</f>
        <v/>
      </c>
      <c r="U429" s="732" t="str">
        <f>IF(O424="","",O424)</f>
        <v/>
      </c>
      <c r="V429" s="329"/>
      <c r="W429" s="181"/>
      <c r="X429" s="137"/>
      <c r="Z429" s="183"/>
      <c r="AA429" s="183"/>
    </row>
    <row r="430" spans="1:27" s="182" customFormat="1" ht="15" customHeight="1">
      <c r="A430" s="211"/>
      <c r="B430" s="164"/>
      <c r="C430" s="657" t="str">
        <f>IF(Q416="","",1)</f>
        <v/>
      </c>
      <c r="D430" s="232"/>
      <c r="E430" s="191"/>
      <c r="F430" s="191"/>
      <c r="G430" s="191"/>
      <c r="H430" s="191"/>
      <c r="I430" s="191"/>
      <c r="J430" s="192"/>
      <c r="K430" s="635"/>
      <c r="L430" s="640" t="str">
        <f>IF(C430="","",N416)</f>
        <v/>
      </c>
      <c r="M430" s="684" t="str">
        <f>IF(C430="","",L430-Q423*COS(O416*PI()/180))</f>
        <v/>
      </c>
      <c r="N430" s="685" t="str">
        <f>IF(C430="","",L430+P423*SIN(O416*PI()/180))</f>
        <v/>
      </c>
      <c r="O430" s="645"/>
      <c r="P430" s="680" t="str">
        <f>IF(C430="","",(PI()*O430/180*(R424*M430-N430*S424)-Q430*(S423*R424-S424*R423))/S422/(R424-S424))</f>
        <v/>
      </c>
      <c r="Q430" s="681" t="str">
        <f>IF(C430="","",O430/180*PI()*(L430-M430)/(R423-S423))</f>
        <v/>
      </c>
      <c r="R430" s="733" t="str">
        <f>IF(C430="","",(O430/180*PI()*N430-Q430*R423-S430*S422)/R424)</f>
        <v/>
      </c>
      <c r="S430" s="734" t="str">
        <f>IF(C430="","",ROUNDUP(P430,0))</f>
        <v/>
      </c>
      <c r="T430" s="735" t="str">
        <f>IF(C430="","",ROUNDUP(Q430,0))</f>
        <v/>
      </c>
      <c r="U430" s="736" t="str">
        <f>IF(C430="","",ROUND((ROUNDUP(MAX($R$429:$R$478),0))*O430/360,0))</f>
        <v/>
      </c>
      <c r="V430" s="329"/>
      <c r="W430" s="181"/>
      <c r="X430" s="137"/>
      <c r="Z430" s="183"/>
      <c r="AA430" s="183"/>
    </row>
    <row r="431" spans="1:27" s="182" customFormat="1" ht="15" customHeight="1">
      <c r="A431" s="211"/>
      <c r="B431" s="164"/>
      <c r="C431" s="658" t="str">
        <f>IF(Q416="","",IF(C430="","",IF(C430+1&lt;=Q416,C430+1,"")))</f>
        <v/>
      </c>
      <c r="D431" s="232"/>
      <c r="E431" s="191"/>
      <c r="F431" s="191"/>
      <c r="G431" s="191"/>
      <c r="H431" s="191"/>
      <c r="I431" s="191"/>
      <c r="J431" s="192"/>
      <c r="K431" s="635"/>
      <c r="L431" s="641" t="str">
        <f>IF(C431="","",N430)</f>
        <v/>
      </c>
      <c r="M431" s="643" t="str">
        <f>IF(C431="","",L431-Q423*COS(O416*PI()/180))</f>
        <v/>
      </c>
      <c r="N431" s="644" t="str">
        <f>IF(C431="","",L431+P423*SIN(O416*PI()/180))</f>
        <v/>
      </c>
      <c r="O431" s="638"/>
      <c r="P431" s="646" t="str">
        <f>IF(C431="","",(PI()*O431/180*(R424*M431-N431*S424)-Q431*(S423*R424-S424*R423))/S422/(R424-S424))</f>
        <v/>
      </c>
      <c r="Q431" s="647" t="str">
        <f>IF(C431="","",O431/180*PI()*(L431-M431)/(R423-S423))</f>
        <v/>
      </c>
      <c r="R431" s="737" t="str">
        <f>IF(C431="","",(O431/180*PI()*N431-Q431*R423-S431*S422)/R424)</f>
        <v/>
      </c>
      <c r="S431" s="734" t="str">
        <f t="shared" ref="S431:S479" si="77">IF(C431="","",ROUNDUP(P431,0))</f>
        <v/>
      </c>
      <c r="T431" s="735" t="str">
        <f t="shared" ref="T431:T479" si="78">IF(C431="","",ROUNDUP(Q431,0))</f>
        <v/>
      </c>
      <c r="U431" s="736" t="str">
        <f t="shared" ref="U431:U479" si="79">IF(C431="","",ROUND((ROUNDUP(MAX($R$429:$R$478),0))*O431/360,0))</f>
        <v/>
      </c>
      <c r="V431" s="329"/>
      <c r="W431" s="181"/>
      <c r="X431" s="137"/>
      <c r="Z431" s="183"/>
      <c r="AA431" s="183"/>
    </row>
    <row r="432" spans="1:27" s="182" customFormat="1" ht="15" customHeight="1">
      <c r="A432" s="211"/>
      <c r="B432" s="164"/>
      <c r="C432" s="658" t="str">
        <f>IF(Q416="","",IF(C431="","",IF(C431+1&lt;=Q416,C431+1,"")))</f>
        <v/>
      </c>
      <c r="D432" s="232"/>
      <c r="E432" s="191"/>
      <c r="F432" s="191"/>
      <c r="G432" s="191"/>
      <c r="H432" s="191"/>
      <c r="I432" s="191"/>
      <c r="J432" s="192"/>
      <c r="K432" s="635"/>
      <c r="L432" s="641" t="str">
        <f t="shared" ref="L432:L479" si="80">IF(C432="","",N431)</f>
        <v/>
      </c>
      <c r="M432" s="643" t="str">
        <f>IF(C432="","",L432-Q423*COS(O416*PI()/180))</f>
        <v/>
      </c>
      <c r="N432" s="644" t="str">
        <f>IF(C432="","",L432+P423*SIN(O416*PI()/180))</f>
        <v/>
      </c>
      <c r="O432" s="638"/>
      <c r="P432" s="646" t="str">
        <f>IF(C432="","",(PI()*O432/180*(R424*M432-N432*S424)-Q432*(S423*R424-S424*R423))/S422/(R424-S424))</f>
        <v/>
      </c>
      <c r="Q432" s="647" t="str">
        <f>IF(C432="","",O432/180*PI()*(L432-M432)/(R423-S423))</f>
        <v/>
      </c>
      <c r="R432" s="737" t="str">
        <f>IF(C432="","",(O432/180*PI()*N432-Q432*R423-S432*S422)/R424)</f>
        <v/>
      </c>
      <c r="S432" s="734" t="str">
        <f t="shared" si="77"/>
        <v/>
      </c>
      <c r="T432" s="735" t="str">
        <f t="shared" si="78"/>
        <v/>
      </c>
      <c r="U432" s="736" t="str">
        <f t="shared" si="79"/>
        <v/>
      </c>
      <c r="V432" s="329"/>
      <c r="W432" s="181"/>
      <c r="X432" s="137"/>
      <c r="Z432" s="183"/>
      <c r="AA432" s="183"/>
    </row>
    <row r="433" spans="1:27" s="182" customFormat="1" ht="15" customHeight="1">
      <c r="A433" s="211"/>
      <c r="B433" s="164"/>
      <c r="C433" s="658" t="str">
        <f>IF(Q416="","",IF(C432="","",IF(C432+1&lt;=Q416,C432+1,"")))</f>
        <v/>
      </c>
      <c r="D433" s="232"/>
      <c r="E433" s="191"/>
      <c r="F433" s="191"/>
      <c r="G433" s="191"/>
      <c r="H433" s="191"/>
      <c r="I433" s="191"/>
      <c r="J433" s="192"/>
      <c r="K433" s="635"/>
      <c r="L433" s="641" t="str">
        <f t="shared" si="80"/>
        <v/>
      </c>
      <c r="M433" s="643" t="str">
        <f>IF(C433="","",L433-Q423*COS(O416*PI()/180))</f>
        <v/>
      </c>
      <c r="N433" s="644" t="str">
        <f>IF(C433="","",L433+P423*SIN(O416*PI()/180))</f>
        <v/>
      </c>
      <c r="O433" s="638"/>
      <c r="P433" s="646" t="str">
        <f>IF(C433="","",(PI()*O433/180*(R424*M433-N433*S424)-Q433*(S423*R424-S424*R423))/S422/(R424-S424))</f>
        <v/>
      </c>
      <c r="Q433" s="647" t="str">
        <f>IF(C433="","",O433/180*PI()*(L433-M433)/(R423-S423))</f>
        <v/>
      </c>
      <c r="R433" s="737" t="str">
        <f>IF(C433="","",(O433/180*PI()*N433-Q433*R423-S433*S422)/R424)</f>
        <v/>
      </c>
      <c r="S433" s="734" t="str">
        <f t="shared" si="77"/>
        <v/>
      </c>
      <c r="T433" s="735" t="str">
        <f t="shared" si="78"/>
        <v/>
      </c>
      <c r="U433" s="736" t="str">
        <f t="shared" si="79"/>
        <v/>
      </c>
      <c r="V433" s="329"/>
      <c r="W433" s="181"/>
      <c r="X433" s="137"/>
      <c r="Z433" s="183"/>
      <c r="AA433" s="183"/>
    </row>
    <row r="434" spans="1:27" s="182" customFormat="1" ht="15" customHeight="1">
      <c r="A434" s="211"/>
      <c r="B434" s="164"/>
      <c r="C434" s="658" t="str">
        <f>IF(Q416="","",IF(C433="","",IF(C433+1&lt;=Q416,C433+1,"")))</f>
        <v/>
      </c>
      <c r="D434" s="232"/>
      <c r="E434" s="191"/>
      <c r="F434" s="191"/>
      <c r="G434" s="191"/>
      <c r="H434" s="191"/>
      <c r="I434" s="191"/>
      <c r="J434" s="192"/>
      <c r="K434" s="635"/>
      <c r="L434" s="641" t="str">
        <f t="shared" si="80"/>
        <v/>
      </c>
      <c r="M434" s="643" t="str">
        <f>IF(C434="","",L434-Q423*COS(O416*PI()/180))</f>
        <v/>
      </c>
      <c r="N434" s="644" t="str">
        <f>IF(C434="","",L434+P423*SIN(O416*PI()/180))</f>
        <v/>
      </c>
      <c r="O434" s="638"/>
      <c r="P434" s="646" t="str">
        <f>IF(C434="","",(PI()*O434/180*(R424*M434-N434*S424)-Q434*(S423*R424-S424*R423))/S422/(R424-S424))</f>
        <v/>
      </c>
      <c r="Q434" s="647" t="str">
        <f>IF(C434="","",O434/180*PI()*(L434-M434)/(R423-S423))</f>
        <v/>
      </c>
      <c r="R434" s="737" t="str">
        <f>IF(C434="","",(O434/180*PI()*N434-Q434*R423-S434*S422)/R424)</f>
        <v/>
      </c>
      <c r="S434" s="734" t="str">
        <f t="shared" si="77"/>
        <v/>
      </c>
      <c r="T434" s="735" t="str">
        <f t="shared" si="78"/>
        <v/>
      </c>
      <c r="U434" s="736" t="str">
        <f t="shared" si="79"/>
        <v/>
      </c>
      <c r="V434" s="329"/>
      <c r="W434" s="181"/>
      <c r="X434" s="137"/>
      <c r="Z434" s="183"/>
      <c r="AA434" s="183"/>
    </row>
    <row r="435" spans="1:27" s="182" customFormat="1" ht="15" customHeight="1">
      <c r="A435" s="211"/>
      <c r="B435" s="164"/>
      <c r="C435" s="658" t="str">
        <f>IF(Q416="","",IF(C434="","",IF(C434+1&lt;=Q416,C434+1,"")))</f>
        <v/>
      </c>
      <c r="D435" s="232"/>
      <c r="E435" s="191"/>
      <c r="F435" s="191"/>
      <c r="G435" s="191"/>
      <c r="H435" s="191"/>
      <c r="I435" s="191"/>
      <c r="J435" s="192"/>
      <c r="K435" s="635"/>
      <c r="L435" s="641" t="str">
        <f t="shared" si="80"/>
        <v/>
      </c>
      <c r="M435" s="643" t="str">
        <f>IF(C435="","",L435-Q423*COS(O416*PI()/180))</f>
        <v/>
      </c>
      <c r="N435" s="644" t="str">
        <f>IF(C435="","",L435+P423*SIN(O416*PI()/180))</f>
        <v/>
      </c>
      <c r="O435" s="638"/>
      <c r="P435" s="646" t="str">
        <f>IF(C435="","",(PI()*O435/180*(R424*M435-N435*S424)-Q435*(S423*R424-S424*R423))/S422/(R424-S424))</f>
        <v/>
      </c>
      <c r="Q435" s="647" t="str">
        <f>IF(C435="","",O435/180*PI()*(L435-M435)/(R423-S423))</f>
        <v/>
      </c>
      <c r="R435" s="737" t="str">
        <f>IF(C435="","",(O435/180*PI()*N435-Q435*R423-S435*S422)/R424)</f>
        <v/>
      </c>
      <c r="S435" s="734" t="str">
        <f t="shared" si="77"/>
        <v/>
      </c>
      <c r="T435" s="735" t="str">
        <f t="shared" si="78"/>
        <v/>
      </c>
      <c r="U435" s="736" t="str">
        <f t="shared" si="79"/>
        <v/>
      </c>
      <c r="V435" s="329"/>
      <c r="W435" s="181"/>
      <c r="X435" s="137"/>
      <c r="Z435" s="183"/>
      <c r="AA435" s="183"/>
    </row>
    <row r="436" spans="1:27" s="182" customFormat="1" ht="15" customHeight="1">
      <c r="A436" s="211"/>
      <c r="B436" s="164"/>
      <c r="C436" s="658" t="str">
        <f>IF(Q416="","",IF(C435="","",IF(C435+1&lt;=Q416,C435+1,"")))</f>
        <v/>
      </c>
      <c r="D436" s="232"/>
      <c r="E436" s="191"/>
      <c r="F436" s="191"/>
      <c r="G436" s="191"/>
      <c r="H436" s="191"/>
      <c r="I436" s="191"/>
      <c r="J436" s="192"/>
      <c r="K436" s="635"/>
      <c r="L436" s="641" t="str">
        <f t="shared" si="80"/>
        <v/>
      </c>
      <c r="M436" s="643" t="str">
        <f>IF(C436="","",L436-Q423*COS(O416*PI()/180))</f>
        <v/>
      </c>
      <c r="N436" s="644" t="str">
        <f>IF(C436="","",L436+P423*SIN(O416*PI()/180))</f>
        <v/>
      </c>
      <c r="O436" s="638"/>
      <c r="P436" s="646" t="str">
        <f>IF(C436="","",(PI()*O436/180*(R424*M436-N436*S424)-Q436*(S423*R424-S424*R423))/S422/(R424-S424))</f>
        <v/>
      </c>
      <c r="Q436" s="647" t="str">
        <f>IF(C436="","",O436/180*PI()*(L436-M436)/(R423-S423))</f>
        <v/>
      </c>
      <c r="R436" s="737" t="str">
        <f>IF(C436="","",(O436/180*PI()*N436-Q436*R423-S436*S422)/R424)</f>
        <v/>
      </c>
      <c r="S436" s="734" t="str">
        <f t="shared" si="77"/>
        <v/>
      </c>
      <c r="T436" s="735" t="str">
        <f t="shared" si="78"/>
        <v/>
      </c>
      <c r="U436" s="736" t="str">
        <f t="shared" si="79"/>
        <v/>
      </c>
      <c r="V436" s="329"/>
      <c r="W436" s="181"/>
      <c r="X436" s="137"/>
      <c r="Z436" s="183"/>
      <c r="AA436" s="183"/>
    </row>
    <row r="437" spans="1:27" s="182" customFormat="1" ht="15" customHeight="1">
      <c r="A437" s="211"/>
      <c r="B437" s="164"/>
      <c r="C437" s="658" t="str">
        <f>IF(Q416="","",IF(C436="","",IF(C436+1&lt;=Q416,C436+1,"")))</f>
        <v/>
      </c>
      <c r="D437" s="232"/>
      <c r="E437" s="191"/>
      <c r="F437" s="191"/>
      <c r="G437" s="191"/>
      <c r="H437" s="191"/>
      <c r="I437" s="191"/>
      <c r="J437" s="192"/>
      <c r="K437" s="635"/>
      <c r="L437" s="641" t="str">
        <f t="shared" si="80"/>
        <v/>
      </c>
      <c r="M437" s="643" t="str">
        <f>IF(C437="","",L437-Q423*COS(O416*PI()/180))</f>
        <v/>
      </c>
      <c r="N437" s="644" t="str">
        <f>IF(C437="","",L437+P423*SIN(O416*PI()/180))</f>
        <v/>
      </c>
      <c r="O437" s="638"/>
      <c r="P437" s="646" t="str">
        <f>IF(C437="","",(PI()*O437/180*(R424*M437-N437*S424)-Q437*(S423*R424-S424*R423))/S422/(R424-S424))</f>
        <v/>
      </c>
      <c r="Q437" s="647" t="str">
        <f>IF(C437="","",O437/180*PI()*(L437-M437)/(R423-S423))</f>
        <v/>
      </c>
      <c r="R437" s="737" t="str">
        <f>IF(C437="","",(O437/180*PI()*N437-Q437*R423-S437*S422)/R424)</f>
        <v/>
      </c>
      <c r="S437" s="734" t="str">
        <f t="shared" si="77"/>
        <v/>
      </c>
      <c r="T437" s="735" t="str">
        <f t="shared" si="78"/>
        <v/>
      </c>
      <c r="U437" s="736" t="str">
        <f t="shared" si="79"/>
        <v/>
      </c>
      <c r="V437" s="329"/>
      <c r="W437" s="181"/>
      <c r="X437" s="137"/>
      <c r="Z437" s="183"/>
      <c r="AA437" s="183"/>
    </row>
    <row r="438" spans="1:27" s="182" customFormat="1" ht="15" customHeight="1">
      <c r="A438" s="211"/>
      <c r="B438" s="164"/>
      <c r="C438" s="658" t="str">
        <f>IF(Q416="","",IF(C437="","",IF(C437+1&lt;=Q416,C437+1,"")))</f>
        <v/>
      </c>
      <c r="D438" s="232"/>
      <c r="E438" s="191"/>
      <c r="F438" s="191"/>
      <c r="G438" s="191"/>
      <c r="H438" s="191"/>
      <c r="I438" s="191"/>
      <c r="J438" s="192"/>
      <c r="K438" s="635"/>
      <c r="L438" s="641" t="str">
        <f t="shared" si="80"/>
        <v/>
      </c>
      <c r="M438" s="643" t="str">
        <f>IF(C438="","",L438-Q423*COS(O416*PI()/180))</f>
        <v/>
      </c>
      <c r="N438" s="644" t="str">
        <f>IF(C438="","",L438+P423*SIN(O416*PI()/180))</f>
        <v/>
      </c>
      <c r="O438" s="638"/>
      <c r="P438" s="646" t="str">
        <f>IF(C438="","",(PI()*O438/180*(R424*M438-N438*S424)-Q438*(S423*R424-S424*R423))/S422/(R424-S424))</f>
        <v/>
      </c>
      <c r="Q438" s="647" t="str">
        <f>IF(C438="","",O438/180*PI()*(L438-M438)/(R423-S423))</f>
        <v/>
      </c>
      <c r="R438" s="737" t="str">
        <f>IF(C438="","",(O438/180*PI()*N438-Q438*R423-S438*S422)/R424)</f>
        <v/>
      </c>
      <c r="S438" s="734" t="str">
        <f t="shared" si="77"/>
        <v/>
      </c>
      <c r="T438" s="735" t="str">
        <f t="shared" si="78"/>
        <v/>
      </c>
      <c r="U438" s="736" t="str">
        <f t="shared" si="79"/>
        <v/>
      </c>
      <c r="V438" s="329"/>
      <c r="W438" s="181"/>
      <c r="X438" s="137"/>
      <c r="Z438" s="183"/>
      <c r="AA438" s="183"/>
    </row>
    <row r="439" spans="1:27" s="182" customFormat="1" ht="15" customHeight="1">
      <c r="A439" s="211"/>
      <c r="B439" s="164"/>
      <c r="C439" s="658" t="str">
        <f>IF(Q416="","",IF(C438="","",IF(C438+1&lt;=Q416,C438+1,"")))</f>
        <v/>
      </c>
      <c r="D439" s="232"/>
      <c r="E439" s="191"/>
      <c r="F439" s="191"/>
      <c r="G439" s="191"/>
      <c r="H439" s="191"/>
      <c r="I439" s="191"/>
      <c r="J439" s="192"/>
      <c r="K439" s="635"/>
      <c r="L439" s="641" t="str">
        <f t="shared" si="80"/>
        <v/>
      </c>
      <c r="M439" s="643" t="str">
        <f>IF(C439="","",L439-Q423*COS(O416*PI()/180))</f>
        <v/>
      </c>
      <c r="N439" s="644" t="str">
        <f>IF(C439="","",L439+P423*SIN(O416*PI()/180))</f>
        <v/>
      </c>
      <c r="O439" s="638"/>
      <c r="P439" s="646" t="str">
        <f>IF(C439="","",(PI()*O439/180*(R424*M439-N439*S424)-Q439*(S423*R424-S424*R423))/S422/(R424-S424))</f>
        <v/>
      </c>
      <c r="Q439" s="647" t="str">
        <f>IF(C439="","",O439/180*PI()*(L439-M439)/(R423-S423))</f>
        <v/>
      </c>
      <c r="R439" s="737" t="str">
        <f>IF(C439="","",(O439/180*PI()*N439-Q439*R423-S439*S422)/R424)</f>
        <v/>
      </c>
      <c r="S439" s="734" t="str">
        <f t="shared" si="77"/>
        <v/>
      </c>
      <c r="T439" s="735" t="str">
        <f t="shared" si="78"/>
        <v/>
      </c>
      <c r="U439" s="736" t="str">
        <f t="shared" si="79"/>
        <v/>
      </c>
      <c r="V439" s="329"/>
      <c r="W439" s="181"/>
      <c r="X439" s="137"/>
      <c r="Z439" s="183"/>
      <c r="AA439" s="183"/>
    </row>
    <row r="440" spans="1:27" s="182" customFormat="1" ht="15" customHeight="1">
      <c r="A440" s="211"/>
      <c r="B440" s="164"/>
      <c r="C440" s="658" t="str">
        <f>IF(Q416="","",IF(C439="","",IF(C439+1&lt;=Q416,C439+1,"")))</f>
        <v/>
      </c>
      <c r="D440" s="232"/>
      <c r="E440" s="191"/>
      <c r="F440" s="191"/>
      <c r="G440" s="191"/>
      <c r="H440" s="191"/>
      <c r="I440" s="191"/>
      <c r="J440" s="192"/>
      <c r="K440" s="635"/>
      <c r="L440" s="641" t="str">
        <f t="shared" si="80"/>
        <v/>
      </c>
      <c r="M440" s="643" t="str">
        <f>IF(C440="","",L440-Q423*COS(O416*PI()/180))</f>
        <v/>
      </c>
      <c r="N440" s="644" t="str">
        <f>IF(C440="","",L440+P423*SIN(O416*PI()/180))</f>
        <v/>
      </c>
      <c r="O440" s="638"/>
      <c r="P440" s="646" t="str">
        <f>IF(C440="","",(PI()*O440/180*(R424*M440-N440*S424)-Q440*(S423*R424-S424*R423))/S422/(R424-S424))</f>
        <v/>
      </c>
      <c r="Q440" s="647" t="str">
        <f>IF(C440="","",O440/180*PI()*(L440-M440)/(R423-S423))</f>
        <v/>
      </c>
      <c r="R440" s="737" t="str">
        <f>IF(C440="","",(O440/180*PI()*N440-Q440*R423-S440*S422)/R424)</f>
        <v/>
      </c>
      <c r="S440" s="734" t="str">
        <f t="shared" si="77"/>
        <v/>
      </c>
      <c r="T440" s="735" t="str">
        <f t="shared" si="78"/>
        <v/>
      </c>
      <c r="U440" s="736" t="str">
        <f t="shared" si="79"/>
        <v/>
      </c>
      <c r="V440" s="329"/>
      <c r="W440" s="181"/>
      <c r="X440" s="137"/>
      <c r="Z440" s="183"/>
      <c r="AA440" s="183"/>
    </row>
    <row r="441" spans="1:27" s="182" customFormat="1" ht="15" customHeight="1">
      <c r="A441" s="211"/>
      <c r="B441" s="164"/>
      <c r="C441" s="658" t="str">
        <f>IF(Q416="","",IF(C440="","",IF(C440+1&lt;=Q416,C440+1,"")))</f>
        <v/>
      </c>
      <c r="D441" s="232"/>
      <c r="E441" s="191"/>
      <c r="F441" s="191"/>
      <c r="G441" s="191"/>
      <c r="H441" s="191"/>
      <c r="I441" s="191"/>
      <c r="J441" s="192"/>
      <c r="K441" s="635"/>
      <c r="L441" s="641" t="str">
        <f t="shared" si="80"/>
        <v/>
      </c>
      <c r="M441" s="643" t="str">
        <f>IF(C441="","",L441-Q423*COS(O416*PI()/180))</f>
        <v/>
      </c>
      <c r="N441" s="644" t="str">
        <f>IF(C441="","",L441+P423*SIN(O416*PI()/180))</f>
        <v/>
      </c>
      <c r="O441" s="638"/>
      <c r="P441" s="646" t="str">
        <f>IF(C441="","",(PI()*O441/180*(R424*M441-N441*S424)-Q441*(S423*R424-S424*R423))/S422/(R424-S424))</f>
        <v/>
      </c>
      <c r="Q441" s="647" t="str">
        <f>IF(C441="","",O441/180*PI()*(L441-M441)/(R423-S423))</f>
        <v/>
      </c>
      <c r="R441" s="737" t="str">
        <f>IF(C441="","",(O441/180*PI()*N441-Q441*R423-S441*S422)/R424)</f>
        <v/>
      </c>
      <c r="S441" s="734" t="str">
        <f t="shared" si="77"/>
        <v/>
      </c>
      <c r="T441" s="735" t="str">
        <f t="shared" si="78"/>
        <v/>
      </c>
      <c r="U441" s="736" t="str">
        <f t="shared" si="79"/>
        <v/>
      </c>
      <c r="V441" s="329"/>
      <c r="W441" s="181"/>
      <c r="X441" s="137"/>
      <c r="Z441" s="183"/>
      <c r="AA441" s="183"/>
    </row>
    <row r="442" spans="1:27" s="182" customFormat="1" ht="15" customHeight="1">
      <c r="A442" s="211"/>
      <c r="B442" s="164"/>
      <c r="C442" s="658" t="str">
        <f>IF(Q416="","",IF(C441="","",IF(C441+1&lt;=Q416,C441+1,"")))</f>
        <v/>
      </c>
      <c r="D442" s="232"/>
      <c r="E442" s="191"/>
      <c r="F442" s="191"/>
      <c r="G442" s="191"/>
      <c r="H442" s="191"/>
      <c r="I442" s="191"/>
      <c r="J442" s="192"/>
      <c r="K442" s="635"/>
      <c r="L442" s="641" t="str">
        <f t="shared" si="80"/>
        <v/>
      </c>
      <c r="M442" s="643" t="str">
        <f>IF(C442="","",L442-Q423*COS(O416*PI()/180))</f>
        <v/>
      </c>
      <c r="N442" s="644" t="str">
        <f>IF(C442="","",L442+P423*SIN(O416*PI()/180))</f>
        <v/>
      </c>
      <c r="O442" s="638"/>
      <c r="P442" s="646" t="str">
        <f>IF(C442="","",(PI()*O442/180*(R424*M442-N442*S424)-Q442*(S423*R424-S424*R423))/S422/(R424-S424))</f>
        <v/>
      </c>
      <c r="Q442" s="647" t="str">
        <f>IF(C442="","",O442/180*PI()*(L442-M442)/(R423-S423))</f>
        <v/>
      </c>
      <c r="R442" s="737" t="str">
        <f>IF(C442="","",(O442/180*PI()*N442-Q442*R423-S442*S422)/R424)</f>
        <v/>
      </c>
      <c r="S442" s="734" t="str">
        <f t="shared" si="77"/>
        <v/>
      </c>
      <c r="T442" s="735" t="str">
        <f t="shared" si="78"/>
        <v/>
      </c>
      <c r="U442" s="736" t="str">
        <f t="shared" si="79"/>
        <v/>
      </c>
      <c r="V442" s="329"/>
      <c r="W442" s="181"/>
      <c r="X442" s="137"/>
      <c r="Z442" s="183"/>
      <c r="AA442" s="183"/>
    </row>
    <row r="443" spans="1:27" s="182" customFormat="1" ht="15" customHeight="1">
      <c r="A443" s="211"/>
      <c r="B443" s="164"/>
      <c r="C443" s="658" t="str">
        <f>IF(Q416="","",IF(C442="","",IF(C442+1&lt;=Q416,C442+1,"")))</f>
        <v/>
      </c>
      <c r="D443" s="232"/>
      <c r="E443" s="191"/>
      <c r="F443" s="191"/>
      <c r="G443" s="191"/>
      <c r="H443" s="191"/>
      <c r="I443" s="191"/>
      <c r="J443" s="192"/>
      <c r="K443" s="635"/>
      <c r="L443" s="641" t="str">
        <f t="shared" si="80"/>
        <v/>
      </c>
      <c r="M443" s="643" t="str">
        <f>IF(C443="","",L443-Q423*COS(O416*PI()/180))</f>
        <v/>
      </c>
      <c r="N443" s="644" t="str">
        <f>IF(C443="","",L443+P423*SIN(O416*PI()/180))</f>
        <v/>
      </c>
      <c r="O443" s="638"/>
      <c r="P443" s="646" t="str">
        <f>IF(C443="","",(PI()*O443/180*(R424*M443-N443*S424)-Q443*(S423*R424-S424*R423))/S422/(R424-S424))</f>
        <v/>
      </c>
      <c r="Q443" s="647" t="str">
        <f>IF(C443="","",O443/180*PI()*(L443-M443)/(R423-S423))</f>
        <v/>
      </c>
      <c r="R443" s="737" t="str">
        <f>IF(C443="","",(O443/180*PI()*N443-Q443*R423-S443*S422)/R424)</f>
        <v/>
      </c>
      <c r="S443" s="734" t="str">
        <f t="shared" si="77"/>
        <v/>
      </c>
      <c r="T443" s="735" t="str">
        <f t="shared" si="78"/>
        <v/>
      </c>
      <c r="U443" s="736" t="str">
        <f t="shared" si="79"/>
        <v/>
      </c>
      <c r="V443" s="329"/>
      <c r="W443" s="181"/>
      <c r="X443" s="137"/>
      <c r="Z443" s="183"/>
      <c r="AA443" s="183"/>
    </row>
    <row r="444" spans="1:27" s="182" customFormat="1" ht="15" customHeight="1">
      <c r="A444" s="211"/>
      <c r="B444" s="164"/>
      <c r="C444" s="658" t="str">
        <f>IF(Q416="","",IF(C443="","",IF(C443+1&lt;=Q416,C443+1,"")))</f>
        <v/>
      </c>
      <c r="D444" s="232"/>
      <c r="E444" s="191"/>
      <c r="F444" s="191"/>
      <c r="G444" s="191"/>
      <c r="H444" s="191"/>
      <c r="I444" s="191"/>
      <c r="J444" s="192"/>
      <c r="K444" s="635"/>
      <c r="L444" s="641" t="str">
        <f t="shared" si="80"/>
        <v/>
      </c>
      <c r="M444" s="643" t="str">
        <f>IF(C444="","",L444-Q423*COS(O416*PI()/180))</f>
        <v/>
      </c>
      <c r="N444" s="644" t="str">
        <f>IF(C444="","",L444+P423*SIN(O416*PI()/180))</f>
        <v/>
      </c>
      <c r="O444" s="638"/>
      <c r="P444" s="646" t="str">
        <f>IF(C444="","",(PI()*O444/180*(R424*M444-N444*S424)-Q444*(S423*R424-S424*R423))/S422/(R424-S424))</f>
        <v/>
      </c>
      <c r="Q444" s="647" t="str">
        <f>IF(C444="","",O444/180*PI()*(L444-M444)/(R423-S423))</f>
        <v/>
      </c>
      <c r="R444" s="737" t="str">
        <f>IF(C444="","",(O444/180*PI()*N444-Q444*R423-S444*S422)/R424)</f>
        <v/>
      </c>
      <c r="S444" s="734" t="str">
        <f t="shared" si="77"/>
        <v/>
      </c>
      <c r="T444" s="735" t="str">
        <f t="shared" si="78"/>
        <v/>
      </c>
      <c r="U444" s="736" t="str">
        <f t="shared" si="79"/>
        <v/>
      </c>
      <c r="V444" s="329"/>
      <c r="W444" s="181"/>
      <c r="X444" s="137"/>
      <c r="Z444" s="183"/>
      <c r="AA444" s="183"/>
    </row>
    <row r="445" spans="1:27" s="182" customFormat="1" ht="15" customHeight="1">
      <c r="A445" s="211"/>
      <c r="B445" s="164"/>
      <c r="C445" s="658" t="str">
        <f>IF(Q416="","",IF(C444="","",IF(C444+1&lt;=Q416,C444+1,"")))</f>
        <v/>
      </c>
      <c r="D445" s="232"/>
      <c r="E445" s="191"/>
      <c r="F445" s="191"/>
      <c r="G445" s="191"/>
      <c r="H445" s="191"/>
      <c r="I445" s="191"/>
      <c r="J445" s="192"/>
      <c r="K445" s="635"/>
      <c r="L445" s="641" t="str">
        <f t="shared" si="80"/>
        <v/>
      </c>
      <c r="M445" s="643" t="str">
        <f>IF(C445="","",L445-Q423*COS(O416*PI()/180))</f>
        <v/>
      </c>
      <c r="N445" s="644" t="str">
        <f>IF(C445="","",L445+P423*SIN(O416*PI()/180))</f>
        <v/>
      </c>
      <c r="O445" s="638"/>
      <c r="P445" s="646" t="str">
        <f>IF(C445="","",(PI()*O445/180*(R424*M445-N445*S424)-Q445*(S423*R424-S424*R423))/S422/(R424-S424))</f>
        <v/>
      </c>
      <c r="Q445" s="647" t="str">
        <f>IF(C445="","",O445/180*PI()*(L445-M445)/(R423-S423))</f>
        <v/>
      </c>
      <c r="R445" s="737" t="str">
        <f>IF(C445="","",(O445/180*PI()*N445-Q445*R423-S445*S422)/R424)</f>
        <v/>
      </c>
      <c r="S445" s="734" t="str">
        <f t="shared" si="77"/>
        <v/>
      </c>
      <c r="T445" s="735" t="str">
        <f t="shared" si="78"/>
        <v/>
      </c>
      <c r="U445" s="736" t="str">
        <f t="shared" si="79"/>
        <v/>
      </c>
      <c r="V445" s="329"/>
      <c r="W445" s="181"/>
      <c r="X445" s="137"/>
      <c r="Z445" s="183"/>
      <c r="AA445" s="183"/>
    </row>
    <row r="446" spans="1:27" s="182" customFormat="1" ht="15" customHeight="1">
      <c r="A446" s="211"/>
      <c r="B446" s="164"/>
      <c r="C446" s="658" t="str">
        <f>IF(Q416="","",IF(C445="","",IF(C445+1&lt;=Q416,C445+1,"")))</f>
        <v/>
      </c>
      <c r="D446" s="232"/>
      <c r="E446" s="191"/>
      <c r="F446" s="191"/>
      <c r="G446" s="191"/>
      <c r="H446" s="191"/>
      <c r="I446" s="191"/>
      <c r="J446" s="192"/>
      <c r="K446" s="635"/>
      <c r="L446" s="641" t="str">
        <f t="shared" si="80"/>
        <v/>
      </c>
      <c r="M446" s="643" t="str">
        <f>IF(C446="","",L446-Q423*COS(O416*PI()/180))</f>
        <v/>
      </c>
      <c r="N446" s="644" t="str">
        <f>IF(C446="","",L446+P423*SIN(O416*PI()/180))</f>
        <v/>
      </c>
      <c r="O446" s="638"/>
      <c r="P446" s="646" t="str">
        <f>IF(C446="","",(PI()*O446/180*(R424*M446-N446*S424)-Q446*(S423*R424-S424*R423))/S422/(R424-S424))</f>
        <v/>
      </c>
      <c r="Q446" s="647" t="str">
        <f>IF(C446="","",O446/180*PI()*(L446-M446)/(R423-S423))</f>
        <v/>
      </c>
      <c r="R446" s="737" t="str">
        <f>IF(C446="","",(O446/180*PI()*N446-Q446*R423-S446*S422)/R424)</f>
        <v/>
      </c>
      <c r="S446" s="734" t="str">
        <f t="shared" si="77"/>
        <v/>
      </c>
      <c r="T446" s="735" t="str">
        <f t="shared" si="78"/>
        <v/>
      </c>
      <c r="U446" s="736" t="str">
        <f t="shared" si="79"/>
        <v/>
      </c>
      <c r="V446" s="329"/>
      <c r="W446" s="181"/>
      <c r="X446" s="137"/>
      <c r="Z446" s="183"/>
      <c r="AA446" s="183"/>
    </row>
    <row r="447" spans="1:27" s="182" customFormat="1" ht="15" customHeight="1">
      <c r="A447" s="211"/>
      <c r="B447" s="164"/>
      <c r="C447" s="658" t="str">
        <f>IF(Q416="","",IF(C446="","",IF(C446+1&lt;=Q416,C446+1,"")))</f>
        <v/>
      </c>
      <c r="D447" s="232"/>
      <c r="E447" s="191"/>
      <c r="F447" s="191"/>
      <c r="G447" s="191"/>
      <c r="H447" s="191"/>
      <c r="I447" s="191"/>
      <c r="J447" s="192"/>
      <c r="K447" s="635"/>
      <c r="L447" s="641" t="str">
        <f t="shared" si="80"/>
        <v/>
      </c>
      <c r="M447" s="643" t="str">
        <f>IF(C447="","",L447-Q423*COS(O416*PI()/180))</f>
        <v/>
      </c>
      <c r="N447" s="644" t="str">
        <f>IF(C447="","",L447+P423*SIN(O416*PI()/180))</f>
        <v/>
      </c>
      <c r="O447" s="638"/>
      <c r="P447" s="646" t="str">
        <f>IF(C447="","",(PI()*O447/180*(R424*M447-N447*S424)-Q447*(S423*R424-S424*R423))/S422/(R424-S424))</f>
        <v/>
      </c>
      <c r="Q447" s="647" t="str">
        <f>IF(C447="","",O447/180*PI()*(L447-M447)/(R423-S423))</f>
        <v/>
      </c>
      <c r="R447" s="737" t="str">
        <f>IF(C447="","",(O447/180*PI()*N447-Q447*R423-S447*S422)/R424)</f>
        <v/>
      </c>
      <c r="S447" s="734" t="str">
        <f t="shared" si="77"/>
        <v/>
      </c>
      <c r="T447" s="735" t="str">
        <f t="shared" si="78"/>
        <v/>
      </c>
      <c r="U447" s="736" t="str">
        <f t="shared" si="79"/>
        <v/>
      </c>
      <c r="V447" s="329"/>
      <c r="W447" s="181"/>
      <c r="X447" s="137"/>
      <c r="Z447" s="183"/>
      <c r="AA447" s="183"/>
    </row>
    <row r="448" spans="1:27" s="182" customFormat="1" ht="15" customHeight="1">
      <c r="A448" s="211"/>
      <c r="B448" s="164"/>
      <c r="C448" s="658" t="str">
        <f>IF(Q416="","",IF(C447="","",IF(C447+1&lt;=Q416,C447+1,"")))</f>
        <v/>
      </c>
      <c r="D448" s="232"/>
      <c r="E448" s="191"/>
      <c r="F448" s="191"/>
      <c r="G448" s="191"/>
      <c r="H448" s="191"/>
      <c r="I448" s="191"/>
      <c r="J448" s="192"/>
      <c r="K448" s="635"/>
      <c r="L448" s="641" t="str">
        <f t="shared" si="80"/>
        <v/>
      </c>
      <c r="M448" s="643" t="str">
        <f>IF(C448="","",L448-Q423*COS(O416*PI()/180))</f>
        <v/>
      </c>
      <c r="N448" s="644" t="str">
        <f>IF(C448="","",L448+P423*SIN(O416*PI()/180))</f>
        <v/>
      </c>
      <c r="O448" s="638"/>
      <c r="P448" s="646" t="str">
        <f>IF(C448="","",(PI()*O448/180*(R424*M448-N448*S424)-Q448*(S423*R424-S424*R423))/S422/(R424-S424))</f>
        <v/>
      </c>
      <c r="Q448" s="647" t="str">
        <f>IF(C448="","",O448/180*PI()*(L448-M448)/(R423-S423))</f>
        <v/>
      </c>
      <c r="R448" s="737" t="str">
        <f>IF(C448="","",(O448/180*PI()*N448-Q448*R423-S448*S422)/R424)</f>
        <v/>
      </c>
      <c r="S448" s="734" t="str">
        <f t="shared" si="77"/>
        <v/>
      </c>
      <c r="T448" s="735" t="str">
        <f t="shared" si="78"/>
        <v/>
      </c>
      <c r="U448" s="736" t="str">
        <f t="shared" si="79"/>
        <v/>
      </c>
      <c r="V448" s="329"/>
      <c r="W448" s="181"/>
      <c r="X448" s="137"/>
      <c r="Z448" s="183"/>
      <c r="AA448" s="183"/>
    </row>
    <row r="449" spans="1:27" s="182" customFormat="1" ht="15" customHeight="1">
      <c r="A449" s="211"/>
      <c r="B449" s="164"/>
      <c r="C449" s="658" t="str">
        <f>IF(Q416="","",IF(C448="","",IF(C448+1&lt;=Q416,C448+1,"")))</f>
        <v/>
      </c>
      <c r="D449" s="232"/>
      <c r="E449" s="191"/>
      <c r="F449" s="191"/>
      <c r="G449" s="191"/>
      <c r="H449" s="191"/>
      <c r="I449" s="191"/>
      <c r="J449" s="192"/>
      <c r="K449" s="635"/>
      <c r="L449" s="641" t="str">
        <f t="shared" si="80"/>
        <v/>
      </c>
      <c r="M449" s="643" t="str">
        <f>IF(C449="","",L449-Q423*COS(O416*PI()/180))</f>
        <v/>
      </c>
      <c r="N449" s="644" t="str">
        <f>IF(C449="","",L449+P423*SIN(O416*PI()/180))</f>
        <v/>
      </c>
      <c r="O449" s="638"/>
      <c r="P449" s="646" t="str">
        <f>IF(C449="","",(PI()*O449/180*(R424*M449-N449*S424)-Q449*(S423*R424-S424*R423))/S422/(R424-S424))</f>
        <v/>
      </c>
      <c r="Q449" s="647" t="str">
        <f>IF(C449="","",O449/180*PI()*(L449-M449)/(R423-S423))</f>
        <v/>
      </c>
      <c r="R449" s="737" t="str">
        <f>IF(C449="","",(O449/180*PI()*N449-Q449*R423-S449*S422)/R424)</f>
        <v/>
      </c>
      <c r="S449" s="734" t="str">
        <f t="shared" si="77"/>
        <v/>
      </c>
      <c r="T449" s="735" t="str">
        <f t="shared" si="78"/>
        <v/>
      </c>
      <c r="U449" s="736" t="str">
        <f t="shared" si="79"/>
        <v/>
      </c>
      <c r="V449" s="329"/>
      <c r="W449" s="181"/>
      <c r="X449" s="137"/>
      <c r="Z449" s="183"/>
      <c r="AA449" s="183"/>
    </row>
    <row r="450" spans="1:27" s="182" customFormat="1" ht="15" customHeight="1">
      <c r="A450" s="211"/>
      <c r="B450" s="164"/>
      <c r="C450" s="658" t="str">
        <f>IF(Q416="","",IF(C449="","",IF(C449+1&lt;=Q416,C449+1,"")))</f>
        <v/>
      </c>
      <c r="D450" s="232"/>
      <c r="E450" s="191"/>
      <c r="F450" s="191"/>
      <c r="G450" s="191"/>
      <c r="H450" s="191"/>
      <c r="I450" s="191"/>
      <c r="J450" s="192"/>
      <c r="K450" s="635"/>
      <c r="L450" s="641" t="str">
        <f t="shared" si="80"/>
        <v/>
      </c>
      <c r="M450" s="643" t="str">
        <f>IF(C450="","",L450-Q423*COS(O416*PI()/180))</f>
        <v/>
      </c>
      <c r="N450" s="644" t="str">
        <f>IF(C450="","",L450+P423*SIN(O416*PI()/180))</f>
        <v/>
      </c>
      <c r="O450" s="638"/>
      <c r="P450" s="646" t="str">
        <f>IF(C450="","",(PI()*O450/180*(R424*M450-N450*S424)-Q450*(S423*R424-S424*R423))/S422/(R424-S424))</f>
        <v/>
      </c>
      <c r="Q450" s="647" t="str">
        <f>IF(C450="","",O450/180*PI()*(L450-M450)/(R423-S423))</f>
        <v/>
      </c>
      <c r="R450" s="737" t="str">
        <f>IF(C450="","",(O450/180*PI()*N450-Q450*R423-S450*S422)/R424)</f>
        <v/>
      </c>
      <c r="S450" s="734" t="str">
        <f t="shared" si="77"/>
        <v/>
      </c>
      <c r="T450" s="735" t="str">
        <f t="shared" si="78"/>
        <v/>
      </c>
      <c r="U450" s="736" t="str">
        <f t="shared" si="79"/>
        <v/>
      </c>
      <c r="V450" s="329"/>
      <c r="W450" s="181"/>
      <c r="X450" s="137"/>
      <c r="Z450" s="183"/>
      <c r="AA450" s="183"/>
    </row>
    <row r="451" spans="1:27" s="182" customFormat="1" ht="15" customHeight="1">
      <c r="A451" s="211"/>
      <c r="B451" s="164"/>
      <c r="C451" s="658" t="str">
        <f>IF(Q416="","",IF(C450="","",IF(C450+1&lt;=Q416,C450+1,"")))</f>
        <v/>
      </c>
      <c r="D451" s="232"/>
      <c r="E451" s="191"/>
      <c r="F451" s="191"/>
      <c r="G451" s="191"/>
      <c r="H451" s="191"/>
      <c r="I451" s="191"/>
      <c r="J451" s="192"/>
      <c r="K451" s="635"/>
      <c r="L451" s="641" t="str">
        <f t="shared" si="80"/>
        <v/>
      </c>
      <c r="M451" s="643" t="str">
        <f>IF(C451="","",L451-Q423*COS(O416*PI()/180))</f>
        <v/>
      </c>
      <c r="N451" s="644" t="str">
        <f>IF(C451="","",L451+P423*SIN(O416*PI()/180))</f>
        <v/>
      </c>
      <c r="O451" s="638"/>
      <c r="P451" s="646" t="str">
        <f>IF(C451="","",(PI()*O451/180*(R424*M451-N451*S424)-Q451*(S423*R424-S424*R423))/S422/(R424-S424))</f>
        <v/>
      </c>
      <c r="Q451" s="647" t="str">
        <f>IF(C451="","",O451/180*PI()*(L451-M451)/(R423-S423))</f>
        <v/>
      </c>
      <c r="R451" s="737" t="str">
        <f>IF(C451="","",(O451/180*PI()*N451-Q451*R423-S451*S422)/R424)</f>
        <v/>
      </c>
      <c r="S451" s="734" t="str">
        <f t="shared" si="77"/>
        <v/>
      </c>
      <c r="T451" s="735" t="str">
        <f t="shared" si="78"/>
        <v/>
      </c>
      <c r="U451" s="736" t="str">
        <f t="shared" si="79"/>
        <v/>
      </c>
      <c r="V451" s="329"/>
      <c r="W451" s="181"/>
      <c r="X451" s="137"/>
      <c r="Z451" s="183"/>
      <c r="AA451" s="183"/>
    </row>
    <row r="452" spans="1:27" s="182" customFormat="1" ht="15" customHeight="1">
      <c r="A452" s="211"/>
      <c r="B452" s="164"/>
      <c r="C452" s="658" t="str">
        <f>IF(Q416="","",IF(C451="","",IF(C451+1&lt;=Q416,C451+1,"")))</f>
        <v/>
      </c>
      <c r="D452" s="232"/>
      <c r="E452" s="191"/>
      <c r="F452" s="191"/>
      <c r="G452" s="191"/>
      <c r="H452" s="191"/>
      <c r="I452" s="191"/>
      <c r="J452" s="192"/>
      <c r="K452" s="635"/>
      <c r="L452" s="641" t="str">
        <f t="shared" si="80"/>
        <v/>
      </c>
      <c r="M452" s="643" t="str">
        <f>IF(C452="","",L452-Q423*COS(O416*PI()/180))</f>
        <v/>
      </c>
      <c r="N452" s="644" t="str">
        <f>IF(C452="","",L452+P423*SIN(O416*PI()/180))</f>
        <v/>
      </c>
      <c r="O452" s="638"/>
      <c r="P452" s="646" t="str">
        <f>IF(C452="","",(PI()*O452/180*(R424*M452-N452*S424)-Q452*(S423*R424-S424*R423))/S422/(R424-S424))</f>
        <v/>
      </c>
      <c r="Q452" s="647" t="str">
        <f>IF(C452="","",O452/180*PI()*(L452-M452)/(R423-S423))</f>
        <v/>
      </c>
      <c r="R452" s="737" t="str">
        <f>IF(C452="","",(O452/180*PI()*N452-Q452*R423-S452*S422)/R424)</f>
        <v/>
      </c>
      <c r="S452" s="734" t="str">
        <f t="shared" si="77"/>
        <v/>
      </c>
      <c r="T452" s="735" t="str">
        <f t="shared" si="78"/>
        <v/>
      </c>
      <c r="U452" s="736" t="str">
        <f t="shared" si="79"/>
        <v/>
      </c>
      <c r="V452" s="329"/>
      <c r="W452" s="181"/>
      <c r="X452" s="137"/>
      <c r="Z452" s="183"/>
      <c r="AA452" s="183"/>
    </row>
    <row r="453" spans="1:27" s="182" customFormat="1" ht="15" customHeight="1">
      <c r="A453" s="211"/>
      <c r="B453" s="164"/>
      <c r="C453" s="658" t="str">
        <f>IF(Q416="","",IF(C452="","",IF(C452+1&lt;=Q416,C452+1,"")))</f>
        <v/>
      </c>
      <c r="D453" s="232"/>
      <c r="E453" s="191"/>
      <c r="F453" s="191"/>
      <c r="G453" s="191"/>
      <c r="H453" s="191"/>
      <c r="I453" s="191"/>
      <c r="J453" s="192"/>
      <c r="K453" s="635"/>
      <c r="L453" s="641" t="str">
        <f t="shared" si="80"/>
        <v/>
      </c>
      <c r="M453" s="643" t="str">
        <f>IF(C453="","",L453-Q423*COS(O416*PI()/180))</f>
        <v/>
      </c>
      <c r="N453" s="644" t="str">
        <f>IF(C453="","",L453+P423*SIN(O416*PI()/180))</f>
        <v/>
      </c>
      <c r="O453" s="638"/>
      <c r="P453" s="646" t="str">
        <f>IF(C453="","",(PI()*O453/180*(R424*M453-N453*S424)-Q453*(S423*R424-S424*R423))/S422/(R424-S424))</f>
        <v/>
      </c>
      <c r="Q453" s="647" t="str">
        <f>IF(C453="","",O453/180*PI()*(L453-M453)/(R423-S423))</f>
        <v/>
      </c>
      <c r="R453" s="737" t="str">
        <f>IF(C453="","",(O453/180*PI()*N453-Q453*R423-S453*S422)/R424)</f>
        <v/>
      </c>
      <c r="S453" s="734" t="str">
        <f t="shared" si="77"/>
        <v/>
      </c>
      <c r="T453" s="735" t="str">
        <f t="shared" si="78"/>
        <v/>
      </c>
      <c r="U453" s="736" t="str">
        <f t="shared" si="79"/>
        <v/>
      </c>
      <c r="V453" s="329"/>
      <c r="W453" s="181"/>
      <c r="X453" s="137"/>
      <c r="Z453" s="183"/>
      <c r="AA453" s="183"/>
    </row>
    <row r="454" spans="1:27" s="182" customFormat="1" ht="15" customHeight="1">
      <c r="A454" s="211"/>
      <c r="B454" s="164"/>
      <c r="C454" s="658" t="str">
        <f>IF(Q416="","",IF(C453="","",IF(C453+1&lt;=Q416,C453+1,"")))</f>
        <v/>
      </c>
      <c r="D454" s="232"/>
      <c r="E454" s="191"/>
      <c r="F454" s="191"/>
      <c r="G454" s="191"/>
      <c r="H454" s="191"/>
      <c r="I454" s="191"/>
      <c r="J454" s="192"/>
      <c r="K454" s="635"/>
      <c r="L454" s="641" t="str">
        <f t="shared" si="80"/>
        <v/>
      </c>
      <c r="M454" s="643" t="str">
        <f>IF(C454="","",L454-Q423*COS(O416*PI()/180))</f>
        <v/>
      </c>
      <c r="N454" s="644" t="str">
        <f>IF(C454="","",L454+P423*SIN(O416*PI()/180))</f>
        <v/>
      </c>
      <c r="O454" s="638"/>
      <c r="P454" s="646" t="str">
        <f>IF(C454="","",(PI()*O454/180*(R424*M454-N454*S424)-Q454*(S423*R424-S424*R423))/S422/(R424-S424))</f>
        <v/>
      </c>
      <c r="Q454" s="647" t="str">
        <f>IF(C454="","",O454/180*PI()*(L454-M454)/(R423-S423))</f>
        <v/>
      </c>
      <c r="R454" s="737" t="str">
        <f>IF(C454="","",(O454/180*PI()*N454-Q454*R423-S454*S422)/R424)</f>
        <v/>
      </c>
      <c r="S454" s="734" t="str">
        <f t="shared" si="77"/>
        <v/>
      </c>
      <c r="T454" s="735" t="str">
        <f t="shared" si="78"/>
        <v/>
      </c>
      <c r="U454" s="736" t="str">
        <f t="shared" si="79"/>
        <v/>
      </c>
      <c r="V454" s="329"/>
      <c r="W454" s="181"/>
      <c r="X454" s="137"/>
      <c r="Z454" s="183"/>
      <c r="AA454" s="183"/>
    </row>
    <row r="455" spans="1:27" s="182" customFormat="1" ht="15" customHeight="1">
      <c r="A455" s="211"/>
      <c r="B455" s="164"/>
      <c r="C455" s="658" t="str">
        <f>IF(Q416="","",IF(C454="","",IF(C454+1&lt;=Q416,C454+1,"")))</f>
        <v/>
      </c>
      <c r="D455" s="232"/>
      <c r="E455" s="191"/>
      <c r="F455" s="191"/>
      <c r="G455" s="191"/>
      <c r="H455" s="191"/>
      <c r="I455" s="191"/>
      <c r="J455" s="192"/>
      <c r="K455" s="635"/>
      <c r="L455" s="641" t="str">
        <f t="shared" si="80"/>
        <v/>
      </c>
      <c r="M455" s="643" t="str">
        <f>IF(C455="","",L455-Q423*COS(O416*PI()/180))</f>
        <v/>
      </c>
      <c r="N455" s="644" t="str">
        <f>IF(C455="","",L455+P423*SIN(O416*PI()/180))</f>
        <v/>
      </c>
      <c r="O455" s="638"/>
      <c r="P455" s="646" t="str">
        <f>IF(C455="","",(PI()*O455/180*(R424*M455-N455*S424)-Q455*(S423*R424-S424*R423))/S422/(R424-S424))</f>
        <v/>
      </c>
      <c r="Q455" s="647" t="str">
        <f>IF(C455="","",O455/180*PI()*(L455-M455)/(R423-S423))</f>
        <v/>
      </c>
      <c r="R455" s="737" t="str">
        <f>IF(C455="","",(O455/180*PI()*N455-Q455*R423-S455*S422)/R424)</f>
        <v/>
      </c>
      <c r="S455" s="734" t="str">
        <f t="shared" si="77"/>
        <v/>
      </c>
      <c r="T455" s="735" t="str">
        <f t="shared" si="78"/>
        <v/>
      </c>
      <c r="U455" s="736" t="str">
        <f t="shared" si="79"/>
        <v/>
      </c>
      <c r="V455" s="329"/>
      <c r="W455" s="181"/>
      <c r="X455" s="137"/>
      <c r="Z455" s="183"/>
      <c r="AA455" s="183"/>
    </row>
    <row r="456" spans="1:27" s="182" customFormat="1" ht="15" customHeight="1">
      <c r="A456" s="211"/>
      <c r="B456" s="164"/>
      <c r="C456" s="658" t="str">
        <f>IF(Q416="","",IF(C455="","",IF(C455+1&lt;=Q416,C455+1,"")))</f>
        <v/>
      </c>
      <c r="D456" s="232"/>
      <c r="E456" s="191"/>
      <c r="F456" s="191"/>
      <c r="G456" s="191"/>
      <c r="H456" s="191"/>
      <c r="I456" s="191"/>
      <c r="J456" s="192"/>
      <c r="K456" s="635"/>
      <c r="L456" s="641" t="str">
        <f t="shared" si="80"/>
        <v/>
      </c>
      <c r="M456" s="643" t="str">
        <f>IF(C456="","",L456-Q423*COS(O416*PI()/180))</f>
        <v/>
      </c>
      <c r="N456" s="644" t="str">
        <f>IF(C456="","",L456+P423*SIN(O416*PI()/180))</f>
        <v/>
      </c>
      <c r="O456" s="638"/>
      <c r="P456" s="646" t="str">
        <f>IF(C456="","",(PI()*O456/180*(R424*M456-N456*S424)-Q456*(S423*R424-S424*R423))/S422/(R424-S424))</f>
        <v/>
      </c>
      <c r="Q456" s="647" t="str">
        <f>IF(C456="","",O456/180*PI()*(L456-M456)/(R423-S423))</f>
        <v/>
      </c>
      <c r="R456" s="737" t="str">
        <f>IF(C456="","",(O456/180*PI()*N456-Q456*R423-S456*S422)/R424)</f>
        <v/>
      </c>
      <c r="S456" s="734" t="str">
        <f t="shared" si="77"/>
        <v/>
      </c>
      <c r="T456" s="735" t="str">
        <f t="shared" si="78"/>
        <v/>
      </c>
      <c r="U456" s="736" t="str">
        <f t="shared" si="79"/>
        <v/>
      </c>
      <c r="V456" s="329"/>
      <c r="W456" s="181"/>
      <c r="X456" s="137"/>
      <c r="Z456" s="183"/>
      <c r="AA456" s="183"/>
    </row>
    <row r="457" spans="1:27" s="182" customFormat="1" ht="15" customHeight="1">
      <c r="A457" s="211"/>
      <c r="B457" s="164"/>
      <c r="C457" s="658" t="str">
        <f>IF(Q416="","",IF(C456="","",IF(C456+1&lt;=Q416,C456+1,"")))</f>
        <v/>
      </c>
      <c r="D457" s="232"/>
      <c r="E457" s="191"/>
      <c r="F457" s="191"/>
      <c r="G457" s="191"/>
      <c r="H457" s="191"/>
      <c r="I457" s="191"/>
      <c r="J457" s="192"/>
      <c r="K457" s="635"/>
      <c r="L457" s="641" t="str">
        <f t="shared" si="80"/>
        <v/>
      </c>
      <c r="M457" s="643" t="str">
        <f>IF(C457="","",L457-Q423*COS(O416*PI()/180))</f>
        <v/>
      </c>
      <c r="N457" s="644" t="str">
        <f>IF(C457="","",L457+P423*SIN(O416*PI()/180))</f>
        <v/>
      </c>
      <c r="O457" s="638"/>
      <c r="P457" s="646" t="str">
        <f>IF(C457="","",(PI()*O457/180*(R424*M457-N457*S424)-Q457*(S423*R424-S424*R423))/S422/(R424-S424))</f>
        <v/>
      </c>
      <c r="Q457" s="647" t="str">
        <f>IF(C457="","",O457/180*PI()*(L457-M457)/(R423-S423))</f>
        <v/>
      </c>
      <c r="R457" s="737" t="str">
        <f>IF(C457="","",(O457/180*PI()*N457-Q457*R423-S457*S422)/R424)</f>
        <v/>
      </c>
      <c r="S457" s="734" t="str">
        <f t="shared" si="77"/>
        <v/>
      </c>
      <c r="T457" s="735" t="str">
        <f t="shared" si="78"/>
        <v/>
      </c>
      <c r="U457" s="736" t="str">
        <f t="shared" si="79"/>
        <v/>
      </c>
      <c r="V457" s="329"/>
      <c r="W457" s="181"/>
      <c r="X457" s="137"/>
      <c r="Z457" s="183"/>
      <c r="AA457" s="183"/>
    </row>
    <row r="458" spans="1:27" s="182" customFormat="1" ht="15" customHeight="1">
      <c r="A458" s="211"/>
      <c r="B458" s="164"/>
      <c r="C458" s="658" t="str">
        <f>IF(Q416="","",IF(C457="","",IF(C457+1&lt;=Q416,C457+1,"")))</f>
        <v/>
      </c>
      <c r="D458" s="232"/>
      <c r="E458" s="191"/>
      <c r="F458" s="191"/>
      <c r="G458" s="191"/>
      <c r="H458" s="191"/>
      <c r="I458" s="191"/>
      <c r="J458" s="192"/>
      <c r="K458" s="635"/>
      <c r="L458" s="641" t="str">
        <f t="shared" si="80"/>
        <v/>
      </c>
      <c r="M458" s="643" t="str">
        <f>IF(C458="","",L458-Q423*COS(O416*PI()/180))</f>
        <v/>
      </c>
      <c r="N458" s="644" t="str">
        <f>IF(C458="","",L458+P423*SIN(O416*PI()/180))</f>
        <v/>
      </c>
      <c r="O458" s="638"/>
      <c r="P458" s="646" t="str">
        <f>IF(C458="","",(PI()*O458/180*(R424*M458-N458*S424)-Q458*(S423*R424-S424*R423))/S422/(R424-S424))</f>
        <v/>
      </c>
      <c r="Q458" s="647" t="str">
        <f>IF(C458="","",O458/180*PI()*(L458-M458)/(R423-S423))</f>
        <v/>
      </c>
      <c r="R458" s="737" t="str">
        <f>IF(C458="","",(O458/180*PI()*N458-Q458*R423-S458*S422)/R424)</f>
        <v/>
      </c>
      <c r="S458" s="734" t="str">
        <f t="shared" si="77"/>
        <v/>
      </c>
      <c r="T458" s="735" t="str">
        <f t="shared" si="78"/>
        <v/>
      </c>
      <c r="U458" s="736" t="str">
        <f t="shared" si="79"/>
        <v/>
      </c>
      <c r="V458" s="329"/>
      <c r="W458" s="181"/>
      <c r="X458" s="137"/>
      <c r="Z458" s="183"/>
      <c r="AA458" s="183"/>
    </row>
    <row r="459" spans="1:27" s="182" customFormat="1" ht="15" customHeight="1">
      <c r="A459" s="211"/>
      <c r="B459" s="164"/>
      <c r="C459" s="658" t="str">
        <f>IF(Q416="","",IF(C458="","",IF(C458+1&lt;=Q416,C458+1,"")))</f>
        <v/>
      </c>
      <c r="D459" s="232"/>
      <c r="E459" s="191"/>
      <c r="F459" s="191"/>
      <c r="G459" s="191"/>
      <c r="H459" s="191"/>
      <c r="I459" s="191"/>
      <c r="J459" s="192"/>
      <c r="K459" s="635"/>
      <c r="L459" s="641" t="str">
        <f t="shared" si="80"/>
        <v/>
      </c>
      <c r="M459" s="643" t="str">
        <f>IF(C459="","",L459-Q423*COS(O416*PI()/180))</f>
        <v/>
      </c>
      <c r="N459" s="644" t="str">
        <f>IF(C459="","",L459+P423*SIN(O416*PI()/180))</f>
        <v/>
      </c>
      <c r="O459" s="638"/>
      <c r="P459" s="646" t="str">
        <f>IF(C459="","",(PI()*O459/180*(R424*M459-N459*S424)-Q459*(S423*R424-S424*R423))/S422/(R424-S424))</f>
        <v/>
      </c>
      <c r="Q459" s="647" t="str">
        <f>IF(C459="","",O459/180*PI()*(L459-M459)/(R423-S423))</f>
        <v/>
      </c>
      <c r="R459" s="737" t="str">
        <f>IF(C459="","",(O459/180*PI()*N459-Q459*R423-S459*S422)/R424)</f>
        <v/>
      </c>
      <c r="S459" s="734" t="str">
        <f t="shared" si="77"/>
        <v/>
      </c>
      <c r="T459" s="735" t="str">
        <f t="shared" si="78"/>
        <v/>
      </c>
      <c r="U459" s="736" t="str">
        <f t="shared" si="79"/>
        <v/>
      </c>
      <c r="V459" s="329"/>
      <c r="W459" s="181"/>
      <c r="X459" s="137"/>
      <c r="Z459" s="183"/>
      <c r="AA459" s="183"/>
    </row>
    <row r="460" spans="1:27" s="182" customFormat="1" ht="15" customHeight="1">
      <c r="A460" s="211"/>
      <c r="B460" s="164"/>
      <c r="C460" s="658" t="str">
        <f>IF(Q416="","",IF(C459="","",IF(C459+1&lt;=Q416,C459+1,"")))</f>
        <v/>
      </c>
      <c r="D460" s="232"/>
      <c r="E460" s="191"/>
      <c r="F460" s="191"/>
      <c r="G460" s="191"/>
      <c r="H460" s="191"/>
      <c r="I460" s="191"/>
      <c r="J460" s="192"/>
      <c r="K460" s="635"/>
      <c r="L460" s="641" t="str">
        <f t="shared" si="80"/>
        <v/>
      </c>
      <c r="M460" s="643" t="str">
        <f>IF(C460="","",L460-Q423*COS(O416*PI()/180))</f>
        <v/>
      </c>
      <c r="N460" s="644" t="str">
        <f>IF(C460="","",L460+P423*SIN(O416*PI()/180))</f>
        <v/>
      </c>
      <c r="O460" s="638"/>
      <c r="P460" s="646" t="str">
        <f>IF(C460="","",(PI()*O460/180*(R424*M460-N460*S424)-Q460*(S423*R424-S424*R423))/S422/(R424-S424))</f>
        <v/>
      </c>
      <c r="Q460" s="647" t="str">
        <f>IF(C460="","",O460/180*PI()*(L460-M460)/(R423-S423))</f>
        <v/>
      </c>
      <c r="R460" s="737" t="str">
        <f>IF(C460="","",(O460/180*PI()*N460-Q460*R423-S460*S422)/R424)</f>
        <v/>
      </c>
      <c r="S460" s="734" t="str">
        <f t="shared" si="77"/>
        <v/>
      </c>
      <c r="T460" s="735" t="str">
        <f t="shared" si="78"/>
        <v/>
      </c>
      <c r="U460" s="736" t="str">
        <f t="shared" si="79"/>
        <v/>
      </c>
      <c r="V460" s="329"/>
      <c r="W460" s="181"/>
      <c r="X460" s="137"/>
      <c r="Z460" s="183"/>
      <c r="AA460" s="183"/>
    </row>
    <row r="461" spans="1:27" s="182" customFormat="1" ht="15" customHeight="1">
      <c r="A461" s="211"/>
      <c r="B461" s="164"/>
      <c r="C461" s="658" t="str">
        <f>IF(Q416="","",IF(C460="","",IF(C460+1&lt;=Q416,C460+1,"")))</f>
        <v/>
      </c>
      <c r="D461" s="232"/>
      <c r="E461" s="191"/>
      <c r="F461" s="191"/>
      <c r="G461" s="191"/>
      <c r="H461" s="191"/>
      <c r="I461" s="191"/>
      <c r="J461" s="192"/>
      <c r="K461" s="635"/>
      <c r="L461" s="641" t="str">
        <f t="shared" si="80"/>
        <v/>
      </c>
      <c r="M461" s="643" t="str">
        <f>IF(C461="","",L461-Q423*COS(O416*PI()/180))</f>
        <v/>
      </c>
      <c r="N461" s="644" t="str">
        <f>IF(C461="","",L461+P423*SIN(O416*PI()/180))</f>
        <v/>
      </c>
      <c r="O461" s="638"/>
      <c r="P461" s="646" t="str">
        <f>IF(C461="","",(PI()*O461/180*(R424*M461-N461*S424)-Q461*(S423*R424-S424*R423))/S422/(R424-S424))</f>
        <v/>
      </c>
      <c r="Q461" s="647" t="str">
        <f>IF(C461="","",O461/180*PI()*(L461-M461)/(R423-S423))</f>
        <v/>
      </c>
      <c r="R461" s="737" t="str">
        <f>IF(C461="","",(O461/180*PI()*N461-Q461*R423-S461*S422)/R424)</f>
        <v/>
      </c>
      <c r="S461" s="734" t="str">
        <f t="shared" si="77"/>
        <v/>
      </c>
      <c r="T461" s="735" t="str">
        <f t="shared" si="78"/>
        <v/>
      </c>
      <c r="U461" s="736" t="str">
        <f t="shared" si="79"/>
        <v/>
      </c>
      <c r="V461" s="329"/>
      <c r="W461" s="181"/>
      <c r="X461" s="137"/>
      <c r="Z461" s="183"/>
      <c r="AA461" s="183"/>
    </row>
    <row r="462" spans="1:27" s="182" customFormat="1" ht="15" customHeight="1">
      <c r="A462" s="211"/>
      <c r="B462" s="164"/>
      <c r="C462" s="658" t="str">
        <f>IF(Q416="","",IF(C461="","",IF(C461+1&lt;=Q416,C461+1,"")))</f>
        <v/>
      </c>
      <c r="D462" s="232"/>
      <c r="E462" s="191"/>
      <c r="F462" s="191"/>
      <c r="G462" s="191"/>
      <c r="H462" s="191"/>
      <c r="I462" s="191"/>
      <c r="J462" s="192"/>
      <c r="K462" s="635"/>
      <c r="L462" s="641" t="str">
        <f t="shared" si="80"/>
        <v/>
      </c>
      <c r="M462" s="643" t="str">
        <f>IF(C462="","",L462-Q423*COS(O416*PI()/180))</f>
        <v/>
      </c>
      <c r="N462" s="644" t="str">
        <f>IF(C462="","",L462+P423*SIN(O416*PI()/180))</f>
        <v/>
      </c>
      <c r="O462" s="638"/>
      <c r="P462" s="646" t="str">
        <f>IF(C462="","",(PI()*O462/180*(R424*M462-N462*S424)-Q462*(S423*R424-S424*R423))/S422/(R424-S424))</f>
        <v/>
      </c>
      <c r="Q462" s="647" t="str">
        <f>IF(C462="","",O462/180*PI()*(L462-M462)/(R423-S423))</f>
        <v/>
      </c>
      <c r="R462" s="737" t="str">
        <f>IF(C462="","",(O462/180*PI()*N462-Q462*R423-S462*S422)/R424)</f>
        <v/>
      </c>
      <c r="S462" s="734" t="str">
        <f t="shared" si="77"/>
        <v/>
      </c>
      <c r="T462" s="735" t="str">
        <f t="shared" si="78"/>
        <v/>
      </c>
      <c r="U462" s="736" t="str">
        <f t="shared" si="79"/>
        <v/>
      </c>
      <c r="V462" s="329"/>
      <c r="W462" s="181"/>
      <c r="X462" s="137"/>
      <c r="Z462" s="183"/>
      <c r="AA462" s="183"/>
    </row>
    <row r="463" spans="1:27" s="182" customFormat="1" ht="15" customHeight="1">
      <c r="A463" s="211"/>
      <c r="B463" s="164"/>
      <c r="C463" s="658" t="str">
        <f>IF(Q416="","",IF(C462="","",IF(C462+1&lt;=Q416,C462+1,"")))</f>
        <v/>
      </c>
      <c r="D463" s="232"/>
      <c r="E463" s="191"/>
      <c r="F463" s="191"/>
      <c r="G463" s="191"/>
      <c r="H463" s="191"/>
      <c r="I463" s="191"/>
      <c r="J463" s="192"/>
      <c r="K463" s="635"/>
      <c r="L463" s="641" t="str">
        <f t="shared" si="80"/>
        <v/>
      </c>
      <c r="M463" s="643" t="str">
        <f>IF(C463="","",L463-Q423*COS(O416*PI()/180))</f>
        <v/>
      </c>
      <c r="N463" s="644" t="str">
        <f>IF(C463="","",L463+P423*SIN(O416*PI()/180))</f>
        <v/>
      </c>
      <c r="O463" s="638"/>
      <c r="P463" s="646" t="str">
        <f>IF(C463="","",(PI()*O463/180*(R424*M463-N463*S424)-Q463*(S423*R424-S424*R423))/S422/(R424-S424))</f>
        <v/>
      </c>
      <c r="Q463" s="647" t="str">
        <f>IF(C463="","",O463/180*PI()*(L463-M463)/(R423-S423))</f>
        <v/>
      </c>
      <c r="R463" s="737" t="str">
        <f>IF(C463="","",(O463/180*PI()*N463-Q463*R423-S463*S422)/R424)</f>
        <v/>
      </c>
      <c r="S463" s="734" t="str">
        <f t="shared" si="77"/>
        <v/>
      </c>
      <c r="T463" s="735" t="str">
        <f t="shared" si="78"/>
        <v/>
      </c>
      <c r="U463" s="736" t="str">
        <f t="shared" si="79"/>
        <v/>
      </c>
      <c r="V463" s="329"/>
      <c r="W463" s="181"/>
      <c r="X463" s="137"/>
      <c r="Z463" s="183"/>
      <c r="AA463" s="183"/>
    </row>
    <row r="464" spans="1:27" s="182" customFormat="1" ht="15" customHeight="1">
      <c r="A464" s="211"/>
      <c r="B464" s="164"/>
      <c r="C464" s="658" t="str">
        <f>IF(Q416="","",IF(C463="","",IF(C463+1&lt;=Q416,C463+1,"")))</f>
        <v/>
      </c>
      <c r="D464" s="232"/>
      <c r="E464" s="191"/>
      <c r="F464" s="191"/>
      <c r="G464" s="191"/>
      <c r="H464" s="191"/>
      <c r="I464" s="191"/>
      <c r="J464" s="192"/>
      <c r="K464" s="635"/>
      <c r="L464" s="641" t="str">
        <f t="shared" si="80"/>
        <v/>
      </c>
      <c r="M464" s="643" t="str">
        <f>IF(C464="","",L464-Q423*COS(O416*PI()/180))</f>
        <v/>
      </c>
      <c r="N464" s="644" t="str">
        <f>IF(C464="","",L464+P423*SIN(O416*PI()/180))</f>
        <v/>
      </c>
      <c r="O464" s="638"/>
      <c r="P464" s="646" t="str">
        <f>IF(C464="","",(PI()*O464/180*(R424*M464-N464*S424)-Q464*(S423*R424-S424*R423))/S422/(R424-S424))</f>
        <v/>
      </c>
      <c r="Q464" s="647" t="str">
        <f>IF(C464="","",O464/180*PI()*(L464-M464)/(R423-S423))</f>
        <v/>
      </c>
      <c r="R464" s="737" t="str">
        <f>IF(C464="","",(O464/180*PI()*N464-Q464*R423-S464*S422)/R424)</f>
        <v/>
      </c>
      <c r="S464" s="734" t="str">
        <f t="shared" si="77"/>
        <v/>
      </c>
      <c r="T464" s="735" t="str">
        <f t="shared" si="78"/>
        <v/>
      </c>
      <c r="U464" s="736" t="str">
        <f t="shared" si="79"/>
        <v/>
      </c>
      <c r="V464" s="329"/>
      <c r="W464" s="181"/>
      <c r="X464" s="137"/>
      <c r="Z464" s="183"/>
      <c r="AA464" s="183"/>
    </row>
    <row r="465" spans="1:27" s="182" customFormat="1" ht="15" customHeight="1">
      <c r="A465" s="211"/>
      <c r="B465" s="164"/>
      <c r="C465" s="658" t="str">
        <f>IF(Q416="","",IF(C464="","",IF(C464+1&lt;=Q416,C464+1,"")))</f>
        <v/>
      </c>
      <c r="D465" s="232"/>
      <c r="E465" s="191"/>
      <c r="F465" s="191"/>
      <c r="G465" s="191"/>
      <c r="H465" s="191"/>
      <c r="I465" s="191"/>
      <c r="J465" s="192"/>
      <c r="K465" s="635"/>
      <c r="L465" s="641" t="str">
        <f t="shared" si="80"/>
        <v/>
      </c>
      <c r="M465" s="643" t="str">
        <f>IF(C465="","",L465-Q423*COS(O416*PI()/180))</f>
        <v/>
      </c>
      <c r="N465" s="644" t="str">
        <f>IF(C465="","",L465+P423*SIN(O416*PI()/180))</f>
        <v/>
      </c>
      <c r="O465" s="638"/>
      <c r="P465" s="646" t="str">
        <f>IF(C465="","",(PI()*O465/180*(R424*M465-N465*S424)-Q465*(S423*R424-S424*R423))/S422/(R424-S424))</f>
        <v/>
      </c>
      <c r="Q465" s="647" t="str">
        <f>IF(C465="","",O465/180*PI()*(L465-M465)/(R423-S423))</f>
        <v/>
      </c>
      <c r="R465" s="737" t="str">
        <f>IF(C465="","",(O465/180*PI()*N465-Q465*R423-S465*S422)/R424)</f>
        <v/>
      </c>
      <c r="S465" s="734" t="str">
        <f t="shared" si="77"/>
        <v/>
      </c>
      <c r="T465" s="735" t="str">
        <f t="shared" si="78"/>
        <v/>
      </c>
      <c r="U465" s="736" t="str">
        <f t="shared" si="79"/>
        <v/>
      </c>
      <c r="V465" s="329"/>
      <c r="W465" s="181"/>
      <c r="X465" s="137"/>
      <c r="Z465" s="183"/>
      <c r="AA465" s="183"/>
    </row>
    <row r="466" spans="1:27" s="182" customFormat="1" ht="15" customHeight="1">
      <c r="A466" s="211"/>
      <c r="B466" s="164"/>
      <c r="C466" s="658" t="str">
        <f>IF(Q416="","",IF(C465="","",IF(C465+1&lt;=Q416,C465+1,"")))</f>
        <v/>
      </c>
      <c r="D466" s="232"/>
      <c r="E466" s="191"/>
      <c r="F466" s="191"/>
      <c r="G466" s="191"/>
      <c r="H466" s="191"/>
      <c r="I466" s="191"/>
      <c r="J466" s="192"/>
      <c r="K466" s="635"/>
      <c r="L466" s="641" t="str">
        <f t="shared" si="80"/>
        <v/>
      </c>
      <c r="M466" s="643" t="str">
        <f>IF(C466="","",L466-Q423*COS(O416*PI()/180))</f>
        <v/>
      </c>
      <c r="N466" s="644" t="str">
        <f>IF(C466="","",L466+P423*SIN(O416*PI()/180))</f>
        <v/>
      </c>
      <c r="O466" s="638"/>
      <c r="P466" s="646" t="str">
        <f>IF(C466="","",(PI()*O466/180*(R424*M466-N466*S424)-Q466*(S423*R424-S424*R423))/S422/(R424-S424))</f>
        <v/>
      </c>
      <c r="Q466" s="647" t="str">
        <f>IF(C466="","",O466/180*PI()*(L466-M466)/(R423-S423))</f>
        <v/>
      </c>
      <c r="R466" s="737" t="str">
        <f>IF(C466="","",(O466/180*PI()*N466-Q466*R423-S466*S422)/R424)</f>
        <v/>
      </c>
      <c r="S466" s="734" t="str">
        <f t="shared" si="77"/>
        <v/>
      </c>
      <c r="T466" s="735" t="str">
        <f t="shared" si="78"/>
        <v/>
      </c>
      <c r="U466" s="736" t="str">
        <f t="shared" si="79"/>
        <v/>
      </c>
      <c r="V466" s="329"/>
      <c r="W466" s="181"/>
      <c r="X466" s="137"/>
      <c r="Z466" s="183"/>
      <c r="AA466" s="183"/>
    </row>
    <row r="467" spans="1:27" s="182" customFormat="1" ht="15" customHeight="1">
      <c r="A467" s="211"/>
      <c r="B467" s="164"/>
      <c r="C467" s="658" t="str">
        <f>IF(Q416="","",IF(C466="","",IF(C466+1&lt;=Q416,C466+1,"")))</f>
        <v/>
      </c>
      <c r="D467" s="232"/>
      <c r="E467" s="191"/>
      <c r="F467" s="191"/>
      <c r="G467" s="191"/>
      <c r="H467" s="191"/>
      <c r="I467" s="191"/>
      <c r="J467" s="192"/>
      <c r="K467" s="635"/>
      <c r="L467" s="641" t="str">
        <f t="shared" si="80"/>
        <v/>
      </c>
      <c r="M467" s="643" t="str">
        <f>IF(C467="","",L467-Q423*COS(O416*PI()/180))</f>
        <v/>
      </c>
      <c r="N467" s="644" t="str">
        <f>IF(C467="","",L467+P423*SIN(O416*PI()/180))</f>
        <v/>
      </c>
      <c r="O467" s="638"/>
      <c r="P467" s="646" t="str">
        <f>IF(C467="","",(PI()*O467/180*(R424*M467-N467*S424)-Q467*(S423*R424-S424*R423))/S422/(R424-S424))</f>
        <v/>
      </c>
      <c r="Q467" s="647" t="str">
        <f>IF(C467="","",O467/180*PI()*(L467-M467)/(R423-S423))</f>
        <v/>
      </c>
      <c r="R467" s="737" t="str">
        <f>IF(C467="","",(O467/180*PI()*N467-Q467*R423-S467*S422)/R424)</f>
        <v/>
      </c>
      <c r="S467" s="734" t="str">
        <f t="shared" si="77"/>
        <v/>
      </c>
      <c r="T467" s="735" t="str">
        <f t="shared" si="78"/>
        <v/>
      </c>
      <c r="U467" s="736" t="str">
        <f t="shared" si="79"/>
        <v/>
      </c>
      <c r="V467" s="329"/>
      <c r="W467" s="181"/>
      <c r="X467" s="137"/>
      <c r="Z467" s="183"/>
      <c r="AA467" s="183"/>
    </row>
    <row r="468" spans="1:27" s="182" customFormat="1" ht="15" customHeight="1">
      <c r="A468" s="211"/>
      <c r="B468" s="164"/>
      <c r="C468" s="658" t="str">
        <f>IF(Q416="","",IF(C467="","",IF(C467+1&lt;=Q416,C467+1,"")))</f>
        <v/>
      </c>
      <c r="D468" s="232"/>
      <c r="E468" s="191"/>
      <c r="F468" s="191"/>
      <c r="G468" s="191"/>
      <c r="H468" s="191"/>
      <c r="I468" s="191"/>
      <c r="J468" s="192"/>
      <c r="K468" s="635"/>
      <c r="L468" s="641" t="str">
        <f t="shared" si="80"/>
        <v/>
      </c>
      <c r="M468" s="643" t="str">
        <f>IF(C468="","",L468-Q423*COS(O416*PI()/180))</f>
        <v/>
      </c>
      <c r="N468" s="644" t="str">
        <f>IF(C468="","",L468+P423*SIN(O416*PI()/180))</f>
        <v/>
      </c>
      <c r="O468" s="638"/>
      <c r="P468" s="646" t="str">
        <f>IF(C468="","",(PI()*O468/180*(R424*M468-N468*S424)-Q468*(S423*R424-S424*R423))/S422/(R424-S424))</f>
        <v/>
      </c>
      <c r="Q468" s="647" t="str">
        <f>IF(C468="","",O468/180*PI()*(L468-M468)/(R423-S423))</f>
        <v/>
      </c>
      <c r="R468" s="737" t="str">
        <f>IF(C468="","",(O468/180*PI()*N468-Q468*R423-S468*S422)/R424)</f>
        <v/>
      </c>
      <c r="S468" s="734" t="str">
        <f t="shared" si="77"/>
        <v/>
      </c>
      <c r="T468" s="735" t="str">
        <f t="shared" si="78"/>
        <v/>
      </c>
      <c r="U468" s="736" t="str">
        <f t="shared" si="79"/>
        <v/>
      </c>
      <c r="V468" s="329"/>
      <c r="W468" s="181"/>
      <c r="X468" s="137"/>
      <c r="Z468" s="183"/>
      <c r="AA468" s="183"/>
    </row>
    <row r="469" spans="1:27" s="182" customFormat="1" ht="15" customHeight="1">
      <c r="A469" s="211"/>
      <c r="B469" s="164"/>
      <c r="C469" s="658" t="str">
        <f>IF(Q416="","",IF(C468="","",IF(C468+1&lt;=Q416,C468+1,"")))</f>
        <v/>
      </c>
      <c r="D469" s="232"/>
      <c r="E469" s="191"/>
      <c r="F469" s="191"/>
      <c r="G469" s="191"/>
      <c r="H469" s="191"/>
      <c r="I469" s="191"/>
      <c r="J469" s="192"/>
      <c r="K469" s="635"/>
      <c r="L469" s="641" t="str">
        <f t="shared" si="80"/>
        <v/>
      </c>
      <c r="M469" s="643" t="str">
        <f>IF(C469="","",L469-Q423*COS(O416*PI()/180))</f>
        <v/>
      </c>
      <c r="N469" s="644" t="str">
        <f>IF(C469="","",L469+P423*SIN(O416*PI()/180))</f>
        <v/>
      </c>
      <c r="O469" s="638"/>
      <c r="P469" s="646" t="str">
        <f>IF(C469="","",(PI()*O469/180*(R424*M469-N469*S424)-Q469*(S423*R424-S424*R423))/S422/(R424-S424))</f>
        <v/>
      </c>
      <c r="Q469" s="647" t="str">
        <f>IF(C469="","",O469/180*PI()*(L469-M469)/(R423-S423))</f>
        <v/>
      </c>
      <c r="R469" s="737" t="str">
        <f>IF(C469="","",(O469/180*PI()*N469-Q469*R423-S469*S422)/R424)</f>
        <v/>
      </c>
      <c r="S469" s="734" t="str">
        <f t="shared" si="77"/>
        <v/>
      </c>
      <c r="T469" s="735" t="str">
        <f t="shared" si="78"/>
        <v/>
      </c>
      <c r="U469" s="736" t="str">
        <f t="shared" si="79"/>
        <v/>
      </c>
      <c r="V469" s="329"/>
      <c r="W469" s="181"/>
      <c r="X469" s="137"/>
      <c r="Z469" s="183"/>
      <c r="AA469" s="183"/>
    </row>
    <row r="470" spans="1:27" s="182" customFormat="1" ht="15" customHeight="1">
      <c r="A470" s="211"/>
      <c r="B470" s="164"/>
      <c r="C470" s="658" t="str">
        <f>IF(Q416="","",IF(C469="","",IF(C469+1&lt;=Q416,C469+1,"")))</f>
        <v/>
      </c>
      <c r="D470" s="232"/>
      <c r="E470" s="191"/>
      <c r="F470" s="191"/>
      <c r="G470" s="191"/>
      <c r="H470" s="191"/>
      <c r="I470" s="191"/>
      <c r="J470" s="192"/>
      <c r="K470" s="635"/>
      <c r="L470" s="641" t="str">
        <f t="shared" si="80"/>
        <v/>
      </c>
      <c r="M470" s="643" t="str">
        <f>IF(C470="","",L470-Q423*COS(O416*PI()/180))</f>
        <v/>
      </c>
      <c r="N470" s="644" t="str">
        <f>IF(C470="","",L470+P423*SIN(O416*PI()/180))</f>
        <v/>
      </c>
      <c r="O470" s="638"/>
      <c r="P470" s="646" t="str">
        <f>IF(C470="","",(PI()*O470/180*(R424*M470-N470*S424)-Q470*(S423*R424-S424*R423))/S422/(R424-S424))</f>
        <v/>
      </c>
      <c r="Q470" s="647" t="str">
        <f>IF(C470="","",O470/180*PI()*(L470-M470)/(R423-S423))</f>
        <v/>
      </c>
      <c r="R470" s="737" t="str">
        <f>IF(C470="","",(O470/180*PI()*N470-Q470*R423-S470*S422)/R424)</f>
        <v/>
      </c>
      <c r="S470" s="734" t="str">
        <f t="shared" si="77"/>
        <v/>
      </c>
      <c r="T470" s="735" t="str">
        <f t="shared" si="78"/>
        <v/>
      </c>
      <c r="U470" s="736" t="str">
        <f t="shared" si="79"/>
        <v/>
      </c>
      <c r="V470" s="329"/>
      <c r="W470" s="181"/>
      <c r="X470" s="137"/>
      <c r="Z470" s="183"/>
      <c r="AA470" s="183"/>
    </row>
    <row r="471" spans="1:27" s="182" customFormat="1" ht="15" customHeight="1">
      <c r="A471" s="211"/>
      <c r="B471" s="164"/>
      <c r="C471" s="658" t="str">
        <f>IF(Q416="","",IF(C470="","",IF(C470+1&lt;=Q416,C470+1,"")))</f>
        <v/>
      </c>
      <c r="D471" s="232"/>
      <c r="E471" s="191"/>
      <c r="F471" s="191"/>
      <c r="G471" s="191"/>
      <c r="H471" s="191"/>
      <c r="I471" s="191"/>
      <c r="J471" s="192"/>
      <c r="K471" s="635"/>
      <c r="L471" s="641" t="str">
        <f t="shared" si="80"/>
        <v/>
      </c>
      <c r="M471" s="643" t="str">
        <f>IF(C471="","",L471-Q423*COS(O416*PI()/180))</f>
        <v/>
      </c>
      <c r="N471" s="644" t="str">
        <f>IF(C471="","",L471+P423*SIN(O416*PI()/180))</f>
        <v/>
      </c>
      <c r="O471" s="638"/>
      <c r="P471" s="646" t="str">
        <f>IF(C471="","",(PI()*O471/180*(R424*M471-N471*S424)-Q471*(S423*R424-S424*R423))/S422/(R424-S424))</f>
        <v/>
      </c>
      <c r="Q471" s="647" t="str">
        <f>IF(C471="","",O471/180*PI()*(L471-M471)/(R423-S423))</f>
        <v/>
      </c>
      <c r="R471" s="737" t="str">
        <f>IF(C471="","",(O471/180*PI()*N471-Q471*R423-S471*S422)/R424)</f>
        <v/>
      </c>
      <c r="S471" s="734" t="str">
        <f t="shared" si="77"/>
        <v/>
      </c>
      <c r="T471" s="735" t="str">
        <f t="shared" si="78"/>
        <v/>
      </c>
      <c r="U471" s="736" t="str">
        <f t="shared" si="79"/>
        <v/>
      </c>
      <c r="V471" s="329"/>
      <c r="W471" s="181"/>
      <c r="X471" s="137"/>
      <c r="Z471" s="183"/>
      <c r="AA471" s="183"/>
    </row>
    <row r="472" spans="1:27" s="182" customFormat="1" ht="15" customHeight="1">
      <c r="A472" s="211"/>
      <c r="B472" s="164"/>
      <c r="C472" s="658" t="str">
        <f>IF(Q416="","",IF(C471="","",IF(C471+1&lt;=Q416,C471+1,"")))</f>
        <v/>
      </c>
      <c r="D472" s="232"/>
      <c r="E472" s="191"/>
      <c r="F472" s="191"/>
      <c r="G472" s="191"/>
      <c r="H472" s="191"/>
      <c r="I472" s="191"/>
      <c r="J472" s="192"/>
      <c r="K472" s="635"/>
      <c r="L472" s="641" t="str">
        <f t="shared" si="80"/>
        <v/>
      </c>
      <c r="M472" s="643" t="str">
        <f>IF(C472="","",L472-Q423*COS(O416*PI()/180))</f>
        <v/>
      </c>
      <c r="N472" s="644" t="str">
        <f>IF(C472="","",L472+P423*SIN(O416*PI()/180))</f>
        <v/>
      </c>
      <c r="O472" s="638"/>
      <c r="P472" s="646" t="str">
        <f>IF(C472="","",(PI()*O472/180*(R424*M472-N472*S424)-Q472*(S423*R424-S424*R423))/S422/(R424-S424))</f>
        <v/>
      </c>
      <c r="Q472" s="647" t="str">
        <f>IF(C472="","",O472/180*PI()*(L472-M472)/(R423-S423))</f>
        <v/>
      </c>
      <c r="R472" s="737" t="str">
        <f>IF(C472="","",(O472/180*PI()*N472-Q472*R423-S472*S422)/R424)</f>
        <v/>
      </c>
      <c r="S472" s="734" t="str">
        <f t="shared" si="77"/>
        <v/>
      </c>
      <c r="T472" s="735" t="str">
        <f t="shared" si="78"/>
        <v/>
      </c>
      <c r="U472" s="736" t="str">
        <f t="shared" si="79"/>
        <v/>
      </c>
      <c r="V472" s="329"/>
      <c r="W472" s="181"/>
      <c r="X472" s="137"/>
      <c r="Z472" s="183"/>
      <c r="AA472" s="183"/>
    </row>
    <row r="473" spans="1:27" s="182" customFormat="1" ht="15" customHeight="1">
      <c r="A473" s="211"/>
      <c r="B473" s="164"/>
      <c r="C473" s="658" t="str">
        <f>IF(Q416="","",IF(C472="","",IF(C472+1&lt;=Q416,C472+1,"")))</f>
        <v/>
      </c>
      <c r="D473" s="232"/>
      <c r="E473" s="191"/>
      <c r="F473" s="191"/>
      <c r="G473" s="191"/>
      <c r="H473" s="191"/>
      <c r="I473" s="191"/>
      <c r="J473" s="192"/>
      <c r="K473" s="635"/>
      <c r="L473" s="641" t="str">
        <f t="shared" si="80"/>
        <v/>
      </c>
      <c r="M473" s="643" t="str">
        <f>IF(C473="","",L473-Q423*COS(O416*PI()/180))</f>
        <v/>
      </c>
      <c r="N473" s="644" t="str">
        <f>IF(C473="","",L473+P423*SIN(O416*PI()/180))</f>
        <v/>
      </c>
      <c r="O473" s="638"/>
      <c r="P473" s="646" t="str">
        <f>IF(C473="","",(PI()*O473/180*(R424*M473-N473*S424)-Q473*(S423*R424-S424*R423))/S422/(R424-S424))</f>
        <v/>
      </c>
      <c r="Q473" s="647" t="str">
        <f>IF(C473="","",O473/180*PI()*(L473-M473)/(R423-S423))</f>
        <v/>
      </c>
      <c r="R473" s="737" t="str">
        <f>IF(C473="","",(O473/180*PI()*N473-Q473*R423-S473*S422)/R424)</f>
        <v/>
      </c>
      <c r="S473" s="734" t="str">
        <f t="shared" si="77"/>
        <v/>
      </c>
      <c r="T473" s="735" t="str">
        <f t="shared" si="78"/>
        <v/>
      </c>
      <c r="U473" s="736" t="str">
        <f t="shared" si="79"/>
        <v/>
      </c>
      <c r="V473" s="329"/>
      <c r="W473" s="181"/>
      <c r="X473" s="137"/>
      <c r="Z473" s="183"/>
      <c r="AA473" s="183"/>
    </row>
    <row r="474" spans="1:27" s="182" customFormat="1" ht="15" customHeight="1">
      <c r="A474" s="211"/>
      <c r="B474" s="164"/>
      <c r="C474" s="658" t="str">
        <f>IF(Q416="","",IF(C473="","",IF(C473+1&lt;=Q416,C473+1,"")))</f>
        <v/>
      </c>
      <c r="D474" s="232"/>
      <c r="E474" s="191"/>
      <c r="F474" s="191"/>
      <c r="G474" s="191"/>
      <c r="H474" s="191"/>
      <c r="I474" s="191"/>
      <c r="J474" s="192"/>
      <c r="K474" s="635"/>
      <c r="L474" s="641" t="str">
        <f t="shared" si="80"/>
        <v/>
      </c>
      <c r="M474" s="643" t="str">
        <f>IF(C474="","",L474-Q423*COS(O416*PI()/180))</f>
        <v/>
      </c>
      <c r="N474" s="644" t="str">
        <f>IF(C474="","",L474+P423*SIN(O416*PI()/180))</f>
        <v/>
      </c>
      <c r="O474" s="638"/>
      <c r="P474" s="646" t="str">
        <f>IF(C474="","",(PI()*O474/180*(R424*M474-N474*S424)-Q474*(S423*R424-S424*R423))/S422/(R424-S424))</f>
        <v/>
      </c>
      <c r="Q474" s="647" t="str">
        <f>IF(C474="","",O474/180*PI()*(L474-M474)/(R423-S423))</f>
        <v/>
      </c>
      <c r="R474" s="737" t="str">
        <f>IF(C474="","",(O474/180*PI()*N474-Q474*R423-S474*S422)/R424)</f>
        <v/>
      </c>
      <c r="S474" s="734" t="str">
        <f t="shared" si="77"/>
        <v/>
      </c>
      <c r="T474" s="735" t="str">
        <f t="shared" si="78"/>
        <v/>
      </c>
      <c r="U474" s="736" t="str">
        <f t="shared" si="79"/>
        <v/>
      </c>
      <c r="V474" s="329"/>
      <c r="W474" s="181"/>
      <c r="X474" s="137"/>
      <c r="Z474" s="183"/>
      <c r="AA474" s="183"/>
    </row>
    <row r="475" spans="1:27" s="182" customFormat="1" ht="15" customHeight="1">
      <c r="A475" s="211"/>
      <c r="B475" s="164"/>
      <c r="C475" s="658" t="str">
        <f>IF(Q416="","",IF(C474="","",IF(C474+1&lt;=Q416,C474+1,"")))</f>
        <v/>
      </c>
      <c r="D475" s="232"/>
      <c r="E475" s="191"/>
      <c r="F475" s="191"/>
      <c r="G475" s="191"/>
      <c r="H475" s="191"/>
      <c r="I475" s="191"/>
      <c r="J475" s="192"/>
      <c r="K475" s="635"/>
      <c r="L475" s="641" t="str">
        <f t="shared" si="80"/>
        <v/>
      </c>
      <c r="M475" s="643" t="str">
        <f>IF(C475="","",L475-Q423*COS(O416*PI()/180))</f>
        <v/>
      </c>
      <c r="N475" s="644" t="str">
        <f>IF(C475="","",L475+P423*SIN(O416*PI()/180))</f>
        <v/>
      </c>
      <c r="O475" s="638"/>
      <c r="P475" s="646" t="str">
        <f>IF(C475="","",(PI()*O475/180*(R424*M475-N475*S424)-Q475*(S423*R424-S424*R423))/S422/(R424-S424))</f>
        <v/>
      </c>
      <c r="Q475" s="647" t="str">
        <f>IF(C475="","",O475/180*PI()*(L475-M475)/(R423-S423))</f>
        <v/>
      </c>
      <c r="R475" s="737" t="str">
        <f>IF(C475="","",(O475/180*PI()*N475-Q475*R423-S475*S422)/R424)</f>
        <v/>
      </c>
      <c r="S475" s="734" t="str">
        <f t="shared" si="77"/>
        <v/>
      </c>
      <c r="T475" s="735" t="str">
        <f t="shared" si="78"/>
        <v/>
      </c>
      <c r="U475" s="736" t="str">
        <f t="shared" si="79"/>
        <v/>
      </c>
      <c r="V475" s="329"/>
      <c r="W475" s="181"/>
      <c r="X475" s="137"/>
      <c r="Z475" s="183"/>
      <c r="AA475" s="183"/>
    </row>
    <row r="476" spans="1:27" s="182" customFormat="1" ht="15" customHeight="1">
      <c r="A476" s="211"/>
      <c r="B476" s="164"/>
      <c r="C476" s="658" t="str">
        <f>IF(Q416="","",IF(C475="","",IF(C475+1&lt;=Q416,C475+1,"")))</f>
        <v/>
      </c>
      <c r="D476" s="232"/>
      <c r="E476" s="191"/>
      <c r="F476" s="191"/>
      <c r="G476" s="191"/>
      <c r="H476" s="191"/>
      <c r="I476" s="191"/>
      <c r="J476" s="192"/>
      <c r="K476" s="635"/>
      <c r="L476" s="641" t="str">
        <f t="shared" si="80"/>
        <v/>
      </c>
      <c r="M476" s="643" t="str">
        <f>IF(C476="","",L476-Q423*COS(O416*PI()/180))</f>
        <v/>
      </c>
      <c r="N476" s="644" t="str">
        <f>IF(C476="","",L476+P423*SIN(O416*PI()/180))</f>
        <v/>
      </c>
      <c r="O476" s="638"/>
      <c r="P476" s="646" t="str">
        <f>IF(C476="","",(PI()*O476/180*(R424*M476-N476*S424)-Q476*(S423*R424-S424*R423))/S422/(R424-S424))</f>
        <v/>
      </c>
      <c r="Q476" s="647" t="str">
        <f>IF(C476="","",O476/180*PI()*(L476-M476)/(R423-S423))</f>
        <v/>
      </c>
      <c r="R476" s="737" t="str">
        <f>IF(C476="","",(O476/180*PI()*N476-Q476*R423-S476*S422)/R424)</f>
        <v/>
      </c>
      <c r="S476" s="734" t="str">
        <f t="shared" si="77"/>
        <v/>
      </c>
      <c r="T476" s="735" t="str">
        <f t="shared" si="78"/>
        <v/>
      </c>
      <c r="U476" s="736" t="str">
        <f t="shared" si="79"/>
        <v/>
      </c>
      <c r="V476" s="329"/>
      <c r="W476" s="181"/>
      <c r="X476" s="137"/>
      <c r="Z476" s="183"/>
      <c r="AA476" s="183"/>
    </row>
    <row r="477" spans="1:27" s="182" customFormat="1" ht="15" customHeight="1">
      <c r="A477" s="211"/>
      <c r="B477" s="164"/>
      <c r="C477" s="658" t="str">
        <f>IF(Q416="","",IF(C476="","",IF(C476+1&lt;=Q416,C476+1,"")))</f>
        <v/>
      </c>
      <c r="D477" s="232"/>
      <c r="E477" s="191"/>
      <c r="F477" s="191"/>
      <c r="G477" s="191"/>
      <c r="H477" s="191"/>
      <c r="I477" s="191"/>
      <c r="J477" s="192"/>
      <c r="K477" s="635"/>
      <c r="L477" s="641" t="str">
        <f t="shared" si="80"/>
        <v/>
      </c>
      <c r="M477" s="643" t="str">
        <f>IF(C477="","",L477-Q423*COS(O416*PI()/180))</f>
        <v/>
      </c>
      <c r="N477" s="644" t="str">
        <f>IF(C477="","",L477+P423*SIN(O416*PI()/180))</f>
        <v/>
      </c>
      <c r="O477" s="638"/>
      <c r="P477" s="646" t="str">
        <f>IF(C477="","",(PI()*O477/180*(R424*M477-N477*S424)-Q477*(S423*R424-S424*R423))/S422/(R424-S424))</f>
        <v/>
      </c>
      <c r="Q477" s="647" t="str">
        <f>IF(C477="","",O477/180*PI()*(L477-M477)/(R423-S423))</f>
        <v/>
      </c>
      <c r="R477" s="737" t="str">
        <f>IF(C477="","",(O477/180*PI()*N477-Q477*R423-S477*S422)/R424)</f>
        <v/>
      </c>
      <c r="S477" s="734" t="str">
        <f t="shared" si="77"/>
        <v/>
      </c>
      <c r="T477" s="735" t="str">
        <f t="shared" si="78"/>
        <v/>
      </c>
      <c r="U477" s="736" t="str">
        <f t="shared" si="79"/>
        <v/>
      </c>
      <c r="V477" s="329"/>
      <c r="W477" s="181"/>
      <c r="X477" s="137"/>
      <c r="Z477" s="183"/>
      <c r="AA477" s="183"/>
    </row>
    <row r="478" spans="1:27" s="182" customFormat="1" ht="15" customHeight="1">
      <c r="A478" s="211"/>
      <c r="B478" s="164"/>
      <c r="C478" s="658" t="str">
        <f>IF(Q416="","",IF(C477="","",IF(C477+1&lt;=Q416,C477+1,"")))</f>
        <v/>
      </c>
      <c r="D478" s="232"/>
      <c r="E478" s="191"/>
      <c r="F478" s="191"/>
      <c r="G478" s="191"/>
      <c r="H478" s="191"/>
      <c r="I478" s="191"/>
      <c r="J478" s="192"/>
      <c r="K478" s="635"/>
      <c r="L478" s="641" t="str">
        <f t="shared" si="80"/>
        <v/>
      </c>
      <c r="M478" s="643" t="str">
        <f>IF(C478="","",L478-Q423*COS(O416*PI()/180))</f>
        <v/>
      </c>
      <c r="N478" s="644" t="str">
        <f>IF(C478="","",L478+P423*SIN(O416*PI()/180))</f>
        <v/>
      </c>
      <c r="O478" s="638"/>
      <c r="P478" s="646" t="str">
        <f>IF(C478="","",(PI()*O478/180*(R424*M478-N478*S424)-Q478*(S423*R424-S424*R423))/S422/(R424-S424))</f>
        <v/>
      </c>
      <c r="Q478" s="647" t="str">
        <f>IF(C478="","",O478/180*PI()*(L478-M478)/(R423-S423))</f>
        <v/>
      </c>
      <c r="R478" s="737" t="str">
        <f>IF(C478="","",(O478/180*PI()*N478-Q478*R423-S478*S422)/R424)</f>
        <v/>
      </c>
      <c r="S478" s="734" t="str">
        <f t="shared" si="77"/>
        <v/>
      </c>
      <c r="T478" s="735" t="str">
        <f t="shared" si="78"/>
        <v/>
      </c>
      <c r="U478" s="736" t="str">
        <f t="shared" si="79"/>
        <v/>
      </c>
      <c r="V478" s="329"/>
      <c r="W478" s="181"/>
      <c r="X478" s="137"/>
      <c r="Z478" s="183"/>
      <c r="AA478" s="183"/>
    </row>
    <row r="479" spans="1:27" s="182" customFormat="1" ht="15" customHeight="1" thickBot="1">
      <c r="A479" s="211"/>
      <c r="B479" s="164"/>
      <c r="C479" s="659" t="str">
        <f>IF(Q416="","",IF(C478="","",IF(C478+1&lt;=Q416,C478+1,"")))</f>
        <v/>
      </c>
      <c r="D479" s="232"/>
      <c r="E479" s="191"/>
      <c r="F479" s="191"/>
      <c r="G479" s="191"/>
      <c r="H479" s="191"/>
      <c r="I479" s="191"/>
      <c r="J479" s="192"/>
      <c r="K479" s="635"/>
      <c r="L479" s="642" t="str">
        <f t="shared" si="80"/>
        <v/>
      </c>
      <c r="M479" s="686" t="str">
        <f>IF(C479="","",L479-Q423*COS(O416*PI()/180))</f>
        <v/>
      </c>
      <c r="N479" s="687" t="str">
        <f>IF(C479="","",L479+P423*SIN(O416*PI()/180))</f>
        <v/>
      </c>
      <c r="O479" s="639"/>
      <c r="P479" s="682" t="str">
        <f>IF(C479="","",(PI()*O479/180*(R424*M479-N479*S424)-Q479*(S423*R424-S424*R423))/S422/(R424-S424))</f>
        <v/>
      </c>
      <c r="Q479" s="683" t="str">
        <f>IF(C479="","",O479/180*PI()*(L479-M479)/(R423-S423))</f>
        <v/>
      </c>
      <c r="R479" s="738" t="str">
        <f>IF(C479="","",(O479/180*PI()*N479-Q479*R423-S479*S422)/R424)</f>
        <v/>
      </c>
      <c r="S479" s="739" t="str">
        <f t="shared" si="77"/>
        <v/>
      </c>
      <c r="T479" s="740" t="str">
        <f t="shared" si="78"/>
        <v/>
      </c>
      <c r="U479" s="741" t="str">
        <f t="shared" si="79"/>
        <v/>
      </c>
      <c r="V479" s="329"/>
      <c r="W479" s="181"/>
      <c r="X479" s="137"/>
      <c r="Z479" s="183"/>
      <c r="AA479" s="183"/>
    </row>
    <row r="480" spans="1:27" s="182" customFormat="1" ht="15" customHeight="1">
      <c r="A480" s="211"/>
      <c r="B480" s="190"/>
      <c r="C480" s="196"/>
      <c r="D480" s="191"/>
      <c r="E480" s="191"/>
      <c r="F480" s="191"/>
      <c r="G480" s="191"/>
      <c r="H480" s="191"/>
      <c r="I480" s="191"/>
      <c r="J480" s="192"/>
      <c r="K480" s="192"/>
      <c r="L480" s="140"/>
      <c r="M480" s="191"/>
      <c r="N480" s="191"/>
      <c r="O480" s="191"/>
      <c r="P480" s="191"/>
      <c r="Q480" s="191"/>
      <c r="R480" s="191"/>
      <c r="S480" s="191"/>
      <c r="T480" s="191"/>
      <c r="U480" s="191"/>
      <c r="V480" s="193"/>
      <c r="W480" s="181"/>
      <c r="X480" s="137"/>
      <c r="Z480" s="183"/>
      <c r="AA480" s="183"/>
    </row>
    <row r="481" spans="1:27" s="182" customFormat="1" ht="15" customHeight="1">
      <c r="A481" s="211"/>
      <c r="B481" s="190"/>
      <c r="C481" s="196"/>
      <c r="D481" s="191"/>
      <c r="E481" s="191"/>
      <c r="F481" s="191"/>
      <c r="G481" s="191"/>
      <c r="H481" s="191"/>
      <c r="I481" s="191"/>
      <c r="J481" s="192"/>
      <c r="K481" s="192"/>
      <c r="L481" s="140"/>
      <c r="M481" s="191"/>
      <c r="N481" s="191"/>
      <c r="O481" s="191"/>
      <c r="P481" s="191"/>
      <c r="Q481" s="191"/>
      <c r="R481" s="191"/>
      <c r="S481" s="191"/>
      <c r="T481" s="191"/>
      <c r="U481" s="191"/>
      <c r="V481" s="193"/>
      <c r="W481" s="181"/>
      <c r="X481" s="137"/>
      <c r="Z481" s="183"/>
      <c r="AA481" s="183"/>
    </row>
    <row r="482" spans="1:27" s="182" customFormat="1" ht="15" customHeight="1" thickBot="1">
      <c r="A482" s="211"/>
      <c r="B482" s="275" t="s">
        <v>1006</v>
      </c>
      <c r="C482" s="276"/>
      <c r="D482" s="277"/>
      <c r="E482" s="277"/>
      <c r="F482" s="277"/>
      <c r="G482" s="277"/>
      <c r="H482" s="277"/>
      <c r="I482" s="277"/>
      <c r="J482" s="278"/>
      <c r="K482" s="278"/>
      <c r="L482" s="279"/>
      <c r="M482" s="277"/>
      <c r="N482" s="277"/>
      <c r="O482" s="277"/>
      <c r="P482" s="277"/>
      <c r="Q482" s="277"/>
      <c r="R482" s="277"/>
      <c r="S482" s="280"/>
      <c r="T482" s="277"/>
      <c r="U482" s="277" t="s">
        <v>674</v>
      </c>
      <c r="V482" s="281" t="s">
        <v>27</v>
      </c>
      <c r="W482" s="282"/>
      <c r="X482" s="283"/>
      <c r="Z482" s="183"/>
      <c r="AA482" s="183"/>
    </row>
    <row r="483" spans="1:27" s="182" customFormat="1" ht="15" customHeight="1" thickBot="1">
      <c r="A483" s="211"/>
      <c r="B483" s="206"/>
      <c r="C483" s="129">
        <f>SUMIF(Densidades!A:A,'Memória TOTAL'!X483,Densidades!B:B)</f>
        <v>0</v>
      </c>
      <c r="D483" s="130">
        <f>SUMIF(Densidades!A:A,'Memória TOTAL'!X483,Densidades!C:C)</f>
        <v>0</v>
      </c>
      <c r="E483" s="130" t="str">
        <f>IF(I483=15,"FIRECLAY MORTAR",IF(I483=16,"ALUMINA MORTAR",IF(I483=17,"BASIC MORTAR",IF(I483=18,"MORTAR","-"))))</f>
        <v>-</v>
      </c>
      <c r="F483" s="130" t="str">
        <f>IF(I483=15,"FIRECLAY MORTAR",IF(I483=16,"ALUMINA MORTAR",IF(I483=17,"BASIC MORTAR",IF(I483=18,"MORTAR","-"))))</f>
        <v>-</v>
      </c>
      <c r="G483" s="130" t="str">
        <f>IF(I483=15,"FIRECLAY MORTAR",IF(I483=16,"ALUMINA MORTAR",IF(I483=17,"BASIC MORTAR",IF(I483=18,"MORTAR","-"))))</f>
        <v>-</v>
      </c>
      <c r="H483" s="130" t="str">
        <f>IF(I483=15,"FIRECLAY MORTAR",IF(I483=16,"ALUMINA MORTAR",IF(I483=17,"BASIC MORTAR",IF(I483=18,"MORTAR","-"))))</f>
        <v>-</v>
      </c>
      <c r="I483" s="130">
        <f>SUMIF(Densidades!A:A,'Memória TOTAL'!X483,Densidades!G:G)</f>
        <v>0</v>
      </c>
      <c r="J483" s="132">
        <f>SUMIF(Formatos!A:A,'Memória TOTAL'!X484,Formatos!G:G)</f>
        <v>0</v>
      </c>
      <c r="K483" s="133">
        <f>SUMIF(Densidades!A:A,'Memória TOTAL'!X483,Densidades!I:I)</f>
        <v>0</v>
      </c>
      <c r="L483" s="184">
        <v>0</v>
      </c>
      <c r="M483" s="185"/>
      <c r="N483" s="185"/>
      <c r="O483" s="185"/>
      <c r="P483" s="185"/>
      <c r="Q483" s="185"/>
      <c r="R483" s="185"/>
      <c r="S483" s="185"/>
      <c r="T483" s="186"/>
      <c r="U483" s="742"/>
      <c r="V483" s="188" t="e">
        <f>(W416*J416*C483+W420*J420*C483+W424*J424*C483)*U483</f>
        <v>#VALUE!</v>
      </c>
      <c r="W483" s="189" t="str">
        <f>IF(C483=0,"",ROUNDUP(SUM(V483:V484)*(1+L483),0))</f>
        <v/>
      </c>
      <c r="X483" s="259"/>
      <c r="Z483" s="183"/>
      <c r="AA483" s="183"/>
    </row>
    <row r="484" spans="1:27" s="182" customFormat="1" ht="15" customHeight="1">
      <c r="A484" s="211"/>
      <c r="B484" s="206"/>
      <c r="C484" s="129"/>
      <c r="D484" s="191"/>
      <c r="E484" s="191"/>
      <c r="F484" s="191"/>
      <c r="G484" s="191"/>
      <c r="H484" s="191"/>
      <c r="I484" s="191"/>
      <c r="J484" s="192"/>
      <c r="K484" s="192"/>
      <c r="L484" s="140"/>
      <c r="M484" s="191"/>
      <c r="N484" s="191"/>
      <c r="O484" s="191"/>
      <c r="P484" s="191"/>
      <c r="Q484" s="191"/>
      <c r="R484" s="191"/>
      <c r="S484" s="191"/>
      <c r="T484" s="191"/>
      <c r="U484" s="191"/>
      <c r="V484" s="193"/>
      <c r="W484" s="181"/>
      <c r="X484" s="137" t="str">
        <f>IF(AND(H483="-",G483="-",F483="-"),E483,IF(AND(H483="-",G483="-",E483="-"),F483,IF(AND(H483="-",F483="-",E483="-"),G483,H483)))</f>
        <v>-</v>
      </c>
      <c r="Z484" s="183"/>
      <c r="AA484" s="183"/>
    </row>
    <row r="485" spans="1:27" s="182" customFormat="1" ht="15" customHeight="1">
      <c r="A485" s="211"/>
      <c r="B485" s="209"/>
      <c r="C485" s="129"/>
      <c r="D485" s="191"/>
      <c r="E485" s="191"/>
      <c r="F485" s="191"/>
      <c r="G485" s="191"/>
      <c r="H485" s="191"/>
      <c r="I485" s="191"/>
      <c r="J485" s="192"/>
      <c r="K485" s="192"/>
      <c r="L485" s="140"/>
      <c r="M485" s="191"/>
      <c r="N485" s="191"/>
      <c r="O485" s="191"/>
      <c r="P485" s="191"/>
      <c r="Q485" s="191"/>
      <c r="R485" s="191"/>
      <c r="S485" s="191"/>
      <c r="T485" s="191"/>
      <c r="U485" s="191"/>
      <c r="V485" s="193"/>
      <c r="W485" s="181"/>
      <c r="X485" s="137" t="s">
        <v>2</v>
      </c>
      <c r="Z485" s="183"/>
      <c r="AA485" s="183"/>
    </row>
    <row r="486" spans="1:27" s="182" customFormat="1" ht="15" customHeight="1">
      <c r="A486" s="211"/>
      <c r="C486" s="650"/>
      <c r="D486" s="237"/>
      <c r="E486" s="237"/>
      <c r="F486" s="237"/>
      <c r="G486" s="237"/>
      <c r="H486" s="237"/>
      <c r="I486" s="237"/>
      <c r="J486" s="636"/>
      <c r="K486" s="636"/>
      <c r="L486" s="168"/>
      <c r="M486" s="237"/>
      <c r="N486" s="237"/>
      <c r="O486" s="237"/>
      <c r="P486" s="237"/>
      <c r="Q486" s="237"/>
      <c r="R486" s="237"/>
      <c r="S486" s="237"/>
      <c r="T486" s="237"/>
      <c r="U486" s="237"/>
      <c r="V486" s="238"/>
      <c r="W486" s="743"/>
      <c r="X486" s="744"/>
      <c r="Z486" s="183"/>
      <c r="AA486" s="183"/>
    </row>
    <row r="487" spans="1:27" s="182" customFormat="1" ht="15" customHeight="1" thickBot="1">
      <c r="A487" s="211"/>
      <c r="B487" s="275" t="s">
        <v>1007</v>
      </c>
      <c r="C487" s="276"/>
      <c r="D487" s="277"/>
      <c r="E487" s="277"/>
      <c r="F487" s="277"/>
      <c r="G487" s="277"/>
      <c r="H487" s="277"/>
      <c r="I487" s="277"/>
      <c r="J487" s="278"/>
      <c r="K487" s="278"/>
      <c r="L487" s="279"/>
      <c r="M487" s="277"/>
      <c r="N487" s="277"/>
      <c r="O487" s="277"/>
      <c r="P487" s="277"/>
      <c r="Q487" s="277"/>
      <c r="R487" s="277" t="s">
        <v>632</v>
      </c>
      <c r="S487" s="280" t="s">
        <v>633</v>
      </c>
      <c r="T487" s="277" t="s">
        <v>634</v>
      </c>
      <c r="U487" s="277" t="s">
        <v>38</v>
      </c>
      <c r="V487" s="281" t="s">
        <v>27</v>
      </c>
      <c r="W487" s="282"/>
      <c r="X487" s="283"/>
      <c r="Z487" s="183"/>
      <c r="AA487" s="183"/>
    </row>
    <row r="488" spans="1:27" s="182" customFormat="1" ht="15" customHeight="1" thickBot="1">
      <c r="A488" s="211"/>
      <c r="B488" s="206"/>
      <c r="C488" s="129">
        <f>SUMIF(Densidades!A:A,'Memória TOTAL'!X488,Densidades!B:B)</f>
        <v>0</v>
      </c>
      <c r="D488" s="130">
        <f>SUMIF(Densidades!A:A,'Memória TOTAL'!X488,Densidades!C:C)</f>
        <v>0</v>
      </c>
      <c r="E488" s="130" t="str">
        <f>IF(I488=15,"FIRECLAY MORTAR",IF(I488=16,"ALUMINA MORTAR",IF(I488=17,"BASIC MORTAR",IF(I488=18,"MORTAR","-"))))</f>
        <v>-</v>
      </c>
      <c r="F488" s="130" t="str">
        <f>IF(I488=15,"FIRECLAY MORTAR",IF(I488=16,"ALUMINA MORTAR",IF(I488=17,"BASIC MORTAR",IF(I488=18,"MORTAR","-"))))</f>
        <v>-</v>
      </c>
      <c r="G488" s="130" t="str">
        <f>IF(I488=15,"FIRECLAY MORTAR",IF(I488=16,"ALUMINA MORTAR",IF(I488=17,"BASIC MORTAR",IF(I488=18,"MORTAR","-"))))</f>
        <v>-</v>
      </c>
      <c r="H488" s="130" t="str">
        <f>IF(I488=15,"FIRECLAY MORTAR",IF(I488=16,"ALUMINA MORTAR",IF(I488=17,"BASIC MORTAR",IF(I488=18,"MORTAR","-"))))</f>
        <v>-</v>
      </c>
      <c r="I488" s="130">
        <f>SUMIF(Densidades!A:A,'Memória TOTAL'!X488,Densidades!G:G)</f>
        <v>0</v>
      </c>
      <c r="J488" s="132">
        <f>SUMIF(Formatos!A:A,'Memória TOTAL'!X489,Formatos!G:G)</f>
        <v>0</v>
      </c>
      <c r="K488" s="218">
        <f>SUMIF(Densidades!A:A,'Memória TOTAL'!X488,Densidades!I:I)</f>
        <v>0</v>
      </c>
      <c r="L488" s="184">
        <v>0</v>
      </c>
      <c r="M488" s="185"/>
      <c r="N488" s="185"/>
      <c r="O488" s="185"/>
      <c r="P488" s="185"/>
      <c r="Q488" s="185"/>
      <c r="R488" s="186">
        <f>((G416*H416)+(G416*E416)+(H416*E416))/1000000</f>
        <v>0</v>
      </c>
      <c r="S488" s="255">
        <v>2</v>
      </c>
      <c r="T488" s="186">
        <f>R488*S488</f>
        <v>0</v>
      </c>
      <c r="U488" s="187">
        <f>SUM(W416:W426)</f>
        <v>0</v>
      </c>
      <c r="V488" s="188">
        <f>(T488*C488*(1+L488))*U488</f>
        <v>0</v>
      </c>
      <c r="W488" s="189" t="str">
        <f>IF(C488=0,"",ROUNDUP(SUM(V488:V489)*(1+L488),0))</f>
        <v/>
      </c>
      <c r="X488" s="259"/>
      <c r="Z488" s="183"/>
      <c r="AA488" s="183"/>
    </row>
    <row r="489" spans="1:27" s="182" customFormat="1" ht="15" customHeight="1">
      <c r="A489" s="211"/>
      <c r="B489" s="206"/>
      <c r="C489" s="129"/>
      <c r="D489" s="191"/>
      <c r="E489" s="191"/>
      <c r="F489" s="191"/>
      <c r="G489" s="191"/>
      <c r="H489" s="191"/>
      <c r="I489" s="191"/>
      <c r="J489" s="192"/>
      <c r="K489" s="192"/>
      <c r="L489" s="140"/>
      <c r="M489" s="191"/>
      <c r="N489" s="191"/>
      <c r="O489" s="191"/>
      <c r="P489" s="191"/>
      <c r="Q489" s="191"/>
      <c r="R489" s="191"/>
      <c r="S489" s="191"/>
      <c r="T489" s="191"/>
      <c r="U489" s="191"/>
      <c r="V489" s="193"/>
      <c r="W489" s="181"/>
      <c r="X489" s="137" t="str">
        <f>IF(AND(H488="-",G488="-",F488="-"),E488,IF(AND(H488="-",G488="-",E488="-"),F488,IF(AND(H488="-",F488="-",E488="-"),G488,H488)))</f>
        <v>-</v>
      </c>
      <c r="Z489" s="183"/>
      <c r="AA489" s="183"/>
    </row>
    <row r="490" spans="1:27" s="182" customFormat="1" ht="15" customHeight="1">
      <c r="A490" s="211"/>
      <c r="B490" s="209"/>
      <c r="C490" s="129"/>
      <c r="D490" s="191"/>
      <c r="E490" s="191"/>
      <c r="F490" s="191"/>
      <c r="G490" s="191"/>
      <c r="H490" s="191"/>
      <c r="I490" s="191"/>
      <c r="J490" s="192"/>
      <c r="K490" s="192"/>
      <c r="L490" s="140"/>
      <c r="M490" s="191"/>
      <c r="N490" s="191"/>
      <c r="O490" s="191"/>
      <c r="P490" s="191"/>
      <c r="Q490" s="191"/>
      <c r="R490" s="191"/>
      <c r="S490" s="191"/>
      <c r="T490" s="191"/>
      <c r="U490" s="191"/>
      <c r="V490" s="193"/>
      <c r="W490" s="181"/>
      <c r="X490" s="137" t="s">
        <v>2</v>
      </c>
      <c r="Z490" s="183"/>
      <c r="AA490" s="183"/>
    </row>
    <row r="491" spans="1:27" s="182" customFormat="1" ht="15" customHeight="1">
      <c r="A491" s="211"/>
      <c r="B491" s="206"/>
      <c r="C491" s="294"/>
      <c r="D491" s="191"/>
      <c r="E491" s="191"/>
      <c r="F491" s="191"/>
      <c r="G491" s="191"/>
      <c r="H491" s="191"/>
      <c r="I491" s="191"/>
      <c r="J491" s="192"/>
      <c r="K491" s="192"/>
      <c r="L491" s="140"/>
      <c r="M491" s="191"/>
      <c r="N491" s="191"/>
      <c r="O491" s="191"/>
      <c r="P491" s="191"/>
      <c r="Q491" s="191"/>
      <c r="R491" s="191"/>
      <c r="S491" s="191"/>
      <c r="T491" s="191"/>
      <c r="U491" s="191"/>
      <c r="V491" s="193"/>
      <c r="W491" s="181"/>
      <c r="X491" s="137"/>
      <c r="Z491" s="183"/>
      <c r="AA491" s="183"/>
    </row>
    <row r="492" spans="1:27" s="182" customFormat="1" ht="15" customHeight="1" thickBot="1">
      <c r="A492" s="211"/>
      <c r="B492" s="505"/>
      <c r="C492" s="506"/>
      <c r="D492" s="493"/>
      <c r="E492" s="494"/>
      <c r="F492" s="494"/>
      <c r="G492" s="494"/>
      <c r="H492" s="494"/>
      <c r="I492" s="495"/>
      <c r="J492" s="495"/>
      <c r="K492" s="495"/>
      <c r="L492" s="508"/>
      <c r="M492" s="508"/>
      <c r="N492" s="508"/>
      <c r="O492" s="508"/>
      <c r="P492" s="508"/>
      <c r="Q492" s="508"/>
      <c r="R492" s="508"/>
      <c r="S492" s="508"/>
      <c r="T492" s="508"/>
      <c r="U492" s="508"/>
      <c r="V492" s="508"/>
      <c r="W492" s="508"/>
      <c r="X492" s="509"/>
      <c r="Z492" s="183"/>
      <c r="AA492" s="183"/>
    </row>
    <row r="493" spans="1:27" ht="15" customHeight="1" thickBot="1">
      <c r="A493" s="211"/>
      <c r="B493" s="268" t="str">
        <f>IF(X494="","TIJOLO COMPOSIÇÃO PERÍMETRO (1 PEÇA)",X494)</f>
        <v>TIJOLO COMPOSIÇÃO PERÍMETRO (1 PEÇA)</v>
      </c>
      <c r="C493" s="269" t="s">
        <v>101</v>
      </c>
      <c r="D493" s="270" t="s">
        <v>102</v>
      </c>
      <c r="E493" s="270" t="s">
        <v>42</v>
      </c>
      <c r="F493" s="270" t="s">
        <v>42</v>
      </c>
      <c r="G493" s="270" t="s">
        <v>43</v>
      </c>
      <c r="H493" s="270" t="s">
        <v>44</v>
      </c>
      <c r="I493" s="270" t="s">
        <v>47</v>
      </c>
      <c r="J493" s="270" t="s">
        <v>103</v>
      </c>
      <c r="K493" s="270" t="s">
        <v>37</v>
      </c>
      <c r="L493" s="270" t="s">
        <v>39</v>
      </c>
      <c r="M493" s="270" t="s">
        <v>45</v>
      </c>
      <c r="N493" s="270" t="s">
        <v>46</v>
      </c>
      <c r="O493" s="270" t="s">
        <v>668</v>
      </c>
      <c r="P493" s="270" t="s">
        <v>51</v>
      </c>
      <c r="Q493" s="270" t="s">
        <v>52</v>
      </c>
      <c r="R493" s="270"/>
      <c r="S493" s="270"/>
      <c r="T493" s="270" t="s">
        <v>669</v>
      </c>
      <c r="U493" s="270" t="s">
        <v>673</v>
      </c>
      <c r="V493" s="271" t="s">
        <v>27</v>
      </c>
      <c r="W493" s="272"/>
      <c r="X493" s="273"/>
    </row>
    <row r="494" spans="1:27" ht="15" customHeight="1" thickBot="1">
      <c r="A494" s="240"/>
      <c r="B494" s="242" t="s">
        <v>670</v>
      </c>
      <c r="C494" s="241">
        <f>SUMIF(Densidades!A:A,'Memória TOTAL'!X494,Densidades!B:B)</f>
        <v>0</v>
      </c>
      <c r="D494" s="130">
        <f>SUMIF(Densidades!A:A,'Memória TOTAL'!X494,Densidades!C:C)</f>
        <v>0</v>
      </c>
      <c r="E494" s="721">
        <f>SUMIF(Formatos!A:A,'Memória TOTAL'!X495,Formatos!E:E)</f>
        <v>0</v>
      </c>
      <c r="F494" s="721">
        <f>SUMIF(Formatos!A:A,'Memória TOTAL'!X495,Formatos!F:F)</f>
        <v>0</v>
      </c>
      <c r="G494" s="721">
        <f>SUMIF(Formatos!A:A,'Memória TOTAL'!X495,Formatos!C:C)</f>
        <v>0</v>
      </c>
      <c r="H494" s="721">
        <f>SUMIF(Formatos!A:A,'Memória TOTAL'!X495,Formatos!D:D)</f>
        <v>0</v>
      </c>
      <c r="I494" s="131">
        <f>SUMIF(Densidades!A:A,'Memória TOTAL'!X494,Densidades!H:H)</f>
        <v>0</v>
      </c>
      <c r="J494" s="132">
        <f>SUMIF(Formatos!A:A,'Memória TOTAL'!X495,Formatos!G:G)</f>
        <v>0</v>
      </c>
      <c r="K494" s="133">
        <f>SUMIF(Densidades!A:A,'Memória TOTAL'!X494,Densidades!I:I)</f>
        <v>0</v>
      </c>
      <c r="L494" s="249">
        <v>0</v>
      </c>
      <c r="M494" s="602"/>
      <c r="N494" s="252"/>
      <c r="O494" s="253"/>
      <c r="P494" s="251">
        <f>O494*2</f>
        <v>0</v>
      </c>
      <c r="Q494" s="135">
        <f>P494-(2*M494)</f>
        <v>0</v>
      </c>
      <c r="R494" s="135"/>
      <c r="S494" s="256"/>
      <c r="T494" s="257">
        <f>IF(AND(B496=0,B498=0),,IF(AND(B498=0,B496&lt;&gt;0),1,IF(OR(B498-B496&gt;=0,B498=0),(B498-B496)+1,"ERRO")))</f>
        <v>0</v>
      </c>
      <c r="U494" s="253"/>
      <c r="V494" s="252" t="str">
        <f>IF(M494="","",IF(M494=H498,ROUND(P504,0),"ESP. ERRADA"))</f>
        <v/>
      </c>
      <c r="W494" s="258" t="str">
        <f>IFERROR(IF(C494=0,"",ROUNDUP(SUM(V494)*(1+L494),0))*T494*U494,"")</f>
        <v/>
      </c>
      <c r="X494" s="259"/>
    </row>
    <row r="495" spans="1:27" s="182" customFormat="1" ht="15" customHeight="1" thickBot="1">
      <c r="A495" s="260"/>
      <c r="B495" s="245" t="s">
        <v>112</v>
      </c>
      <c r="C495" s="232"/>
      <c r="D495" s="191"/>
      <c r="E495" s="191"/>
      <c r="F495" s="191"/>
      <c r="G495" s="191"/>
      <c r="H495" s="191"/>
      <c r="I495" s="191"/>
      <c r="J495" s="192"/>
      <c r="K495" s="192"/>
      <c r="L495" s="140"/>
      <c r="M495" s="191"/>
      <c r="N495" s="191"/>
      <c r="O495" s="191"/>
      <c r="P495" s="191"/>
      <c r="Q495" s="191"/>
      <c r="R495" s="191"/>
      <c r="S495" s="191"/>
      <c r="T495" s="191"/>
      <c r="U495" s="191"/>
      <c r="V495" s="193"/>
      <c r="W495" s="181"/>
      <c r="X495" s="137" t="str">
        <f>IF(B500="","",B500)</f>
        <v/>
      </c>
      <c r="Z495" s="183"/>
      <c r="AA495" s="183"/>
    </row>
    <row r="496" spans="1:27" s="182" customFormat="1" ht="15" customHeight="1" thickBot="1">
      <c r="A496" s="260"/>
      <c r="B496" s="261"/>
      <c r="C496" s="232"/>
      <c r="D496" s="191"/>
      <c r="E496" s="191"/>
      <c r="F496" s="191"/>
      <c r="G496" s="191"/>
      <c r="H496" s="191"/>
      <c r="I496" s="191"/>
      <c r="J496" s="192"/>
      <c r="K496" s="192"/>
      <c r="L496" s="140"/>
      <c r="M496" s="191"/>
      <c r="N496" s="191"/>
      <c r="O496" s="191"/>
      <c r="P496" s="191"/>
      <c r="Q496" s="191"/>
      <c r="R496" s="191"/>
      <c r="S496" s="191"/>
      <c r="T496" s="191"/>
      <c r="U496" s="191"/>
      <c r="V496" s="193"/>
      <c r="W496" s="181"/>
      <c r="X496" s="137" t="s">
        <v>520</v>
      </c>
      <c r="Z496" s="183"/>
      <c r="AA496" s="183"/>
    </row>
    <row r="497" spans="1:27" s="182" customFormat="1" ht="15" customHeight="1" thickBot="1">
      <c r="A497" s="260"/>
      <c r="B497" s="245" t="s">
        <v>22</v>
      </c>
      <c r="C497" s="295" t="str">
        <f t="shared" ref="C497:L497" si="81">C493</f>
        <v>Dens.</v>
      </c>
      <c r="D497" s="178" t="str">
        <f t="shared" si="81"/>
        <v>Emb.</v>
      </c>
      <c r="E497" s="178" t="str">
        <f t="shared" si="81"/>
        <v>Esp. Tij.</v>
      </c>
      <c r="F497" s="178" t="str">
        <f t="shared" si="81"/>
        <v>Esp. Tij.</v>
      </c>
      <c r="G497" s="178" t="str">
        <f t="shared" si="81"/>
        <v>Comp. Tij.</v>
      </c>
      <c r="H497" s="178" t="str">
        <f t="shared" si="81"/>
        <v>Larg. Tij.</v>
      </c>
      <c r="I497" s="178" t="str">
        <f t="shared" si="81"/>
        <v>Tipo Fator</v>
      </c>
      <c r="J497" s="178" t="str">
        <f t="shared" si="81"/>
        <v>Vol.</v>
      </c>
      <c r="K497" s="178" t="str">
        <f t="shared" si="81"/>
        <v>Class.</v>
      </c>
      <c r="L497" s="178" t="str">
        <f t="shared" si="81"/>
        <v>Coefic. (%)</v>
      </c>
      <c r="M497" s="191"/>
      <c r="N497" s="191"/>
      <c r="O497" s="191"/>
      <c r="P497" s="191"/>
      <c r="Q497" s="191"/>
      <c r="R497" s="191"/>
      <c r="S497" s="191"/>
      <c r="T497" s="191"/>
      <c r="U497" s="191"/>
      <c r="V497" s="193"/>
      <c r="W497" s="181"/>
      <c r="X497" s="137"/>
      <c r="Z497" s="183"/>
      <c r="AA497" s="183"/>
    </row>
    <row r="498" spans="1:27" s="182" customFormat="1" ht="15" customHeight="1" thickBot="1">
      <c r="A498" s="260"/>
      <c r="B498" s="261"/>
      <c r="C498" s="241">
        <f>SUMIF(Densidades!A:A,'Memória TOTAL'!X498,Densidades!B:B)</f>
        <v>0</v>
      </c>
      <c r="D498" s="130">
        <f>SUMIF(Densidades!A:A,'Memória TOTAL'!X498,Densidades!C:C)</f>
        <v>0</v>
      </c>
      <c r="E498" s="131">
        <f>IF(M494=E494,H494,E494)</f>
        <v>0</v>
      </c>
      <c r="F498" s="131">
        <f>IF(M494=E494,H494,F494)</f>
        <v>0</v>
      </c>
      <c r="G498" s="131">
        <f>IF(M494=G494,H494,G494)</f>
        <v>0</v>
      </c>
      <c r="H498" s="131">
        <f>IF(M494=E494,E494,IF(M494=G494,G494,H494))</f>
        <v>0</v>
      </c>
      <c r="I498" s="131">
        <f>SUMIF(Densidades!A:A,'Memória TOTAL'!X498,Densidades!H:H)</f>
        <v>0</v>
      </c>
      <c r="J498" s="132">
        <f>SUMIF(Formatos!A:A,'Memória TOTAL'!X499,Formatos!G:G)</f>
        <v>0</v>
      </c>
      <c r="K498" s="218">
        <f>SUMIF(Densidades!A:A,'Memória TOTAL'!X498,Densidades!I:I)</f>
        <v>0</v>
      </c>
      <c r="L498" s="219">
        <v>0</v>
      </c>
      <c r="M498" s="191"/>
      <c r="N498" s="191"/>
      <c r="O498" s="191"/>
      <c r="P498" s="191"/>
      <c r="Q498" s="191"/>
      <c r="R498" s="191"/>
      <c r="S498" s="191"/>
      <c r="T498" s="228"/>
      <c r="U498" s="231"/>
      <c r="V498" s="193"/>
      <c r="W498" s="181"/>
      <c r="X498" s="137"/>
      <c r="Z498" s="183"/>
      <c r="AA498" s="183"/>
    </row>
    <row r="499" spans="1:27" s="182" customFormat="1" ht="15" customHeight="1" thickBot="1">
      <c r="A499" s="260"/>
      <c r="B499" s="243" t="s">
        <v>671</v>
      </c>
      <c r="C499" s="232"/>
      <c r="D499" s="191"/>
      <c r="E499" s="191"/>
      <c r="F499" s="191"/>
      <c r="G499" s="191"/>
      <c r="H499" s="191"/>
      <c r="I499" s="191"/>
      <c r="J499" s="192"/>
      <c r="K499" s="192"/>
      <c r="L499" s="140"/>
      <c r="M499" s="191"/>
      <c r="N499" s="191"/>
      <c r="O499" s="191"/>
      <c r="P499" s="191"/>
      <c r="Q499" s="191"/>
      <c r="R499" s="191"/>
      <c r="S499" s="191"/>
      <c r="T499" s="191"/>
      <c r="U499" s="191"/>
      <c r="V499" s="193"/>
      <c r="W499" s="181"/>
      <c r="X499" s="137"/>
      <c r="Z499" s="183"/>
      <c r="AA499" s="183"/>
    </row>
    <row r="500" spans="1:27" s="182" customFormat="1" ht="15" customHeight="1" thickBot="1">
      <c r="A500" s="260"/>
      <c r="B500" s="259"/>
      <c r="C500" s="239" t="s">
        <v>54</v>
      </c>
      <c r="D500" s="235"/>
      <c r="E500" s="191"/>
      <c r="F500" s="234"/>
      <c r="G500" s="234"/>
      <c r="H500" s="144" t="s">
        <v>54</v>
      </c>
      <c r="I500" s="144"/>
      <c r="J500" s="192"/>
      <c r="K500" s="192"/>
      <c r="L500" s="140"/>
      <c r="M500" s="191"/>
      <c r="N500" s="191" t="s">
        <v>22</v>
      </c>
      <c r="O500" s="145" t="s">
        <v>48</v>
      </c>
      <c r="P500" s="145"/>
      <c r="Q500" s="146"/>
      <c r="R500" s="145" t="s">
        <v>54</v>
      </c>
      <c r="S500" s="145"/>
      <c r="T500" s="191"/>
      <c r="U500" s="191"/>
      <c r="V500" s="193"/>
      <c r="W500" s="181"/>
      <c r="X500" s="137"/>
      <c r="Z500" s="183"/>
      <c r="AA500" s="183"/>
    </row>
    <row r="501" spans="1:27" s="182" customFormat="1" ht="15" customHeight="1" thickBot="1">
      <c r="A501" s="260"/>
      <c r="B501" s="206"/>
      <c r="C501" s="239"/>
      <c r="D501" s="235"/>
      <c r="E501" s="191"/>
      <c r="F501" s="191"/>
      <c r="G501" s="191"/>
      <c r="H501" s="236" t="e">
        <f>P494*PI()/(E498+N494)</f>
        <v>#DIV/0!</v>
      </c>
      <c r="I501" s="236"/>
      <c r="J501" s="192"/>
      <c r="K501" s="192"/>
      <c r="L501" s="140"/>
      <c r="M501" s="709" t="s">
        <v>108</v>
      </c>
      <c r="N501" s="191">
        <f>E498</f>
        <v>0</v>
      </c>
      <c r="O501" s="147">
        <f>F498</f>
        <v>0</v>
      </c>
      <c r="P501" s="147"/>
      <c r="Q501" s="153"/>
      <c r="R501" s="147" t="e">
        <f>IF(ROUND(H501+0.4,0)&gt;=0,ROUND(H501+0.4,0),"ERRO")</f>
        <v>#DIV/0!</v>
      </c>
      <c r="S501" s="147"/>
      <c r="T501" s="191"/>
      <c r="U501" s="191"/>
      <c r="V501" s="193"/>
      <c r="W501" s="227"/>
      <c r="X501" s="137"/>
      <c r="Z501" s="183"/>
      <c r="AA501" s="183"/>
    </row>
    <row r="502" spans="1:27" s="151" customFormat="1" ht="15" customHeight="1" thickBot="1">
      <c r="A502" s="244"/>
      <c r="B502" s="243" t="s">
        <v>672</v>
      </c>
      <c r="C502" s="232"/>
      <c r="D502" s="191"/>
      <c r="E502" s="191"/>
      <c r="F502" s="191"/>
      <c r="G502" s="191"/>
      <c r="H502" s="236"/>
      <c r="I502" s="191"/>
      <c r="J502" s="192"/>
      <c r="K502" s="192"/>
      <c r="L502" s="191"/>
      <c r="M502" s="191"/>
      <c r="N502" s="191"/>
      <c r="O502" s="191"/>
      <c r="P502" s="191"/>
      <c r="Q502" s="191"/>
      <c r="R502" s="191"/>
      <c r="S502" s="191"/>
      <c r="T502" s="842" t="s">
        <v>2168</v>
      </c>
      <c r="U502" s="843"/>
      <c r="V502" s="148"/>
      <c r="W502" s="149"/>
      <c r="X502" s="150"/>
      <c r="Z502" s="152"/>
      <c r="AA502" s="152"/>
    </row>
    <row r="503" spans="1:27" s="151" customFormat="1" ht="15" customHeight="1" thickBot="1">
      <c r="A503" s="244"/>
      <c r="B503" s="246"/>
      <c r="C503" s="232"/>
      <c r="D503" s="191"/>
      <c r="E503" s="191"/>
      <c r="F503" s="191"/>
      <c r="G503" s="191"/>
      <c r="H503" s="236"/>
      <c r="I503" s="191"/>
      <c r="J503" s="192"/>
      <c r="K503" s="192"/>
      <c r="L503" s="191"/>
      <c r="M503" s="191"/>
      <c r="N503" s="191"/>
      <c r="O503" s="237" t="s">
        <v>53</v>
      </c>
      <c r="P503" s="191" t="s">
        <v>54</v>
      </c>
      <c r="Q503" s="191"/>
      <c r="R503" s="191"/>
      <c r="S503" s="191"/>
      <c r="T503" s="293" t="s">
        <v>985</v>
      </c>
      <c r="U503" s="191" t="s">
        <v>984</v>
      </c>
      <c r="V503" s="148"/>
      <c r="W503" s="149"/>
      <c r="X503" s="150"/>
      <c r="Z503" s="152"/>
      <c r="AA503" s="152"/>
    </row>
    <row r="504" spans="1:27" s="151" customFormat="1" ht="15" customHeight="1" thickBot="1">
      <c r="A504" s="244"/>
      <c r="B504" s="247" t="str">
        <f>IF(AND(B498&lt;&gt;B496,B498&lt;&gt;0),"FIADAS "&amp;B496&amp;" a "&amp;B498,"FIADA "&amp;B496)</f>
        <v xml:space="preserve">FIADA </v>
      </c>
      <c r="C504" s="264"/>
      <c r="D504" s="197"/>
      <c r="E504" s="197"/>
      <c r="F504" s="197"/>
      <c r="G504" s="197"/>
      <c r="H504" s="197"/>
      <c r="I504" s="197"/>
      <c r="J504" s="230"/>
      <c r="K504" s="230"/>
      <c r="L504" s="158"/>
      <c r="M504" s="197"/>
      <c r="N504" s="160"/>
      <c r="O504" s="255">
        <v>360</v>
      </c>
      <c r="P504" s="254" t="e">
        <f>ROUND(R501/360*O504,2)</f>
        <v>#DIV/0!</v>
      </c>
      <c r="Q504" s="248"/>
      <c r="R504" s="159"/>
      <c r="S504" s="159"/>
      <c r="T504" s="323" t="e">
        <f>((E498+N494)*H501)-P494*PI()</f>
        <v>#DIV/0!</v>
      </c>
      <c r="U504" s="323" t="e">
        <f>(((F498+N494)*H501)-Q494*PI())/H501</f>
        <v>#DIV/0!</v>
      </c>
      <c r="V504" s="160"/>
      <c r="W504" s="161"/>
      <c r="X504" s="162"/>
      <c r="Z504" s="152"/>
      <c r="AA504" s="152"/>
    </row>
    <row r="505" spans="1:27" s="182" customFormat="1" ht="15" customHeight="1">
      <c r="A505" s="211"/>
      <c r="B505" s="206"/>
      <c r="C505" s="294"/>
      <c r="D505" s="191"/>
      <c r="E505" s="131"/>
      <c r="F505" s="131"/>
      <c r="G505" s="131"/>
      <c r="H505" s="131"/>
      <c r="I505" s="228"/>
      <c r="J505" s="228"/>
      <c r="K505" s="228"/>
      <c r="L505" s="191"/>
      <c r="M505" s="191"/>
      <c r="N505" s="191"/>
      <c r="O505" s="140"/>
      <c r="P505" s="191"/>
      <c r="Q505" s="191"/>
      <c r="R505" s="191"/>
      <c r="S505" s="191"/>
      <c r="T505" s="191"/>
      <c r="U505" s="191"/>
      <c r="V505" s="193"/>
      <c r="W505" s="181"/>
      <c r="X505" s="137"/>
      <c r="Z505" s="183"/>
      <c r="AA505" s="183"/>
    </row>
    <row r="506" spans="1:27" s="182" customFormat="1" ht="15" customHeight="1">
      <c r="A506" s="211"/>
      <c r="B506" s="206"/>
      <c r="C506" s="294"/>
      <c r="D506" s="191"/>
      <c r="E506" s="131"/>
      <c r="F506" s="131"/>
      <c r="G506" s="131"/>
      <c r="H506" s="131"/>
      <c r="I506" s="228"/>
      <c r="J506" s="228"/>
      <c r="K506" s="228"/>
      <c r="L506" s="191"/>
      <c r="M506" s="191"/>
      <c r="N506" s="191"/>
      <c r="O506" s="140"/>
      <c r="P506" s="191"/>
      <c r="Q506" s="191"/>
      <c r="R506" s="191"/>
      <c r="S506" s="191"/>
      <c r="T506" s="191"/>
      <c r="U506" s="191"/>
      <c r="V506" s="193"/>
      <c r="W506" s="181"/>
      <c r="X506" s="137"/>
      <c r="Z506" s="183"/>
      <c r="AA506" s="183"/>
    </row>
    <row r="507" spans="1:27" s="182" customFormat="1" ht="15" customHeight="1" thickBot="1">
      <c r="A507" s="211"/>
      <c r="B507" s="275" t="s">
        <v>1006</v>
      </c>
      <c r="C507" s="276"/>
      <c r="D507" s="277"/>
      <c r="E507" s="277"/>
      <c r="F507" s="277"/>
      <c r="G507" s="277"/>
      <c r="H507" s="277"/>
      <c r="I507" s="277"/>
      <c r="J507" s="278"/>
      <c r="K507" s="278"/>
      <c r="L507" s="279"/>
      <c r="M507" s="277"/>
      <c r="N507" s="277"/>
      <c r="O507" s="277"/>
      <c r="P507" s="277"/>
      <c r="Q507" s="277"/>
      <c r="R507" s="277"/>
      <c r="S507" s="280"/>
      <c r="T507" s="277"/>
      <c r="U507" s="277" t="s">
        <v>674</v>
      </c>
      <c r="V507" s="281" t="s">
        <v>27</v>
      </c>
      <c r="W507" s="282"/>
      <c r="X507" s="283"/>
      <c r="Z507" s="183"/>
      <c r="AA507" s="183"/>
    </row>
    <row r="508" spans="1:27" s="182" customFormat="1" ht="15" customHeight="1" thickBot="1">
      <c r="A508" s="211"/>
      <c r="B508" s="206"/>
      <c r="C508" s="129">
        <f>SUMIF(Densidades!A:A,'Memória TOTAL'!X508,Densidades!B:B)</f>
        <v>0</v>
      </c>
      <c r="D508" s="130">
        <f>SUMIF(Densidades!A:A,'Memória TOTAL'!X508,Densidades!C:C)</f>
        <v>0</v>
      </c>
      <c r="E508" s="130" t="str">
        <f>IF(I508=15,"FIRECLAY MORTAR",IF(I508=16,"ALUMINA MORTAR",IF(I508=17,"BASIC MORTAR",IF(I508=18,"MORTAR","-"))))</f>
        <v>-</v>
      </c>
      <c r="F508" s="130" t="str">
        <f>IF(I508=15,"FIRECLAY MORTAR",IF(I508=16,"ALUMINA MORTAR",IF(I508=17,"BASIC MORTAR",IF(I508=18,"MORTAR","-"))))</f>
        <v>-</v>
      </c>
      <c r="G508" s="130" t="str">
        <f>IF(I508=15,"FIRECLAY MORTAR",IF(I508=16,"ALUMINA MORTAR",IF(I508=17,"BASIC MORTAR",IF(I508=18,"MORTAR","-"))))</f>
        <v>-</v>
      </c>
      <c r="H508" s="130" t="str">
        <f>IF(I508=15,"FIRECLAY MORTAR",IF(I508=16,"ALUMINA MORTAR",IF(I508=17,"BASIC MORTAR",IF(I508=18,"MORTAR","-"))))</f>
        <v>-</v>
      </c>
      <c r="I508" s="130">
        <f>SUMIF(Densidades!A:A,'Memória TOTAL'!X508,Densidades!G:G)</f>
        <v>0</v>
      </c>
      <c r="J508" s="132">
        <f>SUMIF(Formatos!A:A,'Memória TOTAL'!X509,Formatos!G:G)</f>
        <v>0</v>
      </c>
      <c r="K508" s="133">
        <f>SUMIF(Densidades!A:A,'Memória TOTAL'!X508,Densidades!I:I)</f>
        <v>0</v>
      </c>
      <c r="L508" s="184">
        <v>0</v>
      </c>
      <c r="M508" s="185"/>
      <c r="N508" s="185"/>
      <c r="O508" s="185"/>
      <c r="P508" s="185"/>
      <c r="Q508" s="185"/>
      <c r="R508" s="185"/>
      <c r="S508" s="185"/>
      <c r="T508" s="186"/>
      <c r="U508" s="286">
        <v>0.06</v>
      </c>
      <c r="V508" s="188" t="e">
        <f>(W494*J494*C508+W498*J498*C508)*U508</f>
        <v>#VALUE!</v>
      </c>
      <c r="W508" s="189" t="str">
        <f>IF(C508=0,"",ROUNDUP(SUM(V508:V509)*(1+L508),0))</f>
        <v/>
      </c>
      <c r="X508" s="259"/>
      <c r="Z508" s="183"/>
      <c r="AA508" s="183"/>
    </row>
    <row r="509" spans="1:27" s="182" customFormat="1" ht="15" customHeight="1">
      <c r="A509" s="211"/>
      <c r="B509" s="206"/>
      <c r="C509" s="129"/>
      <c r="D509" s="191"/>
      <c r="E509" s="191"/>
      <c r="F509" s="191"/>
      <c r="G509" s="191"/>
      <c r="H509" s="191"/>
      <c r="I509" s="191"/>
      <c r="J509" s="192"/>
      <c r="K509" s="192"/>
      <c r="L509" s="140"/>
      <c r="M509" s="191"/>
      <c r="N509" s="191"/>
      <c r="O509" s="191"/>
      <c r="P509" s="191"/>
      <c r="Q509" s="191"/>
      <c r="R509" s="191"/>
      <c r="S509" s="191"/>
      <c r="T509" s="191"/>
      <c r="U509" s="191"/>
      <c r="V509" s="193"/>
      <c r="W509" s="181"/>
      <c r="X509" s="137" t="str">
        <f>IF(AND(H508="-",G508="-",F508="-"),E508,IF(AND(H508="-",G508="-",E508="-"),F508,IF(AND(H508="-",F508="-",E508="-"),G508,H508)))</f>
        <v>-</v>
      </c>
      <c r="Z509" s="183"/>
      <c r="AA509" s="183"/>
    </row>
    <row r="510" spans="1:27" s="182" customFormat="1" ht="15" customHeight="1">
      <c r="A510" s="211"/>
      <c r="B510" s="209"/>
      <c r="C510" s="129"/>
      <c r="D510" s="191"/>
      <c r="E510" s="191"/>
      <c r="F510" s="191"/>
      <c r="G510" s="191"/>
      <c r="H510" s="191"/>
      <c r="I510" s="191"/>
      <c r="J510" s="192"/>
      <c r="K510" s="192"/>
      <c r="L510" s="140"/>
      <c r="M510" s="191"/>
      <c r="N510" s="191"/>
      <c r="O510" s="191"/>
      <c r="P510" s="191"/>
      <c r="Q510" s="191"/>
      <c r="R510" s="191"/>
      <c r="S510" s="191"/>
      <c r="T510" s="191"/>
      <c r="U510" s="191"/>
      <c r="V510" s="193"/>
      <c r="W510" s="181"/>
      <c r="X510" s="137" t="s">
        <v>2</v>
      </c>
      <c r="Z510" s="183"/>
      <c r="AA510" s="183"/>
    </row>
    <row r="511" spans="1:27" ht="15" customHeight="1">
      <c r="A511" s="211"/>
      <c r="B511" s="127"/>
      <c r="C511" s="165"/>
      <c r="D511" s="166"/>
      <c r="E511" s="166"/>
      <c r="F511" s="166"/>
      <c r="G511" s="166"/>
      <c r="H511" s="166"/>
      <c r="I511" s="166"/>
      <c r="J511" s="167"/>
      <c r="K511" s="167"/>
      <c r="L511" s="168"/>
      <c r="M511" s="166"/>
      <c r="N511" s="166"/>
      <c r="O511" s="166"/>
      <c r="P511" s="166"/>
      <c r="Q511" s="166"/>
      <c r="R511" s="166"/>
      <c r="S511" s="166"/>
      <c r="T511" s="166"/>
      <c r="U511" s="166"/>
      <c r="V511" s="169"/>
      <c r="W511" s="170"/>
      <c r="X511" s="171"/>
    </row>
    <row r="512" spans="1:27" s="182" customFormat="1" ht="15" customHeight="1" thickBot="1">
      <c r="A512" s="211"/>
      <c r="B512" s="275" t="s">
        <v>1007</v>
      </c>
      <c r="C512" s="276"/>
      <c r="D512" s="277"/>
      <c r="E512" s="277"/>
      <c r="F512" s="277"/>
      <c r="G512" s="277"/>
      <c r="H512" s="277"/>
      <c r="I512" s="277"/>
      <c r="J512" s="278"/>
      <c r="K512" s="278"/>
      <c r="L512" s="279"/>
      <c r="M512" s="277"/>
      <c r="N512" s="277"/>
      <c r="O512" s="277"/>
      <c r="P512" s="277"/>
      <c r="Q512" s="277"/>
      <c r="R512" s="277" t="s">
        <v>632</v>
      </c>
      <c r="S512" s="280" t="s">
        <v>633</v>
      </c>
      <c r="T512" s="277" t="s">
        <v>634</v>
      </c>
      <c r="U512" s="277" t="s">
        <v>38</v>
      </c>
      <c r="V512" s="281" t="s">
        <v>27</v>
      </c>
      <c r="W512" s="282"/>
      <c r="X512" s="283"/>
      <c r="Z512" s="183"/>
      <c r="AA512" s="183"/>
    </row>
    <row r="513" spans="1:27" s="182" customFormat="1" ht="15" customHeight="1" thickBot="1">
      <c r="A513" s="211"/>
      <c r="B513" s="206"/>
      <c r="C513" s="129">
        <f>SUMIF(Densidades!A:A,'Memória TOTAL'!X513,Densidades!B:B)</f>
        <v>0</v>
      </c>
      <c r="D513" s="130">
        <f>SUMIF(Densidades!A:A,'Memória TOTAL'!X513,Densidades!C:C)</f>
        <v>0</v>
      </c>
      <c r="E513" s="130" t="str">
        <f>IF(I513=15,"FIRECLAY MORTAR",IF(I513=16,"ALUMINA MORTAR",IF(I513=17,"BASIC MORTAR",IF(I513=18,"MORTAR","-"))))</f>
        <v>-</v>
      </c>
      <c r="F513" s="130" t="str">
        <f>IF(I513=15,"FIRECLAY MORTAR",IF(I513=16,"ALUMINA MORTAR",IF(I513=17,"BASIC MORTAR",IF(I513=18,"MORTAR","-"))))</f>
        <v>-</v>
      </c>
      <c r="G513" s="130" t="str">
        <f>IF(I513=15,"FIRECLAY MORTAR",IF(I513=16,"ALUMINA MORTAR",IF(I513=17,"BASIC MORTAR",IF(I513=18,"MORTAR","-"))))</f>
        <v>-</v>
      </c>
      <c r="H513" s="130" t="str">
        <f>IF(I513=15,"FIRECLAY MORTAR",IF(I513=16,"ALUMINA MORTAR",IF(I513=17,"BASIC MORTAR",IF(I513=18,"MORTAR","-"))))</f>
        <v>-</v>
      </c>
      <c r="I513" s="130">
        <f>SUMIF(Densidades!A:A,'Memória TOTAL'!X513,Densidades!G:G)</f>
        <v>0</v>
      </c>
      <c r="J513" s="132">
        <f>SUMIF(Formatos!A:A,'Memória TOTAL'!X514,Formatos!G:G)</f>
        <v>0</v>
      </c>
      <c r="K513" s="218">
        <f>SUMIF(Densidades!A:A,'Memória TOTAL'!X513,Densidades!I:I)</f>
        <v>0</v>
      </c>
      <c r="L513" s="184">
        <v>0</v>
      </c>
      <c r="M513" s="185"/>
      <c r="N513" s="185"/>
      <c r="O513" s="185"/>
      <c r="P513" s="185"/>
      <c r="Q513" s="185"/>
      <c r="R513" s="186">
        <f>((G494*H494)+(G494*E494)+(H494*E494))/1000000</f>
        <v>0</v>
      </c>
      <c r="S513" s="255">
        <v>2</v>
      </c>
      <c r="T513" s="186">
        <f>R513*S513</f>
        <v>0</v>
      </c>
      <c r="U513" s="187">
        <f>SUM(W494:W499)</f>
        <v>0</v>
      </c>
      <c r="V513" s="188">
        <f>(T513*C513*(1+L513))*U513</f>
        <v>0</v>
      </c>
      <c r="W513" s="189" t="str">
        <f>IF(C513=0,"",ROUNDUP(SUM(V513:V514)*(1+L513),0))</f>
        <v/>
      </c>
      <c r="X513" s="259"/>
      <c r="Z513" s="183"/>
      <c r="AA513" s="183"/>
    </row>
    <row r="514" spans="1:27" s="182" customFormat="1" ht="15" customHeight="1">
      <c r="A514" s="211"/>
      <c r="B514" s="206"/>
      <c r="C514" s="129"/>
      <c r="D514" s="191"/>
      <c r="E514" s="191"/>
      <c r="F514" s="191"/>
      <c r="G514" s="191"/>
      <c r="H514" s="191"/>
      <c r="I514" s="191"/>
      <c r="J514" s="192"/>
      <c r="K514" s="192"/>
      <c r="L514" s="140"/>
      <c r="M514" s="191"/>
      <c r="N514" s="191"/>
      <c r="O514" s="191"/>
      <c r="P514" s="191"/>
      <c r="Q514" s="191"/>
      <c r="R514" s="191"/>
      <c r="S514" s="191"/>
      <c r="T514" s="191"/>
      <c r="U514" s="191"/>
      <c r="V514" s="193"/>
      <c r="W514" s="181"/>
      <c r="X514" s="137" t="str">
        <f>IF(AND(H513="-",G513="-",F513="-"),E513,IF(AND(H513="-",G513="-",E513="-"),F513,IF(AND(H513="-",F513="-",E513="-"),G513,H513)))</f>
        <v>-</v>
      </c>
      <c r="Z514" s="183"/>
      <c r="AA514" s="183"/>
    </row>
    <row r="515" spans="1:27" s="182" customFormat="1" ht="15" customHeight="1">
      <c r="A515" s="211"/>
      <c r="B515" s="209"/>
      <c r="C515" s="129"/>
      <c r="D515" s="191"/>
      <c r="E515" s="191"/>
      <c r="F515" s="191"/>
      <c r="G515" s="191"/>
      <c r="H515" s="191"/>
      <c r="I515" s="191"/>
      <c r="J515" s="192"/>
      <c r="K515" s="192"/>
      <c r="L515" s="140"/>
      <c r="M515" s="191"/>
      <c r="N515" s="191"/>
      <c r="O515" s="191"/>
      <c r="P515" s="191"/>
      <c r="Q515" s="191"/>
      <c r="R515" s="191"/>
      <c r="S515" s="191"/>
      <c r="T515" s="191"/>
      <c r="U515" s="191"/>
      <c r="V515" s="193"/>
      <c r="W515" s="181"/>
      <c r="X515" s="137" t="s">
        <v>2</v>
      </c>
      <c r="Z515" s="183"/>
      <c r="AA515" s="183"/>
    </row>
    <row r="516" spans="1:27" s="182" customFormat="1" ht="15" customHeight="1">
      <c r="A516" s="211"/>
      <c r="B516" s="209"/>
      <c r="C516" s="129"/>
      <c r="D516" s="191"/>
      <c r="E516" s="191"/>
      <c r="F516" s="191"/>
      <c r="G516" s="191"/>
      <c r="H516" s="191"/>
      <c r="I516" s="191"/>
      <c r="J516" s="192"/>
      <c r="K516" s="192"/>
      <c r="L516" s="140"/>
      <c r="M516" s="191"/>
      <c r="N516" s="191"/>
      <c r="O516" s="191"/>
      <c r="P516" s="191"/>
      <c r="Q516" s="191"/>
      <c r="R516" s="191"/>
      <c r="S516" s="191"/>
      <c r="T516" s="191"/>
      <c r="U516" s="191"/>
      <c r="V516" s="193"/>
      <c r="W516" s="181"/>
      <c r="X516" s="137"/>
      <c r="Z516" s="183"/>
      <c r="AA516" s="183"/>
    </row>
    <row r="517" spans="1:27" s="182" customFormat="1" ht="15" customHeight="1" thickBot="1">
      <c r="A517" s="211"/>
      <c r="B517" s="505"/>
      <c r="C517" s="505"/>
      <c r="D517" s="508"/>
      <c r="E517" s="508"/>
      <c r="F517" s="508"/>
      <c r="G517" s="508"/>
      <c r="H517" s="508"/>
      <c r="I517" s="508"/>
      <c r="J517" s="508"/>
      <c r="K517" s="508"/>
      <c r="L517" s="508"/>
      <c r="M517" s="508"/>
      <c r="N517" s="508"/>
      <c r="O517" s="508"/>
      <c r="P517" s="508"/>
      <c r="Q517" s="508"/>
      <c r="R517" s="508"/>
      <c r="S517" s="508"/>
      <c r="T517" s="508"/>
      <c r="U517" s="508"/>
      <c r="V517" s="508"/>
      <c r="W517" s="508"/>
      <c r="X517" s="509"/>
      <c r="Z517" s="183"/>
      <c r="AA517" s="183"/>
    </row>
    <row r="518" spans="1:27" ht="15" customHeight="1" thickBot="1">
      <c r="A518" s="274"/>
      <c r="B518" s="489" t="str">
        <f>IF(X519="","COMPOSIÇÃO CONE 1 TIJOLO",X519)</f>
        <v>COMPOSIÇÃO CONE 1 TIJOLO</v>
      </c>
      <c r="C518" s="296" t="s">
        <v>101</v>
      </c>
      <c r="D518" s="270" t="s">
        <v>102</v>
      </c>
      <c r="E518" s="270" t="s">
        <v>42</v>
      </c>
      <c r="F518" s="270" t="s">
        <v>42</v>
      </c>
      <c r="G518" s="270" t="s">
        <v>43</v>
      </c>
      <c r="H518" s="270" t="s">
        <v>44</v>
      </c>
      <c r="I518" s="270" t="s">
        <v>47</v>
      </c>
      <c r="J518" s="270" t="s">
        <v>103</v>
      </c>
      <c r="K518" s="270" t="s">
        <v>37</v>
      </c>
      <c r="L518" s="270" t="s">
        <v>39</v>
      </c>
      <c r="M518" s="270" t="s">
        <v>45</v>
      </c>
      <c r="N518" s="270" t="s">
        <v>46</v>
      </c>
      <c r="O518" s="292" t="s">
        <v>106</v>
      </c>
      <c r="P518" s="270" t="s">
        <v>52</v>
      </c>
      <c r="Q518" s="292" t="s">
        <v>53</v>
      </c>
      <c r="R518" s="270"/>
      <c r="S518" s="270"/>
      <c r="T518" s="270"/>
      <c r="U518" s="270" t="s">
        <v>673</v>
      </c>
      <c r="V518" s="271" t="s">
        <v>27</v>
      </c>
      <c r="W518" s="272"/>
      <c r="X518" s="273"/>
    </row>
    <row r="519" spans="1:27" ht="15" customHeight="1" thickBot="1">
      <c r="A519" s="211"/>
      <c r="B519" s="852" t="s">
        <v>1863</v>
      </c>
      <c r="C519" s="241">
        <f>SUMIF(Densidades!A:A,'Memória TOTAL'!X519,Densidades!B:B)</f>
        <v>0</v>
      </c>
      <c r="D519" s="130">
        <f>SUMIF(Densidades!A:A,'Memória TOTAL'!X519,Densidades!C:C)</f>
        <v>0</v>
      </c>
      <c r="E519" s="721">
        <f>SUMIF(Formatos!A:A,'Memória TOTAL'!X520,Formatos!E:E)</f>
        <v>0</v>
      </c>
      <c r="F519" s="721">
        <f>SUMIF(Formatos!A:A,'Memória TOTAL'!X520,Formatos!F:F)</f>
        <v>0</v>
      </c>
      <c r="G519" s="721">
        <f>SUMIF(Formatos!A:A,'Memória TOTAL'!X520,Formatos!C:C)</f>
        <v>0</v>
      </c>
      <c r="H519" s="721">
        <f>SUMIF(Formatos!A:A,'Memória TOTAL'!X520,Formatos!D:D)</f>
        <v>0</v>
      </c>
      <c r="I519" s="131">
        <f>SUMIF(Densidades!A:A,'Memória TOTAL'!X519,Densidades!H:H)</f>
        <v>0</v>
      </c>
      <c r="J519" s="132">
        <f>SUMIF(Formatos!A:A,'Memória TOTAL'!X520,Formatos!G:G)</f>
        <v>0</v>
      </c>
      <c r="K519" s="133">
        <f>SUMIF(Densidades!A:A,'Memória TOTAL'!X519,Densidades!I:I)</f>
        <v>0</v>
      </c>
      <c r="L519" s="249">
        <v>0</v>
      </c>
      <c r="M519" s="602"/>
      <c r="N519" s="252"/>
      <c r="O519" s="253"/>
      <c r="P519" s="251">
        <f>O519-M519*2</f>
        <v>0</v>
      </c>
      <c r="Q519" s="253"/>
      <c r="R519" s="135"/>
      <c r="S519" s="256"/>
      <c r="T519" s="256"/>
      <c r="U519" s="253"/>
      <c r="V519" s="252" t="str">
        <f>IF(M519="","",IF(M519=H523,ROUND(SUM(P530:P580),0),"ESP. ERRADA"))</f>
        <v/>
      </c>
      <c r="W519" s="258" t="e">
        <f>IF(C519=0,"",ROUNDUP(SUM(V519)*(1+L519),0))*U519</f>
        <v>#VALUE!</v>
      </c>
      <c r="X519" s="259"/>
    </row>
    <row r="520" spans="1:27" s="182" customFormat="1" ht="15" customHeight="1" thickBot="1">
      <c r="A520" s="211"/>
      <c r="B520" s="849"/>
      <c r="C520" s="232"/>
      <c r="D520" s="191"/>
      <c r="E520" s="191"/>
      <c r="F520" s="191"/>
      <c r="G520" s="191"/>
      <c r="H520" s="191"/>
      <c r="I520" s="191"/>
      <c r="J520" s="192"/>
      <c r="K520" s="192"/>
      <c r="L520" s="140"/>
      <c r="M520" s="191"/>
      <c r="N520" s="191"/>
      <c r="O520" s="191"/>
      <c r="P520" s="191"/>
      <c r="Q520" s="191"/>
      <c r="R520" s="191"/>
      <c r="S520" s="191"/>
      <c r="T520" s="191"/>
      <c r="U520" s="191"/>
      <c r="V520" s="193"/>
      <c r="W520" s="181"/>
      <c r="X520" s="137" t="str">
        <f>IF(B525="","",B525)</f>
        <v/>
      </c>
      <c r="Z520" s="183"/>
      <c r="AA520" s="183"/>
    </row>
    <row r="521" spans="1:27" s="182" customFormat="1" ht="15" customHeight="1">
      <c r="A521" s="211"/>
      <c r="B521" s="297"/>
      <c r="C521" s="232"/>
      <c r="D521" s="191"/>
      <c r="E521" s="191"/>
      <c r="F521" s="191"/>
      <c r="G521" s="191"/>
      <c r="H521" s="191"/>
      <c r="I521" s="191"/>
      <c r="J521" s="192"/>
      <c r="K521" s="192"/>
      <c r="L521" s="140"/>
      <c r="M521" s="191"/>
      <c r="N521" s="191"/>
      <c r="O521" s="191"/>
      <c r="P521" s="191"/>
      <c r="Q521" s="191"/>
      <c r="R521" s="191"/>
      <c r="S521" s="191"/>
      <c r="T521" s="191"/>
      <c r="U521" s="191"/>
      <c r="V521" s="193"/>
      <c r="W521" s="181"/>
      <c r="X521" s="137" t="s">
        <v>520</v>
      </c>
      <c r="Z521" s="183"/>
      <c r="AA521" s="183"/>
    </row>
    <row r="522" spans="1:27" s="182" customFormat="1" ht="15" customHeight="1">
      <c r="A522" s="211"/>
      <c r="B522" s="297"/>
      <c r="C522" s="295" t="str">
        <f t="shared" ref="C522:L522" si="82">C518</f>
        <v>Dens.</v>
      </c>
      <c r="D522" s="178" t="str">
        <f t="shared" si="82"/>
        <v>Emb.</v>
      </c>
      <c r="E522" s="178" t="str">
        <f t="shared" si="82"/>
        <v>Esp. Tij.</v>
      </c>
      <c r="F522" s="178" t="str">
        <f t="shared" si="82"/>
        <v>Esp. Tij.</v>
      </c>
      <c r="G522" s="178" t="str">
        <f t="shared" si="82"/>
        <v>Comp. Tij.</v>
      </c>
      <c r="H522" s="178" t="str">
        <f t="shared" si="82"/>
        <v>Larg. Tij.</v>
      </c>
      <c r="I522" s="178" t="str">
        <f t="shared" si="82"/>
        <v>Tipo Fator</v>
      </c>
      <c r="J522" s="178" t="str">
        <f t="shared" si="82"/>
        <v>Vol.</v>
      </c>
      <c r="K522" s="178" t="str">
        <f t="shared" si="82"/>
        <v>Class.</v>
      </c>
      <c r="L522" s="178" t="str">
        <f t="shared" si="82"/>
        <v>Coefic. (%)</v>
      </c>
      <c r="M522" s="191"/>
      <c r="N522" s="191"/>
      <c r="O522" s="191"/>
      <c r="P522" s="191"/>
      <c r="Q522" s="191"/>
      <c r="R522" s="191"/>
      <c r="S522" s="191"/>
      <c r="T522" s="191"/>
      <c r="U522" s="191"/>
      <c r="V522" s="148"/>
      <c r="W522" s="181"/>
      <c r="X522" s="137"/>
      <c r="Z522" s="183"/>
      <c r="AA522" s="183"/>
    </row>
    <row r="523" spans="1:27" s="182" customFormat="1" ht="15" customHeight="1" thickBot="1">
      <c r="A523" s="211"/>
      <c r="B523" s="298"/>
      <c r="C523" s="241">
        <f>SUMIF(Densidades!A:A,'Memória TOTAL'!X523,Densidades!B:B)</f>
        <v>0</v>
      </c>
      <c r="D523" s="130">
        <f>SUMIF(Densidades!A:A,'Memória TOTAL'!X523,Densidades!C:C)</f>
        <v>0</v>
      </c>
      <c r="E523" s="131">
        <f>IF(M519=E519,H519,E519)</f>
        <v>0</v>
      </c>
      <c r="F523" s="131">
        <f>IF(M519=E519,H519,F519)</f>
        <v>0</v>
      </c>
      <c r="G523" s="131">
        <f>IF(M519=G519,H519,G519)</f>
        <v>0</v>
      </c>
      <c r="H523" s="131">
        <f>IF(M519=E519,E519,IF(M519=G519,G519,H519))</f>
        <v>0</v>
      </c>
      <c r="I523" s="131">
        <f>SUMIF(Densidades!A:A,'Memória TOTAL'!X523,Densidades!H:H)</f>
        <v>0</v>
      </c>
      <c r="J523" s="132">
        <f>SUMIF(Formatos!A:A,'Memória TOTAL'!X524,Formatos!G:G)</f>
        <v>0</v>
      </c>
      <c r="K523" s="218">
        <f>SUMIF(Densidades!A:A,'Memória TOTAL'!X523,Densidades!I:I)</f>
        <v>0</v>
      </c>
      <c r="L523" s="219">
        <v>0</v>
      </c>
      <c r="M523" s="191"/>
      <c r="N523" s="191"/>
      <c r="O523" s="191"/>
      <c r="P523" s="191"/>
      <c r="Q523" s="191"/>
      <c r="R523" s="191"/>
      <c r="S523" s="191"/>
      <c r="T523" s="228"/>
      <c r="U523" s="231"/>
      <c r="V523" s="148"/>
      <c r="W523" s="181"/>
      <c r="X523" s="137"/>
      <c r="Z523" s="183"/>
      <c r="AA523" s="183"/>
    </row>
    <row r="524" spans="1:27" s="182" customFormat="1" ht="15" customHeight="1" thickBot="1">
      <c r="A524" s="260"/>
      <c r="B524" s="243" t="s">
        <v>671</v>
      </c>
      <c r="C524" s="232"/>
      <c r="D524" s="191"/>
      <c r="E524" s="191"/>
      <c r="F524" s="191"/>
      <c r="G524" s="191"/>
      <c r="H524" s="191"/>
      <c r="I524" s="191"/>
      <c r="J524" s="192"/>
      <c r="K524" s="192"/>
      <c r="L524" s="140"/>
      <c r="M524" s="191"/>
      <c r="N524" s="191"/>
      <c r="O524" s="191"/>
      <c r="P524" s="191"/>
      <c r="Q524" s="191"/>
      <c r="R524" s="191"/>
      <c r="S524" s="191"/>
      <c r="T524" s="191"/>
      <c r="U524" s="191"/>
      <c r="V524" s="148"/>
      <c r="W524" s="181"/>
      <c r="X524" s="137"/>
      <c r="Z524" s="183"/>
      <c r="AA524" s="183"/>
    </row>
    <row r="525" spans="1:27" s="182" customFormat="1" ht="15" customHeight="1" thickBot="1">
      <c r="A525" s="260"/>
      <c r="B525" s="259"/>
      <c r="C525" s="239" t="s">
        <v>54</v>
      </c>
      <c r="D525" s="235"/>
      <c r="E525" s="191"/>
      <c r="F525" s="191"/>
      <c r="G525" s="191"/>
      <c r="H525" s="236"/>
      <c r="I525" s="236"/>
      <c r="J525" s="192"/>
      <c r="K525" s="192"/>
      <c r="L525" s="140"/>
      <c r="M525" s="191"/>
      <c r="N525" s="191"/>
      <c r="O525" s="145"/>
      <c r="P525" s="145"/>
      <c r="Q525" s="146"/>
      <c r="R525" s="145"/>
      <c r="S525" s="145"/>
      <c r="T525" s="191"/>
      <c r="U525" s="191"/>
      <c r="V525" s="148"/>
      <c r="W525" s="181"/>
      <c r="X525" s="137"/>
      <c r="Z525" s="183"/>
      <c r="AA525" s="183"/>
    </row>
    <row r="526" spans="1:27" s="182" customFormat="1" ht="15" customHeight="1" thickBot="1">
      <c r="A526" s="260"/>
      <c r="B526" s="298"/>
      <c r="C526" s="239"/>
      <c r="D526" s="235"/>
      <c r="E526" s="191"/>
      <c r="F526" s="191"/>
      <c r="G526" s="191"/>
      <c r="H526" s="236"/>
      <c r="I526" s="236"/>
      <c r="J526" s="192"/>
      <c r="K526" s="192"/>
      <c r="L526" s="140"/>
      <c r="M526" s="191"/>
      <c r="N526" s="191"/>
      <c r="O526" s="147"/>
      <c r="P526" s="147"/>
      <c r="Q526" s="153"/>
      <c r="R526" s="147"/>
      <c r="S526" s="147"/>
      <c r="T526" s="191"/>
      <c r="U526" s="191"/>
      <c r="V526" s="148"/>
      <c r="W526" s="227"/>
      <c r="X526" s="137"/>
      <c r="Z526" s="183"/>
      <c r="AA526" s="183"/>
    </row>
    <row r="527" spans="1:27" s="151" customFormat="1" ht="15" customHeight="1" thickBot="1">
      <c r="A527" s="244"/>
      <c r="B527" s="243" t="s">
        <v>672</v>
      </c>
      <c r="C527" s="232"/>
      <c r="D527" s="191"/>
      <c r="E527" s="191"/>
      <c r="F527" s="191"/>
      <c r="G527" s="191"/>
      <c r="H527" s="191"/>
      <c r="I527" s="191"/>
      <c r="J527" s="192"/>
      <c r="K527" s="192"/>
      <c r="L527" s="191"/>
      <c r="M527" s="191"/>
      <c r="N527" s="191"/>
      <c r="O527" s="191"/>
      <c r="P527" s="191"/>
      <c r="Q527" s="191"/>
      <c r="R527" s="191"/>
      <c r="S527" s="191"/>
      <c r="T527" s="147"/>
      <c r="U527" s="147"/>
      <c r="V527" s="148"/>
      <c r="W527" s="149"/>
      <c r="X527" s="150"/>
      <c r="Z527" s="152"/>
      <c r="AA527" s="152"/>
    </row>
    <row r="528" spans="1:27" s="151" customFormat="1" ht="15" customHeight="1" thickBot="1">
      <c r="A528" s="244"/>
      <c r="B528" s="840"/>
      <c r="C528" s="232"/>
      <c r="D528" s="191"/>
      <c r="E528" s="191"/>
      <c r="F528" s="191"/>
      <c r="G528" s="191"/>
      <c r="H528" s="191"/>
      <c r="I528" s="191"/>
      <c r="J528" s="192"/>
      <c r="K528" s="192"/>
      <c r="L528" s="191"/>
      <c r="M528" s="191"/>
      <c r="N528" s="191"/>
      <c r="O528" s="191"/>
      <c r="P528" s="191"/>
      <c r="Q528" s="191"/>
      <c r="R528" s="191"/>
      <c r="S528" s="842" t="s">
        <v>2168</v>
      </c>
      <c r="T528" s="843"/>
      <c r="U528" s="147"/>
      <c r="V528" s="148"/>
      <c r="W528" s="149"/>
      <c r="X528" s="150"/>
      <c r="Z528" s="152"/>
      <c r="AA528" s="152"/>
    </row>
    <row r="529" spans="1:27" s="182" customFormat="1" ht="15" customHeight="1" thickBot="1">
      <c r="A529" s="211"/>
      <c r="B529" s="841"/>
      <c r="C529" s="293" t="s">
        <v>985</v>
      </c>
      <c r="D529" s="192" t="s">
        <v>2171</v>
      </c>
      <c r="E529" s="191" t="s">
        <v>22</v>
      </c>
      <c r="F529" s="191" t="s">
        <v>48</v>
      </c>
      <c r="G529" s="191" t="s">
        <v>981</v>
      </c>
      <c r="H529" s="191" t="s">
        <v>45</v>
      </c>
      <c r="I529" s="192" t="s">
        <v>46</v>
      </c>
      <c r="J529" s="192"/>
      <c r="K529" s="191" t="s">
        <v>54</v>
      </c>
      <c r="L529" s="192"/>
      <c r="M529" s="192"/>
      <c r="N529" s="191"/>
      <c r="O529" s="605" t="s">
        <v>53</v>
      </c>
      <c r="P529" s="191" t="s">
        <v>54</v>
      </c>
      <c r="Q529" s="191"/>
      <c r="R529" s="191"/>
      <c r="S529" s="293" t="s">
        <v>985</v>
      </c>
      <c r="T529" s="191" t="s">
        <v>984</v>
      </c>
      <c r="U529" s="191"/>
      <c r="V529" s="193"/>
      <c r="W529" s="181"/>
      <c r="X529" s="137"/>
      <c r="Z529" s="183"/>
      <c r="AA529" s="183"/>
    </row>
    <row r="530" spans="1:27" s="182" customFormat="1" ht="15" customHeight="1">
      <c r="A530" s="211"/>
      <c r="B530" s="209" t="s">
        <v>388</v>
      </c>
      <c r="C530" s="293">
        <f>O519</f>
        <v>0</v>
      </c>
      <c r="D530" s="624">
        <f>Q519</f>
        <v>0</v>
      </c>
      <c r="E530" s="623">
        <f>E523</f>
        <v>0</v>
      </c>
      <c r="F530" s="623">
        <f>F523</f>
        <v>0</v>
      </c>
      <c r="G530" s="623">
        <f>IF(M519=G523,H523,IF(M519=H523,G523,"Espessura Errada"))</f>
        <v>0</v>
      </c>
      <c r="H530" s="623">
        <f>M519</f>
        <v>0</v>
      </c>
      <c r="I530" s="624">
        <f>N519</f>
        <v>0</v>
      </c>
      <c r="J530" s="192"/>
      <c r="K530" s="228" t="e">
        <f t="shared" ref="K530:K561" si="83">C530*PI()/(E530+I530)</f>
        <v>#DIV/0!</v>
      </c>
      <c r="L530" s="192"/>
      <c r="M530" s="192"/>
      <c r="N530" s="191"/>
      <c r="O530" s="608">
        <v>360</v>
      </c>
      <c r="P530" s="191" t="e">
        <f>ROUNDUP(K530/360*O530,0)</f>
        <v>#DIV/0!</v>
      </c>
      <c r="Q530" s="191"/>
      <c r="R530" s="191"/>
      <c r="S530" s="323" t="e">
        <f t="shared" ref="S530:S561" si="84">((E530+I530)*K530)-C530*PI()</f>
        <v>#DIV/0!</v>
      </c>
      <c r="T530" s="323" t="e">
        <f>(((F530+I530)*K530)-(C530-(H530*2))*PI())/K530</f>
        <v>#DIV/0!</v>
      </c>
      <c r="U530" s="191"/>
      <c r="V530" s="193"/>
      <c r="W530" s="181"/>
      <c r="X530" s="137"/>
      <c r="Z530" s="183"/>
      <c r="AA530" s="183"/>
    </row>
    <row r="531" spans="1:27" s="182" customFormat="1" ht="15" customHeight="1">
      <c r="A531" s="211"/>
      <c r="B531" s="209" t="s">
        <v>980</v>
      </c>
      <c r="C531" s="294">
        <f t="shared" ref="C531:C562" si="85">C530+2*SIN(RADIANS(D531))*(G531+I531)</f>
        <v>0</v>
      </c>
      <c r="D531" s="624">
        <f t="shared" ref="D531:I531" si="86">D530</f>
        <v>0</v>
      </c>
      <c r="E531" s="623">
        <f>E530</f>
        <v>0</v>
      </c>
      <c r="F531" s="623">
        <f>F530</f>
        <v>0</v>
      </c>
      <c r="G531" s="623">
        <f>G530</f>
        <v>0</v>
      </c>
      <c r="H531" s="623">
        <f>H530</f>
        <v>0</v>
      </c>
      <c r="I531" s="624">
        <f t="shared" si="86"/>
        <v>0</v>
      </c>
      <c r="J531" s="192"/>
      <c r="K531" s="228" t="e">
        <f t="shared" si="83"/>
        <v>#DIV/0!</v>
      </c>
      <c r="L531" s="192"/>
      <c r="M531" s="192"/>
      <c r="N531" s="191"/>
      <c r="O531" s="609">
        <f>O530</f>
        <v>360</v>
      </c>
      <c r="P531" s="191" t="e">
        <f t="shared" ref="P531:P578" si="87">ROUNDUP(K531/360*O531,0)</f>
        <v>#DIV/0!</v>
      </c>
      <c r="Q531" s="191"/>
      <c r="R531" s="191"/>
      <c r="S531" s="323" t="e">
        <f t="shared" si="84"/>
        <v>#DIV/0!</v>
      </c>
      <c r="T531" s="323" t="e">
        <f t="shared" ref="T531:T561" si="88">(((F531+I531)*K531)-(C531-(H531*2))*PI())/K531</f>
        <v>#DIV/0!</v>
      </c>
      <c r="U531" s="191"/>
      <c r="V531" s="193"/>
      <c r="W531" s="181"/>
      <c r="X531" s="137"/>
      <c r="Z531" s="183"/>
      <c r="AA531" s="183"/>
    </row>
    <row r="532" spans="1:27" s="182" customFormat="1" ht="15" customHeight="1">
      <c r="A532" s="211"/>
      <c r="B532" s="209" t="s">
        <v>389</v>
      </c>
      <c r="C532" s="294">
        <f t="shared" si="85"/>
        <v>0</v>
      </c>
      <c r="D532" s="624">
        <f t="shared" ref="D532:H579" si="89">D531</f>
        <v>0</v>
      </c>
      <c r="E532" s="623">
        <f t="shared" si="89"/>
        <v>0</v>
      </c>
      <c r="F532" s="623">
        <f t="shared" si="89"/>
        <v>0</v>
      </c>
      <c r="G532" s="623">
        <f t="shared" si="89"/>
        <v>0</v>
      </c>
      <c r="H532" s="623">
        <f t="shared" si="89"/>
        <v>0</v>
      </c>
      <c r="I532" s="624">
        <f t="shared" ref="I532:I579" si="90">I531</f>
        <v>0</v>
      </c>
      <c r="J532" s="192"/>
      <c r="K532" s="228" t="e">
        <f t="shared" si="83"/>
        <v>#DIV/0!</v>
      </c>
      <c r="L532" s="192"/>
      <c r="M532" s="192"/>
      <c r="N532" s="191"/>
      <c r="O532" s="609">
        <f t="shared" ref="O532:O579" si="91">O531</f>
        <v>360</v>
      </c>
      <c r="P532" s="191" t="e">
        <f t="shared" si="87"/>
        <v>#DIV/0!</v>
      </c>
      <c r="Q532" s="191"/>
      <c r="R532" s="191"/>
      <c r="S532" s="323" t="e">
        <f t="shared" si="84"/>
        <v>#DIV/0!</v>
      </c>
      <c r="T532" s="323" t="e">
        <f t="shared" si="88"/>
        <v>#DIV/0!</v>
      </c>
      <c r="U532" s="191"/>
      <c r="V532" s="193"/>
      <c r="W532" s="181"/>
      <c r="X532" s="137"/>
      <c r="Z532" s="183"/>
      <c r="AA532" s="183"/>
    </row>
    <row r="533" spans="1:27" s="182" customFormat="1" ht="15" customHeight="1">
      <c r="A533" s="211"/>
      <c r="B533" s="209" t="s">
        <v>390</v>
      </c>
      <c r="C533" s="294">
        <f t="shared" si="85"/>
        <v>0</v>
      </c>
      <c r="D533" s="624">
        <f t="shared" si="89"/>
        <v>0</v>
      </c>
      <c r="E533" s="623">
        <f t="shared" si="89"/>
        <v>0</v>
      </c>
      <c r="F533" s="623">
        <f t="shared" si="89"/>
        <v>0</v>
      </c>
      <c r="G533" s="623">
        <f t="shared" si="89"/>
        <v>0</v>
      </c>
      <c r="H533" s="623">
        <f t="shared" si="89"/>
        <v>0</v>
      </c>
      <c r="I533" s="624">
        <f t="shared" si="90"/>
        <v>0</v>
      </c>
      <c r="J533" s="192"/>
      <c r="K533" s="228" t="e">
        <f t="shared" si="83"/>
        <v>#DIV/0!</v>
      </c>
      <c r="L533" s="192"/>
      <c r="M533" s="192"/>
      <c r="N533" s="191"/>
      <c r="O533" s="609">
        <f t="shared" si="91"/>
        <v>360</v>
      </c>
      <c r="P533" s="191" t="e">
        <f t="shared" si="87"/>
        <v>#DIV/0!</v>
      </c>
      <c r="Q533" s="191"/>
      <c r="R533" s="191"/>
      <c r="S533" s="323" t="e">
        <f t="shared" si="84"/>
        <v>#DIV/0!</v>
      </c>
      <c r="T533" s="323" t="e">
        <f t="shared" si="88"/>
        <v>#DIV/0!</v>
      </c>
      <c r="U533" s="191"/>
      <c r="V533" s="193"/>
      <c r="W533" s="181"/>
      <c r="X533" s="137"/>
      <c r="Z533" s="183"/>
      <c r="AA533" s="183"/>
    </row>
    <row r="534" spans="1:27" s="182" customFormat="1" ht="15" customHeight="1">
      <c r="A534" s="211"/>
      <c r="B534" s="209" t="s">
        <v>391</v>
      </c>
      <c r="C534" s="294">
        <f t="shared" si="85"/>
        <v>0</v>
      </c>
      <c r="D534" s="624">
        <f t="shared" si="89"/>
        <v>0</v>
      </c>
      <c r="E534" s="623">
        <f t="shared" si="89"/>
        <v>0</v>
      </c>
      <c r="F534" s="623">
        <f t="shared" si="89"/>
        <v>0</v>
      </c>
      <c r="G534" s="623">
        <f t="shared" si="89"/>
        <v>0</v>
      </c>
      <c r="H534" s="623">
        <f t="shared" si="89"/>
        <v>0</v>
      </c>
      <c r="I534" s="624">
        <f t="shared" si="90"/>
        <v>0</v>
      </c>
      <c r="J534" s="192"/>
      <c r="K534" s="228" t="e">
        <f t="shared" si="83"/>
        <v>#DIV/0!</v>
      </c>
      <c r="L534" s="192"/>
      <c r="M534" s="192"/>
      <c r="N534" s="191"/>
      <c r="O534" s="609">
        <f t="shared" si="91"/>
        <v>360</v>
      </c>
      <c r="P534" s="191" t="e">
        <f t="shared" si="87"/>
        <v>#DIV/0!</v>
      </c>
      <c r="Q534" s="191"/>
      <c r="R534" s="191"/>
      <c r="S534" s="323" t="e">
        <f t="shared" si="84"/>
        <v>#DIV/0!</v>
      </c>
      <c r="T534" s="323" t="e">
        <f t="shared" si="88"/>
        <v>#DIV/0!</v>
      </c>
      <c r="U534" s="191"/>
      <c r="V534" s="193"/>
      <c r="W534" s="181"/>
      <c r="X534" s="137"/>
      <c r="Z534" s="183"/>
      <c r="AA534" s="183"/>
    </row>
    <row r="535" spans="1:27" s="182" customFormat="1" ht="15" customHeight="1">
      <c r="A535" s="211"/>
      <c r="B535" s="209" t="s">
        <v>392</v>
      </c>
      <c r="C535" s="294">
        <f t="shared" si="85"/>
        <v>0</v>
      </c>
      <c r="D535" s="624">
        <f t="shared" si="89"/>
        <v>0</v>
      </c>
      <c r="E535" s="623">
        <f t="shared" si="89"/>
        <v>0</v>
      </c>
      <c r="F535" s="623">
        <f t="shared" si="89"/>
        <v>0</v>
      </c>
      <c r="G535" s="623">
        <f t="shared" si="89"/>
        <v>0</v>
      </c>
      <c r="H535" s="623">
        <f t="shared" si="89"/>
        <v>0</v>
      </c>
      <c r="I535" s="624">
        <f t="shared" si="90"/>
        <v>0</v>
      </c>
      <c r="J535" s="192"/>
      <c r="K535" s="228" t="e">
        <f t="shared" si="83"/>
        <v>#DIV/0!</v>
      </c>
      <c r="L535" s="192"/>
      <c r="M535" s="192"/>
      <c r="N535" s="191"/>
      <c r="O535" s="609">
        <f t="shared" si="91"/>
        <v>360</v>
      </c>
      <c r="P535" s="191" t="e">
        <f t="shared" si="87"/>
        <v>#DIV/0!</v>
      </c>
      <c r="Q535" s="191"/>
      <c r="R535" s="191"/>
      <c r="S535" s="323" t="e">
        <f t="shared" si="84"/>
        <v>#DIV/0!</v>
      </c>
      <c r="T535" s="323" t="e">
        <f t="shared" si="88"/>
        <v>#DIV/0!</v>
      </c>
      <c r="U535" s="191"/>
      <c r="V535" s="193"/>
      <c r="W535" s="181"/>
      <c r="X535" s="137"/>
      <c r="Z535" s="183"/>
      <c r="AA535" s="183"/>
    </row>
    <row r="536" spans="1:27" s="182" customFormat="1" ht="15" customHeight="1">
      <c r="A536" s="211"/>
      <c r="B536" s="209" t="s">
        <v>393</v>
      </c>
      <c r="C536" s="294">
        <f t="shared" si="85"/>
        <v>0</v>
      </c>
      <c r="D536" s="624">
        <f t="shared" si="89"/>
        <v>0</v>
      </c>
      <c r="E536" s="623">
        <f t="shared" si="89"/>
        <v>0</v>
      </c>
      <c r="F536" s="623">
        <f t="shared" si="89"/>
        <v>0</v>
      </c>
      <c r="G536" s="623">
        <f t="shared" si="89"/>
        <v>0</v>
      </c>
      <c r="H536" s="623">
        <f t="shared" si="89"/>
        <v>0</v>
      </c>
      <c r="I536" s="624">
        <f t="shared" si="90"/>
        <v>0</v>
      </c>
      <c r="J536" s="192"/>
      <c r="K536" s="228" t="e">
        <f t="shared" si="83"/>
        <v>#DIV/0!</v>
      </c>
      <c r="L536" s="192"/>
      <c r="M536" s="192"/>
      <c r="N536" s="191"/>
      <c r="O536" s="609">
        <f t="shared" si="91"/>
        <v>360</v>
      </c>
      <c r="P536" s="191" t="e">
        <f t="shared" si="87"/>
        <v>#DIV/0!</v>
      </c>
      <c r="Q536" s="191"/>
      <c r="R536" s="191"/>
      <c r="S536" s="323" t="e">
        <f t="shared" si="84"/>
        <v>#DIV/0!</v>
      </c>
      <c r="T536" s="323" t="e">
        <f t="shared" si="88"/>
        <v>#DIV/0!</v>
      </c>
      <c r="U536" s="191"/>
      <c r="V536" s="193"/>
      <c r="W536" s="181"/>
      <c r="X536" s="137"/>
      <c r="Z536" s="183"/>
      <c r="AA536" s="183"/>
    </row>
    <row r="537" spans="1:27" s="182" customFormat="1" ht="15" customHeight="1">
      <c r="A537" s="211"/>
      <c r="B537" s="209" t="s">
        <v>394</v>
      </c>
      <c r="C537" s="294">
        <f t="shared" si="85"/>
        <v>0</v>
      </c>
      <c r="D537" s="624">
        <f t="shared" si="89"/>
        <v>0</v>
      </c>
      <c r="E537" s="623">
        <f t="shared" si="89"/>
        <v>0</v>
      </c>
      <c r="F537" s="623">
        <f t="shared" si="89"/>
        <v>0</v>
      </c>
      <c r="G537" s="623">
        <f t="shared" si="89"/>
        <v>0</v>
      </c>
      <c r="H537" s="623">
        <f t="shared" si="89"/>
        <v>0</v>
      </c>
      <c r="I537" s="624">
        <f t="shared" si="90"/>
        <v>0</v>
      </c>
      <c r="J537" s="192"/>
      <c r="K537" s="228" t="e">
        <f t="shared" si="83"/>
        <v>#DIV/0!</v>
      </c>
      <c r="L537" s="228"/>
      <c r="M537" s="228"/>
      <c r="N537" s="191"/>
      <c r="O537" s="609">
        <f t="shared" si="91"/>
        <v>360</v>
      </c>
      <c r="P537" s="191" t="e">
        <f t="shared" si="87"/>
        <v>#DIV/0!</v>
      </c>
      <c r="Q537" s="191"/>
      <c r="R537" s="191"/>
      <c r="S537" s="323" t="e">
        <f t="shared" si="84"/>
        <v>#DIV/0!</v>
      </c>
      <c r="T537" s="323" t="e">
        <f t="shared" si="88"/>
        <v>#DIV/0!</v>
      </c>
      <c r="U537" s="191"/>
      <c r="V537" s="193"/>
      <c r="W537" s="181"/>
      <c r="X537" s="137"/>
      <c r="Z537" s="183"/>
      <c r="AA537" s="183"/>
    </row>
    <row r="538" spans="1:27" s="182" customFormat="1" ht="15" customHeight="1">
      <c r="A538" s="211"/>
      <c r="B538" s="209" t="s">
        <v>395</v>
      </c>
      <c r="C538" s="294">
        <f t="shared" si="85"/>
        <v>0</v>
      </c>
      <c r="D538" s="624">
        <f t="shared" si="89"/>
        <v>0</v>
      </c>
      <c r="E538" s="623">
        <f t="shared" si="89"/>
        <v>0</v>
      </c>
      <c r="F538" s="623">
        <f t="shared" si="89"/>
        <v>0</v>
      </c>
      <c r="G538" s="623">
        <f t="shared" si="89"/>
        <v>0</v>
      </c>
      <c r="H538" s="623">
        <f t="shared" si="89"/>
        <v>0</v>
      </c>
      <c r="I538" s="624">
        <f t="shared" si="90"/>
        <v>0</v>
      </c>
      <c r="J538" s="192"/>
      <c r="K538" s="228" t="e">
        <f t="shared" si="83"/>
        <v>#DIV/0!</v>
      </c>
      <c r="L538" s="228"/>
      <c r="M538" s="228"/>
      <c r="N538" s="191"/>
      <c r="O538" s="609">
        <f t="shared" si="91"/>
        <v>360</v>
      </c>
      <c r="P538" s="191" t="e">
        <f t="shared" si="87"/>
        <v>#DIV/0!</v>
      </c>
      <c r="Q538" s="191"/>
      <c r="R538" s="191"/>
      <c r="S538" s="323" t="e">
        <f t="shared" si="84"/>
        <v>#DIV/0!</v>
      </c>
      <c r="T538" s="323" t="e">
        <f t="shared" si="88"/>
        <v>#DIV/0!</v>
      </c>
      <c r="U538" s="191"/>
      <c r="V538" s="193"/>
      <c r="W538" s="181"/>
      <c r="X538" s="137"/>
      <c r="Z538" s="183"/>
      <c r="AA538" s="183"/>
    </row>
    <row r="539" spans="1:27" s="182" customFormat="1" ht="15" customHeight="1">
      <c r="A539" s="211"/>
      <c r="B539" s="209" t="s">
        <v>396</v>
      </c>
      <c r="C539" s="294">
        <f t="shared" si="85"/>
        <v>0</v>
      </c>
      <c r="D539" s="624">
        <f t="shared" si="89"/>
        <v>0</v>
      </c>
      <c r="E539" s="623">
        <f t="shared" si="89"/>
        <v>0</v>
      </c>
      <c r="F539" s="623">
        <f t="shared" si="89"/>
        <v>0</v>
      </c>
      <c r="G539" s="623">
        <f t="shared" si="89"/>
        <v>0</v>
      </c>
      <c r="H539" s="623">
        <f t="shared" si="89"/>
        <v>0</v>
      </c>
      <c r="I539" s="624">
        <f t="shared" si="90"/>
        <v>0</v>
      </c>
      <c r="J539" s="192"/>
      <c r="K539" s="228" t="e">
        <f t="shared" si="83"/>
        <v>#DIV/0!</v>
      </c>
      <c r="L539" s="228"/>
      <c r="M539" s="228"/>
      <c r="N539" s="191"/>
      <c r="O539" s="609">
        <f t="shared" si="91"/>
        <v>360</v>
      </c>
      <c r="P539" s="191" t="e">
        <f t="shared" si="87"/>
        <v>#DIV/0!</v>
      </c>
      <c r="Q539" s="191"/>
      <c r="R539" s="191"/>
      <c r="S539" s="323" t="e">
        <f t="shared" si="84"/>
        <v>#DIV/0!</v>
      </c>
      <c r="T539" s="323" t="e">
        <f t="shared" si="88"/>
        <v>#DIV/0!</v>
      </c>
      <c r="U539" s="191"/>
      <c r="V539" s="193"/>
      <c r="W539" s="181"/>
      <c r="X539" s="137"/>
      <c r="Z539" s="183"/>
      <c r="AA539" s="183"/>
    </row>
    <row r="540" spans="1:27" s="182" customFormat="1" ht="15" customHeight="1">
      <c r="A540" s="211"/>
      <c r="B540" s="209" t="s">
        <v>397</v>
      </c>
      <c r="C540" s="294">
        <f t="shared" si="85"/>
        <v>0</v>
      </c>
      <c r="D540" s="624">
        <f t="shared" si="89"/>
        <v>0</v>
      </c>
      <c r="E540" s="623">
        <f t="shared" si="89"/>
        <v>0</v>
      </c>
      <c r="F540" s="623">
        <f t="shared" si="89"/>
        <v>0</v>
      </c>
      <c r="G540" s="623">
        <f t="shared" si="89"/>
        <v>0</v>
      </c>
      <c r="H540" s="623">
        <f t="shared" si="89"/>
        <v>0</v>
      </c>
      <c r="I540" s="624">
        <f t="shared" si="90"/>
        <v>0</v>
      </c>
      <c r="J540" s="192"/>
      <c r="K540" s="228" t="e">
        <f t="shared" si="83"/>
        <v>#DIV/0!</v>
      </c>
      <c r="L540" s="228"/>
      <c r="M540" s="228"/>
      <c r="N540" s="191"/>
      <c r="O540" s="609">
        <f t="shared" si="91"/>
        <v>360</v>
      </c>
      <c r="P540" s="191" t="e">
        <f t="shared" si="87"/>
        <v>#DIV/0!</v>
      </c>
      <c r="Q540" s="191"/>
      <c r="R540" s="191"/>
      <c r="S540" s="323" t="e">
        <f t="shared" si="84"/>
        <v>#DIV/0!</v>
      </c>
      <c r="T540" s="323" t="e">
        <f t="shared" si="88"/>
        <v>#DIV/0!</v>
      </c>
      <c r="U540" s="191"/>
      <c r="V540" s="193"/>
      <c r="W540" s="181"/>
      <c r="X540" s="137"/>
      <c r="Z540" s="183"/>
      <c r="AA540" s="183"/>
    </row>
    <row r="541" spans="1:27" s="182" customFormat="1" ht="15" customHeight="1">
      <c r="A541" s="211"/>
      <c r="B541" s="209" t="s">
        <v>398</v>
      </c>
      <c r="C541" s="294">
        <f t="shared" si="85"/>
        <v>0</v>
      </c>
      <c r="D541" s="624">
        <f t="shared" si="89"/>
        <v>0</v>
      </c>
      <c r="E541" s="623">
        <f t="shared" si="89"/>
        <v>0</v>
      </c>
      <c r="F541" s="623">
        <f t="shared" si="89"/>
        <v>0</v>
      </c>
      <c r="G541" s="623">
        <f t="shared" si="89"/>
        <v>0</v>
      </c>
      <c r="H541" s="623">
        <f t="shared" si="89"/>
        <v>0</v>
      </c>
      <c r="I541" s="624">
        <f t="shared" si="90"/>
        <v>0</v>
      </c>
      <c r="J541" s="192"/>
      <c r="K541" s="228" t="e">
        <f t="shared" si="83"/>
        <v>#DIV/0!</v>
      </c>
      <c r="L541" s="228"/>
      <c r="M541" s="228"/>
      <c r="N541" s="191"/>
      <c r="O541" s="609">
        <f t="shared" si="91"/>
        <v>360</v>
      </c>
      <c r="P541" s="191" t="e">
        <f t="shared" si="87"/>
        <v>#DIV/0!</v>
      </c>
      <c r="Q541" s="191"/>
      <c r="R541" s="191"/>
      <c r="S541" s="323" t="e">
        <f t="shared" si="84"/>
        <v>#DIV/0!</v>
      </c>
      <c r="T541" s="323" t="e">
        <f t="shared" si="88"/>
        <v>#DIV/0!</v>
      </c>
      <c r="U541" s="191"/>
      <c r="V541" s="193"/>
      <c r="W541" s="181"/>
      <c r="X541" s="137"/>
      <c r="Z541" s="183"/>
      <c r="AA541" s="183"/>
    </row>
    <row r="542" spans="1:27" s="182" customFormat="1" ht="15" customHeight="1">
      <c r="A542" s="211"/>
      <c r="B542" s="209" t="s">
        <v>399</v>
      </c>
      <c r="C542" s="294">
        <f t="shared" si="85"/>
        <v>0</v>
      </c>
      <c r="D542" s="624">
        <f t="shared" si="89"/>
        <v>0</v>
      </c>
      <c r="E542" s="623">
        <f t="shared" si="89"/>
        <v>0</v>
      </c>
      <c r="F542" s="623">
        <f t="shared" si="89"/>
        <v>0</v>
      </c>
      <c r="G542" s="623">
        <f t="shared" si="89"/>
        <v>0</v>
      </c>
      <c r="H542" s="623">
        <f t="shared" si="89"/>
        <v>0</v>
      </c>
      <c r="I542" s="624">
        <f t="shared" si="90"/>
        <v>0</v>
      </c>
      <c r="J542" s="192"/>
      <c r="K542" s="228" t="e">
        <f t="shared" si="83"/>
        <v>#DIV/0!</v>
      </c>
      <c r="L542" s="228"/>
      <c r="M542" s="228"/>
      <c r="N542" s="191"/>
      <c r="O542" s="609">
        <f t="shared" si="91"/>
        <v>360</v>
      </c>
      <c r="P542" s="191" t="e">
        <f t="shared" si="87"/>
        <v>#DIV/0!</v>
      </c>
      <c r="Q542" s="191"/>
      <c r="R542" s="191"/>
      <c r="S542" s="323" t="e">
        <f t="shared" si="84"/>
        <v>#DIV/0!</v>
      </c>
      <c r="T542" s="323" t="e">
        <f t="shared" si="88"/>
        <v>#DIV/0!</v>
      </c>
      <c r="U542" s="191"/>
      <c r="V542" s="193"/>
      <c r="W542" s="181"/>
      <c r="X542" s="137"/>
      <c r="Z542" s="183"/>
      <c r="AA542" s="183"/>
    </row>
    <row r="543" spans="1:27" s="182" customFormat="1" ht="15" customHeight="1">
      <c r="A543" s="211"/>
      <c r="B543" s="209" t="s">
        <v>400</v>
      </c>
      <c r="C543" s="294">
        <f t="shared" si="85"/>
        <v>0</v>
      </c>
      <c r="D543" s="624">
        <f t="shared" si="89"/>
        <v>0</v>
      </c>
      <c r="E543" s="623">
        <f t="shared" si="89"/>
        <v>0</v>
      </c>
      <c r="F543" s="623">
        <f t="shared" si="89"/>
        <v>0</v>
      </c>
      <c r="G543" s="623">
        <f t="shared" si="89"/>
        <v>0</v>
      </c>
      <c r="H543" s="623">
        <f t="shared" si="89"/>
        <v>0</v>
      </c>
      <c r="I543" s="624">
        <f t="shared" si="90"/>
        <v>0</v>
      </c>
      <c r="J543" s="192"/>
      <c r="K543" s="228" t="e">
        <f t="shared" si="83"/>
        <v>#DIV/0!</v>
      </c>
      <c r="L543" s="228"/>
      <c r="M543" s="228"/>
      <c r="N543" s="191"/>
      <c r="O543" s="609">
        <f t="shared" si="91"/>
        <v>360</v>
      </c>
      <c r="P543" s="191" t="e">
        <f t="shared" si="87"/>
        <v>#DIV/0!</v>
      </c>
      <c r="Q543" s="191"/>
      <c r="R543" s="191"/>
      <c r="S543" s="323" t="e">
        <f t="shared" si="84"/>
        <v>#DIV/0!</v>
      </c>
      <c r="T543" s="323" t="e">
        <f t="shared" si="88"/>
        <v>#DIV/0!</v>
      </c>
      <c r="U543" s="191"/>
      <c r="V543" s="193"/>
      <c r="W543" s="181"/>
      <c r="X543" s="137"/>
      <c r="Z543" s="183"/>
      <c r="AA543" s="183"/>
    </row>
    <row r="544" spans="1:27" s="182" customFormat="1" ht="15" customHeight="1">
      <c r="A544" s="211"/>
      <c r="B544" s="209" t="s">
        <v>401</v>
      </c>
      <c r="C544" s="294">
        <f t="shared" si="85"/>
        <v>0</v>
      </c>
      <c r="D544" s="624">
        <f t="shared" si="89"/>
        <v>0</v>
      </c>
      <c r="E544" s="623">
        <f t="shared" si="89"/>
        <v>0</v>
      </c>
      <c r="F544" s="623">
        <f t="shared" si="89"/>
        <v>0</v>
      </c>
      <c r="G544" s="623">
        <f t="shared" si="89"/>
        <v>0</v>
      </c>
      <c r="H544" s="623">
        <f t="shared" si="89"/>
        <v>0</v>
      </c>
      <c r="I544" s="624">
        <f t="shared" si="90"/>
        <v>0</v>
      </c>
      <c r="J544" s="192"/>
      <c r="K544" s="228" t="e">
        <f t="shared" si="83"/>
        <v>#DIV/0!</v>
      </c>
      <c r="L544" s="228"/>
      <c r="M544" s="228"/>
      <c r="N544" s="191"/>
      <c r="O544" s="609">
        <f t="shared" si="91"/>
        <v>360</v>
      </c>
      <c r="P544" s="191" t="e">
        <f t="shared" si="87"/>
        <v>#DIV/0!</v>
      </c>
      <c r="Q544" s="191"/>
      <c r="R544" s="191"/>
      <c r="S544" s="323" t="e">
        <f t="shared" si="84"/>
        <v>#DIV/0!</v>
      </c>
      <c r="T544" s="323" t="e">
        <f t="shared" si="88"/>
        <v>#DIV/0!</v>
      </c>
      <c r="U544" s="191"/>
      <c r="V544" s="193"/>
      <c r="W544" s="181"/>
      <c r="X544" s="137"/>
      <c r="Z544" s="183"/>
      <c r="AA544" s="183"/>
    </row>
    <row r="545" spans="1:27" s="182" customFormat="1" ht="15" customHeight="1">
      <c r="A545" s="211"/>
      <c r="B545" s="209" t="s">
        <v>402</v>
      </c>
      <c r="C545" s="294">
        <f t="shared" si="85"/>
        <v>0</v>
      </c>
      <c r="D545" s="624">
        <f t="shared" si="89"/>
        <v>0</v>
      </c>
      <c r="E545" s="623">
        <f t="shared" si="89"/>
        <v>0</v>
      </c>
      <c r="F545" s="623">
        <f t="shared" si="89"/>
        <v>0</v>
      </c>
      <c r="G545" s="623">
        <f t="shared" si="89"/>
        <v>0</v>
      </c>
      <c r="H545" s="623">
        <f t="shared" si="89"/>
        <v>0</v>
      </c>
      <c r="I545" s="624">
        <f t="shared" si="90"/>
        <v>0</v>
      </c>
      <c r="J545" s="192"/>
      <c r="K545" s="228" t="e">
        <f t="shared" si="83"/>
        <v>#DIV/0!</v>
      </c>
      <c r="L545" s="228"/>
      <c r="M545" s="228"/>
      <c r="N545" s="191"/>
      <c r="O545" s="609">
        <f t="shared" si="91"/>
        <v>360</v>
      </c>
      <c r="P545" s="191" t="e">
        <f t="shared" si="87"/>
        <v>#DIV/0!</v>
      </c>
      <c r="Q545" s="191"/>
      <c r="R545" s="191"/>
      <c r="S545" s="323" t="e">
        <f t="shared" si="84"/>
        <v>#DIV/0!</v>
      </c>
      <c r="T545" s="323" t="e">
        <f t="shared" si="88"/>
        <v>#DIV/0!</v>
      </c>
      <c r="U545" s="191"/>
      <c r="V545" s="193"/>
      <c r="W545" s="181"/>
      <c r="X545" s="137"/>
      <c r="Z545" s="183"/>
      <c r="AA545" s="183"/>
    </row>
    <row r="546" spans="1:27" s="182" customFormat="1" ht="15" customHeight="1">
      <c r="A546" s="211"/>
      <c r="B546" s="209" t="s">
        <v>403</v>
      </c>
      <c r="C546" s="294">
        <f t="shared" si="85"/>
        <v>0</v>
      </c>
      <c r="D546" s="624">
        <f t="shared" si="89"/>
        <v>0</v>
      </c>
      <c r="E546" s="623">
        <f t="shared" si="89"/>
        <v>0</v>
      </c>
      <c r="F546" s="623">
        <f t="shared" si="89"/>
        <v>0</v>
      </c>
      <c r="G546" s="623">
        <f t="shared" si="89"/>
        <v>0</v>
      </c>
      <c r="H546" s="623">
        <f t="shared" si="89"/>
        <v>0</v>
      </c>
      <c r="I546" s="624">
        <f t="shared" si="90"/>
        <v>0</v>
      </c>
      <c r="J546" s="192"/>
      <c r="K546" s="228" t="e">
        <f t="shared" si="83"/>
        <v>#DIV/0!</v>
      </c>
      <c r="L546" s="228"/>
      <c r="M546" s="228"/>
      <c r="N546" s="191"/>
      <c r="O546" s="609">
        <f t="shared" si="91"/>
        <v>360</v>
      </c>
      <c r="P546" s="191" t="e">
        <f t="shared" si="87"/>
        <v>#DIV/0!</v>
      </c>
      <c r="Q546" s="191"/>
      <c r="R546" s="191"/>
      <c r="S546" s="323" t="e">
        <f t="shared" si="84"/>
        <v>#DIV/0!</v>
      </c>
      <c r="T546" s="323" t="e">
        <f t="shared" si="88"/>
        <v>#DIV/0!</v>
      </c>
      <c r="U546" s="191"/>
      <c r="V546" s="193"/>
      <c r="W546" s="181"/>
      <c r="X546" s="137"/>
      <c r="Z546" s="183"/>
      <c r="AA546" s="183"/>
    </row>
    <row r="547" spans="1:27" s="182" customFormat="1" ht="15" customHeight="1">
      <c r="A547" s="211"/>
      <c r="B547" s="209" t="s">
        <v>404</v>
      </c>
      <c r="C547" s="294">
        <f t="shared" si="85"/>
        <v>0</v>
      </c>
      <c r="D547" s="624">
        <f t="shared" si="89"/>
        <v>0</v>
      </c>
      <c r="E547" s="623">
        <f t="shared" si="89"/>
        <v>0</v>
      </c>
      <c r="F547" s="623">
        <f t="shared" si="89"/>
        <v>0</v>
      </c>
      <c r="G547" s="623">
        <f t="shared" si="89"/>
        <v>0</v>
      </c>
      <c r="H547" s="623">
        <f t="shared" si="89"/>
        <v>0</v>
      </c>
      <c r="I547" s="624">
        <f t="shared" si="90"/>
        <v>0</v>
      </c>
      <c r="J547" s="192"/>
      <c r="K547" s="228" t="e">
        <f t="shared" si="83"/>
        <v>#DIV/0!</v>
      </c>
      <c r="L547" s="228"/>
      <c r="M547" s="228"/>
      <c r="N547" s="191"/>
      <c r="O547" s="609">
        <f t="shared" si="91"/>
        <v>360</v>
      </c>
      <c r="P547" s="191" t="e">
        <f t="shared" si="87"/>
        <v>#DIV/0!</v>
      </c>
      <c r="Q547" s="191"/>
      <c r="R547" s="191"/>
      <c r="S547" s="323" t="e">
        <f t="shared" si="84"/>
        <v>#DIV/0!</v>
      </c>
      <c r="T547" s="323" t="e">
        <f t="shared" si="88"/>
        <v>#DIV/0!</v>
      </c>
      <c r="U547" s="191"/>
      <c r="V547" s="193"/>
      <c r="W547" s="181"/>
      <c r="X547" s="137"/>
      <c r="Z547" s="183"/>
      <c r="AA547" s="183"/>
    </row>
    <row r="548" spans="1:27" s="182" customFormat="1" ht="15" customHeight="1">
      <c r="A548" s="211"/>
      <c r="B548" s="209" t="s">
        <v>405</v>
      </c>
      <c r="C548" s="294">
        <f t="shared" si="85"/>
        <v>0</v>
      </c>
      <c r="D548" s="624">
        <f t="shared" si="89"/>
        <v>0</v>
      </c>
      <c r="E548" s="623">
        <f t="shared" si="89"/>
        <v>0</v>
      </c>
      <c r="F548" s="623">
        <f t="shared" si="89"/>
        <v>0</v>
      </c>
      <c r="G548" s="623">
        <f t="shared" si="89"/>
        <v>0</v>
      </c>
      <c r="H548" s="623">
        <f t="shared" si="89"/>
        <v>0</v>
      </c>
      <c r="I548" s="624">
        <f t="shared" si="90"/>
        <v>0</v>
      </c>
      <c r="J548" s="192"/>
      <c r="K548" s="228" t="e">
        <f t="shared" si="83"/>
        <v>#DIV/0!</v>
      </c>
      <c r="L548" s="228"/>
      <c r="M548" s="228"/>
      <c r="N548" s="191"/>
      <c r="O548" s="609">
        <f t="shared" si="91"/>
        <v>360</v>
      </c>
      <c r="P548" s="191" t="e">
        <f t="shared" si="87"/>
        <v>#DIV/0!</v>
      </c>
      <c r="Q548" s="191"/>
      <c r="R548" s="191"/>
      <c r="S548" s="323" t="e">
        <f t="shared" si="84"/>
        <v>#DIV/0!</v>
      </c>
      <c r="T548" s="323" t="e">
        <f t="shared" si="88"/>
        <v>#DIV/0!</v>
      </c>
      <c r="U548" s="191"/>
      <c r="V548" s="193"/>
      <c r="W548" s="181"/>
      <c r="X548" s="137"/>
      <c r="Z548" s="183"/>
      <c r="AA548" s="183"/>
    </row>
    <row r="549" spans="1:27" s="182" customFormat="1" ht="15" customHeight="1">
      <c r="A549" s="211"/>
      <c r="B549" s="209" t="s">
        <v>406</v>
      </c>
      <c r="C549" s="294">
        <f t="shared" si="85"/>
        <v>0</v>
      </c>
      <c r="D549" s="624">
        <f t="shared" si="89"/>
        <v>0</v>
      </c>
      <c r="E549" s="623">
        <f t="shared" si="89"/>
        <v>0</v>
      </c>
      <c r="F549" s="623">
        <f t="shared" si="89"/>
        <v>0</v>
      </c>
      <c r="G549" s="623">
        <f t="shared" si="89"/>
        <v>0</v>
      </c>
      <c r="H549" s="623">
        <f t="shared" si="89"/>
        <v>0</v>
      </c>
      <c r="I549" s="624">
        <f t="shared" si="90"/>
        <v>0</v>
      </c>
      <c r="J549" s="192"/>
      <c r="K549" s="228" t="e">
        <f t="shared" si="83"/>
        <v>#DIV/0!</v>
      </c>
      <c r="L549" s="228"/>
      <c r="M549" s="228"/>
      <c r="N549" s="191"/>
      <c r="O549" s="609">
        <f t="shared" si="91"/>
        <v>360</v>
      </c>
      <c r="P549" s="191" t="e">
        <f t="shared" si="87"/>
        <v>#DIV/0!</v>
      </c>
      <c r="Q549" s="191"/>
      <c r="R549" s="191"/>
      <c r="S549" s="323" t="e">
        <f t="shared" si="84"/>
        <v>#DIV/0!</v>
      </c>
      <c r="T549" s="323" t="e">
        <f t="shared" si="88"/>
        <v>#DIV/0!</v>
      </c>
      <c r="U549" s="191"/>
      <c r="V549" s="193"/>
      <c r="W549" s="181"/>
      <c r="X549" s="137"/>
      <c r="Z549" s="183"/>
      <c r="AA549" s="183"/>
    </row>
    <row r="550" spans="1:27" s="182" customFormat="1" ht="15" customHeight="1">
      <c r="A550" s="211"/>
      <c r="B550" s="209" t="s">
        <v>407</v>
      </c>
      <c r="C550" s="294">
        <f t="shared" si="85"/>
        <v>0</v>
      </c>
      <c r="D550" s="624">
        <f t="shared" si="89"/>
        <v>0</v>
      </c>
      <c r="E550" s="623">
        <f t="shared" si="89"/>
        <v>0</v>
      </c>
      <c r="F550" s="623">
        <f t="shared" si="89"/>
        <v>0</v>
      </c>
      <c r="G550" s="623">
        <f t="shared" si="89"/>
        <v>0</v>
      </c>
      <c r="H550" s="623">
        <f t="shared" si="89"/>
        <v>0</v>
      </c>
      <c r="I550" s="624">
        <f t="shared" si="90"/>
        <v>0</v>
      </c>
      <c r="J550" s="192"/>
      <c r="K550" s="228" t="e">
        <f t="shared" si="83"/>
        <v>#DIV/0!</v>
      </c>
      <c r="L550" s="228"/>
      <c r="M550" s="228"/>
      <c r="N550" s="191"/>
      <c r="O550" s="609">
        <f t="shared" si="91"/>
        <v>360</v>
      </c>
      <c r="P550" s="191" t="e">
        <f t="shared" si="87"/>
        <v>#DIV/0!</v>
      </c>
      <c r="Q550" s="191"/>
      <c r="R550" s="191"/>
      <c r="S550" s="323" t="e">
        <f t="shared" si="84"/>
        <v>#DIV/0!</v>
      </c>
      <c r="T550" s="323" t="e">
        <f t="shared" si="88"/>
        <v>#DIV/0!</v>
      </c>
      <c r="U550" s="191"/>
      <c r="V550" s="193"/>
      <c r="W550" s="181"/>
      <c r="X550" s="137"/>
      <c r="Z550" s="183"/>
      <c r="AA550" s="183"/>
    </row>
    <row r="551" spans="1:27" s="182" customFormat="1" ht="15" customHeight="1">
      <c r="A551" s="211"/>
      <c r="B551" s="209" t="s">
        <v>408</v>
      </c>
      <c r="C551" s="294">
        <f t="shared" si="85"/>
        <v>0</v>
      </c>
      <c r="D551" s="624">
        <f t="shared" si="89"/>
        <v>0</v>
      </c>
      <c r="E551" s="623">
        <f t="shared" si="89"/>
        <v>0</v>
      </c>
      <c r="F551" s="623">
        <f t="shared" si="89"/>
        <v>0</v>
      </c>
      <c r="G551" s="623">
        <f t="shared" si="89"/>
        <v>0</v>
      </c>
      <c r="H551" s="623">
        <f t="shared" si="89"/>
        <v>0</v>
      </c>
      <c r="I551" s="624">
        <f t="shared" si="90"/>
        <v>0</v>
      </c>
      <c r="J551" s="192"/>
      <c r="K551" s="228" t="e">
        <f t="shared" si="83"/>
        <v>#DIV/0!</v>
      </c>
      <c r="L551" s="228"/>
      <c r="M551" s="228"/>
      <c r="N551" s="191"/>
      <c r="O551" s="609">
        <f t="shared" si="91"/>
        <v>360</v>
      </c>
      <c r="P551" s="191" t="e">
        <f t="shared" si="87"/>
        <v>#DIV/0!</v>
      </c>
      <c r="Q551" s="191"/>
      <c r="R551" s="191"/>
      <c r="S551" s="323" t="e">
        <f t="shared" si="84"/>
        <v>#DIV/0!</v>
      </c>
      <c r="T551" s="323" t="e">
        <f t="shared" si="88"/>
        <v>#DIV/0!</v>
      </c>
      <c r="U551" s="191"/>
      <c r="V551" s="193"/>
      <c r="W551" s="181"/>
      <c r="X551" s="137"/>
      <c r="Z551" s="183"/>
      <c r="AA551" s="183"/>
    </row>
    <row r="552" spans="1:27" s="182" customFormat="1" ht="15" customHeight="1">
      <c r="A552" s="211"/>
      <c r="B552" s="209" t="s">
        <v>409</v>
      </c>
      <c r="C552" s="294">
        <f t="shared" si="85"/>
        <v>0</v>
      </c>
      <c r="D552" s="624">
        <f t="shared" si="89"/>
        <v>0</v>
      </c>
      <c r="E552" s="623">
        <f t="shared" si="89"/>
        <v>0</v>
      </c>
      <c r="F552" s="623">
        <f t="shared" si="89"/>
        <v>0</v>
      </c>
      <c r="G552" s="623">
        <f t="shared" si="89"/>
        <v>0</v>
      </c>
      <c r="H552" s="623">
        <f t="shared" si="89"/>
        <v>0</v>
      </c>
      <c r="I552" s="624">
        <f t="shared" si="90"/>
        <v>0</v>
      </c>
      <c r="J552" s="192"/>
      <c r="K552" s="228" t="e">
        <f t="shared" si="83"/>
        <v>#DIV/0!</v>
      </c>
      <c r="L552" s="228"/>
      <c r="M552" s="228"/>
      <c r="N552" s="191"/>
      <c r="O552" s="609">
        <f t="shared" si="91"/>
        <v>360</v>
      </c>
      <c r="P552" s="191" t="e">
        <f t="shared" si="87"/>
        <v>#DIV/0!</v>
      </c>
      <c r="Q552" s="191"/>
      <c r="R552" s="191"/>
      <c r="S552" s="323" t="e">
        <f t="shared" si="84"/>
        <v>#DIV/0!</v>
      </c>
      <c r="T552" s="323" t="e">
        <f t="shared" si="88"/>
        <v>#DIV/0!</v>
      </c>
      <c r="U552" s="191"/>
      <c r="V552" s="193"/>
      <c r="W552" s="181"/>
      <c r="X552" s="137"/>
      <c r="Z552" s="183"/>
      <c r="AA552" s="183"/>
    </row>
    <row r="553" spans="1:27" s="182" customFormat="1" ht="15" customHeight="1">
      <c r="A553" s="211"/>
      <c r="B553" s="209" t="s">
        <v>410</v>
      </c>
      <c r="C553" s="294">
        <f t="shared" si="85"/>
        <v>0</v>
      </c>
      <c r="D553" s="624">
        <f t="shared" si="89"/>
        <v>0</v>
      </c>
      <c r="E553" s="623">
        <f t="shared" si="89"/>
        <v>0</v>
      </c>
      <c r="F553" s="623">
        <f t="shared" si="89"/>
        <v>0</v>
      </c>
      <c r="G553" s="623">
        <f t="shared" si="89"/>
        <v>0</v>
      </c>
      <c r="H553" s="623">
        <f t="shared" si="89"/>
        <v>0</v>
      </c>
      <c r="I553" s="624">
        <f t="shared" si="90"/>
        <v>0</v>
      </c>
      <c r="J553" s="192"/>
      <c r="K553" s="228" t="e">
        <f t="shared" si="83"/>
        <v>#DIV/0!</v>
      </c>
      <c r="L553" s="228"/>
      <c r="M553" s="228"/>
      <c r="N553" s="191"/>
      <c r="O553" s="609">
        <f t="shared" si="91"/>
        <v>360</v>
      </c>
      <c r="P553" s="191" t="e">
        <f t="shared" si="87"/>
        <v>#DIV/0!</v>
      </c>
      <c r="Q553" s="191"/>
      <c r="R553" s="191"/>
      <c r="S553" s="323" t="e">
        <f t="shared" si="84"/>
        <v>#DIV/0!</v>
      </c>
      <c r="T553" s="323" t="e">
        <f t="shared" si="88"/>
        <v>#DIV/0!</v>
      </c>
      <c r="U553" s="191"/>
      <c r="V553" s="193"/>
      <c r="W553" s="181"/>
      <c r="X553" s="137"/>
      <c r="Z553" s="183"/>
      <c r="AA553" s="183"/>
    </row>
    <row r="554" spans="1:27" s="182" customFormat="1" ht="15" customHeight="1">
      <c r="A554" s="211"/>
      <c r="B554" s="209" t="s">
        <v>411</v>
      </c>
      <c r="C554" s="294">
        <f t="shared" si="85"/>
        <v>0</v>
      </c>
      <c r="D554" s="624">
        <f t="shared" si="89"/>
        <v>0</v>
      </c>
      <c r="E554" s="623">
        <f t="shared" si="89"/>
        <v>0</v>
      </c>
      <c r="F554" s="623">
        <f t="shared" si="89"/>
        <v>0</v>
      </c>
      <c r="G554" s="623">
        <f t="shared" si="89"/>
        <v>0</v>
      </c>
      <c r="H554" s="623">
        <f t="shared" si="89"/>
        <v>0</v>
      </c>
      <c r="I554" s="624">
        <f t="shared" si="90"/>
        <v>0</v>
      </c>
      <c r="J554" s="192"/>
      <c r="K554" s="228" t="e">
        <f t="shared" si="83"/>
        <v>#DIV/0!</v>
      </c>
      <c r="L554" s="228"/>
      <c r="M554" s="228"/>
      <c r="N554" s="191"/>
      <c r="O554" s="609">
        <f t="shared" si="91"/>
        <v>360</v>
      </c>
      <c r="P554" s="191" t="e">
        <f t="shared" si="87"/>
        <v>#DIV/0!</v>
      </c>
      <c r="Q554" s="191"/>
      <c r="R554" s="191"/>
      <c r="S554" s="323" t="e">
        <f t="shared" si="84"/>
        <v>#DIV/0!</v>
      </c>
      <c r="T554" s="323" t="e">
        <f t="shared" si="88"/>
        <v>#DIV/0!</v>
      </c>
      <c r="U554" s="191"/>
      <c r="V554" s="193"/>
      <c r="W554" s="181"/>
      <c r="X554" s="137"/>
      <c r="Z554" s="183"/>
      <c r="AA554" s="183"/>
    </row>
    <row r="555" spans="1:27" s="182" customFormat="1" ht="15" customHeight="1">
      <c r="A555" s="211"/>
      <c r="B555" s="209" t="s">
        <v>412</v>
      </c>
      <c r="C555" s="294">
        <f t="shared" si="85"/>
        <v>0</v>
      </c>
      <c r="D555" s="624">
        <f t="shared" si="89"/>
        <v>0</v>
      </c>
      <c r="E555" s="623">
        <f t="shared" si="89"/>
        <v>0</v>
      </c>
      <c r="F555" s="623">
        <f t="shared" si="89"/>
        <v>0</v>
      </c>
      <c r="G555" s="623">
        <f t="shared" si="89"/>
        <v>0</v>
      </c>
      <c r="H555" s="623">
        <f t="shared" si="89"/>
        <v>0</v>
      </c>
      <c r="I555" s="624">
        <f t="shared" si="90"/>
        <v>0</v>
      </c>
      <c r="J555" s="192"/>
      <c r="K555" s="228" t="e">
        <f t="shared" si="83"/>
        <v>#DIV/0!</v>
      </c>
      <c r="L555" s="228"/>
      <c r="M555" s="228"/>
      <c r="N555" s="191"/>
      <c r="O555" s="609">
        <f t="shared" si="91"/>
        <v>360</v>
      </c>
      <c r="P555" s="191" t="e">
        <f t="shared" si="87"/>
        <v>#DIV/0!</v>
      </c>
      <c r="Q555" s="191"/>
      <c r="R555" s="191"/>
      <c r="S555" s="323" t="e">
        <f t="shared" si="84"/>
        <v>#DIV/0!</v>
      </c>
      <c r="T555" s="323" t="e">
        <f t="shared" si="88"/>
        <v>#DIV/0!</v>
      </c>
      <c r="U555" s="191"/>
      <c r="V555" s="193"/>
      <c r="W555" s="181"/>
      <c r="X555" s="137"/>
      <c r="Z555" s="183"/>
      <c r="AA555" s="183"/>
    </row>
    <row r="556" spans="1:27" s="182" customFormat="1" ht="15" customHeight="1">
      <c r="A556" s="211"/>
      <c r="B556" s="209" t="s">
        <v>413</v>
      </c>
      <c r="C556" s="294">
        <f t="shared" si="85"/>
        <v>0</v>
      </c>
      <c r="D556" s="624">
        <f t="shared" si="89"/>
        <v>0</v>
      </c>
      <c r="E556" s="623">
        <f t="shared" si="89"/>
        <v>0</v>
      </c>
      <c r="F556" s="623">
        <f t="shared" si="89"/>
        <v>0</v>
      </c>
      <c r="G556" s="623">
        <f t="shared" si="89"/>
        <v>0</v>
      </c>
      <c r="H556" s="623">
        <f t="shared" si="89"/>
        <v>0</v>
      </c>
      <c r="I556" s="624">
        <f t="shared" si="90"/>
        <v>0</v>
      </c>
      <c r="J556" s="192"/>
      <c r="K556" s="228" t="e">
        <f t="shared" si="83"/>
        <v>#DIV/0!</v>
      </c>
      <c r="L556" s="228"/>
      <c r="M556" s="228"/>
      <c r="N556" s="191"/>
      <c r="O556" s="609">
        <f t="shared" si="91"/>
        <v>360</v>
      </c>
      <c r="P556" s="191" t="e">
        <f t="shared" si="87"/>
        <v>#DIV/0!</v>
      </c>
      <c r="Q556" s="191"/>
      <c r="R556" s="191"/>
      <c r="S556" s="323" t="e">
        <f t="shared" si="84"/>
        <v>#DIV/0!</v>
      </c>
      <c r="T556" s="323" t="e">
        <f t="shared" si="88"/>
        <v>#DIV/0!</v>
      </c>
      <c r="U556" s="191"/>
      <c r="V556" s="193"/>
      <c r="W556" s="181"/>
      <c r="X556" s="137"/>
      <c r="Z556" s="183"/>
      <c r="AA556" s="183"/>
    </row>
    <row r="557" spans="1:27" s="182" customFormat="1" ht="15" customHeight="1">
      <c r="A557" s="211"/>
      <c r="B557" s="209" t="s">
        <v>414</v>
      </c>
      <c r="C557" s="294">
        <f t="shared" si="85"/>
        <v>0</v>
      </c>
      <c r="D557" s="624">
        <f t="shared" si="89"/>
        <v>0</v>
      </c>
      <c r="E557" s="623">
        <f t="shared" si="89"/>
        <v>0</v>
      </c>
      <c r="F557" s="623">
        <f t="shared" si="89"/>
        <v>0</v>
      </c>
      <c r="G557" s="623">
        <f t="shared" si="89"/>
        <v>0</v>
      </c>
      <c r="H557" s="623">
        <f t="shared" si="89"/>
        <v>0</v>
      </c>
      <c r="I557" s="624">
        <f t="shared" si="90"/>
        <v>0</v>
      </c>
      <c r="J557" s="192"/>
      <c r="K557" s="228" t="e">
        <f t="shared" si="83"/>
        <v>#DIV/0!</v>
      </c>
      <c r="L557" s="228"/>
      <c r="M557" s="228"/>
      <c r="N557" s="191"/>
      <c r="O557" s="609">
        <f t="shared" si="91"/>
        <v>360</v>
      </c>
      <c r="P557" s="191" t="e">
        <f t="shared" si="87"/>
        <v>#DIV/0!</v>
      </c>
      <c r="Q557" s="191"/>
      <c r="R557" s="191"/>
      <c r="S557" s="323" t="e">
        <f t="shared" si="84"/>
        <v>#DIV/0!</v>
      </c>
      <c r="T557" s="323" t="e">
        <f t="shared" si="88"/>
        <v>#DIV/0!</v>
      </c>
      <c r="U557" s="191"/>
      <c r="V557" s="193"/>
      <c r="W557" s="181"/>
      <c r="X557" s="137"/>
      <c r="Z557" s="183"/>
      <c r="AA557" s="183"/>
    </row>
    <row r="558" spans="1:27" s="182" customFormat="1" ht="15" customHeight="1">
      <c r="A558" s="211"/>
      <c r="B558" s="209" t="s">
        <v>415</v>
      </c>
      <c r="C558" s="294">
        <f t="shared" si="85"/>
        <v>0</v>
      </c>
      <c r="D558" s="624">
        <f t="shared" si="89"/>
        <v>0</v>
      </c>
      <c r="E558" s="623">
        <f t="shared" si="89"/>
        <v>0</v>
      </c>
      <c r="F558" s="623">
        <f t="shared" si="89"/>
        <v>0</v>
      </c>
      <c r="G558" s="623">
        <f t="shared" si="89"/>
        <v>0</v>
      </c>
      <c r="H558" s="623">
        <f t="shared" si="89"/>
        <v>0</v>
      </c>
      <c r="I558" s="624">
        <f t="shared" si="90"/>
        <v>0</v>
      </c>
      <c r="J558" s="192"/>
      <c r="K558" s="228" t="e">
        <f t="shared" si="83"/>
        <v>#DIV/0!</v>
      </c>
      <c r="L558" s="228"/>
      <c r="M558" s="228"/>
      <c r="N558" s="191"/>
      <c r="O558" s="609">
        <f t="shared" si="91"/>
        <v>360</v>
      </c>
      <c r="P558" s="191" t="e">
        <f t="shared" si="87"/>
        <v>#DIV/0!</v>
      </c>
      <c r="Q558" s="191"/>
      <c r="R558" s="191"/>
      <c r="S558" s="323" t="e">
        <f t="shared" si="84"/>
        <v>#DIV/0!</v>
      </c>
      <c r="T558" s="323" t="e">
        <f t="shared" si="88"/>
        <v>#DIV/0!</v>
      </c>
      <c r="U558" s="191"/>
      <c r="V558" s="193"/>
      <c r="W558" s="181"/>
      <c r="X558" s="137"/>
      <c r="Z558" s="183"/>
      <c r="AA558" s="183"/>
    </row>
    <row r="559" spans="1:27" s="182" customFormat="1" ht="15" customHeight="1">
      <c r="A559" s="211"/>
      <c r="B559" s="209" t="s">
        <v>416</v>
      </c>
      <c r="C559" s="294">
        <f t="shared" si="85"/>
        <v>0</v>
      </c>
      <c r="D559" s="624">
        <f t="shared" si="89"/>
        <v>0</v>
      </c>
      <c r="E559" s="623">
        <f t="shared" si="89"/>
        <v>0</v>
      </c>
      <c r="F559" s="623">
        <f t="shared" si="89"/>
        <v>0</v>
      </c>
      <c r="G559" s="623">
        <f t="shared" si="89"/>
        <v>0</v>
      </c>
      <c r="H559" s="623">
        <f t="shared" si="89"/>
        <v>0</v>
      </c>
      <c r="I559" s="624">
        <f t="shared" si="90"/>
        <v>0</v>
      </c>
      <c r="J559" s="192"/>
      <c r="K559" s="228" t="e">
        <f t="shared" si="83"/>
        <v>#DIV/0!</v>
      </c>
      <c r="L559" s="228"/>
      <c r="M559" s="228"/>
      <c r="N559" s="191"/>
      <c r="O559" s="609">
        <f t="shared" si="91"/>
        <v>360</v>
      </c>
      <c r="P559" s="191" t="e">
        <f t="shared" si="87"/>
        <v>#DIV/0!</v>
      </c>
      <c r="Q559" s="191"/>
      <c r="R559" s="191"/>
      <c r="S559" s="323" t="e">
        <f t="shared" si="84"/>
        <v>#DIV/0!</v>
      </c>
      <c r="T559" s="323" t="e">
        <f t="shared" si="88"/>
        <v>#DIV/0!</v>
      </c>
      <c r="U559" s="191"/>
      <c r="V559" s="193"/>
      <c r="W559" s="181"/>
      <c r="X559" s="137"/>
      <c r="Z559" s="183"/>
      <c r="AA559" s="183"/>
    </row>
    <row r="560" spans="1:27" s="182" customFormat="1" ht="15" customHeight="1">
      <c r="A560" s="211"/>
      <c r="B560" s="209" t="s">
        <v>986</v>
      </c>
      <c r="C560" s="294">
        <f t="shared" si="85"/>
        <v>0</v>
      </c>
      <c r="D560" s="624">
        <f t="shared" si="89"/>
        <v>0</v>
      </c>
      <c r="E560" s="623">
        <f t="shared" si="89"/>
        <v>0</v>
      </c>
      <c r="F560" s="623">
        <f t="shared" si="89"/>
        <v>0</v>
      </c>
      <c r="G560" s="623">
        <f t="shared" si="89"/>
        <v>0</v>
      </c>
      <c r="H560" s="623">
        <f t="shared" si="89"/>
        <v>0</v>
      </c>
      <c r="I560" s="624">
        <f t="shared" si="90"/>
        <v>0</v>
      </c>
      <c r="J560" s="192"/>
      <c r="K560" s="228" t="e">
        <f t="shared" si="83"/>
        <v>#DIV/0!</v>
      </c>
      <c r="L560" s="228"/>
      <c r="M560" s="228"/>
      <c r="N560" s="191"/>
      <c r="O560" s="609">
        <f t="shared" si="91"/>
        <v>360</v>
      </c>
      <c r="P560" s="191" t="e">
        <f t="shared" si="87"/>
        <v>#DIV/0!</v>
      </c>
      <c r="Q560" s="191"/>
      <c r="R560" s="191"/>
      <c r="S560" s="323" t="e">
        <f t="shared" si="84"/>
        <v>#DIV/0!</v>
      </c>
      <c r="T560" s="323" t="e">
        <f t="shared" si="88"/>
        <v>#DIV/0!</v>
      </c>
      <c r="U560" s="191"/>
      <c r="V560" s="193"/>
      <c r="W560" s="181"/>
      <c r="X560" s="137"/>
      <c r="Z560" s="183"/>
      <c r="AA560" s="183"/>
    </row>
    <row r="561" spans="1:27" s="182" customFormat="1" ht="15" customHeight="1">
      <c r="A561" s="211"/>
      <c r="B561" s="209" t="s">
        <v>987</v>
      </c>
      <c r="C561" s="294">
        <f t="shared" si="85"/>
        <v>0</v>
      </c>
      <c r="D561" s="624">
        <f t="shared" si="89"/>
        <v>0</v>
      </c>
      <c r="E561" s="623">
        <f t="shared" si="89"/>
        <v>0</v>
      </c>
      <c r="F561" s="623">
        <f t="shared" si="89"/>
        <v>0</v>
      </c>
      <c r="G561" s="623">
        <f t="shared" si="89"/>
        <v>0</v>
      </c>
      <c r="H561" s="623">
        <f t="shared" si="89"/>
        <v>0</v>
      </c>
      <c r="I561" s="624">
        <f t="shared" si="90"/>
        <v>0</v>
      </c>
      <c r="J561" s="192"/>
      <c r="K561" s="228" t="e">
        <f t="shared" si="83"/>
        <v>#DIV/0!</v>
      </c>
      <c r="L561" s="228"/>
      <c r="M561" s="228"/>
      <c r="N561" s="191"/>
      <c r="O561" s="609">
        <f t="shared" si="91"/>
        <v>360</v>
      </c>
      <c r="P561" s="191" t="e">
        <f t="shared" si="87"/>
        <v>#DIV/0!</v>
      </c>
      <c r="Q561" s="191"/>
      <c r="R561" s="191"/>
      <c r="S561" s="323" t="e">
        <f t="shared" si="84"/>
        <v>#DIV/0!</v>
      </c>
      <c r="T561" s="323" t="e">
        <f t="shared" si="88"/>
        <v>#DIV/0!</v>
      </c>
      <c r="U561" s="191"/>
      <c r="V561" s="193"/>
      <c r="W561" s="181"/>
      <c r="X561" s="137"/>
      <c r="Z561" s="183"/>
      <c r="AA561" s="183"/>
    </row>
    <row r="562" spans="1:27" s="182" customFormat="1" ht="15" customHeight="1">
      <c r="A562" s="211"/>
      <c r="B562" s="209" t="s">
        <v>988</v>
      </c>
      <c r="C562" s="294">
        <f t="shared" si="85"/>
        <v>0</v>
      </c>
      <c r="D562" s="624">
        <f t="shared" si="89"/>
        <v>0</v>
      </c>
      <c r="E562" s="623">
        <f t="shared" si="89"/>
        <v>0</v>
      </c>
      <c r="F562" s="623">
        <f t="shared" si="89"/>
        <v>0</v>
      </c>
      <c r="G562" s="623">
        <f t="shared" si="89"/>
        <v>0</v>
      </c>
      <c r="H562" s="623">
        <f t="shared" si="89"/>
        <v>0</v>
      </c>
      <c r="I562" s="624">
        <f t="shared" si="90"/>
        <v>0</v>
      </c>
      <c r="J562" s="192"/>
      <c r="K562" s="228" t="e">
        <f t="shared" ref="K562:K579" si="92">C562*PI()/(E562+I562)</f>
        <v>#DIV/0!</v>
      </c>
      <c r="L562" s="228"/>
      <c r="M562" s="228"/>
      <c r="N562" s="191"/>
      <c r="O562" s="609">
        <f t="shared" si="91"/>
        <v>360</v>
      </c>
      <c r="P562" s="191" t="e">
        <f t="shared" si="87"/>
        <v>#DIV/0!</v>
      </c>
      <c r="Q562" s="191"/>
      <c r="R562" s="191"/>
      <c r="S562" s="323" t="e">
        <f t="shared" ref="S562:S579" si="93">((E562+I562)*K562)-C562*PI()</f>
        <v>#DIV/0!</v>
      </c>
      <c r="T562" s="323" t="e">
        <f t="shared" ref="T562:T579" si="94">(((F562+I562)*K562)-(C562-(H562*2))*PI())/K562</f>
        <v>#DIV/0!</v>
      </c>
      <c r="U562" s="191"/>
      <c r="V562" s="193"/>
      <c r="W562" s="181"/>
      <c r="X562" s="137"/>
      <c r="Z562" s="183"/>
      <c r="AA562" s="183"/>
    </row>
    <row r="563" spans="1:27" s="182" customFormat="1" ht="15" customHeight="1">
      <c r="A563" s="211"/>
      <c r="B563" s="209" t="s">
        <v>989</v>
      </c>
      <c r="C563" s="294">
        <f t="shared" ref="C563:C579" si="95">C562+2*SIN(RADIANS(D563))*(G563+I563)</f>
        <v>0</v>
      </c>
      <c r="D563" s="624">
        <f t="shared" si="89"/>
        <v>0</v>
      </c>
      <c r="E563" s="623">
        <f t="shared" si="89"/>
        <v>0</v>
      </c>
      <c r="F563" s="623">
        <f t="shared" si="89"/>
        <v>0</v>
      </c>
      <c r="G563" s="623">
        <f t="shared" si="89"/>
        <v>0</v>
      </c>
      <c r="H563" s="623">
        <f t="shared" si="89"/>
        <v>0</v>
      </c>
      <c r="I563" s="624">
        <f t="shared" si="90"/>
        <v>0</v>
      </c>
      <c r="J563" s="192"/>
      <c r="K563" s="228" t="e">
        <f t="shared" si="92"/>
        <v>#DIV/0!</v>
      </c>
      <c r="L563" s="228"/>
      <c r="M563" s="228"/>
      <c r="N563" s="191"/>
      <c r="O563" s="609">
        <f t="shared" si="91"/>
        <v>360</v>
      </c>
      <c r="P563" s="191" t="e">
        <f t="shared" si="87"/>
        <v>#DIV/0!</v>
      </c>
      <c r="Q563" s="191"/>
      <c r="R563" s="191"/>
      <c r="S563" s="323" t="e">
        <f t="shared" si="93"/>
        <v>#DIV/0!</v>
      </c>
      <c r="T563" s="323" t="e">
        <f t="shared" si="94"/>
        <v>#DIV/0!</v>
      </c>
      <c r="U563" s="191"/>
      <c r="V563" s="193"/>
      <c r="W563" s="181"/>
      <c r="X563" s="137"/>
      <c r="Z563" s="183"/>
      <c r="AA563" s="183"/>
    </row>
    <row r="564" spans="1:27" s="182" customFormat="1" ht="15" customHeight="1">
      <c r="A564" s="211"/>
      <c r="B564" s="209" t="s">
        <v>990</v>
      </c>
      <c r="C564" s="294">
        <f t="shared" si="95"/>
        <v>0</v>
      </c>
      <c r="D564" s="624">
        <f t="shared" si="89"/>
        <v>0</v>
      </c>
      <c r="E564" s="623">
        <f t="shared" si="89"/>
        <v>0</v>
      </c>
      <c r="F564" s="623">
        <f t="shared" si="89"/>
        <v>0</v>
      </c>
      <c r="G564" s="623">
        <f t="shared" si="89"/>
        <v>0</v>
      </c>
      <c r="H564" s="623">
        <f t="shared" si="89"/>
        <v>0</v>
      </c>
      <c r="I564" s="624">
        <f t="shared" si="90"/>
        <v>0</v>
      </c>
      <c r="J564" s="192"/>
      <c r="K564" s="228" t="e">
        <f t="shared" si="92"/>
        <v>#DIV/0!</v>
      </c>
      <c r="L564" s="228"/>
      <c r="M564" s="228"/>
      <c r="N564" s="191"/>
      <c r="O564" s="609">
        <f t="shared" si="91"/>
        <v>360</v>
      </c>
      <c r="P564" s="191" t="e">
        <f t="shared" si="87"/>
        <v>#DIV/0!</v>
      </c>
      <c r="Q564" s="191"/>
      <c r="R564" s="191"/>
      <c r="S564" s="323" t="e">
        <f t="shared" si="93"/>
        <v>#DIV/0!</v>
      </c>
      <c r="T564" s="323" t="e">
        <f t="shared" si="94"/>
        <v>#DIV/0!</v>
      </c>
      <c r="U564" s="191"/>
      <c r="V564" s="193"/>
      <c r="W564" s="181"/>
      <c r="X564" s="137"/>
      <c r="Z564" s="183"/>
      <c r="AA564" s="183"/>
    </row>
    <row r="565" spans="1:27" s="182" customFormat="1" ht="15" customHeight="1">
      <c r="A565" s="211"/>
      <c r="B565" s="209" t="s">
        <v>991</v>
      </c>
      <c r="C565" s="294">
        <f t="shared" si="95"/>
        <v>0</v>
      </c>
      <c r="D565" s="624">
        <f t="shared" si="89"/>
        <v>0</v>
      </c>
      <c r="E565" s="623">
        <f t="shared" si="89"/>
        <v>0</v>
      </c>
      <c r="F565" s="623">
        <f t="shared" si="89"/>
        <v>0</v>
      </c>
      <c r="G565" s="623">
        <f t="shared" si="89"/>
        <v>0</v>
      </c>
      <c r="H565" s="623">
        <f t="shared" si="89"/>
        <v>0</v>
      </c>
      <c r="I565" s="624">
        <f t="shared" si="90"/>
        <v>0</v>
      </c>
      <c r="J565" s="192"/>
      <c r="K565" s="228" t="e">
        <f t="shared" si="92"/>
        <v>#DIV/0!</v>
      </c>
      <c r="L565" s="228"/>
      <c r="M565" s="228"/>
      <c r="N565" s="191"/>
      <c r="O565" s="609">
        <f t="shared" si="91"/>
        <v>360</v>
      </c>
      <c r="P565" s="191" t="e">
        <f t="shared" si="87"/>
        <v>#DIV/0!</v>
      </c>
      <c r="Q565" s="191"/>
      <c r="R565" s="191"/>
      <c r="S565" s="323" t="e">
        <f t="shared" si="93"/>
        <v>#DIV/0!</v>
      </c>
      <c r="T565" s="323" t="e">
        <f t="shared" si="94"/>
        <v>#DIV/0!</v>
      </c>
      <c r="U565" s="191"/>
      <c r="V565" s="193"/>
      <c r="W565" s="181"/>
      <c r="X565" s="137"/>
      <c r="Z565" s="183"/>
      <c r="AA565" s="183"/>
    </row>
    <row r="566" spans="1:27" s="182" customFormat="1" ht="15" customHeight="1">
      <c r="A566" s="211"/>
      <c r="B566" s="209" t="s">
        <v>992</v>
      </c>
      <c r="C566" s="294">
        <f t="shared" si="95"/>
        <v>0</v>
      </c>
      <c r="D566" s="624">
        <f t="shared" si="89"/>
        <v>0</v>
      </c>
      <c r="E566" s="623">
        <f t="shared" si="89"/>
        <v>0</v>
      </c>
      <c r="F566" s="623">
        <f t="shared" si="89"/>
        <v>0</v>
      </c>
      <c r="G566" s="623">
        <f t="shared" si="89"/>
        <v>0</v>
      </c>
      <c r="H566" s="623">
        <f t="shared" si="89"/>
        <v>0</v>
      </c>
      <c r="I566" s="624">
        <f t="shared" si="90"/>
        <v>0</v>
      </c>
      <c r="J566" s="192"/>
      <c r="K566" s="228" t="e">
        <f t="shared" si="92"/>
        <v>#DIV/0!</v>
      </c>
      <c r="L566" s="228"/>
      <c r="M566" s="228"/>
      <c r="N566" s="191"/>
      <c r="O566" s="609">
        <f t="shared" si="91"/>
        <v>360</v>
      </c>
      <c r="P566" s="191" t="e">
        <f t="shared" si="87"/>
        <v>#DIV/0!</v>
      </c>
      <c r="Q566" s="191"/>
      <c r="R566" s="191"/>
      <c r="S566" s="323" t="e">
        <f t="shared" si="93"/>
        <v>#DIV/0!</v>
      </c>
      <c r="T566" s="323" t="e">
        <f t="shared" si="94"/>
        <v>#DIV/0!</v>
      </c>
      <c r="U566" s="191"/>
      <c r="V566" s="193"/>
      <c r="W566" s="181"/>
      <c r="X566" s="137"/>
      <c r="Z566" s="183"/>
      <c r="AA566" s="183"/>
    </row>
    <row r="567" spans="1:27" s="182" customFormat="1" ht="15" customHeight="1">
      <c r="A567" s="211"/>
      <c r="B567" s="209" t="s">
        <v>993</v>
      </c>
      <c r="C567" s="294">
        <f t="shared" si="95"/>
        <v>0</v>
      </c>
      <c r="D567" s="624">
        <f t="shared" si="89"/>
        <v>0</v>
      </c>
      <c r="E567" s="623">
        <f t="shared" si="89"/>
        <v>0</v>
      </c>
      <c r="F567" s="623">
        <f t="shared" si="89"/>
        <v>0</v>
      </c>
      <c r="G567" s="623">
        <f t="shared" si="89"/>
        <v>0</v>
      </c>
      <c r="H567" s="623">
        <f t="shared" si="89"/>
        <v>0</v>
      </c>
      <c r="I567" s="624">
        <f t="shared" si="90"/>
        <v>0</v>
      </c>
      <c r="J567" s="192"/>
      <c r="K567" s="228" t="e">
        <f t="shared" si="92"/>
        <v>#DIV/0!</v>
      </c>
      <c r="L567" s="228"/>
      <c r="M567" s="228"/>
      <c r="N567" s="191"/>
      <c r="O567" s="609">
        <f t="shared" si="91"/>
        <v>360</v>
      </c>
      <c r="P567" s="191" t="e">
        <f t="shared" si="87"/>
        <v>#DIV/0!</v>
      </c>
      <c r="Q567" s="191"/>
      <c r="R567" s="191"/>
      <c r="S567" s="323" t="e">
        <f t="shared" si="93"/>
        <v>#DIV/0!</v>
      </c>
      <c r="T567" s="323" t="e">
        <f t="shared" si="94"/>
        <v>#DIV/0!</v>
      </c>
      <c r="U567" s="191"/>
      <c r="V567" s="193"/>
      <c r="W567" s="181"/>
      <c r="X567" s="137"/>
      <c r="Z567" s="183"/>
      <c r="AA567" s="183"/>
    </row>
    <row r="568" spans="1:27" s="182" customFormat="1" ht="15" customHeight="1">
      <c r="A568" s="211"/>
      <c r="B568" s="209" t="s">
        <v>994</v>
      </c>
      <c r="C568" s="294">
        <f t="shared" si="95"/>
        <v>0</v>
      </c>
      <c r="D568" s="624">
        <f t="shared" si="89"/>
        <v>0</v>
      </c>
      <c r="E568" s="623">
        <f t="shared" si="89"/>
        <v>0</v>
      </c>
      <c r="F568" s="623">
        <f t="shared" si="89"/>
        <v>0</v>
      </c>
      <c r="G568" s="623">
        <f t="shared" si="89"/>
        <v>0</v>
      </c>
      <c r="H568" s="623">
        <f t="shared" si="89"/>
        <v>0</v>
      </c>
      <c r="I568" s="624">
        <f t="shared" si="90"/>
        <v>0</v>
      </c>
      <c r="J568" s="192"/>
      <c r="K568" s="228" t="e">
        <f t="shared" si="92"/>
        <v>#DIV/0!</v>
      </c>
      <c r="L568" s="228"/>
      <c r="M568" s="228"/>
      <c r="N568" s="191"/>
      <c r="O568" s="609">
        <f t="shared" si="91"/>
        <v>360</v>
      </c>
      <c r="P568" s="191" t="e">
        <f t="shared" si="87"/>
        <v>#DIV/0!</v>
      </c>
      <c r="Q568" s="191"/>
      <c r="R568" s="191"/>
      <c r="S568" s="323" t="e">
        <f t="shared" si="93"/>
        <v>#DIV/0!</v>
      </c>
      <c r="T568" s="323" t="e">
        <f t="shared" si="94"/>
        <v>#DIV/0!</v>
      </c>
      <c r="U568" s="191"/>
      <c r="V568" s="193"/>
      <c r="W568" s="181"/>
      <c r="X568" s="137"/>
      <c r="Z568" s="183"/>
      <c r="AA568" s="183"/>
    </row>
    <row r="569" spans="1:27" s="182" customFormat="1" ht="15" customHeight="1">
      <c r="A569" s="211"/>
      <c r="B569" s="209" t="s">
        <v>995</v>
      </c>
      <c r="C569" s="294">
        <f t="shared" si="95"/>
        <v>0</v>
      </c>
      <c r="D569" s="624">
        <f t="shared" si="89"/>
        <v>0</v>
      </c>
      <c r="E569" s="623">
        <f t="shared" si="89"/>
        <v>0</v>
      </c>
      <c r="F569" s="623">
        <f t="shared" si="89"/>
        <v>0</v>
      </c>
      <c r="G569" s="623">
        <f t="shared" si="89"/>
        <v>0</v>
      </c>
      <c r="H569" s="623">
        <f t="shared" si="89"/>
        <v>0</v>
      </c>
      <c r="I569" s="624">
        <f t="shared" si="90"/>
        <v>0</v>
      </c>
      <c r="J569" s="192"/>
      <c r="K569" s="228" t="e">
        <f t="shared" si="92"/>
        <v>#DIV/0!</v>
      </c>
      <c r="L569" s="228"/>
      <c r="M569" s="228"/>
      <c r="N569" s="191"/>
      <c r="O569" s="609">
        <f t="shared" si="91"/>
        <v>360</v>
      </c>
      <c r="P569" s="191" t="e">
        <f t="shared" si="87"/>
        <v>#DIV/0!</v>
      </c>
      <c r="Q569" s="191"/>
      <c r="R569" s="191"/>
      <c r="S569" s="323" t="e">
        <f t="shared" si="93"/>
        <v>#DIV/0!</v>
      </c>
      <c r="T569" s="323" t="e">
        <f t="shared" si="94"/>
        <v>#DIV/0!</v>
      </c>
      <c r="U569" s="191"/>
      <c r="V569" s="193"/>
      <c r="W569" s="181"/>
      <c r="X569" s="137"/>
      <c r="Z569" s="183"/>
      <c r="AA569" s="183"/>
    </row>
    <row r="570" spans="1:27" s="182" customFormat="1" ht="15" customHeight="1">
      <c r="A570" s="211"/>
      <c r="B570" s="209" t="s">
        <v>996</v>
      </c>
      <c r="C570" s="294">
        <f t="shared" si="95"/>
        <v>0</v>
      </c>
      <c r="D570" s="624">
        <f t="shared" si="89"/>
        <v>0</v>
      </c>
      <c r="E570" s="623">
        <f t="shared" si="89"/>
        <v>0</v>
      </c>
      <c r="F570" s="623">
        <f t="shared" si="89"/>
        <v>0</v>
      </c>
      <c r="G570" s="623">
        <f t="shared" si="89"/>
        <v>0</v>
      </c>
      <c r="H570" s="623">
        <f t="shared" si="89"/>
        <v>0</v>
      </c>
      <c r="I570" s="624">
        <f t="shared" si="90"/>
        <v>0</v>
      </c>
      <c r="J570" s="192"/>
      <c r="K570" s="228" t="e">
        <f t="shared" si="92"/>
        <v>#DIV/0!</v>
      </c>
      <c r="L570" s="228"/>
      <c r="M570" s="228"/>
      <c r="N570" s="191"/>
      <c r="O570" s="609">
        <f t="shared" si="91"/>
        <v>360</v>
      </c>
      <c r="P570" s="191" t="e">
        <f t="shared" si="87"/>
        <v>#DIV/0!</v>
      </c>
      <c r="Q570" s="191"/>
      <c r="R570" s="191"/>
      <c r="S570" s="323" t="e">
        <f t="shared" si="93"/>
        <v>#DIV/0!</v>
      </c>
      <c r="T570" s="323" t="e">
        <f t="shared" si="94"/>
        <v>#DIV/0!</v>
      </c>
      <c r="U570" s="191"/>
      <c r="V570" s="193"/>
      <c r="W570" s="181"/>
      <c r="X570" s="137"/>
      <c r="Z570" s="183"/>
      <c r="AA570" s="183"/>
    </row>
    <row r="571" spans="1:27" s="182" customFormat="1" ht="15" customHeight="1">
      <c r="A571" s="211"/>
      <c r="B571" s="209" t="s">
        <v>997</v>
      </c>
      <c r="C571" s="294">
        <f t="shared" si="95"/>
        <v>0</v>
      </c>
      <c r="D571" s="624">
        <f t="shared" si="89"/>
        <v>0</v>
      </c>
      <c r="E571" s="623">
        <f t="shared" si="89"/>
        <v>0</v>
      </c>
      <c r="F571" s="623">
        <f t="shared" si="89"/>
        <v>0</v>
      </c>
      <c r="G571" s="623">
        <f t="shared" si="89"/>
        <v>0</v>
      </c>
      <c r="H571" s="623">
        <f t="shared" si="89"/>
        <v>0</v>
      </c>
      <c r="I571" s="624">
        <f t="shared" si="90"/>
        <v>0</v>
      </c>
      <c r="J571" s="192"/>
      <c r="K571" s="228" t="e">
        <f t="shared" si="92"/>
        <v>#DIV/0!</v>
      </c>
      <c r="L571" s="228"/>
      <c r="M571" s="228"/>
      <c r="N571" s="191"/>
      <c r="O571" s="609">
        <f t="shared" si="91"/>
        <v>360</v>
      </c>
      <c r="P571" s="191" t="e">
        <f t="shared" si="87"/>
        <v>#DIV/0!</v>
      </c>
      <c r="Q571" s="191"/>
      <c r="R571" s="191"/>
      <c r="S571" s="323" t="e">
        <f t="shared" si="93"/>
        <v>#DIV/0!</v>
      </c>
      <c r="T571" s="323" t="e">
        <f t="shared" si="94"/>
        <v>#DIV/0!</v>
      </c>
      <c r="U571" s="191"/>
      <c r="V571" s="193"/>
      <c r="W571" s="181"/>
      <c r="X571" s="137"/>
      <c r="Z571" s="183"/>
      <c r="AA571" s="183"/>
    </row>
    <row r="572" spans="1:27" s="182" customFormat="1" ht="15" customHeight="1">
      <c r="A572" s="211"/>
      <c r="B572" s="209" t="s">
        <v>998</v>
      </c>
      <c r="C572" s="294">
        <f t="shared" si="95"/>
        <v>0</v>
      </c>
      <c r="D572" s="624">
        <f t="shared" si="89"/>
        <v>0</v>
      </c>
      <c r="E572" s="623">
        <f t="shared" si="89"/>
        <v>0</v>
      </c>
      <c r="F572" s="623">
        <f t="shared" si="89"/>
        <v>0</v>
      </c>
      <c r="G572" s="623">
        <f t="shared" si="89"/>
        <v>0</v>
      </c>
      <c r="H572" s="623">
        <f t="shared" si="89"/>
        <v>0</v>
      </c>
      <c r="I572" s="624">
        <f t="shared" si="90"/>
        <v>0</v>
      </c>
      <c r="J572" s="192"/>
      <c r="K572" s="228" t="e">
        <f t="shared" si="92"/>
        <v>#DIV/0!</v>
      </c>
      <c r="L572" s="228"/>
      <c r="M572" s="228"/>
      <c r="N572" s="191"/>
      <c r="O572" s="609">
        <f t="shared" si="91"/>
        <v>360</v>
      </c>
      <c r="P572" s="191" t="e">
        <f t="shared" si="87"/>
        <v>#DIV/0!</v>
      </c>
      <c r="Q572" s="191"/>
      <c r="R572" s="191"/>
      <c r="S572" s="323" t="e">
        <f t="shared" si="93"/>
        <v>#DIV/0!</v>
      </c>
      <c r="T572" s="323" t="e">
        <f t="shared" si="94"/>
        <v>#DIV/0!</v>
      </c>
      <c r="U572" s="191"/>
      <c r="V572" s="193"/>
      <c r="W572" s="181"/>
      <c r="X572" s="137"/>
      <c r="Z572" s="183"/>
      <c r="AA572" s="183"/>
    </row>
    <row r="573" spans="1:27" s="182" customFormat="1" ht="15" customHeight="1">
      <c r="A573" s="211"/>
      <c r="B573" s="209" t="s">
        <v>999</v>
      </c>
      <c r="C573" s="294">
        <f t="shared" si="95"/>
        <v>0</v>
      </c>
      <c r="D573" s="624">
        <f t="shared" si="89"/>
        <v>0</v>
      </c>
      <c r="E573" s="623">
        <f t="shared" si="89"/>
        <v>0</v>
      </c>
      <c r="F573" s="623">
        <f t="shared" si="89"/>
        <v>0</v>
      </c>
      <c r="G573" s="623">
        <f t="shared" si="89"/>
        <v>0</v>
      </c>
      <c r="H573" s="623">
        <f t="shared" si="89"/>
        <v>0</v>
      </c>
      <c r="I573" s="624">
        <f t="shared" si="90"/>
        <v>0</v>
      </c>
      <c r="J573" s="192"/>
      <c r="K573" s="228" t="e">
        <f t="shared" si="92"/>
        <v>#DIV/0!</v>
      </c>
      <c r="L573" s="228"/>
      <c r="M573" s="228"/>
      <c r="N573" s="191"/>
      <c r="O573" s="609">
        <f t="shared" si="91"/>
        <v>360</v>
      </c>
      <c r="P573" s="191" t="e">
        <f t="shared" si="87"/>
        <v>#DIV/0!</v>
      </c>
      <c r="Q573" s="191"/>
      <c r="R573" s="191"/>
      <c r="S573" s="323" t="e">
        <f t="shared" si="93"/>
        <v>#DIV/0!</v>
      </c>
      <c r="T573" s="323" t="e">
        <f t="shared" si="94"/>
        <v>#DIV/0!</v>
      </c>
      <c r="U573" s="191"/>
      <c r="V573" s="193"/>
      <c r="W573" s="181"/>
      <c r="X573" s="137"/>
      <c r="Z573" s="183"/>
      <c r="AA573" s="183"/>
    </row>
    <row r="574" spans="1:27" s="182" customFormat="1" ht="15" customHeight="1">
      <c r="A574" s="211"/>
      <c r="B574" s="209" t="s">
        <v>1000</v>
      </c>
      <c r="C574" s="294">
        <f t="shared" si="95"/>
        <v>0</v>
      </c>
      <c r="D574" s="624">
        <f t="shared" si="89"/>
        <v>0</v>
      </c>
      <c r="E574" s="623">
        <f t="shared" si="89"/>
        <v>0</v>
      </c>
      <c r="F574" s="623">
        <f t="shared" si="89"/>
        <v>0</v>
      </c>
      <c r="G574" s="623">
        <f t="shared" si="89"/>
        <v>0</v>
      </c>
      <c r="H574" s="623">
        <f t="shared" si="89"/>
        <v>0</v>
      </c>
      <c r="I574" s="624">
        <f t="shared" si="90"/>
        <v>0</v>
      </c>
      <c r="J574" s="192"/>
      <c r="K574" s="228" t="e">
        <f t="shared" si="92"/>
        <v>#DIV/0!</v>
      </c>
      <c r="L574" s="228"/>
      <c r="M574" s="228"/>
      <c r="N574" s="191"/>
      <c r="O574" s="609">
        <f t="shared" si="91"/>
        <v>360</v>
      </c>
      <c r="P574" s="191" t="e">
        <f t="shared" si="87"/>
        <v>#DIV/0!</v>
      </c>
      <c r="Q574" s="191"/>
      <c r="R574" s="191"/>
      <c r="S574" s="323" t="e">
        <f t="shared" si="93"/>
        <v>#DIV/0!</v>
      </c>
      <c r="T574" s="323" t="e">
        <f t="shared" si="94"/>
        <v>#DIV/0!</v>
      </c>
      <c r="U574" s="191"/>
      <c r="V574" s="193"/>
      <c r="W574" s="181"/>
      <c r="X574" s="137"/>
      <c r="Z574" s="183"/>
      <c r="AA574" s="183"/>
    </row>
    <row r="575" spans="1:27" s="182" customFormat="1" ht="15" customHeight="1">
      <c r="A575" s="211"/>
      <c r="B575" s="209" t="s">
        <v>1001</v>
      </c>
      <c r="C575" s="294">
        <f t="shared" si="95"/>
        <v>0</v>
      </c>
      <c r="D575" s="624">
        <f t="shared" si="89"/>
        <v>0</v>
      </c>
      <c r="E575" s="623">
        <f t="shared" si="89"/>
        <v>0</v>
      </c>
      <c r="F575" s="623">
        <f t="shared" si="89"/>
        <v>0</v>
      </c>
      <c r="G575" s="623">
        <f t="shared" si="89"/>
        <v>0</v>
      </c>
      <c r="H575" s="623">
        <f t="shared" si="89"/>
        <v>0</v>
      </c>
      <c r="I575" s="624">
        <f t="shared" si="90"/>
        <v>0</v>
      </c>
      <c r="J575" s="192"/>
      <c r="K575" s="228" t="e">
        <f t="shared" si="92"/>
        <v>#DIV/0!</v>
      </c>
      <c r="L575" s="228"/>
      <c r="M575" s="228"/>
      <c r="N575" s="191"/>
      <c r="O575" s="609">
        <f t="shared" si="91"/>
        <v>360</v>
      </c>
      <c r="P575" s="191" t="e">
        <f t="shared" si="87"/>
        <v>#DIV/0!</v>
      </c>
      <c r="Q575" s="191"/>
      <c r="R575" s="191"/>
      <c r="S575" s="323" t="e">
        <f t="shared" si="93"/>
        <v>#DIV/0!</v>
      </c>
      <c r="T575" s="323" t="e">
        <f t="shared" si="94"/>
        <v>#DIV/0!</v>
      </c>
      <c r="U575" s="191"/>
      <c r="V575" s="193"/>
      <c r="W575" s="181"/>
      <c r="X575" s="137"/>
      <c r="Z575" s="183"/>
      <c r="AA575" s="183"/>
    </row>
    <row r="576" spans="1:27" s="182" customFormat="1" ht="15" customHeight="1">
      <c r="A576" s="211"/>
      <c r="B576" s="209" t="s">
        <v>1002</v>
      </c>
      <c r="C576" s="294">
        <f t="shared" si="95"/>
        <v>0</v>
      </c>
      <c r="D576" s="624">
        <f t="shared" si="89"/>
        <v>0</v>
      </c>
      <c r="E576" s="623">
        <f t="shared" si="89"/>
        <v>0</v>
      </c>
      <c r="F576" s="623">
        <f t="shared" si="89"/>
        <v>0</v>
      </c>
      <c r="G576" s="623">
        <f t="shared" si="89"/>
        <v>0</v>
      </c>
      <c r="H576" s="623">
        <f t="shared" si="89"/>
        <v>0</v>
      </c>
      <c r="I576" s="624">
        <f t="shared" si="90"/>
        <v>0</v>
      </c>
      <c r="J576" s="192"/>
      <c r="K576" s="228" t="e">
        <f t="shared" si="92"/>
        <v>#DIV/0!</v>
      </c>
      <c r="L576" s="228"/>
      <c r="M576" s="228"/>
      <c r="N576" s="191"/>
      <c r="O576" s="609">
        <f t="shared" si="91"/>
        <v>360</v>
      </c>
      <c r="P576" s="191" t="e">
        <f t="shared" si="87"/>
        <v>#DIV/0!</v>
      </c>
      <c r="Q576" s="191"/>
      <c r="R576" s="191"/>
      <c r="S576" s="323" t="e">
        <f t="shared" si="93"/>
        <v>#DIV/0!</v>
      </c>
      <c r="T576" s="323" t="e">
        <f t="shared" si="94"/>
        <v>#DIV/0!</v>
      </c>
      <c r="U576" s="191"/>
      <c r="V576" s="193"/>
      <c r="W576" s="181"/>
      <c r="X576" s="137"/>
      <c r="Z576" s="183"/>
      <c r="AA576" s="183"/>
    </row>
    <row r="577" spans="1:27" s="182" customFormat="1" ht="15" customHeight="1">
      <c r="A577" s="211"/>
      <c r="B577" s="209" t="s">
        <v>1003</v>
      </c>
      <c r="C577" s="294">
        <f t="shared" si="95"/>
        <v>0</v>
      </c>
      <c r="D577" s="624">
        <f t="shared" si="89"/>
        <v>0</v>
      </c>
      <c r="E577" s="623">
        <f t="shared" si="89"/>
        <v>0</v>
      </c>
      <c r="F577" s="623">
        <f t="shared" si="89"/>
        <v>0</v>
      </c>
      <c r="G577" s="623">
        <f t="shared" si="89"/>
        <v>0</v>
      </c>
      <c r="H577" s="623">
        <f t="shared" si="89"/>
        <v>0</v>
      </c>
      <c r="I577" s="624">
        <f t="shared" si="90"/>
        <v>0</v>
      </c>
      <c r="J577" s="192"/>
      <c r="K577" s="228" t="e">
        <f t="shared" si="92"/>
        <v>#DIV/0!</v>
      </c>
      <c r="L577" s="228"/>
      <c r="M577" s="228"/>
      <c r="N577" s="191"/>
      <c r="O577" s="609">
        <f t="shared" si="91"/>
        <v>360</v>
      </c>
      <c r="P577" s="191" t="e">
        <f t="shared" si="87"/>
        <v>#DIV/0!</v>
      </c>
      <c r="Q577" s="191"/>
      <c r="R577" s="191"/>
      <c r="S577" s="323" t="e">
        <f t="shared" si="93"/>
        <v>#DIV/0!</v>
      </c>
      <c r="T577" s="323" t="e">
        <f t="shared" si="94"/>
        <v>#DIV/0!</v>
      </c>
      <c r="U577" s="191"/>
      <c r="V577" s="193"/>
      <c r="W577" s="181"/>
      <c r="X577" s="137"/>
      <c r="Z577" s="183"/>
      <c r="AA577" s="183"/>
    </row>
    <row r="578" spans="1:27" s="182" customFormat="1" ht="15" customHeight="1">
      <c r="A578" s="211"/>
      <c r="B578" s="209" t="s">
        <v>1004</v>
      </c>
      <c r="C578" s="294">
        <f t="shared" si="95"/>
        <v>0</v>
      </c>
      <c r="D578" s="624">
        <f t="shared" si="89"/>
        <v>0</v>
      </c>
      <c r="E578" s="623">
        <f t="shared" si="89"/>
        <v>0</v>
      </c>
      <c r="F578" s="623">
        <f t="shared" si="89"/>
        <v>0</v>
      </c>
      <c r="G578" s="623">
        <f t="shared" si="89"/>
        <v>0</v>
      </c>
      <c r="H578" s="623">
        <f t="shared" si="89"/>
        <v>0</v>
      </c>
      <c r="I578" s="624">
        <f t="shared" si="90"/>
        <v>0</v>
      </c>
      <c r="J578" s="192"/>
      <c r="K578" s="228" t="e">
        <f t="shared" si="92"/>
        <v>#DIV/0!</v>
      </c>
      <c r="L578" s="228"/>
      <c r="M578" s="228"/>
      <c r="N578" s="191"/>
      <c r="O578" s="609">
        <f t="shared" si="91"/>
        <v>360</v>
      </c>
      <c r="P578" s="191" t="e">
        <f t="shared" si="87"/>
        <v>#DIV/0!</v>
      </c>
      <c r="Q578" s="191"/>
      <c r="R578" s="191"/>
      <c r="S578" s="323" t="e">
        <f t="shared" si="93"/>
        <v>#DIV/0!</v>
      </c>
      <c r="T578" s="323" t="e">
        <f t="shared" si="94"/>
        <v>#DIV/0!</v>
      </c>
      <c r="U578" s="191"/>
      <c r="V578" s="193"/>
      <c r="W578" s="181"/>
      <c r="X578" s="137"/>
      <c r="Z578" s="183"/>
      <c r="AA578" s="183"/>
    </row>
    <row r="579" spans="1:27" s="182" customFormat="1" ht="15" customHeight="1" thickBot="1">
      <c r="A579" s="211"/>
      <c r="B579" s="209" t="s">
        <v>1005</v>
      </c>
      <c r="C579" s="294">
        <f t="shared" si="95"/>
        <v>0</v>
      </c>
      <c r="D579" s="624">
        <f t="shared" si="89"/>
        <v>0</v>
      </c>
      <c r="E579" s="623">
        <f t="shared" si="89"/>
        <v>0</v>
      </c>
      <c r="F579" s="623">
        <f t="shared" si="89"/>
        <v>0</v>
      </c>
      <c r="G579" s="623">
        <f t="shared" si="89"/>
        <v>0</v>
      </c>
      <c r="H579" s="623">
        <f t="shared" si="89"/>
        <v>0</v>
      </c>
      <c r="I579" s="624">
        <f t="shared" si="90"/>
        <v>0</v>
      </c>
      <c r="J579" s="192"/>
      <c r="K579" s="228" t="e">
        <f t="shared" si="92"/>
        <v>#DIV/0!</v>
      </c>
      <c r="L579" s="228"/>
      <c r="M579" s="228"/>
      <c r="N579" s="191"/>
      <c r="O579" s="610">
        <f t="shared" si="91"/>
        <v>360</v>
      </c>
      <c r="P579" s="191" t="e">
        <f>ROUNDUP(K579/360*O579,0)</f>
        <v>#DIV/0!</v>
      </c>
      <c r="Q579" s="191"/>
      <c r="R579" s="191"/>
      <c r="S579" s="323" t="e">
        <f t="shared" si="93"/>
        <v>#DIV/0!</v>
      </c>
      <c r="T579" s="323" t="e">
        <f t="shared" si="94"/>
        <v>#DIV/0!</v>
      </c>
      <c r="U579" s="191"/>
      <c r="V579" s="193"/>
      <c r="W579" s="181"/>
      <c r="X579" s="137"/>
      <c r="Z579" s="183"/>
      <c r="AA579" s="183"/>
    </row>
    <row r="580" spans="1:27" s="182" customFormat="1" ht="15" customHeight="1">
      <c r="A580" s="211"/>
      <c r="B580" s="206"/>
      <c r="C580" s="294"/>
      <c r="D580" s="191"/>
      <c r="E580" s="131"/>
      <c r="F580" s="131"/>
      <c r="G580" s="131"/>
      <c r="H580" s="131"/>
      <c r="I580" s="228"/>
      <c r="J580" s="228"/>
      <c r="K580" s="228"/>
      <c r="L580" s="228"/>
      <c r="M580" s="228"/>
      <c r="N580" s="191"/>
      <c r="O580" s="140"/>
      <c r="P580" s="191"/>
      <c r="Q580" s="191"/>
      <c r="R580" s="191"/>
      <c r="S580" s="191"/>
      <c r="T580" s="191"/>
      <c r="U580" s="191"/>
      <c r="V580" s="193"/>
      <c r="W580" s="181"/>
      <c r="X580" s="137"/>
      <c r="Z580" s="183"/>
      <c r="AA580" s="183"/>
    </row>
    <row r="581" spans="1:27" s="182" customFormat="1" ht="15" customHeight="1" thickBot="1">
      <c r="A581" s="211"/>
      <c r="B581" s="275" t="s">
        <v>1006</v>
      </c>
      <c r="C581" s="276"/>
      <c r="D581" s="277"/>
      <c r="E581" s="277"/>
      <c r="F581" s="277"/>
      <c r="G581" s="277"/>
      <c r="H581" s="277"/>
      <c r="I581" s="277"/>
      <c r="J581" s="278"/>
      <c r="K581" s="278"/>
      <c r="L581" s="279"/>
      <c r="M581" s="277"/>
      <c r="N581" s="277"/>
      <c r="O581" s="277"/>
      <c r="P581" s="277"/>
      <c r="Q581" s="277"/>
      <c r="R581" s="277"/>
      <c r="S581" s="280"/>
      <c r="T581" s="277"/>
      <c r="U581" s="277" t="s">
        <v>674</v>
      </c>
      <c r="V581" s="281" t="s">
        <v>27</v>
      </c>
      <c r="W581" s="282"/>
      <c r="X581" s="283"/>
      <c r="Z581" s="183"/>
      <c r="AA581" s="183"/>
    </row>
    <row r="582" spans="1:27" s="182" customFormat="1" ht="15" customHeight="1" thickBot="1">
      <c r="A582" s="211"/>
      <c r="B582" s="206"/>
      <c r="C582" s="129">
        <f>SUMIF(Densidades!A:A,'Memória TOTAL'!X582,Densidades!B:B)</f>
        <v>0</v>
      </c>
      <c r="D582" s="130">
        <f>SUMIF(Densidades!A:A,'Memória TOTAL'!X582,Densidades!C:C)</f>
        <v>0</v>
      </c>
      <c r="E582" s="130" t="str">
        <f>IF(I582=15,"FIRECLAY MORTAR",IF(I582=16,"ALUMINA MORTAR",IF(I582=17,"BASIC MORTAR",IF(I582=18,"MORTAR","-"))))</f>
        <v>-</v>
      </c>
      <c r="F582" s="130" t="str">
        <f>IF(I582=15,"FIRECLAY MORTAR",IF(I582=16,"ALUMINA MORTAR",IF(I582=17,"BASIC MORTAR",IF(I582=18,"MORTAR","-"))))</f>
        <v>-</v>
      </c>
      <c r="G582" s="130" t="str">
        <f>IF(I582=15,"FIRECLAY MORTAR",IF(I582=16,"ALUMINA MORTAR",IF(I582=17,"BASIC MORTAR",IF(I582=18,"MORTAR","-"))))</f>
        <v>-</v>
      </c>
      <c r="H582" s="130" t="str">
        <f>IF(I582=15,"FIRECLAY MORTAR",IF(I582=16,"ALUMINA MORTAR",IF(I582=17,"BASIC MORTAR",IF(I582=18,"MORTAR","-"))))</f>
        <v>-</v>
      </c>
      <c r="I582" s="130">
        <f>SUMIF(Densidades!A:A,'Memória TOTAL'!X582,Densidades!G:G)</f>
        <v>0</v>
      </c>
      <c r="J582" s="132">
        <f>SUMIF(Formatos!A:A,'Memória TOTAL'!X583,Formatos!G:G)</f>
        <v>0</v>
      </c>
      <c r="K582" s="133">
        <f>SUMIF(Densidades!A:A,'Memória TOTAL'!X582,Densidades!I:I)</f>
        <v>0</v>
      </c>
      <c r="L582" s="184">
        <v>0</v>
      </c>
      <c r="M582" s="185"/>
      <c r="N582" s="185"/>
      <c r="O582" s="185"/>
      <c r="P582" s="185"/>
      <c r="Q582" s="185"/>
      <c r="R582" s="185"/>
      <c r="S582" s="185"/>
      <c r="T582" s="186"/>
      <c r="U582" s="286">
        <v>0.06</v>
      </c>
      <c r="V582" s="188" t="e">
        <f>(W519*J519*C582+W523*J523*C582)*U582</f>
        <v>#VALUE!</v>
      </c>
      <c r="W582" s="189" t="str">
        <f>IF(C582=0,"",ROUNDUP(SUM(V582:V583)*(1+L582),0))</f>
        <v/>
      </c>
      <c r="X582" s="259"/>
      <c r="Z582" s="183"/>
      <c r="AA582" s="183"/>
    </row>
    <row r="583" spans="1:27" s="182" customFormat="1" ht="15" customHeight="1">
      <c r="A583" s="211"/>
      <c r="B583" s="206"/>
      <c r="C583" s="129"/>
      <c r="D583" s="191"/>
      <c r="E583" s="191"/>
      <c r="F583" s="191"/>
      <c r="G583" s="191"/>
      <c r="H583" s="191"/>
      <c r="I583" s="191"/>
      <c r="J583" s="192"/>
      <c r="K583" s="192"/>
      <c r="L583" s="140"/>
      <c r="M583" s="191"/>
      <c r="N583" s="191"/>
      <c r="O583" s="191"/>
      <c r="P583" s="191"/>
      <c r="Q583" s="191"/>
      <c r="R583" s="191"/>
      <c r="S583" s="191"/>
      <c r="T583" s="191"/>
      <c r="U583" s="191"/>
      <c r="V583" s="193"/>
      <c r="W583" s="181"/>
      <c r="X583" s="137" t="str">
        <f>IF(AND(H582="-",G582="-",F582="-"),E582,IF(AND(H582="-",G582="-",E582="-"),F582,IF(AND(H582="-",F582="-",E582="-"),G582,H582)))</f>
        <v>-</v>
      </c>
      <c r="Z583" s="183"/>
      <c r="AA583" s="183"/>
    </row>
    <row r="584" spans="1:27" s="182" customFormat="1" ht="15" customHeight="1">
      <c r="A584" s="211"/>
      <c r="B584" s="209"/>
      <c r="C584" s="129"/>
      <c r="D584" s="191"/>
      <c r="E584" s="191"/>
      <c r="F584" s="191"/>
      <c r="G584" s="191"/>
      <c r="H584" s="191"/>
      <c r="I584" s="191"/>
      <c r="J584" s="192"/>
      <c r="K584" s="192"/>
      <c r="L584" s="140"/>
      <c r="M584" s="191"/>
      <c r="N584" s="191"/>
      <c r="O584" s="191"/>
      <c r="P584" s="191"/>
      <c r="Q584" s="191"/>
      <c r="R584" s="191"/>
      <c r="S584" s="191"/>
      <c r="T584" s="191"/>
      <c r="U584" s="191"/>
      <c r="V584" s="193"/>
      <c r="W584" s="181"/>
      <c r="X584" s="137" t="s">
        <v>2</v>
      </c>
      <c r="Z584" s="183"/>
      <c r="AA584" s="183"/>
    </row>
    <row r="585" spans="1:27" ht="15" customHeight="1">
      <c r="A585" s="211"/>
      <c r="B585" s="127"/>
      <c r="C585" s="165"/>
      <c r="D585" s="166"/>
      <c r="E585" s="166"/>
      <c r="F585" s="166"/>
      <c r="G585" s="166"/>
      <c r="H585" s="166"/>
      <c r="I585" s="166"/>
      <c r="J585" s="167"/>
      <c r="K585" s="167"/>
      <c r="L585" s="168"/>
      <c r="M585" s="166"/>
      <c r="N585" s="166"/>
      <c r="O585" s="166"/>
      <c r="P585" s="166"/>
      <c r="Q585" s="166"/>
      <c r="R585" s="166"/>
      <c r="S585" s="166"/>
      <c r="T585" s="166"/>
      <c r="U585" s="166"/>
      <c r="V585" s="169"/>
      <c r="W585" s="170"/>
      <c r="X585" s="171"/>
    </row>
    <row r="586" spans="1:27" s="182" customFormat="1" ht="15" customHeight="1" thickBot="1">
      <c r="A586" s="211"/>
      <c r="B586" s="275" t="s">
        <v>1007</v>
      </c>
      <c r="C586" s="276"/>
      <c r="D586" s="277"/>
      <c r="E586" s="277"/>
      <c r="F586" s="277"/>
      <c r="G586" s="277"/>
      <c r="H586" s="277"/>
      <c r="I586" s="277"/>
      <c r="J586" s="278"/>
      <c r="K586" s="278"/>
      <c r="L586" s="279"/>
      <c r="M586" s="277"/>
      <c r="N586" s="277"/>
      <c r="O586" s="277"/>
      <c r="P586" s="277"/>
      <c r="Q586" s="277"/>
      <c r="R586" s="277" t="s">
        <v>632</v>
      </c>
      <c r="S586" s="280" t="s">
        <v>633</v>
      </c>
      <c r="T586" s="277" t="s">
        <v>634</v>
      </c>
      <c r="U586" s="277" t="s">
        <v>38</v>
      </c>
      <c r="V586" s="281" t="s">
        <v>27</v>
      </c>
      <c r="W586" s="282"/>
      <c r="X586" s="283"/>
      <c r="Z586" s="183"/>
      <c r="AA586" s="183"/>
    </row>
    <row r="587" spans="1:27" s="182" customFormat="1" ht="15" customHeight="1" thickBot="1">
      <c r="A587" s="211"/>
      <c r="B587" s="206"/>
      <c r="C587" s="129">
        <f>SUMIF(Densidades!A:A,'Memória TOTAL'!X587,Densidades!B:B)</f>
        <v>0</v>
      </c>
      <c r="D587" s="130">
        <f>SUMIF(Densidades!A:A,'Memória TOTAL'!X587,Densidades!C:C)</f>
        <v>0</v>
      </c>
      <c r="E587" s="130" t="str">
        <f>IF(I587=15,"FIRECLAY MORTAR",IF(I587=16,"ALUMINA MORTAR",IF(I587=17,"BASIC MORTAR",IF(I587=18,"MORTAR","-"))))</f>
        <v>-</v>
      </c>
      <c r="F587" s="130" t="str">
        <f>IF(I587=15,"FIRECLAY MORTAR",IF(I587=16,"ALUMINA MORTAR",IF(I587=17,"BASIC MORTAR",IF(I587=18,"MORTAR","-"))))</f>
        <v>-</v>
      </c>
      <c r="G587" s="130" t="str">
        <f>IF(I587=15,"FIRECLAY MORTAR",IF(I587=16,"ALUMINA MORTAR",IF(I587=17,"BASIC MORTAR",IF(I587=18,"MORTAR","-"))))</f>
        <v>-</v>
      </c>
      <c r="H587" s="130" t="str">
        <f>IF(I587=15,"FIRECLAY MORTAR",IF(I587=16,"ALUMINA MORTAR",IF(I587=17,"BASIC MORTAR",IF(I587=18,"MORTAR","-"))))</f>
        <v>-</v>
      </c>
      <c r="I587" s="130">
        <f>SUMIF(Densidades!A:A,'Memória TOTAL'!X587,Densidades!G:G)</f>
        <v>0</v>
      </c>
      <c r="J587" s="132">
        <f>SUMIF(Formatos!A:A,'Memória TOTAL'!X588,Formatos!G:G)</f>
        <v>0</v>
      </c>
      <c r="K587" s="218">
        <f>SUMIF(Densidades!A:A,'Memória TOTAL'!X587,Densidades!I:I)</f>
        <v>0</v>
      </c>
      <c r="L587" s="184">
        <v>0</v>
      </c>
      <c r="M587" s="185"/>
      <c r="N587" s="185"/>
      <c r="O587" s="185"/>
      <c r="P587" s="185"/>
      <c r="Q587" s="185"/>
      <c r="R587" s="186">
        <f>((G519*H519)+(G519*E519)+(H519*E519))/1000000</f>
        <v>0</v>
      </c>
      <c r="S587" s="255">
        <v>2</v>
      </c>
      <c r="T587" s="186">
        <f>R587*S587</f>
        <v>0</v>
      </c>
      <c r="U587" s="187" t="e">
        <f>SUM(W519:W524)</f>
        <v>#VALUE!</v>
      </c>
      <c r="V587" s="188" t="e">
        <f>(T587*C587*(1+L587))*U587</f>
        <v>#VALUE!</v>
      </c>
      <c r="W587" s="189" t="str">
        <f>IF(C587=0,"",ROUNDUP(SUM(V587:V588)*(1+L587),0))</f>
        <v/>
      </c>
      <c r="X587" s="259"/>
      <c r="Z587" s="183"/>
      <c r="AA587" s="183"/>
    </row>
    <row r="588" spans="1:27" s="182" customFormat="1" ht="15" customHeight="1">
      <c r="A588" s="211"/>
      <c r="B588" s="206"/>
      <c r="C588" s="129"/>
      <c r="D588" s="191"/>
      <c r="E588" s="191"/>
      <c r="F588" s="191"/>
      <c r="G588" s="191"/>
      <c r="H588" s="191"/>
      <c r="I588" s="191"/>
      <c r="J588" s="192"/>
      <c r="K588" s="192"/>
      <c r="L588" s="140"/>
      <c r="M588" s="191"/>
      <c r="N588" s="191"/>
      <c r="O588" s="191"/>
      <c r="P588" s="191"/>
      <c r="Q588" s="191"/>
      <c r="R588" s="191"/>
      <c r="S588" s="191"/>
      <c r="T588" s="191"/>
      <c r="U588" s="191"/>
      <c r="V588" s="193"/>
      <c r="W588" s="181"/>
      <c r="X588" s="137" t="str">
        <f>IF(AND(H587="-",G587="-",F587="-"),E587,IF(AND(H587="-",G587="-",E587="-"),F587,IF(AND(H587="-",F587="-",E587="-"),G587,H587)))</f>
        <v>-</v>
      </c>
      <c r="Z588" s="183"/>
      <c r="AA588" s="183"/>
    </row>
    <row r="589" spans="1:27" s="182" customFormat="1" ht="15" customHeight="1">
      <c r="A589" s="211"/>
      <c r="B589" s="209"/>
      <c r="C589" s="129"/>
      <c r="D589" s="191"/>
      <c r="E589" s="191"/>
      <c r="F589" s="191"/>
      <c r="G589" s="191"/>
      <c r="H589" s="191"/>
      <c r="I589" s="191"/>
      <c r="J589" s="192"/>
      <c r="K589" s="192"/>
      <c r="L589" s="140"/>
      <c r="M589" s="191"/>
      <c r="N589" s="191"/>
      <c r="O589" s="191"/>
      <c r="P589" s="191"/>
      <c r="Q589" s="191"/>
      <c r="R589" s="191"/>
      <c r="S589" s="191"/>
      <c r="T589" s="191"/>
      <c r="U589" s="191"/>
      <c r="V589" s="193"/>
      <c r="W589" s="181"/>
      <c r="X589" s="137" t="s">
        <v>2</v>
      </c>
      <c r="Z589" s="183"/>
      <c r="AA589" s="183"/>
    </row>
    <row r="590" spans="1:27" s="182" customFormat="1" ht="15" customHeight="1">
      <c r="A590" s="211"/>
      <c r="B590" s="206"/>
      <c r="C590" s="294"/>
      <c r="D590" s="191"/>
      <c r="E590" s="191"/>
      <c r="F590" s="191"/>
      <c r="G590" s="191"/>
      <c r="H590" s="191"/>
      <c r="I590" s="191"/>
      <c r="J590" s="192"/>
      <c r="K590" s="192"/>
      <c r="L590" s="140"/>
      <c r="M590" s="191"/>
      <c r="N590" s="191"/>
      <c r="O590" s="191"/>
      <c r="P590" s="191"/>
      <c r="Q590" s="191"/>
      <c r="R590" s="191"/>
      <c r="S590" s="191"/>
      <c r="T590" s="191"/>
      <c r="U590" s="191"/>
      <c r="V590" s="193"/>
      <c r="W590" s="181"/>
      <c r="X590" s="137"/>
      <c r="Z590" s="183"/>
      <c r="AA590" s="183"/>
    </row>
    <row r="591" spans="1:27" s="182" customFormat="1" ht="15" customHeight="1" thickBot="1">
      <c r="A591" s="211"/>
      <c r="B591" s="505"/>
      <c r="C591" s="505"/>
      <c r="D591" s="508"/>
      <c r="E591" s="508"/>
      <c r="F591" s="508"/>
      <c r="G591" s="508"/>
      <c r="H591" s="508"/>
      <c r="I591" s="508"/>
      <c r="J591" s="508"/>
      <c r="K591" s="508"/>
      <c r="L591" s="508"/>
      <c r="M591" s="508"/>
      <c r="N591" s="508"/>
      <c r="O591" s="508"/>
      <c r="P591" s="508"/>
      <c r="Q591" s="508"/>
      <c r="R591" s="508"/>
      <c r="S591" s="508"/>
      <c r="T591" s="508"/>
      <c r="U591" s="508"/>
      <c r="V591" s="508"/>
      <c r="W591" s="508"/>
      <c r="X591" s="509"/>
      <c r="Z591" s="183"/>
      <c r="AA591" s="183"/>
    </row>
    <row r="592" spans="1:27" ht="15" customHeight="1" thickBot="1">
      <c r="A592" s="210"/>
      <c r="B592" s="268" t="str">
        <f>IF(X593="","BLANKET/FELT/PAPER (pcs)",X593)</f>
        <v>BLANKET/FELT/PAPER (pcs)</v>
      </c>
      <c r="C592" s="269" t="s">
        <v>101</v>
      </c>
      <c r="D592" s="270" t="s">
        <v>102</v>
      </c>
      <c r="E592" s="270" t="s">
        <v>42</v>
      </c>
      <c r="F592" s="270" t="s">
        <v>42</v>
      </c>
      <c r="G592" s="270" t="s">
        <v>43</v>
      </c>
      <c r="H592" s="270" t="s">
        <v>44</v>
      </c>
      <c r="I592" s="270" t="s">
        <v>47</v>
      </c>
      <c r="J592" s="270" t="s">
        <v>103</v>
      </c>
      <c r="K592" s="270" t="s">
        <v>37</v>
      </c>
      <c r="L592" s="270" t="s">
        <v>39</v>
      </c>
      <c r="M592" s="270" t="s">
        <v>41</v>
      </c>
      <c r="N592" s="270" t="s">
        <v>46</v>
      </c>
      <c r="O592" s="270"/>
      <c r="P592" s="270" t="s">
        <v>113</v>
      </c>
      <c r="Q592" s="270"/>
      <c r="R592" s="270"/>
      <c r="S592" s="270" t="s">
        <v>70</v>
      </c>
      <c r="T592" s="270" t="s">
        <v>26</v>
      </c>
      <c r="U592" s="270" t="s">
        <v>38</v>
      </c>
      <c r="V592" s="271" t="s">
        <v>27</v>
      </c>
      <c r="W592" s="272"/>
      <c r="X592" s="273"/>
    </row>
    <row r="593" spans="1:27" ht="15" customHeight="1" thickBot="1">
      <c r="A593" s="210"/>
      <c r="B593" s="206"/>
      <c r="C593" s="129">
        <f>SUMIF(Densidades!A:A,'Memória TOTAL'!X593,Densidades!B:B)</f>
        <v>0</v>
      </c>
      <c r="D593" s="130">
        <f>SUMIF(Densidades!A:A,'Memória TOTAL'!X593,Densidades!C:C)</f>
        <v>0</v>
      </c>
      <c r="E593" s="131">
        <f>SUMIF(Formatos!A:A,'Memória TOTAL'!X594,Formatos!E:E)</f>
        <v>0</v>
      </c>
      <c r="F593" s="131">
        <f>SUMIF(Formatos!A:A,'Memória TOTAL'!X594,Formatos!F:F)</f>
        <v>0</v>
      </c>
      <c r="G593" s="131">
        <f>SUMIF(Formatos!A:A,'Memória TOTAL'!X594,Formatos!C:C)</f>
        <v>0</v>
      </c>
      <c r="H593" s="131">
        <f>SUMIF(Formatos!A:A,'Memória TOTAL'!X594,Formatos!D:D)</f>
        <v>0</v>
      </c>
      <c r="I593" s="131">
        <f>SUMIF(Densidades!A:A,'Memória TOTAL'!X593,Densidades!H:H)</f>
        <v>0</v>
      </c>
      <c r="J593" s="132">
        <f>SUMIF(Formatos!A:A,'Memória TOTAL'!X594,Formatos!G:G)</f>
        <v>0</v>
      </c>
      <c r="K593" s="133">
        <f>SUMIF(Densidades!A:A,'Memória TOTAL'!X593,Densidades!I:I)</f>
        <v>0</v>
      </c>
      <c r="L593" s="134">
        <v>0</v>
      </c>
      <c r="M593" s="135"/>
      <c r="N593" s="253"/>
      <c r="O593" s="135"/>
      <c r="P593" s="135"/>
      <c r="Q593" s="135"/>
      <c r="R593" s="135"/>
      <c r="S593" s="135"/>
      <c r="T593" s="135"/>
      <c r="U593" s="135"/>
      <c r="V593" s="141"/>
      <c r="W593" s="189" t="str">
        <f>IF(C593=0,"",ROUNDUP(SUM(V595:V598)*(1+L593),0))</f>
        <v/>
      </c>
      <c r="X593" s="259"/>
    </row>
    <row r="594" spans="1:27" ht="15" customHeight="1" thickBot="1">
      <c r="A594" s="210"/>
      <c r="B594" s="207"/>
      <c r="C594" s="138"/>
      <c r="D594" s="135"/>
      <c r="E594" s="131">
        <f t="shared" ref="E594:K594" si="96">E593</f>
        <v>0</v>
      </c>
      <c r="F594" s="131">
        <f t="shared" si="96"/>
        <v>0</v>
      </c>
      <c r="G594" s="131">
        <f t="shared" si="96"/>
        <v>0</v>
      </c>
      <c r="H594" s="131">
        <f t="shared" si="96"/>
        <v>0</v>
      </c>
      <c r="I594" s="131">
        <f t="shared" si="96"/>
        <v>0</v>
      </c>
      <c r="J594" s="131">
        <f t="shared" si="96"/>
        <v>0</v>
      </c>
      <c r="K594" s="133">
        <f t="shared" si="96"/>
        <v>0</v>
      </c>
      <c r="L594" s="140"/>
      <c r="M594" s="135"/>
      <c r="N594" s="131">
        <f>N593</f>
        <v>0</v>
      </c>
      <c r="O594" s="135"/>
      <c r="P594" s="135"/>
      <c r="Q594" s="135"/>
      <c r="R594" s="135"/>
      <c r="S594" s="135"/>
      <c r="T594" s="135"/>
      <c r="U594" s="135"/>
      <c r="V594" s="141"/>
      <c r="W594" s="142"/>
      <c r="X594" s="259"/>
    </row>
    <row r="595" spans="1:27" ht="15" customHeight="1" thickBot="1">
      <c r="A595" s="210"/>
      <c r="B595" s="208" t="s">
        <v>71</v>
      </c>
      <c r="C595" s="138"/>
      <c r="D595" s="135"/>
      <c r="E595" s="131">
        <f t="shared" ref="E595:K595" si="97">E594</f>
        <v>0</v>
      </c>
      <c r="F595" s="131">
        <f t="shared" si="97"/>
        <v>0</v>
      </c>
      <c r="G595" s="131">
        <f t="shared" si="97"/>
        <v>0</v>
      </c>
      <c r="H595" s="131">
        <f t="shared" si="97"/>
        <v>0</v>
      </c>
      <c r="I595" s="131">
        <f t="shared" si="97"/>
        <v>0</v>
      </c>
      <c r="J595" s="131">
        <f t="shared" si="97"/>
        <v>0</v>
      </c>
      <c r="K595" s="133">
        <f t="shared" si="97"/>
        <v>0</v>
      </c>
      <c r="L595" s="140"/>
      <c r="M595" s="135"/>
      <c r="N595" s="131">
        <f>N594</f>
        <v>0</v>
      </c>
      <c r="O595" s="135"/>
      <c r="P595" s="135"/>
      <c r="Q595" s="135"/>
      <c r="R595" s="135"/>
      <c r="S595" s="135"/>
      <c r="T595" s="135"/>
      <c r="U595" s="191"/>
      <c r="V595" s="141"/>
      <c r="W595" s="142"/>
      <c r="X595" s="143" t="s">
        <v>520</v>
      </c>
    </row>
    <row r="596" spans="1:27" ht="15" customHeight="1" thickBot="1">
      <c r="A596" s="210"/>
      <c r="B596" s="202"/>
      <c r="C596" s="155"/>
      <c r="D596" s="156"/>
      <c r="E596" s="172">
        <f t="shared" ref="E596:K596" si="98">E595</f>
        <v>0</v>
      </c>
      <c r="F596" s="172">
        <f t="shared" si="98"/>
        <v>0</v>
      </c>
      <c r="G596" s="172">
        <f t="shared" si="98"/>
        <v>0</v>
      </c>
      <c r="H596" s="172">
        <f t="shared" si="98"/>
        <v>0</v>
      </c>
      <c r="I596" s="172">
        <f t="shared" si="98"/>
        <v>0</v>
      </c>
      <c r="J596" s="172">
        <f t="shared" si="98"/>
        <v>0</v>
      </c>
      <c r="K596" s="173">
        <f t="shared" si="98"/>
        <v>0</v>
      </c>
      <c r="L596" s="158"/>
      <c r="M596" s="156"/>
      <c r="N596" s="172">
        <f>N595</f>
        <v>0</v>
      </c>
      <c r="O596" s="156"/>
      <c r="P596" s="253"/>
      <c r="Q596" s="156"/>
      <c r="R596" s="156"/>
      <c r="S596" s="253"/>
      <c r="T596" s="174" t="str">
        <f>IF(S596="","-",IF(COUNTIF(E596:H596,P596)&lt;1,"Esp. Errada",ROUNDUP(S596/((G596+N596)*(H596+N596)*((E596+N596)+(F596+N596))/2/(P596+N596)),2)))</f>
        <v>-</v>
      </c>
      <c r="U596" s="253"/>
      <c r="V596" s="175">
        <f>IF(S596="",0,IF(OR(P596=E596,P596=G596,P596=H596),T596*U596,"ESP. ERRADA"))</f>
        <v>0</v>
      </c>
      <c r="W596" s="176"/>
      <c r="X596" s="177"/>
    </row>
    <row r="597" spans="1:27" s="182" customFormat="1" ht="15" customHeight="1" thickBot="1">
      <c r="A597" s="210"/>
      <c r="B597" s="202"/>
      <c r="C597" s="220"/>
      <c r="D597" s="197"/>
      <c r="E597" s="172">
        <f t="shared" ref="E597:K597" si="99">E595</f>
        <v>0</v>
      </c>
      <c r="F597" s="172">
        <f t="shared" si="99"/>
        <v>0</v>
      </c>
      <c r="G597" s="172">
        <f t="shared" si="99"/>
        <v>0</v>
      </c>
      <c r="H597" s="172">
        <f t="shared" si="99"/>
        <v>0</v>
      </c>
      <c r="I597" s="172">
        <f t="shared" si="99"/>
        <v>0</v>
      </c>
      <c r="J597" s="172">
        <f t="shared" si="99"/>
        <v>0</v>
      </c>
      <c r="K597" s="221">
        <f t="shared" si="99"/>
        <v>0</v>
      </c>
      <c r="L597" s="158"/>
      <c r="M597" s="266"/>
      <c r="N597" s="172">
        <f>N595</f>
        <v>0</v>
      </c>
      <c r="O597" s="197"/>
      <c r="P597" s="253"/>
      <c r="Q597" s="197"/>
      <c r="R597" s="197"/>
      <c r="S597" s="197"/>
      <c r="T597" s="223" t="str">
        <f>IF(M597="","-",IF(COUNTIF(E597:H597,P597)&lt;1,"Esp. Errada",ROUNDUP(M597/IF(G597=P597,G597,(G597+N597))/IF(H597=P597,H597,(H597+N597))/IF(E597=P597,E597,(E597+N597)),2)))</f>
        <v>-</v>
      </c>
      <c r="U597" s="253"/>
      <c r="V597" s="175">
        <f>IF(M597="",0,IF(OR(P597=E597,P597=G597,P597=H597),T597*U597,"ESP. ERRADA"))</f>
        <v>0</v>
      </c>
      <c r="W597" s="225"/>
      <c r="X597" s="226"/>
      <c r="Z597" s="183"/>
      <c r="AA597" s="183"/>
    </row>
    <row r="598" spans="1:27" s="182" customFormat="1" ht="15" customHeight="1">
      <c r="A598" s="211"/>
      <c r="B598" s="206"/>
      <c r="C598" s="196"/>
      <c r="D598" s="191"/>
      <c r="E598" s="191"/>
      <c r="F598" s="191"/>
      <c r="G598" s="191"/>
      <c r="H598" s="191"/>
      <c r="I598" s="191"/>
      <c r="J598" s="192"/>
      <c r="K598" s="192"/>
      <c r="L598" s="140"/>
      <c r="M598" s="191"/>
      <c r="N598" s="191"/>
      <c r="O598" s="191"/>
      <c r="P598" s="191"/>
      <c r="Q598" s="191"/>
      <c r="R598" s="191"/>
      <c r="S598" s="191"/>
      <c r="T598" s="191"/>
      <c r="U598" s="191"/>
      <c r="V598" s="193"/>
      <c r="W598" s="181"/>
      <c r="X598" s="137"/>
      <c r="Z598" s="183"/>
      <c r="AA598" s="183"/>
    </row>
    <row r="599" spans="1:27" s="182" customFormat="1" ht="15" customHeight="1" thickBot="1">
      <c r="A599" s="211"/>
      <c r="B599" s="505"/>
      <c r="C599" s="505"/>
      <c r="D599" s="508"/>
      <c r="E599" s="508"/>
      <c r="F599" s="508"/>
      <c r="G599" s="508"/>
      <c r="H599" s="508"/>
      <c r="I599" s="508"/>
      <c r="J599" s="508"/>
      <c r="K599" s="508"/>
      <c r="L599" s="508"/>
      <c r="M599" s="508"/>
      <c r="N599" s="508"/>
      <c r="O599" s="508"/>
      <c r="P599" s="508"/>
      <c r="Q599" s="508"/>
      <c r="R599" s="508"/>
      <c r="S599" s="508"/>
      <c r="T599" s="508"/>
      <c r="U599" s="508"/>
      <c r="V599" s="508"/>
      <c r="W599" s="508"/>
      <c r="X599" s="509"/>
      <c r="Z599" s="183"/>
      <c r="AA599" s="183"/>
    </row>
    <row r="600" spans="1:27" ht="15" customHeight="1" thickBot="1">
      <c r="A600" s="210"/>
      <c r="B600" s="268" t="str">
        <f>IF(X601="","JOINT PANEL (pcs)",X601)</f>
        <v>JOINT PANEL (pcs)</v>
      </c>
      <c r="C600" s="269" t="s">
        <v>101</v>
      </c>
      <c r="D600" s="270" t="s">
        <v>102</v>
      </c>
      <c r="E600" s="270" t="s">
        <v>42</v>
      </c>
      <c r="F600" s="270" t="s">
        <v>42</v>
      </c>
      <c r="G600" s="270" t="s">
        <v>43</v>
      </c>
      <c r="H600" s="270" t="s">
        <v>44</v>
      </c>
      <c r="I600" s="270" t="s">
        <v>47</v>
      </c>
      <c r="J600" s="270" t="s">
        <v>103</v>
      </c>
      <c r="K600" s="270" t="s">
        <v>37</v>
      </c>
      <c r="L600" s="270" t="s">
        <v>39</v>
      </c>
      <c r="M600" s="270"/>
      <c r="N600" s="270"/>
      <c r="O600" s="270"/>
      <c r="P600" s="179" t="s">
        <v>1091</v>
      </c>
      <c r="Q600" s="270" t="s">
        <v>107</v>
      </c>
      <c r="R600" s="179" t="s">
        <v>65</v>
      </c>
      <c r="S600" s="270" t="s">
        <v>70</v>
      </c>
      <c r="T600" s="270" t="s">
        <v>26</v>
      </c>
      <c r="U600" s="270" t="s">
        <v>38</v>
      </c>
      <c r="V600" s="271" t="s">
        <v>27</v>
      </c>
      <c r="W600" s="272"/>
      <c r="X600" s="273"/>
    </row>
    <row r="601" spans="1:27" ht="15" customHeight="1" thickBot="1">
      <c r="A601" s="210"/>
      <c r="B601" s="206"/>
      <c r="C601" s="129">
        <f>SUMIF(Densidades!A:A,'Memória TOTAL'!X601,Densidades!B:B)</f>
        <v>0</v>
      </c>
      <c r="D601" s="130">
        <f>SUMIF(Densidades!A:A,'Memória TOTAL'!X601,Densidades!C:C)</f>
        <v>0</v>
      </c>
      <c r="E601" s="131">
        <f>SUMIF(Formatos!A:A,'Memória TOTAL'!X602,Formatos!E:E)</f>
        <v>0</v>
      </c>
      <c r="F601" s="131">
        <f>SUMIF(Formatos!A:A,'Memória TOTAL'!X602,Formatos!F:F)</f>
        <v>0</v>
      </c>
      <c r="G601" s="131">
        <f>SUMIF(Formatos!A:A,'Memória TOTAL'!X602,Formatos!C:C)</f>
        <v>0</v>
      </c>
      <c r="H601" s="131">
        <f>SUMIF(Formatos!A:A,'Memória TOTAL'!X602,Formatos!D:D)</f>
        <v>0</v>
      </c>
      <c r="I601" s="131">
        <f>SUMIF(Densidades!A:A,'Memória TOTAL'!X601,Densidades!H:H)</f>
        <v>0</v>
      </c>
      <c r="J601" s="132">
        <f>SUMIF(Formatos!A:A,'Memória TOTAL'!X602,Formatos!G:G)</f>
        <v>0</v>
      </c>
      <c r="K601" s="133">
        <f>SUMIF(Densidades!A:A,'Memória TOTAL'!X601,Densidades!I:I)</f>
        <v>0</v>
      </c>
      <c r="L601" s="134">
        <v>0</v>
      </c>
      <c r="M601" s="135"/>
      <c r="N601" s="135"/>
      <c r="O601" s="135"/>
      <c r="P601" s="135"/>
      <c r="Q601" s="135"/>
      <c r="R601" s="135"/>
      <c r="S601" s="135"/>
      <c r="T601" s="135"/>
      <c r="U601" s="135"/>
      <c r="V601" s="141"/>
      <c r="W601" s="189" t="str">
        <f>IF(C601=0,"",ROUNDUP(SUM(V603:V605)*(1+L601),0))</f>
        <v/>
      </c>
      <c r="X601" s="259"/>
    </row>
    <row r="602" spans="1:27" ht="15" customHeight="1" thickBot="1">
      <c r="A602" s="210"/>
      <c r="B602" s="207"/>
      <c r="C602" s="138"/>
      <c r="D602" s="135"/>
      <c r="E602" s="131">
        <f t="shared" ref="E602:K602" si="100">E601</f>
        <v>0</v>
      </c>
      <c r="F602" s="131">
        <f t="shared" si="100"/>
        <v>0</v>
      </c>
      <c r="G602" s="131">
        <f t="shared" si="100"/>
        <v>0</v>
      </c>
      <c r="H602" s="131">
        <f t="shared" si="100"/>
        <v>0</v>
      </c>
      <c r="I602" s="131">
        <f t="shared" si="100"/>
        <v>0</v>
      </c>
      <c r="J602" s="131">
        <f t="shared" si="100"/>
        <v>0</v>
      </c>
      <c r="K602" s="133">
        <f t="shared" si="100"/>
        <v>0</v>
      </c>
      <c r="L602" s="140"/>
      <c r="M602" s="135"/>
      <c r="N602" s="131"/>
      <c r="O602" s="135"/>
      <c r="P602" s="135"/>
      <c r="Q602" s="135"/>
      <c r="R602" s="135"/>
      <c r="S602" s="135"/>
      <c r="T602" s="135"/>
      <c r="U602" s="135"/>
      <c r="V602" s="141"/>
      <c r="W602" s="142"/>
      <c r="X602" s="259"/>
    </row>
    <row r="603" spans="1:27" ht="15" customHeight="1" thickBot="1">
      <c r="A603" s="210"/>
      <c r="B603" s="208" t="s">
        <v>71</v>
      </c>
      <c r="C603" s="138"/>
      <c r="D603" s="135"/>
      <c r="E603" s="131">
        <f t="shared" ref="E603:K603" si="101">E602</f>
        <v>0</v>
      </c>
      <c r="F603" s="131">
        <f t="shared" si="101"/>
        <v>0</v>
      </c>
      <c r="G603" s="131">
        <f t="shared" si="101"/>
        <v>0</v>
      </c>
      <c r="H603" s="131">
        <f t="shared" si="101"/>
        <v>0</v>
      </c>
      <c r="I603" s="131">
        <f t="shared" si="101"/>
        <v>0</v>
      </c>
      <c r="J603" s="131">
        <f t="shared" si="101"/>
        <v>0</v>
      </c>
      <c r="K603" s="133">
        <f t="shared" si="101"/>
        <v>0</v>
      </c>
      <c r="L603" s="140"/>
      <c r="M603" s="135"/>
      <c r="N603" s="131"/>
      <c r="O603" s="135"/>
      <c r="P603" s="135"/>
      <c r="Q603" s="135"/>
      <c r="R603" s="135"/>
      <c r="S603" s="135"/>
      <c r="T603" s="135"/>
      <c r="U603" s="191" t="s">
        <v>669</v>
      </c>
      <c r="V603" s="141"/>
      <c r="W603" s="142"/>
      <c r="X603" s="143" t="s">
        <v>520</v>
      </c>
    </row>
    <row r="604" spans="1:27" ht="15" customHeight="1" thickBot="1">
      <c r="A604" s="210"/>
      <c r="B604" s="202"/>
      <c r="C604" s="155"/>
      <c r="D604" s="156"/>
      <c r="E604" s="172">
        <f t="shared" ref="E604:K604" si="102">E603</f>
        <v>0</v>
      </c>
      <c r="F604" s="172">
        <f t="shared" si="102"/>
        <v>0</v>
      </c>
      <c r="G604" s="172">
        <f t="shared" si="102"/>
        <v>0</v>
      </c>
      <c r="H604" s="172">
        <f t="shared" si="102"/>
        <v>0</v>
      </c>
      <c r="I604" s="172">
        <f t="shared" si="102"/>
        <v>0</v>
      </c>
      <c r="J604" s="172">
        <f t="shared" si="102"/>
        <v>0</v>
      </c>
      <c r="K604" s="173">
        <f t="shared" si="102"/>
        <v>0</v>
      </c>
      <c r="L604" s="158"/>
      <c r="M604" s="156"/>
      <c r="N604" s="172"/>
      <c r="O604" s="156"/>
      <c r="P604" s="253"/>
      <c r="Q604" s="156"/>
      <c r="R604" s="253"/>
      <c r="S604" s="253"/>
      <c r="T604" s="223" t="e">
        <f>ROUNDUP((((S604/P604/P604)*(P604*2)*R604)/G604/H604),2)</f>
        <v>#DIV/0!</v>
      </c>
      <c r="U604" s="253"/>
      <c r="V604" s="175" t="e">
        <f>U604*T604</f>
        <v>#DIV/0!</v>
      </c>
      <c r="W604" s="176"/>
      <c r="X604" s="177"/>
    </row>
    <row r="605" spans="1:27" s="182" customFormat="1" ht="15" customHeight="1">
      <c r="A605" s="211"/>
      <c r="B605" s="206"/>
      <c r="C605" s="196"/>
      <c r="D605" s="191"/>
      <c r="E605" s="191"/>
      <c r="F605" s="191"/>
      <c r="G605" s="191"/>
      <c r="H605" s="191"/>
      <c r="I605" s="191"/>
      <c r="J605" s="192"/>
      <c r="K605" s="192"/>
      <c r="L605" s="140"/>
      <c r="M605" s="191"/>
      <c r="N605" s="191"/>
      <c r="O605" s="191"/>
      <c r="P605" s="191"/>
      <c r="Q605" s="191"/>
      <c r="R605" s="191"/>
      <c r="S605" s="191"/>
      <c r="T605" s="191"/>
      <c r="U605" s="191"/>
      <c r="V605" s="193"/>
      <c r="W605" s="181"/>
      <c r="X605" s="137"/>
      <c r="Z605" s="183"/>
      <c r="AA605" s="183"/>
    </row>
    <row r="606" spans="1:27" s="182" customFormat="1" ht="15" customHeight="1" thickBot="1">
      <c r="A606" s="211"/>
      <c r="B606" s="505"/>
      <c r="C606" s="505"/>
      <c r="D606" s="508"/>
      <c r="E606" s="508"/>
      <c r="F606" s="508"/>
      <c r="G606" s="508"/>
      <c r="H606" s="508"/>
      <c r="I606" s="508"/>
      <c r="J606" s="508"/>
      <c r="K606" s="508"/>
      <c r="L606" s="508"/>
      <c r="M606" s="508"/>
      <c r="N606" s="508"/>
      <c r="O606" s="508"/>
      <c r="P606" s="508"/>
      <c r="Q606" s="508"/>
      <c r="R606" s="508"/>
      <c r="S606" s="508"/>
      <c r="T606" s="508"/>
      <c r="U606" s="508"/>
      <c r="V606" s="508"/>
      <c r="W606" s="508"/>
      <c r="X606" s="509"/>
      <c r="Z606" s="183"/>
      <c r="AA606" s="183"/>
    </row>
    <row r="607" spans="1:27" s="182" customFormat="1" ht="15" customHeight="1" thickBot="1">
      <c r="A607" s="210"/>
      <c r="B607" s="198" t="str">
        <f>IF(X608="","FIBRA",X608)</f>
        <v>CER. FIBER WOOL 96/1260</v>
      </c>
      <c r="C607" s="215" t="s">
        <v>101</v>
      </c>
      <c r="D607" s="179" t="s">
        <v>102</v>
      </c>
      <c r="E607" s="179"/>
      <c r="F607" s="179"/>
      <c r="G607" s="179"/>
      <c r="H607" s="179"/>
      <c r="I607" s="179"/>
      <c r="J607" s="179" t="s">
        <v>103</v>
      </c>
      <c r="K607" s="179" t="s">
        <v>37</v>
      </c>
      <c r="L607" s="179" t="s">
        <v>39</v>
      </c>
      <c r="M607" s="179" t="s">
        <v>10</v>
      </c>
      <c r="N607" s="179"/>
      <c r="O607" s="179"/>
      <c r="P607" s="179"/>
      <c r="Q607" s="179"/>
      <c r="R607" s="179"/>
      <c r="S607" s="179"/>
      <c r="T607" s="179" t="s">
        <v>26</v>
      </c>
      <c r="U607" s="179" t="s">
        <v>38</v>
      </c>
      <c r="V607" s="180" t="s">
        <v>27</v>
      </c>
      <c r="W607" s="216"/>
      <c r="X607" s="217"/>
      <c r="Z607" s="183"/>
      <c r="AA607" s="183"/>
    </row>
    <row r="608" spans="1:27" s="182" customFormat="1" ht="15" customHeight="1" thickBot="1">
      <c r="A608" s="210"/>
      <c r="B608" s="190"/>
      <c r="C608" s="129">
        <f>SUMIF(Densidades!A:A,'Memória TOTAL'!X608,Densidades!B:B)</f>
        <v>9.6000000000000002E-2</v>
      </c>
      <c r="D608" s="130">
        <f>SUMIF(Densidades!A:A,'Memória TOTAL'!X608,Densidades!C:C)</f>
        <v>1</v>
      </c>
      <c r="E608" s="130"/>
      <c r="F608" s="130"/>
      <c r="G608" s="130"/>
      <c r="H608" s="130"/>
      <c r="I608" s="130"/>
      <c r="J608" s="132">
        <f>SUMIF(Formatos!A:A,'Memória TOTAL'!X609,Formatos!G:G)</f>
        <v>1</v>
      </c>
      <c r="K608" s="218">
        <f>SUMIF(Densidades!A:A,'Memória TOTAL'!X608,Densidades!I:I)</f>
        <v>4</v>
      </c>
      <c r="L608" s="219">
        <v>0</v>
      </c>
      <c r="M608" s="191"/>
      <c r="N608" s="191"/>
      <c r="O608" s="191"/>
      <c r="P608" s="191"/>
      <c r="Q608" s="191"/>
      <c r="R608" s="191"/>
      <c r="S608" s="191"/>
      <c r="T608" s="191"/>
      <c r="U608" s="191"/>
      <c r="V608" s="193"/>
      <c r="W608" s="189">
        <f>IF(C608=0,"",ROUNDUP(SUM(V612:V612)*(1+L608),0))</f>
        <v>0</v>
      </c>
      <c r="X608" s="259" t="s">
        <v>1792</v>
      </c>
      <c r="Z608" s="183"/>
      <c r="AA608" s="183"/>
    </row>
    <row r="609" spans="1:27" s="182" customFormat="1" ht="15" customHeight="1" thickBot="1">
      <c r="A609" s="210"/>
      <c r="B609" s="190"/>
      <c r="C609" s="196"/>
      <c r="D609" s="191"/>
      <c r="E609" s="191"/>
      <c r="F609" s="191"/>
      <c r="G609" s="191"/>
      <c r="H609" s="191"/>
      <c r="I609" s="191"/>
      <c r="J609" s="192"/>
      <c r="K609" s="192"/>
      <c r="L609" s="140"/>
      <c r="M609" s="191"/>
      <c r="N609" s="191"/>
      <c r="O609" s="191"/>
      <c r="P609" s="191"/>
      <c r="Q609" s="191"/>
      <c r="R609" s="191"/>
      <c r="S609" s="191"/>
      <c r="T609" s="191"/>
      <c r="U609" s="191"/>
      <c r="V609" s="193"/>
      <c r="W609" s="181"/>
      <c r="X609" s="259" t="s">
        <v>1822</v>
      </c>
      <c r="Z609" s="183"/>
      <c r="AA609" s="183"/>
    </row>
    <row r="610" spans="1:27" s="182" customFormat="1" ht="15" customHeight="1">
      <c r="A610" s="210"/>
      <c r="B610" s="190"/>
      <c r="C610" s="196"/>
      <c r="D610" s="191"/>
      <c r="E610" s="191"/>
      <c r="F610" s="191"/>
      <c r="G610" s="191"/>
      <c r="H610" s="191"/>
      <c r="I610" s="191"/>
      <c r="J610" s="192"/>
      <c r="K610" s="192"/>
      <c r="L610" s="140"/>
      <c r="M610" s="191"/>
      <c r="N610" s="191"/>
      <c r="O610" s="191"/>
      <c r="P610" s="191"/>
      <c r="Q610" s="191"/>
      <c r="R610" s="191"/>
      <c r="S610" s="191"/>
      <c r="T610" s="191"/>
      <c r="U610" s="191"/>
      <c r="V610" s="193"/>
      <c r="W610" s="181"/>
      <c r="X610" s="137" t="s">
        <v>2</v>
      </c>
      <c r="Z610" s="183"/>
      <c r="AA610" s="183"/>
    </row>
    <row r="611" spans="1:27" s="182" customFormat="1" ht="15" customHeight="1" thickBot="1">
      <c r="A611" s="210"/>
      <c r="B611" s="164"/>
      <c r="C611" s="196"/>
      <c r="D611" s="191"/>
      <c r="E611" s="191"/>
      <c r="F611" s="191"/>
      <c r="G611" s="191"/>
      <c r="H611" s="191"/>
      <c r="I611" s="191"/>
      <c r="J611" s="192"/>
      <c r="K611" s="192"/>
      <c r="L611" s="140"/>
      <c r="M611" s="191"/>
      <c r="N611" s="191"/>
      <c r="O611" s="191"/>
      <c r="P611" s="191"/>
      <c r="Q611" s="191"/>
      <c r="R611" s="191"/>
      <c r="S611" s="191"/>
      <c r="T611" s="191"/>
      <c r="U611" s="191"/>
      <c r="V611" s="193"/>
      <c r="W611" s="181"/>
      <c r="X611" s="137"/>
      <c r="Z611" s="183"/>
      <c r="AA611" s="183"/>
    </row>
    <row r="612" spans="1:27" s="182" customFormat="1" ht="15" customHeight="1" thickBot="1">
      <c r="A612" s="210"/>
      <c r="B612" s="202"/>
      <c r="C612" s="194">
        <f>C608</f>
        <v>9.6000000000000002E-2</v>
      </c>
      <c r="D612" s="197"/>
      <c r="E612" s="197"/>
      <c r="F612" s="197"/>
      <c r="G612" s="197"/>
      <c r="H612" s="197"/>
      <c r="I612" s="197"/>
      <c r="J612" s="230"/>
      <c r="K612" s="230"/>
      <c r="L612" s="233">
        <v>0</v>
      </c>
      <c r="M612" s="253"/>
      <c r="N612" s="197"/>
      <c r="O612" s="197"/>
      <c r="P612" s="197"/>
      <c r="Q612" s="197"/>
      <c r="R612" s="197"/>
      <c r="S612" s="197"/>
      <c r="T612" s="223">
        <f>M612/10^6</f>
        <v>0</v>
      </c>
      <c r="U612" s="255">
        <v>1</v>
      </c>
      <c r="V612" s="224">
        <f>ROUNDUP(T612*C612*(1+L612),2)*U612</f>
        <v>0</v>
      </c>
      <c r="W612" s="225"/>
      <c r="X612" s="226"/>
      <c r="Z612" s="183"/>
      <c r="AA612" s="183"/>
    </row>
    <row r="613" spans="1:27" s="182" customFormat="1" ht="15" customHeight="1">
      <c r="A613" s="210"/>
      <c r="B613" s="190"/>
      <c r="C613" s="196"/>
      <c r="D613" s="191"/>
      <c r="E613" s="191"/>
      <c r="F613" s="191"/>
      <c r="G613" s="191"/>
      <c r="H613" s="191"/>
      <c r="I613" s="191"/>
      <c r="J613" s="192"/>
      <c r="K613" s="192"/>
      <c r="L613" s="140"/>
      <c r="M613" s="191"/>
      <c r="N613" s="191"/>
      <c r="O613" s="191"/>
      <c r="P613" s="191"/>
      <c r="Q613" s="191"/>
      <c r="R613" s="191"/>
      <c r="S613" s="191"/>
      <c r="T613" s="191"/>
      <c r="U613" s="191"/>
      <c r="V613" s="193"/>
      <c r="W613" s="181"/>
      <c r="X613" s="137"/>
      <c r="Z613" s="183"/>
      <c r="AA613" s="183"/>
    </row>
    <row r="614" spans="1:27" s="182" customFormat="1" ht="15" customHeight="1" thickBot="1">
      <c r="A614" s="210"/>
      <c r="B614" s="505"/>
      <c r="C614" s="505"/>
      <c r="D614" s="508"/>
      <c r="E614" s="508"/>
      <c r="F614" s="508"/>
      <c r="G614" s="508"/>
      <c r="H614" s="508"/>
      <c r="I614" s="508"/>
      <c r="J614" s="508"/>
      <c r="K614" s="508"/>
      <c r="L614" s="508"/>
      <c r="M614" s="508"/>
      <c r="N614" s="508"/>
      <c r="O614" s="508"/>
      <c r="P614" s="508"/>
      <c r="Q614" s="508"/>
      <c r="R614" s="508"/>
      <c r="S614" s="508"/>
      <c r="T614" s="508"/>
      <c r="U614" s="508"/>
      <c r="V614" s="508"/>
      <c r="W614" s="508"/>
      <c r="X614" s="509"/>
      <c r="Z614" s="183"/>
      <c r="AA614" s="183"/>
    </row>
    <row r="615" spans="1:27" ht="15" customHeight="1" thickBot="1">
      <c r="A615" s="274"/>
      <c r="B615" s="268" t="str">
        <f>IF(X616="","ESPINHA DE PEIXE-FUNDO ESF.",X616)</f>
        <v>ESPINHA DE PEIXE-FUNDO ESF.</v>
      </c>
      <c r="C615" s="269" t="s">
        <v>101</v>
      </c>
      <c r="D615" s="270" t="s">
        <v>102</v>
      </c>
      <c r="E615" s="270" t="s">
        <v>42</v>
      </c>
      <c r="F615" s="270" t="s">
        <v>42</v>
      </c>
      <c r="G615" s="270" t="s">
        <v>43</v>
      </c>
      <c r="H615" s="270" t="s">
        <v>44</v>
      </c>
      <c r="I615" s="270" t="s">
        <v>47</v>
      </c>
      <c r="J615" s="270" t="s">
        <v>103</v>
      </c>
      <c r="K615" s="270" t="s">
        <v>37</v>
      </c>
      <c r="L615" s="270" t="s">
        <v>39</v>
      </c>
      <c r="M615" s="270" t="s">
        <v>45</v>
      </c>
      <c r="N615" s="270" t="s">
        <v>46</v>
      </c>
      <c r="O615" s="270" t="s">
        <v>668</v>
      </c>
      <c r="P615" s="270" t="s">
        <v>51</v>
      </c>
      <c r="Q615" s="270" t="s">
        <v>52</v>
      </c>
      <c r="R615" s="292" t="s">
        <v>1008</v>
      </c>
      <c r="S615" s="270"/>
      <c r="T615" s="270"/>
      <c r="U615" s="292" t="s">
        <v>38</v>
      </c>
      <c r="V615" s="271" t="s">
        <v>27</v>
      </c>
      <c r="W615" s="272"/>
      <c r="X615" s="273"/>
    </row>
    <row r="616" spans="1:27" ht="15" customHeight="1" thickBot="1">
      <c r="A616" s="240"/>
      <c r="B616" s="242"/>
      <c r="C616" s="241">
        <f>SUMIF(Densidades!A:A,'Memória TOTAL'!X616,Densidades!B:B)</f>
        <v>0</v>
      </c>
      <c r="D616" s="130">
        <f>SUMIF(Densidades!A:A,'Memória TOTAL'!X616,Densidades!C:C)</f>
        <v>0</v>
      </c>
      <c r="E616" s="131">
        <f>IF(AND(E622=1,E623=2),SUMIF(Formatos!A:A,'Memória TOTAL'!X617,Formatos!D:D),SUMIF(Formatos!A:A,'Memória TOTAL'!X617,Formatos!E:E))</f>
        <v>0</v>
      </c>
      <c r="F616" s="131">
        <f>IF(AND(E622=1,E623=2),SUMIF(Formatos!A:A,'Memória TOTAL'!X617,Formatos!R:R),SUMIF(Formatos!A:A,'Memória TOTAL'!X617,Formatos!F:F))</f>
        <v>0</v>
      </c>
      <c r="G616" s="131">
        <f>SUMIF(Formatos!A:A,'Memória TOTAL'!X617,Formatos!C:C)</f>
        <v>0</v>
      </c>
      <c r="H616" s="131">
        <f>SUMIF(Formatos!A:A,'Memória TOTAL'!X617,Formatos!D:D)</f>
        <v>0</v>
      </c>
      <c r="I616" s="131">
        <f>SUMIF(Densidades!A:A,'Memória TOTAL'!X616,Densidades!H:H)</f>
        <v>0</v>
      </c>
      <c r="J616" s="132">
        <f>SUMIF(Formatos!A:A,'Memória TOTAL'!X617,Formatos!G:G)</f>
        <v>0</v>
      </c>
      <c r="K616" s="133">
        <f>SUMIF(Densidades!A:A,'Memória TOTAL'!X616,Densidades!I:I)</f>
        <v>0</v>
      </c>
      <c r="L616" s="249">
        <v>0</v>
      </c>
      <c r="M616" s="252"/>
      <c r="N616" s="250">
        <v>0</v>
      </c>
      <c r="O616" s="253"/>
      <c r="P616" s="251">
        <f>O616*2</f>
        <v>0</v>
      </c>
      <c r="Q616" s="135">
        <f>P616-(2*M616)</f>
        <v>0</v>
      </c>
      <c r="R616" s="253"/>
      <c r="S616" s="256"/>
      <c r="T616" s="191"/>
      <c r="U616" s="253"/>
      <c r="V616" s="252" t="str">
        <f>IF(M616="","",IF(OR(M616=E616,M616=G616,M616=H616),ROUND(R623,0),"ESP. ERRADA"))</f>
        <v/>
      </c>
      <c r="W616" s="258" t="str">
        <f>IFERROR(IF(C616=0,"",ROUNDUP(SUM(V616)*(1+L616),0))*U616,"")</f>
        <v/>
      </c>
      <c r="X616" s="259"/>
    </row>
    <row r="617" spans="1:27" s="182" customFormat="1" ht="15" customHeight="1">
      <c r="A617" s="211"/>
      <c r="B617" s="297"/>
      <c r="C617" s="232"/>
      <c r="D617" s="191"/>
      <c r="E617" s="191"/>
      <c r="F617" s="191"/>
      <c r="G617" s="191"/>
      <c r="H617" s="191"/>
      <c r="I617" s="191"/>
      <c r="J617" s="192"/>
      <c r="K617" s="192"/>
      <c r="L617" s="140"/>
      <c r="M617" s="191"/>
      <c r="N617" s="191"/>
      <c r="O617" s="191"/>
      <c r="P617" s="191"/>
      <c r="Q617" s="191"/>
      <c r="R617" s="191"/>
      <c r="S617" s="191"/>
      <c r="T617" s="191"/>
      <c r="U617" s="191"/>
      <c r="V617" s="193"/>
      <c r="W617" s="181"/>
      <c r="X617" s="137" t="str">
        <f>IF(B622="","",B622)</f>
        <v/>
      </c>
      <c r="Z617" s="183"/>
      <c r="AA617" s="183"/>
    </row>
    <row r="618" spans="1:27" s="182" customFormat="1" ht="15" customHeight="1">
      <c r="A618" s="211"/>
      <c r="B618" s="297"/>
      <c r="C618" s="232"/>
      <c r="D618" s="191"/>
      <c r="E618" s="191"/>
      <c r="F618" s="191"/>
      <c r="G618" s="191"/>
      <c r="H618" s="191"/>
      <c r="I618" s="191"/>
      <c r="J618" s="192"/>
      <c r="K618" s="192"/>
      <c r="L618" s="140"/>
      <c r="M618" s="191"/>
      <c r="N618" s="191"/>
      <c r="O618" s="191"/>
      <c r="P618" s="191"/>
      <c r="Q618" s="191"/>
      <c r="R618" s="191"/>
      <c r="S618" s="191"/>
      <c r="T618" s="191"/>
      <c r="U618" s="191"/>
      <c r="V618" s="193"/>
      <c r="W618" s="181"/>
      <c r="X618" s="137" t="s">
        <v>520</v>
      </c>
      <c r="Z618" s="183"/>
      <c r="AA618" s="183"/>
    </row>
    <row r="619" spans="1:27" s="182" customFormat="1" ht="15" customHeight="1" thickBot="1">
      <c r="A619" s="211"/>
      <c r="B619" s="297"/>
      <c r="C619" s="232" t="str">
        <f t="shared" ref="C619:L619" si="103">C615</f>
        <v>Dens.</v>
      </c>
      <c r="D619" s="191" t="str">
        <f t="shared" si="103"/>
        <v>Emb.</v>
      </c>
      <c r="E619" s="234" t="str">
        <f t="shared" si="103"/>
        <v>Esp. Tij.</v>
      </c>
      <c r="F619" s="234" t="str">
        <f t="shared" si="103"/>
        <v>Esp. Tij.</v>
      </c>
      <c r="G619" s="234" t="str">
        <f t="shared" si="103"/>
        <v>Comp. Tij.</v>
      </c>
      <c r="H619" s="234" t="str">
        <f t="shared" si="103"/>
        <v>Larg. Tij.</v>
      </c>
      <c r="I619" s="234" t="str">
        <f t="shared" si="103"/>
        <v>Tipo Fator</v>
      </c>
      <c r="J619" s="234" t="str">
        <f t="shared" si="103"/>
        <v>Vol.</v>
      </c>
      <c r="K619" s="234" t="str">
        <f t="shared" si="103"/>
        <v>Class.</v>
      </c>
      <c r="L619" s="191" t="str">
        <f t="shared" si="103"/>
        <v>Coefic. (%)</v>
      </c>
      <c r="M619" s="191"/>
      <c r="N619" s="191"/>
      <c r="O619" s="191"/>
      <c r="P619" s="191"/>
      <c r="Q619" s="191"/>
      <c r="R619" s="191"/>
      <c r="S619" s="191"/>
      <c r="T619" s="191"/>
      <c r="U619" s="191"/>
      <c r="V619" s="238"/>
      <c r="W619" s="181"/>
      <c r="X619" s="137"/>
      <c r="Z619" s="183"/>
      <c r="AA619" s="183"/>
    </row>
    <row r="620" spans="1:27" s="182" customFormat="1" ht="15" customHeight="1" thickBot="1">
      <c r="A620" s="211"/>
      <c r="B620" s="297"/>
      <c r="C620" s="241">
        <f>SUMIF(Densidades!A:A,'Memória TOTAL'!X620,Densidades!B:B)</f>
        <v>0</v>
      </c>
      <c r="D620" s="130">
        <f>SUMIF(Densidades!A:A,'Memória TOTAL'!X620,Densidades!C:C)</f>
        <v>620</v>
      </c>
      <c r="E620" s="131">
        <f>SUMIF(Formatos!A:A,'Memória TOTAL'!X621,Formatos!E:E)</f>
        <v>0</v>
      </c>
      <c r="F620" s="131">
        <f>SUMIF(Formatos!A:A,'Memória TOTAL'!X621,Formatos!F:F)</f>
        <v>0</v>
      </c>
      <c r="G620" s="131">
        <f>SUMIF(Formatos!A:A,'Memória TOTAL'!X621,Formatos!C:C)</f>
        <v>0</v>
      </c>
      <c r="H620" s="131">
        <f>SUMIF(Formatos!A:A,'Memória TOTAL'!X621,Formatos!D:D)</f>
        <v>0</v>
      </c>
      <c r="I620" s="131">
        <f>SUMIF(Densidades!A:A,'Memória TOTAL'!X620,Densidades!H:H)</f>
        <v>0</v>
      </c>
      <c r="J620" s="132">
        <f>SUMIF(Formatos!A:A,'Memória TOTAL'!X621,Formatos!G:G)</f>
        <v>0</v>
      </c>
      <c r="K620" s="218">
        <f>SUMIF(Densidades!A:A,'Memória TOTAL'!X620,Densidades!I:I)</f>
        <v>177</v>
      </c>
      <c r="L620" s="219">
        <v>0</v>
      </c>
      <c r="M620" s="191"/>
      <c r="N620" s="191"/>
      <c r="O620" s="191"/>
      <c r="P620" s="191"/>
      <c r="Q620" s="191"/>
      <c r="R620" s="191"/>
      <c r="S620" s="191"/>
      <c r="T620" s="228"/>
      <c r="U620" s="231"/>
      <c r="V620" s="252" t="str">
        <f>IF(M616="","",IF(OR(M616=E616,M616=G616,M616=H616),ROUND(S623,0),"ESP. ERRADA"))</f>
        <v/>
      </c>
      <c r="W620" s="263" t="str">
        <f>IFERROR(IF(C620=0,"",ROUNDUP(SUM(V620)*(1+L620),0))*U616,"")</f>
        <v/>
      </c>
      <c r="X620" s="137" t="str">
        <f>IF(X616="","",X616)</f>
        <v/>
      </c>
      <c r="Z620" s="183"/>
      <c r="AA620" s="183"/>
    </row>
    <row r="621" spans="1:27" s="182" customFormat="1" ht="15" customHeight="1">
      <c r="A621" s="211"/>
      <c r="B621" s="297"/>
      <c r="C621" s="232"/>
      <c r="D621" s="191"/>
      <c r="E621" s="191"/>
      <c r="F621" s="191"/>
      <c r="G621" s="191"/>
      <c r="H621" s="191"/>
      <c r="I621" s="191"/>
      <c r="J621" s="192"/>
      <c r="K621" s="192"/>
      <c r="L621" s="140"/>
      <c r="M621" s="191"/>
      <c r="N621" s="191"/>
      <c r="O621" s="191"/>
      <c r="P621" s="191"/>
      <c r="Q621" s="191"/>
      <c r="R621" s="191"/>
      <c r="S621" s="191"/>
      <c r="T621" s="191"/>
      <c r="U621" s="191"/>
      <c r="V621" s="193"/>
      <c r="W621" s="181"/>
      <c r="X621" s="137" t="str">
        <f>IF(B623="","",B623)</f>
        <v/>
      </c>
      <c r="Z621" s="183"/>
      <c r="AA621" s="183"/>
    </row>
    <row r="622" spans="1:27" s="182" customFormat="1" ht="15" customHeight="1">
      <c r="A622" s="211"/>
      <c r="B622" s="297"/>
      <c r="C622" s="239" t="s">
        <v>54</v>
      </c>
      <c r="D622" s="235"/>
      <c r="E622" s="191">
        <f>SUMIF(Formatos!A:A,'Memória TOTAL'!X617,Formatos!S:S)</f>
        <v>0</v>
      </c>
      <c r="F622" s="234"/>
      <c r="G622" s="234"/>
      <c r="H622" s="144" t="s">
        <v>54</v>
      </c>
      <c r="I622" s="144" t="s">
        <v>55</v>
      </c>
      <c r="J622" s="192"/>
      <c r="K622" s="191" t="s">
        <v>1072</v>
      </c>
      <c r="L622" s="140"/>
      <c r="M622" s="191"/>
      <c r="N622" s="191" t="s">
        <v>22</v>
      </c>
      <c r="O622" s="145" t="s">
        <v>48</v>
      </c>
      <c r="P622" s="145" t="s">
        <v>49</v>
      </c>
      <c r="Q622" s="146" t="s">
        <v>50</v>
      </c>
      <c r="R622" s="145" t="s">
        <v>54</v>
      </c>
      <c r="S622" s="145" t="s">
        <v>55</v>
      </c>
      <c r="T622" s="191"/>
      <c r="U622" s="191"/>
      <c r="V622" s="193"/>
      <c r="W622" s="181"/>
      <c r="X622" s="137" t="s">
        <v>520</v>
      </c>
      <c r="Z622" s="183"/>
      <c r="AA622" s="183"/>
    </row>
    <row r="623" spans="1:27" s="182" customFormat="1" ht="15" customHeight="1" thickBot="1">
      <c r="A623" s="211"/>
      <c r="B623" s="298"/>
      <c r="C623" s="239" t="s">
        <v>55</v>
      </c>
      <c r="D623" s="235"/>
      <c r="E623" s="191">
        <f>SUMIF(Formatos!A:A,'Memória TOTAL'!X621,Formatos!S:S)</f>
        <v>0</v>
      </c>
      <c r="F623" s="191"/>
      <c r="G623" s="191"/>
      <c r="H623" s="300" t="e">
        <f>(1/(-(N623+N616)*(Q623+N616)+(O623+N616)*(P623+N616)))*3.1416*(-P616*(Q623+N616)+Q616*(P623+N616))</f>
        <v>#DIV/0!</v>
      </c>
      <c r="I623" s="300" t="e">
        <f>((P616*PI())-(H623*(N623+N616)))/(P623+N616)</f>
        <v>#DIV/0!</v>
      </c>
      <c r="J623" s="192"/>
      <c r="K623" s="191">
        <f>(P616*PI()/360*R616)^2*PI()/4</f>
        <v>0</v>
      </c>
      <c r="L623" s="140"/>
      <c r="M623" s="191"/>
      <c r="N623" s="191">
        <f>E616</f>
        <v>0</v>
      </c>
      <c r="O623" s="147">
        <f>F616</f>
        <v>0</v>
      </c>
      <c r="P623" s="147">
        <f>E620</f>
        <v>0</v>
      </c>
      <c r="Q623" s="153">
        <f>F620</f>
        <v>0</v>
      </c>
      <c r="R623" s="147" t="e">
        <f>ROUNDUP(K623/E616/H616*H624,0)</f>
        <v>#DIV/0!</v>
      </c>
      <c r="S623" s="147" t="e">
        <f>ROUNDUP(K623/E620/H620*I624,)</f>
        <v>#DIV/0!</v>
      </c>
      <c r="T623" s="191"/>
      <c r="U623" s="191"/>
      <c r="V623" s="193"/>
      <c r="W623" s="227"/>
      <c r="X623" s="137"/>
      <c r="Z623" s="183"/>
      <c r="AA623" s="183"/>
    </row>
    <row r="624" spans="1:27" s="151" customFormat="1" ht="15" customHeight="1" thickBot="1">
      <c r="A624" s="244"/>
      <c r="B624" s="243" t="s">
        <v>672</v>
      </c>
      <c r="C624" s="232"/>
      <c r="D624" s="191"/>
      <c r="E624" s="191"/>
      <c r="F624" s="191"/>
      <c r="G624" s="191"/>
      <c r="H624" s="300" t="e">
        <f>H623/(H623+I623)</f>
        <v>#DIV/0!</v>
      </c>
      <c r="I624" s="300" t="e">
        <f>I623/(H623+I623)</f>
        <v>#DIV/0!</v>
      </c>
      <c r="J624" s="192"/>
      <c r="K624" s="192"/>
      <c r="L624" s="191"/>
      <c r="M624" s="191"/>
      <c r="N624" s="191"/>
      <c r="O624" s="191"/>
      <c r="P624" s="191"/>
      <c r="Q624" s="191"/>
      <c r="R624" s="191"/>
      <c r="S624" s="191"/>
      <c r="T624" s="147"/>
      <c r="U624" s="147"/>
      <c r="V624" s="148"/>
      <c r="W624" s="149"/>
      <c r="X624" s="150"/>
      <c r="Z624" s="152"/>
      <c r="AA624" s="152"/>
    </row>
    <row r="625" spans="1:27" s="182" customFormat="1" ht="15" customHeight="1">
      <c r="A625" s="211"/>
      <c r="B625" s="206"/>
      <c r="C625" s="294"/>
      <c r="D625" s="191"/>
      <c r="E625" s="131"/>
      <c r="F625" s="131"/>
      <c r="G625" s="131"/>
      <c r="H625" s="131"/>
      <c r="I625" s="228"/>
      <c r="J625" s="228"/>
      <c r="K625" s="228"/>
      <c r="L625" s="191"/>
      <c r="M625" s="191"/>
      <c r="N625" s="191"/>
      <c r="O625" s="140"/>
      <c r="P625" s="191"/>
      <c r="Q625" s="191"/>
      <c r="R625" s="191"/>
      <c r="S625" s="191"/>
      <c r="T625" s="191"/>
      <c r="U625" s="191"/>
      <c r="V625" s="193"/>
      <c r="W625" s="181"/>
      <c r="X625" s="137"/>
      <c r="Z625" s="183"/>
      <c r="AA625" s="183"/>
    </row>
    <row r="626" spans="1:27" s="182" customFormat="1" ht="15" customHeight="1">
      <c r="A626" s="211"/>
      <c r="B626" s="206"/>
      <c r="C626" s="294"/>
      <c r="D626" s="191"/>
      <c r="E626" s="131"/>
      <c r="F626" s="131"/>
      <c r="G626" s="131"/>
      <c r="H626" s="131"/>
      <c r="I626" s="228"/>
      <c r="J626" s="228"/>
      <c r="K626" s="228"/>
      <c r="L626" s="191"/>
      <c r="M626" s="191" t="e" vm="1">
        <v>#VALUE!</v>
      </c>
      <c r="N626" s="191"/>
      <c r="O626" s="140"/>
      <c r="P626" s="191"/>
      <c r="Q626" s="191"/>
      <c r="R626" s="191"/>
      <c r="S626" s="191"/>
      <c r="T626" s="191"/>
      <c r="U626" s="191"/>
      <c r="V626" s="193"/>
      <c r="W626" s="181"/>
      <c r="X626" s="137"/>
      <c r="Z626" s="183"/>
      <c r="AA626" s="183"/>
    </row>
    <row r="627" spans="1:27" s="182" customFormat="1" ht="15" customHeight="1" thickBot="1">
      <c r="A627" s="211"/>
      <c r="B627" s="275" t="s">
        <v>1006</v>
      </c>
      <c r="C627" s="276"/>
      <c r="D627" s="277"/>
      <c r="E627" s="277"/>
      <c r="F627" s="277"/>
      <c r="G627" s="277"/>
      <c r="H627" s="277"/>
      <c r="I627" s="277"/>
      <c r="J627" s="278"/>
      <c r="K627" s="278"/>
      <c r="L627" s="279"/>
      <c r="M627" s="277"/>
      <c r="N627" s="277"/>
      <c r="O627" s="277"/>
      <c r="P627" s="277"/>
      <c r="Q627" s="277"/>
      <c r="R627" s="277"/>
      <c r="S627" s="280"/>
      <c r="T627" s="277"/>
      <c r="U627" s="277" t="s">
        <v>674</v>
      </c>
      <c r="V627" s="281" t="s">
        <v>27</v>
      </c>
      <c r="W627" s="282"/>
      <c r="X627" s="283"/>
      <c r="Z627" s="183"/>
      <c r="AA627" s="183"/>
    </row>
    <row r="628" spans="1:27" s="182" customFormat="1" ht="15" customHeight="1" thickBot="1">
      <c r="A628" s="211"/>
      <c r="B628" s="206"/>
      <c r="C628" s="129">
        <f>SUMIF(Densidades!A:A,'Memória TOTAL'!X628,Densidades!B:B)</f>
        <v>0</v>
      </c>
      <c r="D628" s="130">
        <f>SUMIF(Densidades!A:A,'Memória TOTAL'!X628,Densidades!C:C)</f>
        <v>0</v>
      </c>
      <c r="E628" s="130" t="str">
        <f>IF(I628=15,"FIRECLAY MORTAR",IF(I628=16,"ALUMINA MORTAR",IF(I628=17,"BASIC MORTAR",IF(I628=18,"MORTAR","-"))))</f>
        <v>-</v>
      </c>
      <c r="F628" s="130" t="str">
        <f>IF(I628=15,"FIRECLAY MORTAR",IF(I628=16,"ALUMINA MORTAR",IF(I628=17,"BASIC MORTAR",IF(I628=18,"MORTAR","-"))))</f>
        <v>-</v>
      </c>
      <c r="G628" s="130" t="str">
        <f>IF(I628=15,"FIRECLAY MORTAR",IF(I628=16,"ALUMINA MORTAR",IF(I628=17,"BASIC MORTAR",IF(I628=18,"MORTAR","-"))))</f>
        <v>-</v>
      </c>
      <c r="H628" s="130" t="str">
        <f>IF(I628=15,"FIRECLAY MORTAR",IF(I628=16,"ALUMINA MORTAR",IF(I628=17,"BASIC MORTAR",IF(I628=18,"MORTAR","-"))))</f>
        <v>-</v>
      </c>
      <c r="I628" s="130">
        <f>SUMIF(Densidades!A:A,'Memória TOTAL'!X628,Densidades!G:G)</f>
        <v>0</v>
      </c>
      <c r="J628" s="132">
        <f>SUMIF(Formatos!A:A,'Memória TOTAL'!X629,Formatos!G:G)</f>
        <v>0</v>
      </c>
      <c r="K628" s="133">
        <f>SUMIF(Densidades!A:A,'Memória TOTAL'!X628,Densidades!I:I)</f>
        <v>0</v>
      </c>
      <c r="L628" s="184">
        <v>0</v>
      </c>
      <c r="M628" s="185"/>
      <c r="N628" s="185"/>
      <c r="O628" s="185"/>
      <c r="P628" s="185"/>
      <c r="Q628" s="185"/>
      <c r="R628" s="185"/>
      <c r="S628" s="185"/>
      <c r="T628" s="186"/>
      <c r="U628" s="286">
        <v>0.06</v>
      </c>
      <c r="V628" s="188" t="e">
        <f>(W616*J616*C628+W620*J620*C628)*U628</f>
        <v>#VALUE!</v>
      </c>
      <c r="W628" s="189" t="str">
        <f>IF(C628=0,"",ROUNDUP(SUM(V628:V629)*(1+L628),0))</f>
        <v/>
      </c>
      <c r="X628" s="259"/>
      <c r="Z628" s="183"/>
      <c r="AA628" s="183"/>
    </row>
    <row r="629" spans="1:27" s="182" customFormat="1" ht="15" customHeight="1">
      <c r="A629" s="211"/>
      <c r="B629" s="206"/>
      <c r="C629" s="129"/>
      <c r="D629" s="191"/>
      <c r="E629" s="191"/>
      <c r="F629" s="191"/>
      <c r="G629" s="191"/>
      <c r="H629" s="191"/>
      <c r="I629" s="191"/>
      <c r="J629" s="192"/>
      <c r="K629" s="192"/>
      <c r="L629" s="140"/>
      <c r="M629" s="191"/>
      <c r="N629" s="191"/>
      <c r="O629" s="191"/>
      <c r="P629" s="191"/>
      <c r="Q629" s="191"/>
      <c r="R629" s="191"/>
      <c r="S629" s="191"/>
      <c r="T629" s="191"/>
      <c r="U629" s="191"/>
      <c r="V629" s="193"/>
      <c r="W629" s="181"/>
      <c r="X629" s="137" t="str">
        <f>IF(AND(H628="-",G628="-",F628="-"),E628,IF(AND(H628="-",G628="-",E628="-"),F628,IF(AND(H628="-",F628="-",E628="-"),G628,H628)))</f>
        <v>-</v>
      </c>
      <c r="Z629" s="183"/>
      <c r="AA629" s="183"/>
    </row>
    <row r="630" spans="1:27" s="182" customFormat="1" ht="15" customHeight="1">
      <c r="A630" s="211"/>
      <c r="B630" s="209"/>
      <c r="C630" s="129"/>
      <c r="D630" s="191"/>
      <c r="E630" s="191"/>
      <c r="F630" s="191"/>
      <c r="G630" s="191"/>
      <c r="H630" s="191"/>
      <c r="I630" s="191"/>
      <c r="J630" s="192"/>
      <c r="K630" s="192"/>
      <c r="L630" s="140"/>
      <c r="M630" s="191"/>
      <c r="N630" s="191"/>
      <c r="O630" s="191"/>
      <c r="P630" s="191"/>
      <c r="Q630" s="191"/>
      <c r="R630" s="191"/>
      <c r="S630" s="191"/>
      <c r="T630" s="191"/>
      <c r="U630" s="191"/>
      <c r="V630" s="193"/>
      <c r="W630" s="181"/>
      <c r="X630" s="137" t="s">
        <v>2</v>
      </c>
      <c r="Z630" s="183"/>
      <c r="AA630" s="183"/>
    </row>
    <row r="631" spans="1:27" ht="15" customHeight="1">
      <c r="A631" s="211"/>
      <c r="B631" s="127"/>
      <c r="C631" s="165"/>
      <c r="D631" s="166"/>
      <c r="E631" s="166"/>
      <c r="F631" s="166"/>
      <c r="G631" s="166"/>
      <c r="H631" s="166"/>
      <c r="I631" s="166"/>
      <c r="J631" s="167"/>
      <c r="K631" s="167"/>
      <c r="L631" s="168"/>
      <c r="M631" s="166"/>
      <c r="N631" s="166"/>
      <c r="O631" s="166"/>
      <c r="P631" s="166"/>
      <c r="Q631" s="166"/>
      <c r="R631" s="166"/>
      <c r="S631" s="166"/>
      <c r="T631" s="166"/>
      <c r="U631" s="166"/>
      <c r="V631" s="169"/>
      <c r="W631" s="170"/>
      <c r="X631" s="171"/>
    </row>
    <row r="632" spans="1:27" s="182" customFormat="1" ht="15" customHeight="1" thickBot="1">
      <c r="A632" s="211"/>
      <c r="B632" s="275" t="s">
        <v>1007</v>
      </c>
      <c r="C632" s="276"/>
      <c r="D632" s="277"/>
      <c r="E632" s="277"/>
      <c r="F632" s="277"/>
      <c r="G632" s="277"/>
      <c r="H632" s="277"/>
      <c r="I632" s="277"/>
      <c r="J632" s="278"/>
      <c r="K632" s="278"/>
      <c r="L632" s="279"/>
      <c r="M632" s="277"/>
      <c r="N632" s="277"/>
      <c r="O632" s="277"/>
      <c r="P632" s="277"/>
      <c r="Q632" s="277"/>
      <c r="R632" s="277" t="s">
        <v>632</v>
      </c>
      <c r="S632" s="280" t="s">
        <v>633</v>
      </c>
      <c r="T632" s="277" t="s">
        <v>634</v>
      </c>
      <c r="U632" s="277" t="s">
        <v>38</v>
      </c>
      <c r="V632" s="281" t="s">
        <v>27</v>
      </c>
      <c r="W632" s="282"/>
      <c r="X632" s="283"/>
      <c r="Z632" s="183"/>
      <c r="AA632" s="183"/>
    </row>
    <row r="633" spans="1:27" s="182" customFormat="1" ht="15" customHeight="1" thickBot="1">
      <c r="A633" s="211"/>
      <c r="B633" s="206"/>
      <c r="C633" s="129">
        <f>SUMIF(Densidades!A:A,'Memória TOTAL'!X633,Densidades!B:B)</f>
        <v>0</v>
      </c>
      <c r="D633" s="130">
        <f>SUMIF(Densidades!A:A,'Memória TOTAL'!X633,Densidades!C:C)</f>
        <v>0</v>
      </c>
      <c r="E633" s="130" t="str">
        <f>IF(I633=15,"FIRECLAY MORTAR",IF(I633=16,"ALUMINA MORTAR",IF(I633=17,"BASIC MORTAR",IF(I633=18,"MORTAR","-"))))</f>
        <v>-</v>
      </c>
      <c r="F633" s="130" t="str">
        <f>IF(I633=15,"FIRECLAY MORTAR",IF(I633=16,"ALUMINA MORTAR",IF(I633=17,"BASIC MORTAR",IF(I633=18,"MORTAR","-"))))</f>
        <v>-</v>
      </c>
      <c r="G633" s="130" t="str">
        <f>IF(I633=15,"FIRECLAY MORTAR",IF(I633=16,"ALUMINA MORTAR",IF(I633=17,"BASIC MORTAR",IF(I633=18,"MORTAR","-"))))</f>
        <v>-</v>
      </c>
      <c r="H633" s="130" t="str">
        <f>IF(I633=15,"FIRECLAY MORTAR",IF(I633=16,"ALUMINA MORTAR",IF(I633=17,"BASIC MORTAR",IF(I633=18,"MORTAR","-"))))</f>
        <v>-</v>
      </c>
      <c r="I633" s="130">
        <f>SUMIF(Densidades!A:A,'Memória TOTAL'!X633,Densidades!G:G)</f>
        <v>0</v>
      </c>
      <c r="J633" s="132">
        <f>SUMIF(Formatos!A:A,'Memória TOTAL'!X634,Formatos!G:G)</f>
        <v>0</v>
      </c>
      <c r="K633" s="218">
        <f>SUMIF(Densidades!A:A,'Memória TOTAL'!X633,Densidades!I:I)</f>
        <v>0</v>
      </c>
      <c r="L633" s="184">
        <v>0</v>
      </c>
      <c r="M633" s="185"/>
      <c r="N633" s="185"/>
      <c r="O633" s="185"/>
      <c r="P633" s="185"/>
      <c r="Q633" s="185"/>
      <c r="R633" s="186">
        <f>((G616*H616)+(G616*E616)+(H616*E616))/1000000</f>
        <v>0</v>
      </c>
      <c r="S633" s="255">
        <v>2</v>
      </c>
      <c r="T633" s="186">
        <f>R633*S633</f>
        <v>0</v>
      </c>
      <c r="U633" s="187">
        <f>SUM(W616:W621)</f>
        <v>0</v>
      </c>
      <c r="V633" s="188">
        <f>(T633*C633*(1+L633))*U633</f>
        <v>0</v>
      </c>
      <c r="W633" s="189" t="str">
        <f>IF(C633=0,"",ROUNDUP(SUM(V633:V634)*(1+L633),0))</f>
        <v/>
      </c>
      <c r="X633" s="259"/>
      <c r="Z633" s="183"/>
      <c r="AA633" s="183"/>
    </row>
    <row r="634" spans="1:27" s="182" customFormat="1" ht="15" customHeight="1">
      <c r="A634" s="211"/>
      <c r="B634" s="206"/>
      <c r="C634" s="129"/>
      <c r="D634" s="191"/>
      <c r="E634" s="191"/>
      <c r="F634" s="191"/>
      <c r="G634" s="191"/>
      <c r="H634" s="191"/>
      <c r="I634" s="191"/>
      <c r="J634" s="192"/>
      <c r="K634" s="192"/>
      <c r="L634" s="140"/>
      <c r="M634" s="191"/>
      <c r="N634" s="191"/>
      <c r="O634" s="191"/>
      <c r="P634" s="191"/>
      <c r="Q634" s="191"/>
      <c r="R634" s="191"/>
      <c r="S634" s="191"/>
      <c r="T634" s="191"/>
      <c r="U634" s="191"/>
      <c r="V634" s="193"/>
      <c r="W634" s="181"/>
      <c r="X634" s="137" t="str">
        <f>IF(AND(H633="-",G633="-",F633="-"),E633,IF(AND(H633="-",G633="-",E633="-"),F633,IF(AND(H633="-",F633="-",E633="-"),G633,H633)))</f>
        <v>-</v>
      </c>
      <c r="Z634" s="183"/>
      <c r="AA634" s="183"/>
    </row>
    <row r="635" spans="1:27" s="182" customFormat="1" ht="15" customHeight="1">
      <c r="A635" s="211"/>
      <c r="B635" s="209"/>
      <c r="C635" s="129"/>
      <c r="D635" s="191"/>
      <c r="E635" s="191"/>
      <c r="F635" s="191"/>
      <c r="G635" s="191"/>
      <c r="H635" s="191"/>
      <c r="I635" s="191"/>
      <c r="J635" s="192"/>
      <c r="K635" s="192"/>
      <c r="L635" s="140"/>
      <c r="M635" s="191"/>
      <c r="N635" s="191"/>
      <c r="O635" s="191"/>
      <c r="P635" s="191"/>
      <c r="Q635" s="191"/>
      <c r="R635" s="191"/>
      <c r="S635" s="191"/>
      <c r="T635" s="191"/>
      <c r="U635" s="191"/>
      <c r="V635" s="193"/>
      <c r="W635" s="181"/>
      <c r="X635" s="137" t="s">
        <v>2</v>
      </c>
      <c r="Z635" s="183"/>
      <c r="AA635" s="183"/>
    </row>
    <row r="636" spans="1:27" s="182" customFormat="1" ht="15" customHeight="1">
      <c r="A636" s="211"/>
      <c r="B636" s="206"/>
      <c r="C636" s="294"/>
      <c r="D636" s="191"/>
      <c r="E636" s="131"/>
      <c r="F636" s="131"/>
      <c r="G636" s="131"/>
      <c r="H636" s="131"/>
      <c r="I636" s="228"/>
      <c r="J636" s="228"/>
      <c r="K636" s="228"/>
      <c r="L636" s="191"/>
      <c r="M636" s="191"/>
      <c r="N636" s="191"/>
      <c r="O636" s="140"/>
      <c r="P636" s="191"/>
      <c r="Q636" s="191"/>
      <c r="R636" s="191"/>
      <c r="S636" s="191"/>
      <c r="T636" s="191"/>
      <c r="U636" s="191"/>
      <c r="V636" s="193"/>
      <c r="W636" s="181"/>
      <c r="X636" s="137"/>
      <c r="Z636" s="183"/>
      <c r="AA636" s="183"/>
    </row>
    <row r="637" spans="1:27" s="182" customFormat="1" ht="15" customHeight="1" thickBot="1">
      <c r="A637" s="211"/>
      <c r="B637" s="505"/>
      <c r="C637" s="505"/>
      <c r="D637" s="508"/>
      <c r="E637" s="508"/>
      <c r="F637" s="508"/>
      <c r="G637" s="508"/>
      <c r="H637" s="508"/>
      <c r="I637" s="508"/>
      <c r="J637" s="508"/>
      <c r="K637" s="508"/>
      <c r="L637" s="508"/>
      <c r="M637" s="508"/>
      <c r="N637" s="508"/>
      <c r="O637" s="508"/>
      <c r="P637" s="508"/>
      <c r="Q637" s="508"/>
      <c r="R637" s="508"/>
      <c r="S637" s="508"/>
      <c r="T637" s="508"/>
      <c r="U637" s="508"/>
      <c r="V637" s="508"/>
      <c r="W637" s="508"/>
      <c r="X637" s="509"/>
      <c r="Z637" s="183"/>
      <c r="AA637" s="183"/>
    </row>
    <row r="638" spans="1:27" ht="15" customHeight="1" thickBot="1">
      <c r="A638" s="274"/>
      <c r="B638" s="268" t="s">
        <v>638</v>
      </c>
      <c r="C638" s="269" t="s">
        <v>101</v>
      </c>
      <c r="D638" s="270" t="s">
        <v>102</v>
      </c>
      <c r="E638" s="270"/>
      <c r="F638" s="270"/>
      <c r="G638" s="270"/>
      <c r="H638" s="270"/>
      <c r="I638" s="270"/>
      <c r="J638" s="270" t="s">
        <v>103</v>
      </c>
      <c r="K638" s="270" t="s">
        <v>37</v>
      </c>
      <c r="L638" s="270" t="s">
        <v>39</v>
      </c>
      <c r="M638" s="270" t="s">
        <v>62</v>
      </c>
      <c r="N638" s="270" t="s">
        <v>106</v>
      </c>
      <c r="O638" s="270" t="s">
        <v>68</v>
      </c>
      <c r="P638" s="270" t="s">
        <v>69</v>
      </c>
      <c r="Q638" s="270" t="s">
        <v>107</v>
      </c>
      <c r="R638" s="270" t="s">
        <v>53</v>
      </c>
      <c r="S638" s="270" t="s">
        <v>40</v>
      </c>
      <c r="T638" s="270" t="s">
        <v>26</v>
      </c>
      <c r="U638" s="270" t="s">
        <v>38</v>
      </c>
      <c r="V638" s="271" t="s">
        <v>27</v>
      </c>
      <c r="W638" s="272"/>
      <c r="X638" s="273"/>
    </row>
    <row r="639" spans="1:27" s="182" customFormat="1" ht="15" customHeight="1" thickBot="1">
      <c r="A639" s="211"/>
      <c r="B639" s="206"/>
      <c r="C639" s="129">
        <f>SUMIF(Densidades!A:A,'Memória TOTAL'!X639,Densidades!B:B)</f>
        <v>0</v>
      </c>
      <c r="D639" s="130">
        <f>SUMIF(Densidades!A:A,'Memória TOTAL'!X639,Densidades!C:C)</f>
        <v>0</v>
      </c>
      <c r="E639" s="130"/>
      <c r="F639" s="130"/>
      <c r="G639" s="130"/>
      <c r="H639" s="130"/>
      <c r="I639" s="130"/>
      <c r="J639" s="132">
        <f>SUMIF(Formatos!A:A,'Memória TOTAL'!X640,Formatos!G:G)</f>
        <v>0</v>
      </c>
      <c r="K639" s="218">
        <f>SUMIF(Densidades!A:A,'Memória TOTAL'!X639,Densidades!I:I)</f>
        <v>0</v>
      </c>
      <c r="L639" s="219">
        <v>0</v>
      </c>
      <c r="M639" s="191"/>
      <c r="N639" s="191"/>
      <c r="O639" s="191"/>
      <c r="P639" s="191"/>
      <c r="Q639" s="191"/>
      <c r="R639" s="191"/>
      <c r="S639" s="191"/>
      <c r="T639" s="191"/>
      <c r="U639" s="191"/>
      <c r="V639" s="193"/>
      <c r="W639" s="262"/>
      <c r="X639" s="259"/>
      <c r="Z639" s="183"/>
      <c r="AA639" s="183"/>
    </row>
    <row r="640" spans="1:27" s="182" customFormat="1" ht="15" customHeight="1" thickBot="1">
      <c r="A640" s="211"/>
      <c r="B640" s="206"/>
      <c r="C640" s="196"/>
      <c r="D640" s="191"/>
      <c r="E640" s="191"/>
      <c r="F640" s="191"/>
      <c r="G640" s="191"/>
      <c r="H640" s="191"/>
      <c r="I640" s="191"/>
      <c r="J640" s="192"/>
      <c r="K640" s="192"/>
      <c r="L640" s="140"/>
      <c r="M640" s="191"/>
      <c r="N640" s="191"/>
      <c r="O640" s="191"/>
      <c r="P640" s="191"/>
      <c r="Q640" s="191"/>
      <c r="R640" s="191"/>
      <c r="S640" s="191"/>
      <c r="T640" s="191"/>
      <c r="U640" s="191"/>
      <c r="V640" s="193"/>
      <c r="W640" s="181"/>
      <c r="X640" s="259"/>
      <c r="Z640" s="183"/>
      <c r="AA640" s="183"/>
    </row>
    <row r="641" spans="1:27" s="182" customFormat="1" ht="15" customHeight="1">
      <c r="A641" s="211"/>
      <c r="B641" s="209"/>
      <c r="C641" s="196"/>
      <c r="D641" s="191"/>
      <c r="E641" s="191"/>
      <c r="F641" s="191"/>
      <c r="G641" s="191"/>
      <c r="H641" s="191"/>
      <c r="I641" s="191"/>
      <c r="J641" s="192"/>
      <c r="K641" s="192"/>
      <c r="L641" s="140"/>
      <c r="M641" s="191"/>
      <c r="N641" s="191"/>
      <c r="O641" s="191"/>
      <c r="P641" s="191"/>
      <c r="Q641" s="191"/>
      <c r="R641" s="191"/>
      <c r="S641" s="191"/>
      <c r="T641" s="191"/>
      <c r="U641" s="191"/>
      <c r="V641" s="193"/>
      <c r="W641" s="181"/>
      <c r="X641" s="137" t="s">
        <v>520</v>
      </c>
      <c r="Z641" s="183"/>
      <c r="AA641" s="183"/>
    </row>
    <row r="642" spans="1:27" s="182" customFormat="1" ht="15" customHeight="1">
      <c r="A642" s="211"/>
      <c r="B642" s="206"/>
      <c r="C642" s="294"/>
      <c r="D642" s="191"/>
      <c r="E642" s="131"/>
      <c r="F642" s="131"/>
      <c r="G642" s="131"/>
      <c r="H642" s="131"/>
      <c r="I642" s="228"/>
      <c r="J642" s="228"/>
      <c r="K642" s="228"/>
      <c r="L642" s="191"/>
      <c r="M642" s="191"/>
      <c r="N642" s="191"/>
      <c r="O642" s="140"/>
      <c r="P642" s="191"/>
      <c r="Q642" s="191"/>
      <c r="R642" s="191"/>
      <c r="S642" s="191"/>
      <c r="T642" s="191"/>
      <c r="U642" s="191"/>
      <c r="V642" s="193"/>
      <c r="W642" s="181"/>
      <c r="X642" s="137"/>
      <c r="Z642" s="183"/>
      <c r="AA642" s="183"/>
    </row>
    <row r="643" spans="1:27" s="182" customFormat="1" ht="15" customHeight="1" thickBot="1">
      <c r="A643" s="211"/>
      <c r="B643" s="505"/>
      <c r="C643" s="505"/>
      <c r="D643" s="508"/>
      <c r="E643" s="508"/>
      <c r="F643" s="508"/>
      <c r="G643" s="508"/>
      <c r="H643" s="508"/>
      <c r="I643" s="508"/>
      <c r="J643" s="508"/>
      <c r="K643" s="508"/>
      <c r="L643" s="508"/>
      <c r="M643" s="508"/>
      <c r="N643" s="508"/>
      <c r="O643" s="508"/>
      <c r="P643" s="508"/>
      <c r="Q643" s="508"/>
      <c r="R643" s="508"/>
      <c r="S643" s="508"/>
      <c r="T643" s="508"/>
      <c r="U643" s="508"/>
      <c r="V643" s="508"/>
      <c r="W643" s="508"/>
      <c r="X643" s="509"/>
      <c r="Z643" s="183"/>
      <c r="AA643" s="183"/>
    </row>
    <row r="644" spans="1:27" s="182" customFormat="1" ht="15" customHeight="1" thickBot="1">
      <c r="A644" s="301" t="s">
        <v>295</v>
      </c>
      <c r="B644" s="302"/>
      <c r="C644" s="303"/>
      <c r="D644" s="303"/>
      <c r="E644" s="303"/>
      <c r="F644" s="303"/>
      <c r="G644" s="303"/>
      <c r="H644" s="303"/>
      <c r="I644" s="303"/>
      <c r="J644" s="304"/>
      <c r="K644" s="304"/>
      <c r="L644" s="305"/>
      <c r="M644" s="303"/>
      <c r="N644" s="303"/>
      <c r="O644" s="306"/>
      <c r="P644" s="307"/>
      <c r="Q644" s="306"/>
      <c r="R644" s="303"/>
      <c r="S644" s="303"/>
      <c r="T644" s="303"/>
      <c r="U644" s="303"/>
      <c r="V644" s="308"/>
      <c r="W644" s="309"/>
      <c r="X644" s="310"/>
      <c r="Z644" s="183"/>
      <c r="AA644" s="183"/>
    </row>
    <row r="645" spans="1:27" s="182" customFormat="1" ht="15" customHeight="1">
      <c r="A645" s="212"/>
      <c r="B645" s="213"/>
      <c r="C645" s="213"/>
      <c r="D645" s="213"/>
      <c r="E645" s="213"/>
      <c r="F645" s="213"/>
      <c r="G645" s="213"/>
      <c r="H645" s="213"/>
      <c r="I645" s="213"/>
      <c r="J645" s="213"/>
      <c r="K645" s="213"/>
      <c r="L645" s="213"/>
      <c r="M645" s="213"/>
      <c r="N645" s="213"/>
      <c r="O645" s="213"/>
      <c r="P645" s="213"/>
      <c r="Q645" s="213"/>
      <c r="R645" s="213"/>
      <c r="S645" s="213"/>
      <c r="T645" s="213"/>
      <c r="U645" s="213"/>
      <c r="V645" s="213"/>
      <c r="W645" s="214"/>
      <c r="X645" s="214"/>
      <c r="Z645" s="183"/>
      <c r="AA645" s="183"/>
    </row>
    <row r="646" spans="1:27" s="182" customFormat="1" ht="15" customHeight="1">
      <c r="A646" s="212"/>
      <c r="B646" s="213"/>
      <c r="C646" s="213"/>
      <c r="D646" s="213"/>
      <c r="E646" s="213"/>
      <c r="F646" s="213"/>
      <c r="G646" s="213"/>
      <c r="H646" s="213"/>
      <c r="I646" s="213"/>
      <c r="J646" s="213"/>
      <c r="K646" s="213"/>
      <c r="L646" s="213"/>
      <c r="M646" s="213"/>
      <c r="N646" s="213"/>
      <c r="O646" s="213"/>
      <c r="P646" s="213"/>
      <c r="Q646" s="213"/>
      <c r="R646" s="213"/>
      <c r="S646" s="213"/>
      <c r="T646" s="213"/>
      <c r="U646" s="213"/>
      <c r="V646" s="213"/>
      <c r="W646" s="214"/>
      <c r="X646" s="214"/>
      <c r="Z646" s="183"/>
      <c r="AA646" s="183"/>
    </row>
    <row r="647" spans="1:27" s="182" customFormat="1" ht="15" customHeight="1">
      <c r="A647" s="212"/>
      <c r="B647" s="213"/>
      <c r="C647" s="213"/>
      <c r="D647" s="213"/>
      <c r="E647" s="213"/>
      <c r="F647" s="213"/>
      <c r="G647" s="213"/>
      <c r="H647" s="213"/>
      <c r="I647" s="213"/>
      <c r="J647" s="213"/>
      <c r="K647" s="213"/>
      <c r="L647" s="213"/>
      <c r="M647" s="213"/>
      <c r="N647" s="213"/>
      <c r="O647" s="213"/>
      <c r="P647" s="213"/>
      <c r="Q647" s="213"/>
      <c r="R647" s="213"/>
      <c r="S647" s="213"/>
      <c r="T647" s="213"/>
      <c r="U647" s="213"/>
      <c r="V647" s="213"/>
      <c r="W647" s="214"/>
      <c r="X647" s="214"/>
      <c r="Z647" s="183"/>
      <c r="AA647" s="183"/>
    </row>
    <row r="648" spans="1:27" s="182" customFormat="1" ht="15" customHeight="1">
      <c r="A648" s="212"/>
      <c r="B648" s="213"/>
      <c r="C648" s="213"/>
      <c r="D648" s="213"/>
      <c r="E648" s="213"/>
      <c r="F648" s="213"/>
      <c r="G648" s="213"/>
      <c r="H648" s="213"/>
      <c r="I648" s="213"/>
      <c r="J648" s="213"/>
      <c r="K648" s="213"/>
      <c r="L648" s="213"/>
      <c r="M648" s="213"/>
      <c r="N648" s="213"/>
      <c r="O648" s="213"/>
      <c r="P648" s="213"/>
      <c r="Q648" s="213"/>
      <c r="R648" s="213"/>
      <c r="S648" s="213"/>
      <c r="T648" s="213"/>
      <c r="U648" s="213"/>
      <c r="V648" s="213"/>
      <c r="W648" s="214"/>
      <c r="X648" s="214"/>
      <c r="Z648" s="183"/>
      <c r="AA648" s="183"/>
    </row>
    <row r="649" spans="1:27" s="182" customFormat="1" ht="15" customHeight="1">
      <c r="A649" s="212"/>
      <c r="B649" s="213"/>
      <c r="C649" s="213"/>
      <c r="D649" s="213"/>
      <c r="E649" s="213"/>
      <c r="F649" s="213"/>
      <c r="G649" s="213"/>
      <c r="H649" s="213"/>
      <c r="I649" s="213"/>
      <c r="J649" s="213"/>
      <c r="K649" s="213"/>
      <c r="L649" s="213"/>
      <c r="M649" s="213"/>
      <c r="N649" s="213"/>
      <c r="O649" s="213"/>
      <c r="P649" s="213"/>
      <c r="Q649" s="213"/>
      <c r="R649" s="213"/>
      <c r="S649" s="213"/>
      <c r="T649" s="213"/>
      <c r="U649" s="213"/>
      <c r="V649" s="213"/>
      <c r="W649" s="214"/>
      <c r="X649" s="214"/>
      <c r="Z649" s="183"/>
      <c r="AA649" s="183"/>
    </row>
    <row r="650" spans="1:27" s="182" customFormat="1" ht="15" customHeight="1">
      <c r="A650" s="212"/>
      <c r="B650" s="213"/>
      <c r="C650" s="213"/>
      <c r="D650" s="213"/>
      <c r="E650" s="213"/>
      <c r="F650" s="213"/>
      <c r="G650" s="213"/>
      <c r="H650" s="213"/>
      <c r="I650" s="213"/>
      <c r="J650" s="213"/>
      <c r="K650" s="213"/>
      <c r="L650" s="213"/>
      <c r="M650" s="213"/>
      <c r="N650" s="213"/>
      <c r="O650" s="213"/>
      <c r="P650" s="213"/>
      <c r="Q650" s="213"/>
      <c r="R650" s="213"/>
      <c r="S650" s="213"/>
      <c r="T650" s="213"/>
      <c r="U650" s="213"/>
      <c r="V650" s="213"/>
      <c r="W650" s="214"/>
      <c r="X650" s="214"/>
      <c r="Z650" s="183"/>
      <c r="AA650" s="183"/>
    </row>
    <row r="651" spans="1:27" s="182" customFormat="1" ht="15" customHeight="1" thickBot="1">
      <c r="A651" s="839" t="s">
        <v>521</v>
      </c>
      <c r="B651" s="839"/>
      <c r="C651" s="839"/>
      <c r="D651" s="839"/>
      <c r="E651" s="839"/>
      <c r="F651" s="839"/>
      <c r="G651" s="839"/>
      <c r="H651" s="839"/>
      <c r="I651" s="839"/>
      <c r="J651" s="839"/>
      <c r="K651" s="839"/>
      <c r="L651" s="839"/>
      <c r="M651" s="839"/>
      <c r="N651" s="839"/>
      <c r="O651" s="839"/>
      <c r="P651" s="839"/>
      <c r="Q651" s="839"/>
      <c r="R651" s="839"/>
      <c r="S651" s="839"/>
      <c r="T651" s="839"/>
      <c r="U651" s="839"/>
      <c r="V651" s="839"/>
      <c r="W651" s="839"/>
      <c r="X651" s="839"/>
      <c r="Z651" s="183"/>
      <c r="AA651" s="183"/>
    </row>
    <row r="652" spans="1:27" ht="15" customHeight="1">
      <c r="A652" s="698"/>
      <c r="B652" s="699" t="s">
        <v>2386</v>
      </c>
      <c r="C652" s="700"/>
      <c r="D652" s="700"/>
      <c r="E652" s="700"/>
      <c r="F652" s="700"/>
      <c r="G652" s="700"/>
      <c r="H652" s="700"/>
      <c r="I652" s="700"/>
      <c r="J652" s="700"/>
      <c r="K652" s="700"/>
      <c r="L652" s="700"/>
      <c r="M652" s="700"/>
      <c r="N652" s="700"/>
      <c r="O652" s="700"/>
      <c r="P652" s="700"/>
      <c r="Q652" s="700"/>
      <c r="R652" s="700"/>
      <c r="S652" s="700"/>
      <c r="T652" s="700"/>
      <c r="U652" s="701"/>
      <c r="V652" s="700"/>
      <c r="W652" s="699"/>
      <c r="X652" s="702"/>
    </row>
    <row r="653" spans="1:27" ht="15" customHeight="1" thickBot="1">
      <c r="A653" s="274"/>
      <c r="B653" s="268" t="str">
        <f>IF(X654="","PLACA ISOLANTE",X654)</f>
        <v>PLACA ISOLANTE</v>
      </c>
      <c r="C653" s="269" t="s">
        <v>101</v>
      </c>
      <c r="D653" s="270" t="s">
        <v>102</v>
      </c>
      <c r="E653" s="270" t="s">
        <v>42</v>
      </c>
      <c r="F653" s="270" t="s">
        <v>42</v>
      </c>
      <c r="G653" s="270" t="s">
        <v>43</v>
      </c>
      <c r="H653" s="270" t="s">
        <v>44</v>
      </c>
      <c r="I653" s="270" t="s">
        <v>47</v>
      </c>
      <c r="J653" s="270" t="s">
        <v>103</v>
      </c>
      <c r="K653" s="270" t="s">
        <v>37</v>
      </c>
      <c r="L653" s="270" t="s">
        <v>39</v>
      </c>
      <c r="M653" s="270" t="s">
        <v>41</v>
      </c>
      <c r="N653" s="270" t="s">
        <v>46</v>
      </c>
      <c r="O653" s="270" t="s">
        <v>67</v>
      </c>
      <c r="P653" s="270" t="s">
        <v>113</v>
      </c>
      <c r="Q653" s="270"/>
      <c r="R653" s="270"/>
      <c r="S653" s="270" t="s">
        <v>70</v>
      </c>
      <c r="T653" s="270" t="s">
        <v>26</v>
      </c>
      <c r="U653" s="270" t="s">
        <v>38</v>
      </c>
      <c r="V653" s="271" t="s">
        <v>27</v>
      </c>
      <c r="W653" s="272"/>
      <c r="X653" s="273"/>
    </row>
    <row r="654" spans="1:27" ht="15" customHeight="1" thickBot="1">
      <c r="A654" s="210"/>
      <c r="B654" s="206"/>
      <c r="C654" s="129">
        <f>SUMIF(Densidades!A:A,'Memória TOTAL'!X654,Densidades!B:B)</f>
        <v>0</v>
      </c>
      <c r="D654" s="130">
        <f>SUMIF(Densidades!A:A,'Memória TOTAL'!X654,Densidades!C:C)</f>
        <v>0</v>
      </c>
      <c r="E654" s="131">
        <f>SUMIF(Formatos!A:A,'Memória TOTAL'!X655,Formatos!E:E)</f>
        <v>0</v>
      </c>
      <c r="F654" s="131">
        <f>SUMIF(Formatos!A:A,'Memória TOTAL'!X655,Formatos!F:F)</f>
        <v>0</v>
      </c>
      <c r="G654" s="131">
        <f>SUMIF(Formatos!A:A,'Memória TOTAL'!X655,Formatos!C:C)</f>
        <v>0</v>
      </c>
      <c r="H654" s="131">
        <f>SUMIF(Formatos!A:A,'Memória TOTAL'!X655,Formatos!D:D)</f>
        <v>0</v>
      </c>
      <c r="I654" s="131">
        <f>SUMIF(Densidades!A:A,'Memória TOTAL'!X654,Densidades!H:H)</f>
        <v>0</v>
      </c>
      <c r="J654" s="132">
        <f>SUMIF(Formatos!A:A,'Memória TOTAL'!X655,Formatos!G:G)</f>
        <v>0</v>
      </c>
      <c r="K654" s="133">
        <f>SUMIF(Densidades!A:A,'Memória TOTAL'!X654,Densidades!I:I)</f>
        <v>0</v>
      </c>
      <c r="L654" s="134">
        <v>0</v>
      </c>
      <c r="M654" s="135"/>
      <c r="N654" s="625"/>
      <c r="O654" s="135"/>
      <c r="P654" s="135"/>
      <c r="Q654" s="135"/>
      <c r="R654" s="135"/>
      <c r="S654" s="135"/>
      <c r="T654" s="135"/>
      <c r="U654" s="135"/>
      <c r="V654" s="141"/>
      <c r="W654" s="189" t="str">
        <f>IF(C654=0,"",ROUNDUP(SUM(V657:V659)*(1+L654),0))</f>
        <v/>
      </c>
      <c r="X654" s="259"/>
      <c r="Y654" s="182"/>
    </row>
    <row r="655" spans="1:27" ht="15" customHeight="1" thickBot="1">
      <c r="A655" s="210"/>
      <c r="B655" s="207"/>
      <c r="C655" s="138"/>
      <c r="D655" s="135"/>
      <c r="E655" s="131">
        <f t="shared" ref="E655:K655" si="104">E654</f>
        <v>0</v>
      </c>
      <c r="F655" s="131">
        <f t="shared" si="104"/>
        <v>0</v>
      </c>
      <c r="G655" s="131">
        <f t="shared" si="104"/>
        <v>0</v>
      </c>
      <c r="H655" s="131">
        <f t="shared" si="104"/>
        <v>0</v>
      </c>
      <c r="I655" s="131">
        <f t="shared" si="104"/>
        <v>0</v>
      </c>
      <c r="J655" s="131">
        <f t="shared" si="104"/>
        <v>0</v>
      </c>
      <c r="K655" s="133">
        <f t="shared" si="104"/>
        <v>0</v>
      </c>
      <c r="L655" s="140"/>
      <c r="M655" s="135"/>
      <c r="N655" s="131">
        <f>N654</f>
        <v>0</v>
      </c>
      <c r="O655" s="135"/>
      <c r="P655" s="135"/>
      <c r="Q655" s="135"/>
      <c r="R655" s="135"/>
      <c r="S655" s="135"/>
      <c r="T655" s="135"/>
      <c r="U655" s="135"/>
      <c r="V655" s="141"/>
      <c r="W655" s="142"/>
      <c r="X655" s="259"/>
      <c r="Y655" s="182"/>
    </row>
    <row r="656" spans="1:27" ht="15" customHeight="1" thickBot="1">
      <c r="A656" s="210"/>
      <c r="B656" s="208" t="s">
        <v>71</v>
      </c>
      <c r="C656" s="138"/>
      <c r="D656" s="135"/>
      <c r="E656" s="131">
        <f t="shared" ref="E656:K656" si="105">E655</f>
        <v>0</v>
      </c>
      <c r="F656" s="131">
        <f t="shared" si="105"/>
        <v>0</v>
      </c>
      <c r="G656" s="131">
        <f t="shared" si="105"/>
        <v>0</v>
      </c>
      <c r="H656" s="131">
        <f t="shared" si="105"/>
        <v>0</v>
      </c>
      <c r="I656" s="131">
        <f t="shared" si="105"/>
        <v>0</v>
      </c>
      <c r="J656" s="131">
        <f t="shared" si="105"/>
        <v>0</v>
      </c>
      <c r="K656" s="133">
        <f t="shared" si="105"/>
        <v>0</v>
      </c>
      <c r="L656" s="140"/>
      <c r="M656" s="135"/>
      <c r="N656" s="131">
        <f>N655</f>
        <v>0</v>
      </c>
      <c r="O656" s="135"/>
      <c r="P656" s="135"/>
      <c r="Q656" s="135"/>
      <c r="R656" s="135"/>
      <c r="S656" s="135"/>
      <c r="T656" s="135"/>
      <c r="U656" s="191" t="s">
        <v>669</v>
      </c>
      <c r="V656" s="141"/>
      <c r="W656" s="142"/>
      <c r="X656" s="143" t="s">
        <v>520</v>
      </c>
    </row>
    <row r="657" spans="1:27" ht="15" customHeight="1" thickBot="1">
      <c r="A657" s="210"/>
      <c r="B657" s="327"/>
      <c r="C657" s="155"/>
      <c r="D657" s="156"/>
      <c r="E657" s="172">
        <f t="shared" ref="E657:K657" si="106">E656</f>
        <v>0</v>
      </c>
      <c r="F657" s="172">
        <f t="shared" si="106"/>
        <v>0</v>
      </c>
      <c r="G657" s="172">
        <f t="shared" si="106"/>
        <v>0</v>
      </c>
      <c r="H657" s="172">
        <f t="shared" si="106"/>
        <v>0</v>
      </c>
      <c r="I657" s="172">
        <f t="shared" si="106"/>
        <v>0</v>
      </c>
      <c r="J657" s="172">
        <f t="shared" si="106"/>
        <v>0</v>
      </c>
      <c r="K657" s="173">
        <f t="shared" si="106"/>
        <v>0</v>
      </c>
      <c r="L657" s="158"/>
      <c r="M657" s="156"/>
      <c r="N657" s="172">
        <f>N656</f>
        <v>0</v>
      </c>
      <c r="O657" s="156"/>
      <c r="P657" s="253"/>
      <c r="Q657" s="156"/>
      <c r="R657" s="156"/>
      <c r="S657" s="253"/>
      <c r="T657" s="174" t="str">
        <f>IF(S657="","-",IF(COUNTIF(E657:H657,P657)&lt;1,"Esp. Errada",ROUNDUP(S657/((G657+N657)*(H657+N657)*((E657+N657)+(F657+N657))/2/(P657+N657)),0)))</f>
        <v>-</v>
      </c>
      <c r="U657" s="253"/>
      <c r="V657" s="175">
        <f>IF(S657="",0,IF(OR(P657=E657,P657=G657,P657=H657),T657*U657,"ESP. ERRADA"))</f>
        <v>0</v>
      </c>
      <c r="W657" s="176"/>
      <c r="X657" s="177"/>
    </row>
    <row r="658" spans="1:27" s="182" customFormat="1" ht="15" customHeight="1" thickBot="1">
      <c r="A658" s="210"/>
      <c r="B658" s="328"/>
      <c r="C658" s="220"/>
      <c r="D658" s="197"/>
      <c r="E658" s="172">
        <f t="shared" ref="E658:K658" si="107">E656</f>
        <v>0</v>
      </c>
      <c r="F658" s="172">
        <f t="shared" si="107"/>
        <v>0</v>
      </c>
      <c r="G658" s="172">
        <f t="shared" si="107"/>
        <v>0</v>
      </c>
      <c r="H658" s="172">
        <f t="shared" si="107"/>
        <v>0</v>
      </c>
      <c r="I658" s="172">
        <f t="shared" si="107"/>
        <v>0</v>
      </c>
      <c r="J658" s="172">
        <f t="shared" si="107"/>
        <v>0</v>
      </c>
      <c r="K658" s="221">
        <f t="shared" si="107"/>
        <v>0</v>
      </c>
      <c r="L658" s="158"/>
      <c r="M658" s="266"/>
      <c r="N658" s="172">
        <f>N656</f>
        <v>0</v>
      </c>
      <c r="O658" s="197"/>
      <c r="P658" s="253"/>
      <c r="Q658" s="197"/>
      <c r="R658" s="197"/>
      <c r="S658" s="197"/>
      <c r="T658" s="223" t="str">
        <f>IF(M658="","-",IF(COUNTIF(E658:H658,P658)&lt;1,"Esp. Errada",ROUNDUP(M658/IF(G658=P658,G658,(G658+N658))/IF(H658=P658,H658,(H658+N658))/IF(E658=P658,E658,(E658+N658)),0)))</f>
        <v>-</v>
      </c>
      <c r="U658" s="253"/>
      <c r="V658" s="175">
        <f>IF(M658="",0,IF(OR(P658=E658,P658=G658,P658=H658),T658*U658,"ESP. ERRADA"))</f>
        <v>0</v>
      </c>
      <c r="W658" s="225"/>
      <c r="X658" s="226"/>
      <c r="Z658" s="183"/>
      <c r="AA658" s="183"/>
    </row>
    <row r="659" spans="1:27" s="182" customFormat="1" ht="15" customHeight="1">
      <c r="A659" s="211"/>
      <c r="B659" s="206"/>
      <c r="C659" s="196"/>
      <c r="D659" s="191"/>
      <c r="E659" s="191"/>
      <c r="F659" s="191"/>
      <c r="G659" s="191"/>
      <c r="H659" s="191"/>
      <c r="I659" s="191"/>
      <c r="J659" s="192"/>
      <c r="K659" s="192"/>
      <c r="L659" s="140"/>
      <c r="M659" s="191"/>
      <c r="N659" s="191"/>
      <c r="O659" s="191"/>
      <c r="P659" s="191"/>
      <c r="Q659" s="191"/>
      <c r="R659" s="191"/>
      <c r="S659" s="191"/>
      <c r="T659" s="191"/>
      <c r="U659" s="191"/>
      <c r="V659" s="193"/>
      <c r="W659" s="181"/>
      <c r="X659" s="137"/>
      <c r="Z659" s="183"/>
      <c r="AA659" s="183"/>
    </row>
    <row r="660" spans="1:27" s="182" customFormat="1" ht="15" customHeight="1" thickBot="1">
      <c r="A660" s="211"/>
      <c r="B660" s="275" t="s">
        <v>1810</v>
      </c>
      <c r="C660" s="276"/>
      <c r="D660" s="277"/>
      <c r="E660" s="277"/>
      <c r="F660" s="277"/>
      <c r="G660" s="277"/>
      <c r="H660" s="277"/>
      <c r="I660" s="277"/>
      <c r="J660" s="278"/>
      <c r="K660" s="278"/>
      <c r="L660" s="279"/>
      <c r="M660" s="277"/>
      <c r="N660" s="277"/>
      <c r="O660" s="277"/>
      <c r="P660" s="277"/>
      <c r="Q660" s="277"/>
      <c r="R660" s="277"/>
      <c r="S660" s="280"/>
      <c r="T660" s="277" t="s">
        <v>634</v>
      </c>
      <c r="U660" s="277" t="s">
        <v>38</v>
      </c>
      <c r="V660" s="281" t="s">
        <v>27</v>
      </c>
      <c r="W660" s="282"/>
      <c r="X660" s="283"/>
      <c r="Z660" s="183"/>
      <c r="AA660" s="183"/>
    </row>
    <row r="661" spans="1:27" s="182" customFormat="1" ht="15" customHeight="1" thickBot="1">
      <c r="A661" s="211"/>
      <c r="B661" s="209" t="s">
        <v>1809</v>
      </c>
      <c r="C661" s="129">
        <f>SUMIF(Densidades!A:A,'Memória TOTAL'!X661,Densidades!B:B)</f>
        <v>0</v>
      </c>
      <c r="D661" s="130">
        <f>SUMIF(Densidades!A:A,'Memória TOTAL'!X661,Densidades!C:C)</f>
        <v>0</v>
      </c>
      <c r="E661" s="130" t="str">
        <f>IF(I661=15,"FIRECLAY MORTAR",IF(I661=16,"ALUMINA MORTAR",IF(I661=17,"BASIC MORTAR",IF(I661=18,"MORTAR","-"))))</f>
        <v>-</v>
      </c>
      <c r="F661" s="130" t="str">
        <f>IF(I661=15,"FIRECLAY MORTAR",IF(I661=16,"ALUMINA MORTAR",IF(I661=17,"BASIC MORTAR",IF(I661=18,"MORTAR","-"))))</f>
        <v>-</v>
      </c>
      <c r="G661" s="130" t="str">
        <f>IF(I661=15,"FIRECLAY MORTAR",IF(I661=16,"ALUMINA MORTAR",IF(I661=17,"BASIC MORTAR",IF(I661=18,"MORTAR","-"))))</f>
        <v>-</v>
      </c>
      <c r="H661" s="130" t="str">
        <f>IF(I661=15,"FIRECLAY MORTAR",IF(I661=16,"ALUMINA MORTAR",IF(I661=17,"BASIC MORTAR",IF(I661=18,"MORTAR","-"))))</f>
        <v>-</v>
      </c>
      <c r="I661" s="130">
        <f>SUMIF(Densidades!A:A,'Memória TOTAL'!X661,Densidades!G:G)</f>
        <v>0</v>
      </c>
      <c r="J661" s="132">
        <f>SUMIF(Formatos!A:A,'Memória TOTAL'!X662,Formatos!G:G)</f>
        <v>0</v>
      </c>
      <c r="K661" s="218">
        <f>SUMIF(Densidades!A:A,'Memória TOTAL'!X661,Densidades!I:I)</f>
        <v>0</v>
      </c>
      <c r="L661" s="184">
        <v>0</v>
      </c>
      <c r="M661" s="185"/>
      <c r="N661" s="185"/>
      <c r="O661" s="185"/>
      <c r="P661" s="185"/>
      <c r="Q661" s="185"/>
      <c r="R661" s="186"/>
      <c r="S661" s="185"/>
      <c r="T661" s="186" t="e">
        <f>(W654*G654*H654)/10^6*2</f>
        <v>#VALUE!</v>
      </c>
      <c r="U661" s="253"/>
      <c r="V661" s="188" t="e">
        <f>T661*U661</f>
        <v>#VALUE!</v>
      </c>
      <c r="W661" s="189" t="str">
        <f>IF(C661=0,"",ROUNDUP(SUM(V661:V662)*(1+L661),0))</f>
        <v/>
      </c>
      <c r="X661" s="259"/>
      <c r="Z661" s="183"/>
      <c r="AA661" s="183"/>
    </row>
    <row r="662" spans="1:27" s="182" customFormat="1" ht="15" customHeight="1">
      <c r="A662" s="211"/>
      <c r="B662" s="206"/>
      <c r="C662" s="129"/>
      <c r="D662" s="191"/>
      <c r="E662" s="191"/>
      <c r="F662" s="191"/>
      <c r="G662" s="191"/>
      <c r="H662" s="191"/>
      <c r="I662" s="191"/>
      <c r="J662" s="192"/>
      <c r="K662" s="192"/>
      <c r="L662" s="140"/>
      <c r="M662" s="191"/>
      <c r="N662" s="191"/>
      <c r="O662" s="191"/>
      <c r="P662" s="191"/>
      <c r="Q662" s="191"/>
      <c r="R662" s="191"/>
      <c r="S662" s="191"/>
      <c r="T662" s="191"/>
      <c r="U662" s="191"/>
      <c r="V662" s="193"/>
      <c r="W662" s="181"/>
      <c r="X662" s="137" t="str">
        <f>IF(AND(H661="-",G661="-",F661="-"),E661,IF(AND(H661="-",G661="-",E661="-"),F661,IF(AND(H661="-",F661="-",E661="-"),G661,H661)))</f>
        <v>-</v>
      </c>
      <c r="Z662" s="183"/>
      <c r="AA662" s="183"/>
    </row>
    <row r="663" spans="1:27" s="182" customFormat="1" ht="15" customHeight="1">
      <c r="A663" s="211"/>
      <c r="B663" s="209"/>
      <c r="C663" s="129"/>
      <c r="D663" s="191"/>
      <c r="E663" s="191"/>
      <c r="F663" s="191"/>
      <c r="G663" s="191"/>
      <c r="H663" s="191"/>
      <c r="I663" s="191"/>
      <c r="J663" s="192"/>
      <c r="K663" s="192"/>
      <c r="L663" s="140"/>
      <c r="M663" s="191"/>
      <c r="N663" s="191"/>
      <c r="O663" s="191"/>
      <c r="P663" s="191"/>
      <c r="Q663" s="191"/>
      <c r="R663" s="191"/>
      <c r="S663" s="191"/>
      <c r="T663" s="191"/>
      <c r="U663" s="191"/>
      <c r="V663" s="193"/>
      <c r="W663" s="181"/>
      <c r="X663" s="137" t="s">
        <v>2</v>
      </c>
      <c r="Z663" s="183"/>
      <c r="AA663" s="183"/>
    </row>
    <row r="664" spans="1:27" s="182" customFormat="1" ht="15" customHeight="1">
      <c r="A664" s="211"/>
      <c r="B664" s="209"/>
      <c r="C664" s="129"/>
      <c r="D664" s="191"/>
      <c r="E664" s="191"/>
      <c r="F664" s="191"/>
      <c r="G664" s="191"/>
      <c r="H664" s="191"/>
      <c r="I664" s="191"/>
      <c r="J664" s="192"/>
      <c r="K664" s="192"/>
      <c r="L664" s="140"/>
      <c r="M664" s="191"/>
      <c r="N664" s="191"/>
      <c r="O664" s="191"/>
      <c r="P664" s="191"/>
      <c r="Q664" s="191"/>
      <c r="R664" s="191"/>
      <c r="S664" s="191"/>
      <c r="T664" s="191"/>
      <c r="U664" s="191"/>
      <c r="V664" s="193"/>
      <c r="W664" s="181"/>
      <c r="X664" s="137"/>
      <c r="Z664" s="183"/>
      <c r="AA664" s="183"/>
    </row>
    <row r="665" spans="1:27" s="182" customFormat="1" ht="15" customHeight="1" thickBot="1">
      <c r="A665" s="211"/>
      <c r="B665" s="268" t="str">
        <f>IF(X666="","WATERPROOFING",X666)</f>
        <v>DIKASIL SK</v>
      </c>
      <c r="C665" s="276"/>
      <c r="D665" s="277"/>
      <c r="E665" s="277"/>
      <c r="F665" s="277"/>
      <c r="G665" s="277"/>
      <c r="H665" s="277"/>
      <c r="I665" s="277"/>
      <c r="J665" s="278"/>
      <c r="K665" s="278"/>
      <c r="L665" s="279"/>
      <c r="M665" s="277"/>
      <c r="N665" s="277"/>
      <c r="O665" s="277"/>
      <c r="P665" s="277"/>
      <c r="Q665" s="277"/>
      <c r="R665" s="277"/>
      <c r="S665" s="280"/>
      <c r="T665" s="277" t="s">
        <v>634</v>
      </c>
      <c r="U665" s="277" t="s">
        <v>38</v>
      </c>
      <c r="V665" s="281" t="s">
        <v>27</v>
      </c>
      <c r="W665" s="282"/>
      <c r="X665" s="283"/>
      <c r="Z665" s="183"/>
      <c r="AA665" s="183"/>
    </row>
    <row r="666" spans="1:27" s="182" customFormat="1" ht="15" customHeight="1" thickBot="1">
      <c r="A666" s="211"/>
      <c r="B666" s="209" t="s">
        <v>1811</v>
      </c>
      <c r="C666" s="129">
        <f>SUMIF(Densidades!A:A,'Memória TOTAL'!X666,Densidades!B:B)</f>
        <v>1.53</v>
      </c>
      <c r="D666" s="130">
        <f>SUMIF(Densidades!A:A,'Memória TOTAL'!X666,Densidades!C:C)</f>
        <v>20</v>
      </c>
      <c r="E666" s="130" t="str">
        <f>IF(I666=15,"FIRECLAY MORTAR",IF(I666=16,"ALUMINA MORTAR",IF(I666=17,"BASIC MORTAR",IF(I666=18,"MORTAR","-"))))</f>
        <v>-</v>
      </c>
      <c r="F666" s="130" t="str">
        <f>IF(I666=15,"FIRECLAY MORTAR",IF(I666=16,"ALUMINA MORTAR",IF(I666=17,"BASIC MORTAR",IF(I666=18,"MORTAR","-"))))</f>
        <v>-</v>
      </c>
      <c r="G666" s="130" t="str">
        <f>IF(I666=15,"FIRECLAY MORTAR",IF(I666=16,"ALUMINA MORTAR",IF(I666=17,"BASIC MORTAR",IF(I666=18,"MORTAR","-"))))</f>
        <v>-</v>
      </c>
      <c r="H666" s="130" t="str">
        <f>IF(I666=15,"FIRECLAY MORTAR",IF(I666=16,"ALUMINA MORTAR",IF(I666=17,"BASIC MORTAR",IF(I666=18,"MORTAR","-"))))</f>
        <v>-</v>
      </c>
      <c r="I666" s="130">
        <f>SUMIF(Densidades!A:A,'Memória TOTAL'!X666,Densidades!G:G)</f>
        <v>0</v>
      </c>
      <c r="J666" s="132">
        <f>SUMIF(Formatos!A:A,'Memória TOTAL'!X667,Formatos!G:G)</f>
        <v>0</v>
      </c>
      <c r="K666" s="218">
        <f>SUMIF(Densidades!A:A,'Memória TOTAL'!X666,Densidades!I:I)</f>
        <v>8</v>
      </c>
      <c r="L666" s="184">
        <v>0</v>
      </c>
      <c r="M666" s="185"/>
      <c r="N666" s="185"/>
      <c r="O666" s="185"/>
      <c r="P666" s="185"/>
      <c r="Q666" s="185"/>
      <c r="R666" s="186"/>
      <c r="S666" s="185"/>
      <c r="T666" s="186" t="e">
        <f>(W654*G654*H654)/10^6/2</f>
        <v>#VALUE!</v>
      </c>
      <c r="U666" s="253"/>
      <c r="V666" s="188" t="e">
        <f>T666*C666*U666</f>
        <v>#VALUE!</v>
      </c>
      <c r="W666" s="136" t="str">
        <f>IFERROR(IF(C666=0,"",ROUNDUP(SUM(V666:V667)*(1+L666),0)),"")</f>
        <v/>
      </c>
      <c r="X666" s="259" t="s">
        <v>1808</v>
      </c>
      <c r="Z666" s="183"/>
      <c r="AA666" s="183"/>
    </row>
    <row r="667" spans="1:27" s="182" customFormat="1" ht="15" customHeight="1">
      <c r="A667" s="211"/>
      <c r="B667" s="206"/>
      <c r="C667" s="129"/>
      <c r="D667" s="191"/>
      <c r="E667" s="191"/>
      <c r="F667" s="191"/>
      <c r="G667" s="191"/>
      <c r="H667" s="191"/>
      <c r="I667" s="191"/>
      <c r="J667" s="192"/>
      <c r="K667" s="192"/>
      <c r="L667" s="140"/>
      <c r="M667" s="191"/>
      <c r="N667" s="191"/>
      <c r="O667" s="191"/>
      <c r="P667" s="191"/>
      <c r="Q667" s="191"/>
      <c r="R667" s="191"/>
      <c r="S667" s="191"/>
      <c r="T667" s="191"/>
      <c r="U667" s="191"/>
      <c r="V667" s="193"/>
      <c r="W667" s="181"/>
      <c r="X667" s="137" t="str">
        <f>IF(AND(H666="-",G666="-",F666="-"),E666,IF(AND(H666="-",G666="-",E666="-"),F666,IF(AND(H666="-",F666="-",E666="-"),G666,H666)))</f>
        <v>-</v>
      </c>
      <c r="Z667" s="183"/>
      <c r="AA667" s="183"/>
    </row>
    <row r="668" spans="1:27" s="182" customFormat="1" ht="15" customHeight="1">
      <c r="A668" s="211"/>
      <c r="B668" s="209"/>
      <c r="C668" s="129"/>
      <c r="D668" s="191"/>
      <c r="E668" s="191"/>
      <c r="F668" s="191"/>
      <c r="G668" s="191"/>
      <c r="H668" s="191"/>
      <c r="I668" s="191"/>
      <c r="J668" s="192"/>
      <c r="K668" s="192"/>
      <c r="L668" s="140"/>
      <c r="M668" s="191"/>
      <c r="N668" s="191"/>
      <c r="O668" s="191"/>
      <c r="P668" s="191"/>
      <c r="Q668" s="191"/>
      <c r="R668" s="191"/>
      <c r="S668" s="191"/>
      <c r="T668" s="191"/>
      <c r="U668" s="191"/>
      <c r="V668" s="193"/>
      <c r="W668" s="181"/>
      <c r="X668" s="137" t="s">
        <v>2</v>
      </c>
      <c r="Z668" s="183"/>
      <c r="AA668" s="183"/>
    </row>
    <row r="669" spans="1:27" s="182" customFormat="1" ht="15" customHeight="1">
      <c r="A669" s="211"/>
      <c r="B669" s="209"/>
      <c r="C669" s="129"/>
      <c r="D669" s="191"/>
      <c r="E669" s="191"/>
      <c r="F669" s="191"/>
      <c r="G669" s="191"/>
      <c r="H669" s="191"/>
      <c r="I669" s="191"/>
      <c r="J669" s="192"/>
      <c r="K669" s="192"/>
      <c r="L669" s="140"/>
      <c r="M669" s="191"/>
      <c r="N669" s="191"/>
      <c r="O669" s="191"/>
      <c r="P669" s="191"/>
      <c r="Q669" s="191"/>
      <c r="R669" s="191"/>
      <c r="S669" s="191"/>
      <c r="T669" s="191"/>
      <c r="U669" s="191"/>
      <c r="V669" s="193"/>
      <c r="W669" s="181"/>
      <c r="X669" s="137"/>
      <c r="Z669" s="183"/>
      <c r="AA669" s="183"/>
    </row>
    <row r="670" spans="1:27" s="182" customFormat="1" ht="15" customHeight="1" thickBot="1">
      <c r="A670" s="211"/>
      <c r="B670" s="268" t="str">
        <f>IF(X671="","WATERPROOFING",X671)</f>
        <v>LATEX PAINT</v>
      </c>
      <c r="C670" s="276"/>
      <c r="D670" s="277"/>
      <c r="E670" s="277"/>
      <c r="F670" s="277"/>
      <c r="G670" s="277"/>
      <c r="H670" s="277"/>
      <c r="I670" s="277"/>
      <c r="J670" s="278"/>
      <c r="K670" s="278"/>
      <c r="L670" s="279"/>
      <c r="M670" s="277"/>
      <c r="N670" s="277"/>
      <c r="O670" s="277"/>
      <c r="P670" s="277"/>
      <c r="Q670" s="277"/>
      <c r="R670" s="277"/>
      <c r="S670" s="280"/>
      <c r="T670" s="277" t="s">
        <v>634</v>
      </c>
      <c r="U670" s="277" t="s">
        <v>38</v>
      </c>
      <c r="V670" s="281" t="s">
        <v>27</v>
      </c>
      <c r="W670" s="282"/>
      <c r="X670" s="283"/>
      <c r="Z670" s="183"/>
      <c r="AA670" s="183"/>
    </row>
    <row r="671" spans="1:27" s="182" customFormat="1" ht="15" customHeight="1" thickBot="1">
      <c r="A671" s="211"/>
      <c r="B671" s="209" t="s">
        <v>1812</v>
      </c>
      <c r="C671" s="129">
        <f>SUMIF(Densidades!A:A,'Memória TOTAL'!X671,Densidades!B:B)</f>
        <v>1.5</v>
      </c>
      <c r="D671" s="130">
        <f>SUMIF(Densidades!A:A,'Memória TOTAL'!X671,Densidades!C:C)</f>
        <v>1</v>
      </c>
      <c r="E671" s="130" t="str">
        <f>IF(I671=15,"FIRECLAY MORTAR",IF(I671=16,"ALUMINA MORTAR",IF(I671=17,"BASIC MORTAR",IF(I671=18,"MORTAR","-"))))</f>
        <v>-</v>
      </c>
      <c r="F671" s="130" t="str">
        <f>IF(I671=15,"FIRECLAY MORTAR",IF(I671=16,"ALUMINA MORTAR",IF(I671=17,"BASIC MORTAR",IF(I671=18,"MORTAR","-"))))</f>
        <v>-</v>
      </c>
      <c r="G671" s="130" t="str">
        <f>IF(I671=15,"FIRECLAY MORTAR",IF(I671=16,"ALUMINA MORTAR",IF(I671=17,"BASIC MORTAR",IF(I671=18,"MORTAR","-"))))</f>
        <v>-</v>
      </c>
      <c r="H671" s="130" t="str">
        <f>IF(I671=15,"FIRECLAY MORTAR",IF(I671=16,"ALUMINA MORTAR",IF(I671=17,"BASIC MORTAR",IF(I671=18,"MORTAR","-"))))</f>
        <v>-</v>
      </c>
      <c r="I671" s="130">
        <f>SUMIF(Densidades!A:A,'Memória TOTAL'!X671,Densidades!G:G)</f>
        <v>24</v>
      </c>
      <c r="J671" s="132">
        <f>SUMIF(Formatos!A:A,'Memória TOTAL'!X672,Formatos!G:G)</f>
        <v>0</v>
      </c>
      <c r="K671" s="218">
        <f>SUMIF(Densidades!A:A,'Memória TOTAL'!X671,Densidades!I:I)</f>
        <v>9</v>
      </c>
      <c r="L671" s="184">
        <v>0</v>
      </c>
      <c r="M671" s="185"/>
      <c r="N671" s="185"/>
      <c r="O671" s="185"/>
      <c r="P671" s="185"/>
      <c r="Q671" s="185"/>
      <c r="R671" s="186"/>
      <c r="S671" s="185"/>
      <c r="T671" s="186" t="e">
        <f>(W654*G654*H654)/10^6/(200/18)</f>
        <v>#VALUE!</v>
      </c>
      <c r="U671" s="253"/>
      <c r="V671" s="188" t="e">
        <f>T671*U671</f>
        <v>#VALUE!</v>
      </c>
      <c r="W671" s="136" t="str">
        <f>IFERROR(IF(C671=0,"",ROUNDUP(SUM(V671:V672)*(1+L671),0)),"")</f>
        <v/>
      </c>
      <c r="X671" s="259" t="s">
        <v>519</v>
      </c>
      <c r="Z671" s="183"/>
      <c r="AA671" s="183"/>
    </row>
    <row r="672" spans="1:27" s="182" customFormat="1" ht="15" customHeight="1">
      <c r="A672" s="211"/>
      <c r="B672" s="206"/>
      <c r="C672" s="129"/>
      <c r="D672" s="191"/>
      <c r="E672" s="191"/>
      <c r="F672" s="191"/>
      <c r="G672" s="191"/>
      <c r="H672" s="191"/>
      <c r="I672" s="191"/>
      <c r="J672" s="192"/>
      <c r="K672" s="192"/>
      <c r="L672" s="140"/>
      <c r="M672" s="191"/>
      <c r="N672" s="191"/>
      <c r="O672" s="191"/>
      <c r="P672" s="191"/>
      <c r="Q672" s="191"/>
      <c r="R672" s="191"/>
      <c r="S672" s="191"/>
      <c r="T672" s="191"/>
      <c r="U672" s="191"/>
      <c r="V672" s="193"/>
      <c r="W672" s="181"/>
      <c r="X672" s="137" t="str">
        <f>IF(AND(H671="-",G671="-",F671="-"),E671,IF(AND(H671="-",G671="-",E671="-"),F671,IF(AND(H671="-",F671="-",E671="-"),G671,H671)))</f>
        <v>-</v>
      </c>
      <c r="Z672" s="183"/>
      <c r="AA672" s="183"/>
    </row>
    <row r="673" spans="1:27" s="182" customFormat="1" ht="15" customHeight="1">
      <c r="A673" s="211"/>
      <c r="B673" s="209"/>
      <c r="C673" s="129"/>
      <c r="D673" s="191"/>
      <c r="E673" s="191"/>
      <c r="F673" s="191"/>
      <c r="G673" s="191"/>
      <c r="H673" s="191"/>
      <c r="I673" s="191"/>
      <c r="J673" s="192"/>
      <c r="K673" s="192"/>
      <c r="L673" s="140"/>
      <c r="M673" s="191"/>
      <c r="N673" s="191"/>
      <c r="O673" s="191"/>
      <c r="P673" s="191"/>
      <c r="Q673" s="191"/>
      <c r="R673" s="191"/>
      <c r="S673" s="191"/>
      <c r="T673" s="191"/>
      <c r="U673" s="191"/>
      <c r="V673" s="193"/>
      <c r="W673" s="181"/>
      <c r="X673" s="137" t="s">
        <v>75</v>
      </c>
      <c r="Z673" s="183"/>
      <c r="AA673" s="183"/>
    </row>
    <row r="674" spans="1:27" s="182" customFormat="1" ht="15" customHeight="1">
      <c r="A674" s="211"/>
      <c r="B674" s="209"/>
      <c r="C674" s="129"/>
      <c r="D674" s="191"/>
      <c r="E674" s="191"/>
      <c r="F674" s="191"/>
      <c r="G674" s="191"/>
      <c r="H674" s="191"/>
      <c r="I674" s="191"/>
      <c r="J674" s="192"/>
      <c r="K674" s="192"/>
      <c r="L674" s="140"/>
      <c r="M674" s="191"/>
      <c r="N674" s="191"/>
      <c r="O674" s="191"/>
      <c r="P674" s="191"/>
      <c r="Q674" s="191"/>
      <c r="R674" s="191"/>
      <c r="S674" s="191"/>
      <c r="T674" s="191"/>
      <c r="U674" s="191"/>
      <c r="V674" s="193"/>
      <c r="W674" s="181"/>
      <c r="X674" s="137"/>
      <c r="Z674" s="183"/>
      <c r="AA674" s="183"/>
    </row>
    <row r="675" spans="1:27" s="182" customFormat="1" ht="15" customHeight="1" thickBot="1">
      <c r="A675" s="211"/>
      <c r="B675" s="505"/>
      <c r="C675" s="505"/>
      <c r="D675" s="508"/>
      <c r="E675" s="508"/>
      <c r="F675" s="508"/>
      <c r="G675" s="508"/>
      <c r="H675" s="508"/>
      <c r="I675" s="508"/>
      <c r="J675" s="508"/>
      <c r="K675" s="508"/>
      <c r="L675" s="508"/>
      <c r="M675" s="508"/>
      <c r="N675" s="508"/>
      <c r="O675" s="508"/>
      <c r="P675" s="508"/>
      <c r="Q675" s="508"/>
      <c r="R675" s="508"/>
      <c r="S675" s="508"/>
      <c r="T675" s="508"/>
      <c r="U675" s="508"/>
      <c r="V675" s="508"/>
      <c r="W675" s="508"/>
      <c r="X675" s="509"/>
      <c r="Z675" s="183"/>
      <c r="AA675" s="183"/>
    </row>
    <row r="676" spans="1:27" ht="15" customHeight="1" thickBot="1">
      <c r="A676" s="210"/>
      <c r="B676" s="268" t="str">
        <f>IF(X677="","MONOLÍTICO",X677)</f>
        <v>MONOLÍTICO</v>
      </c>
      <c r="C676" s="269" t="s">
        <v>101</v>
      </c>
      <c r="D676" s="270" t="s">
        <v>102</v>
      </c>
      <c r="E676" s="270" t="s">
        <v>109</v>
      </c>
      <c r="F676" s="270"/>
      <c r="G676" s="270"/>
      <c r="H676" s="270"/>
      <c r="I676" s="270"/>
      <c r="J676" s="270" t="s">
        <v>103</v>
      </c>
      <c r="K676" s="270" t="s">
        <v>37</v>
      </c>
      <c r="L676" s="270" t="s">
        <v>39</v>
      </c>
      <c r="M676" s="270" t="s">
        <v>41</v>
      </c>
      <c r="N676" s="270"/>
      <c r="O676" s="270"/>
      <c r="P676" s="270" t="s">
        <v>17</v>
      </c>
      <c r="Q676" s="270"/>
      <c r="R676" s="292" t="s">
        <v>12976</v>
      </c>
      <c r="S676" s="270" t="s">
        <v>40</v>
      </c>
      <c r="T676" s="270" t="s">
        <v>26</v>
      </c>
      <c r="U676" s="270" t="s">
        <v>38</v>
      </c>
      <c r="V676" s="271" t="s">
        <v>27</v>
      </c>
      <c r="W676" s="272"/>
      <c r="X676" s="273"/>
    </row>
    <row r="677" spans="1:27" ht="15" customHeight="1" thickBot="1">
      <c r="A677" s="210"/>
      <c r="B677" s="207"/>
      <c r="C677" s="129">
        <f>SUMIF(Densidades!A:A,'Memória TOTAL'!X677,Densidades!B:B)</f>
        <v>0</v>
      </c>
      <c r="D677" s="130">
        <f>SUMIF(Densidades!A:A,'Memória TOTAL'!X677,Densidades!C:C)</f>
        <v>0</v>
      </c>
      <c r="E677" s="130">
        <f>SUMIF(Densidades!A:A,'Memória TOTAL'!X677,Densidades!G:G)</f>
        <v>0</v>
      </c>
      <c r="F677" s="130" t="str">
        <f>IF(E677=1,"FIRECLAY CASTABLE",IF(E677=2,"ALUMINA CASTABLE",IF(E677=3,"ALUMINA MASS",IF(E677=4,"SILICA MASS","-"))))</f>
        <v>-</v>
      </c>
      <c r="G677" s="130" t="str">
        <f>IF(E677=5,"BASIC CASTABLE",IF(E677=6,"BASIC MASS",IF(E677=7,"CARBON MASS",IF(E677=8,"CHROMITE CASTABLE","-"))))</f>
        <v>-</v>
      </c>
      <c r="H677" s="130" t="str">
        <f>IF(E677=9,"INSULATING CASTABLE",IF(E677=10,"FIRECLAY MASS",IF(E677=11,"CHROMITE MASS",IF(E677=12,"FIRECLAY PLASTIC.","-"))))</f>
        <v>-</v>
      </c>
      <c r="I677" s="130" t="str">
        <f>IF(E677=13,"ALUMINA PLASTIC",IF(E677=14,"FILLING SAND",IF(E677=15,"FIRECLAY MORTAR",IF(E677=16,"ALUMINA MORTAR",IF(E677=17,"BASIC MORTAR",IF(E677=18,"MORTAR","-"))))))</f>
        <v>-</v>
      </c>
      <c r="J677" s="132">
        <f>SUMIF(Formatos!A:A,'Memória TOTAL'!X678,Formatos!G:G)</f>
        <v>0</v>
      </c>
      <c r="K677" s="133">
        <f>SUMIF(Densidades!A:A,'Memória TOTAL'!X677,Densidades!I:I)</f>
        <v>0</v>
      </c>
      <c r="L677" s="134">
        <v>0</v>
      </c>
      <c r="M677" s="135"/>
      <c r="N677" s="135"/>
      <c r="O677" s="135"/>
      <c r="P677" s="135"/>
      <c r="Q677" s="135"/>
      <c r="R677" s="745" t="str">
        <f>IF(X677="","-",_xlfn.XLOOKUP(X677,Densidades!A:A,Densidades!E:E,"-",0))</f>
        <v>-</v>
      </c>
      <c r="S677" s="135"/>
      <c r="T677" s="135"/>
      <c r="U677" s="135"/>
      <c r="V677" s="141"/>
      <c r="W677" s="136" t="str">
        <f>IF(C677=0,"",ROUNDUP(SUM(V679:V682)*(1+L677)/D677,0)*D677)</f>
        <v/>
      </c>
      <c r="X677" s="259"/>
    </row>
    <row r="678" spans="1:27" ht="15" customHeight="1">
      <c r="A678" s="210"/>
      <c r="B678" s="207"/>
      <c r="C678" s="129"/>
      <c r="D678" s="135"/>
      <c r="E678" s="135"/>
      <c r="F678" s="135"/>
      <c r="G678" s="135"/>
      <c r="H678" s="135"/>
      <c r="I678" s="135"/>
      <c r="J678" s="139"/>
      <c r="K678" s="139"/>
      <c r="L678" s="140"/>
      <c r="M678" s="135"/>
      <c r="N678" s="135"/>
      <c r="O678" s="135"/>
      <c r="P678" s="135"/>
      <c r="Q678" s="135"/>
      <c r="R678" s="135"/>
      <c r="S678" s="135"/>
      <c r="T678" s="135"/>
      <c r="U678" s="135"/>
      <c r="V678" s="141"/>
      <c r="W678" s="142"/>
      <c r="X678" s="143" t="str">
        <f>IF(AND(I677="-",H677="-",G677="-"),F677,IF(AND(I677="-",H677="-",F677="-"),G677,IF(AND(I677="-",G677="-",F677="-"),H677,I677)))</f>
        <v>-</v>
      </c>
    </row>
    <row r="679" spans="1:27" ht="15" customHeight="1" thickBot="1">
      <c r="A679" s="210"/>
      <c r="B679" s="208" t="s">
        <v>71</v>
      </c>
      <c r="C679" s="129"/>
      <c r="D679" s="135"/>
      <c r="E679" s="135"/>
      <c r="F679" s="135"/>
      <c r="G679" s="135"/>
      <c r="H679" s="135"/>
      <c r="I679" s="135"/>
      <c r="J679" s="139"/>
      <c r="K679" s="139"/>
      <c r="L679" s="140"/>
      <c r="M679" s="135"/>
      <c r="N679" s="135"/>
      <c r="O679" s="135"/>
      <c r="P679" s="135"/>
      <c r="Q679" s="135"/>
      <c r="R679" s="135"/>
      <c r="S679" s="135"/>
      <c r="T679" s="135"/>
      <c r="U679" s="135"/>
      <c r="V679" s="141"/>
      <c r="W679" s="142"/>
      <c r="X679" s="143" t="s">
        <v>2</v>
      </c>
    </row>
    <row r="680" spans="1:27" ht="15" customHeight="1" thickBot="1">
      <c r="A680" s="210"/>
      <c r="B680" s="327"/>
      <c r="C680" s="194">
        <f>C677</f>
        <v>0</v>
      </c>
      <c r="D680" s="156"/>
      <c r="E680" s="156"/>
      <c r="F680" s="156"/>
      <c r="G680" s="156"/>
      <c r="H680" s="156"/>
      <c r="I680" s="156"/>
      <c r="J680" s="157"/>
      <c r="K680" s="157"/>
      <c r="L680" s="195">
        <v>0</v>
      </c>
      <c r="M680" s="253"/>
      <c r="N680" s="156"/>
      <c r="O680" s="156"/>
      <c r="P680" s="156"/>
      <c r="Q680" s="156"/>
      <c r="R680" s="156"/>
      <c r="S680" s="156"/>
      <c r="T680" s="174">
        <f>M680/10^6</f>
        <v>0</v>
      </c>
      <c r="U680" s="253"/>
      <c r="V680" s="175">
        <f>ROUNDUP(T680*C680*(1+L680),0)*U680</f>
        <v>0</v>
      </c>
      <c r="W680" s="176"/>
      <c r="X680" s="177"/>
    </row>
    <row r="681" spans="1:27" s="182" customFormat="1" ht="15" customHeight="1" thickBot="1">
      <c r="A681" s="211"/>
      <c r="B681" s="328"/>
      <c r="C681" s="194">
        <f>C680</f>
        <v>0</v>
      </c>
      <c r="D681" s="197"/>
      <c r="E681" s="197"/>
      <c r="F681" s="197"/>
      <c r="G681" s="197"/>
      <c r="H681" s="197"/>
      <c r="I681" s="197"/>
      <c r="J681" s="230"/>
      <c r="K681" s="230"/>
      <c r="L681" s="233">
        <v>0</v>
      </c>
      <c r="M681" s="197"/>
      <c r="N681" s="197"/>
      <c r="O681" s="197"/>
      <c r="P681" s="253"/>
      <c r="Q681" s="156"/>
      <c r="R681" s="156"/>
      <c r="S681" s="253"/>
      <c r="T681" s="223">
        <f>S681*P681/10^6</f>
        <v>0</v>
      </c>
      <c r="U681" s="253"/>
      <c r="V681" s="224">
        <f>ROUNDUP(T681*C681*(1+L681),0)*U681</f>
        <v>0</v>
      </c>
      <c r="W681" s="225"/>
      <c r="X681" s="226"/>
      <c r="Z681" s="183"/>
      <c r="AA681" s="183"/>
    </row>
    <row r="682" spans="1:27" ht="15" customHeight="1">
      <c r="A682" s="211"/>
      <c r="B682" s="207"/>
      <c r="C682" s="138"/>
      <c r="D682" s="135"/>
      <c r="E682" s="135"/>
      <c r="F682" s="135"/>
      <c r="G682" s="135"/>
      <c r="H682" s="135"/>
      <c r="I682" s="135"/>
      <c r="J682" s="139"/>
      <c r="K682" s="139"/>
      <c r="L682" s="140"/>
      <c r="M682" s="135"/>
      <c r="N682" s="191"/>
      <c r="O682" s="191"/>
      <c r="P682" s="191"/>
      <c r="Q682" s="191"/>
      <c r="R682" s="135"/>
      <c r="S682" s="135"/>
      <c r="T682" s="135"/>
      <c r="U682" s="135"/>
      <c r="V682" s="141"/>
      <c r="W682" s="142"/>
      <c r="X682" s="143"/>
    </row>
    <row r="683" spans="1:27" ht="15" customHeight="1" thickBot="1">
      <c r="A683" s="211"/>
      <c r="B683" s="127"/>
      <c r="C683" s="165"/>
      <c r="D683" s="166"/>
      <c r="E683" s="166"/>
      <c r="F683" s="166"/>
      <c r="G683" s="166"/>
      <c r="H683" s="166"/>
      <c r="I683" s="166"/>
      <c r="J683" s="167"/>
      <c r="K683" s="167"/>
      <c r="L683" s="168"/>
      <c r="M683" s="166"/>
      <c r="N683" s="237"/>
      <c r="O683" s="237"/>
      <c r="P683" s="237"/>
      <c r="Q683" s="237"/>
      <c r="R683" s="166"/>
      <c r="S683" s="166"/>
      <c r="T683" s="166"/>
      <c r="U683" s="166"/>
      <c r="V683" s="169"/>
      <c r="W683" s="170"/>
      <c r="X683" s="171"/>
    </row>
    <row r="684" spans="1:27" ht="15" customHeight="1" thickBot="1">
      <c r="A684" s="210"/>
      <c r="B684" s="746" t="str">
        <f>IF(X685="","MONOLÍTICO+ADITIVO",X685)</f>
        <v>MONOLÍTICO+ADITIVO</v>
      </c>
      <c r="C684" s="747" t="s">
        <v>101</v>
      </c>
      <c r="D684" s="748" t="s">
        <v>102</v>
      </c>
      <c r="E684" s="748" t="s">
        <v>109</v>
      </c>
      <c r="F684" s="748"/>
      <c r="G684" s="748"/>
      <c r="H684" s="748"/>
      <c r="I684" s="748"/>
      <c r="J684" s="748" t="s">
        <v>103</v>
      </c>
      <c r="K684" s="748" t="s">
        <v>37</v>
      </c>
      <c r="L684" s="748" t="s">
        <v>39</v>
      </c>
      <c r="M684" s="748" t="s">
        <v>41</v>
      </c>
      <c r="N684" s="748"/>
      <c r="O684" s="748"/>
      <c r="P684" s="748" t="s">
        <v>17</v>
      </c>
      <c r="Q684" s="748"/>
      <c r="R684" s="749" t="s">
        <v>12976</v>
      </c>
      <c r="S684" s="748" t="s">
        <v>40</v>
      </c>
      <c r="T684" s="748" t="s">
        <v>26</v>
      </c>
      <c r="U684" s="748" t="s">
        <v>38</v>
      </c>
      <c r="V684" s="750" t="s">
        <v>27</v>
      </c>
      <c r="W684" s="751"/>
      <c r="X684" s="752"/>
    </row>
    <row r="685" spans="1:27" ht="15" customHeight="1" thickBot="1">
      <c r="A685" s="210"/>
      <c r="B685" s="207"/>
      <c r="C685" s="129">
        <f>SUMIF(Densidades!A:A,'Memória TOTAL'!X685,Densidades!B:B)</f>
        <v>0</v>
      </c>
      <c r="D685" s="130">
        <f>SUMIF(Densidades!A:A,'Memória TOTAL'!X685,Densidades!C:C)</f>
        <v>0</v>
      </c>
      <c r="E685" s="130">
        <f>SUMIF(Densidades!A:A,'Memória TOTAL'!X685,Densidades!G:G)</f>
        <v>0</v>
      </c>
      <c r="F685" s="130" t="str">
        <f>IF(E685=1,"FIRECLAY CASTABLE",IF(E685=2,"ALUMINA CASTABLE",IF(E685=3,"ALUMINA MASS",IF(E685=4,"SILICA MASS","-"))))</f>
        <v>-</v>
      </c>
      <c r="G685" s="130" t="str">
        <f>IF(E685=5,"BASIC CASTABLE",IF(E685=6,"BASIC MASS",IF(E685=7,"CARBON MASS",IF(E685=8,"CHROMITE CASTABLE","-"))))</f>
        <v>-</v>
      </c>
      <c r="H685" s="130" t="str">
        <f>IF(E685=9,"INSULATING CASTABLE",IF(E685=10,"FIRECLAY MASS",IF(E685=11,"CHROMITE MASS",IF(E685=12,"FIRECLAY PLASTIC.","-"))))</f>
        <v>-</v>
      </c>
      <c r="I685" s="130" t="str">
        <f>IF(E685=13,"ALUMINA PLASTIC",IF(E685=14,"FILLING SAND",IF(E685=15,"FIRECLAY MORTAR",IF(E685=16,"ALUMINA MORTAR",IF(E685=17,"BASIC MORTAR",IF(E685=18,"MORTAR","-"))))))</f>
        <v>-</v>
      </c>
      <c r="J685" s="132">
        <f>SUMIF(Formatos!A:A,'Memória TOTAL'!X686,Formatos!G:G)</f>
        <v>0</v>
      </c>
      <c r="K685" s="133">
        <f>SUMIF(Densidades!A:A,'Memória TOTAL'!X685,Densidades!I:I)</f>
        <v>0</v>
      </c>
      <c r="L685" s="134">
        <v>0</v>
      </c>
      <c r="M685" s="135"/>
      <c r="N685" s="135"/>
      <c r="O685" s="135"/>
      <c r="P685" s="135"/>
      <c r="Q685" s="135"/>
      <c r="R685" s="745" t="str">
        <f>IF(X685="","-",_xlfn.XLOOKUP(X685,Densidades!A:A,Densidades!E:E,"-",0))</f>
        <v>-</v>
      </c>
      <c r="S685" s="135"/>
      <c r="T685" s="135"/>
      <c r="U685" s="135"/>
      <c r="V685" s="141"/>
      <c r="W685" s="136" t="str">
        <f>IF(C685=0,"",ROUNDUP(SUM(V687:V690)*(1+L685)/D685,0)*D685)</f>
        <v/>
      </c>
      <c r="X685" s="259"/>
    </row>
    <row r="686" spans="1:27" ht="15" customHeight="1">
      <c r="A686" s="210"/>
      <c r="B686" s="207"/>
      <c r="C686" s="129"/>
      <c r="D686" s="135"/>
      <c r="E686" s="135"/>
      <c r="F686" s="135"/>
      <c r="G686" s="135"/>
      <c r="H686" s="135"/>
      <c r="I686" s="135"/>
      <c r="J686" s="139"/>
      <c r="K686" s="139"/>
      <c r="L686" s="140"/>
      <c r="M686" s="135"/>
      <c r="N686" s="135"/>
      <c r="O686" s="135"/>
      <c r="P686" s="135"/>
      <c r="Q686" s="135"/>
      <c r="R686" s="135"/>
      <c r="S686" s="135"/>
      <c r="T686" s="135"/>
      <c r="U686" s="135"/>
      <c r="V686" s="141"/>
      <c r="W686" s="142"/>
      <c r="X686" s="143" t="str">
        <f>IF(AND(I685="-",H685="-",G685="-"),F685,IF(AND(I685="-",H685="-",F685="-"),G685,IF(AND(I685="-",G685="-",F685="-"),H685,I685)))</f>
        <v>-</v>
      </c>
    </row>
    <row r="687" spans="1:27" ht="15" customHeight="1" thickBot="1">
      <c r="A687" s="210"/>
      <c r="B687" s="208" t="s">
        <v>71</v>
      </c>
      <c r="C687" s="129"/>
      <c r="D687" s="135"/>
      <c r="E687" s="135"/>
      <c r="F687" s="135"/>
      <c r="G687" s="135"/>
      <c r="H687" s="135"/>
      <c r="I687" s="135"/>
      <c r="J687" s="139"/>
      <c r="K687" s="139"/>
      <c r="L687" s="140"/>
      <c r="M687" s="135"/>
      <c r="N687" s="135"/>
      <c r="O687" s="135"/>
      <c r="P687" s="135"/>
      <c r="Q687" s="135"/>
      <c r="R687" s="135"/>
      <c r="S687" s="135"/>
      <c r="T687" s="135"/>
      <c r="U687" s="135"/>
      <c r="V687" s="141"/>
      <c r="W687" s="142"/>
      <c r="X687" s="143" t="s">
        <v>2</v>
      </c>
    </row>
    <row r="688" spans="1:27" ht="15" customHeight="1" thickBot="1">
      <c r="A688" s="210"/>
      <c r="B688" s="327"/>
      <c r="C688" s="194">
        <f>C685</f>
        <v>0</v>
      </c>
      <c r="D688" s="156"/>
      <c r="E688" s="156"/>
      <c r="F688" s="156"/>
      <c r="G688" s="156"/>
      <c r="H688" s="156"/>
      <c r="I688" s="156"/>
      <c r="J688" s="157"/>
      <c r="K688" s="157"/>
      <c r="L688" s="195">
        <v>0</v>
      </c>
      <c r="M688" s="253"/>
      <c r="N688" s="156"/>
      <c r="O688" s="156"/>
      <c r="P688" s="156"/>
      <c r="Q688" s="156"/>
      <c r="R688" s="156"/>
      <c r="S688" s="156"/>
      <c r="T688" s="174">
        <f>M688/10^6</f>
        <v>0</v>
      </c>
      <c r="U688" s="253"/>
      <c r="V688" s="175">
        <f>ROUNDUP(T688*C688*(1+L688),0)*U688</f>
        <v>0</v>
      </c>
      <c r="W688" s="176"/>
      <c r="X688" s="177"/>
    </row>
    <row r="689" spans="1:27" s="182" customFormat="1" ht="15" customHeight="1" thickBot="1">
      <c r="A689" s="211"/>
      <c r="B689" s="328"/>
      <c r="C689" s="194">
        <f>C688</f>
        <v>0</v>
      </c>
      <c r="D689" s="197"/>
      <c r="E689" s="197"/>
      <c r="F689" s="197"/>
      <c r="G689" s="197"/>
      <c r="H689" s="197"/>
      <c r="I689" s="197"/>
      <c r="J689" s="230"/>
      <c r="K689" s="230"/>
      <c r="L689" s="233">
        <v>0</v>
      </c>
      <c r="M689" s="197"/>
      <c r="N689" s="197"/>
      <c r="O689" s="197"/>
      <c r="P689" s="253"/>
      <c r="Q689" s="156"/>
      <c r="R689" s="156"/>
      <c r="S689" s="253"/>
      <c r="T689" s="223">
        <f>S689*P689/10^6</f>
        <v>0</v>
      </c>
      <c r="U689" s="253"/>
      <c r="V689" s="224">
        <f>ROUNDUP(T689*C689*(1+L689),0)*U689</f>
        <v>0</v>
      </c>
      <c r="W689" s="225"/>
      <c r="X689" s="226"/>
      <c r="Z689" s="183"/>
      <c r="AA689" s="183"/>
    </row>
    <row r="690" spans="1:27" ht="15" customHeight="1">
      <c r="A690" s="211"/>
      <c r="B690" s="207"/>
      <c r="C690" s="138"/>
      <c r="D690" s="135"/>
      <c r="E690" s="135"/>
      <c r="F690" s="135"/>
      <c r="G690" s="135"/>
      <c r="H690" s="135"/>
      <c r="I690" s="135"/>
      <c r="J690" s="139"/>
      <c r="K690" s="139"/>
      <c r="L690" s="140"/>
      <c r="M690" s="135"/>
      <c r="N690" s="191"/>
      <c r="O690" s="191"/>
      <c r="P690" s="191"/>
      <c r="Q690" s="191"/>
      <c r="R690" s="135"/>
      <c r="S690" s="135"/>
      <c r="T690" s="135"/>
      <c r="U690" s="135"/>
      <c r="V690" s="141"/>
      <c r="W690" s="142"/>
      <c r="X690" s="143"/>
    </row>
    <row r="691" spans="1:27" ht="15" customHeight="1">
      <c r="A691" s="211"/>
      <c r="B691" s="207"/>
      <c r="C691" s="138"/>
      <c r="D691" s="135"/>
      <c r="E691" s="135"/>
      <c r="F691" s="135"/>
      <c r="G691" s="135"/>
      <c r="H691" s="135"/>
      <c r="I691" s="135"/>
      <c r="J691" s="139"/>
      <c r="K691" s="139"/>
      <c r="L691" s="140"/>
      <c r="M691" s="135"/>
      <c r="N691" s="191"/>
      <c r="O691" s="191"/>
      <c r="P691" s="191"/>
      <c r="Q691" s="191"/>
      <c r="R691" s="135"/>
      <c r="S691" s="135"/>
      <c r="T691" s="135"/>
      <c r="U691" s="135"/>
      <c r="V691" s="141"/>
      <c r="W691" s="142"/>
      <c r="X691" s="143"/>
    </row>
    <row r="692" spans="1:27" ht="15" customHeight="1">
      <c r="A692" s="211"/>
      <c r="B692" s="207"/>
      <c r="C692" s="138"/>
      <c r="D692" s="135"/>
      <c r="E692" s="135"/>
      <c r="F692" s="135"/>
      <c r="G692" s="135"/>
      <c r="H692" s="135"/>
      <c r="I692" s="135"/>
      <c r="J692" s="139"/>
      <c r="K692" s="139"/>
      <c r="L692" s="140"/>
      <c r="M692" s="135"/>
      <c r="N692" s="191"/>
      <c r="O692" s="191"/>
      <c r="P692" s="191"/>
      <c r="Q692" s="191"/>
      <c r="R692" s="135"/>
      <c r="S692" s="135"/>
      <c r="T692" s="135"/>
      <c r="U692" s="135"/>
      <c r="V692" s="141"/>
      <c r="W692" s="142"/>
      <c r="X692" s="143"/>
    </row>
    <row r="693" spans="1:27" ht="15" customHeight="1">
      <c r="A693" s="211"/>
      <c r="B693" s="206"/>
      <c r="C693" s="138"/>
      <c r="D693" s="135"/>
      <c r="E693" s="135"/>
      <c r="F693" s="135"/>
      <c r="G693" s="135"/>
      <c r="H693" s="135"/>
      <c r="I693" s="135"/>
      <c r="J693" s="139"/>
      <c r="K693" s="139"/>
      <c r="L693" s="140"/>
      <c r="M693" s="135"/>
      <c r="N693" s="191"/>
      <c r="O693" s="191"/>
      <c r="P693" s="191"/>
      <c r="Q693" s="191"/>
      <c r="R693" s="135"/>
      <c r="S693" s="135"/>
      <c r="T693" s="135"/>
      <c r="U693" s="135"/>
      <c r="V693" s="141"/>
      <c r="W693" s="142"/>
      <c r="X693" s="143"/>
    </row>
    <row r="694" spans="1:27" ht="15" customHeight="1">
      <c r="A694" s="211"/>
      <c r="B694" s="207"/>
      <c r="C694" s="138"/>
      <c r="D694" s="135"/>
      <c r="E694" s="135"/>
      <c r="F694" s="135"/>
      <c r="G694" s="135"/>
      <c r="H694" s="135"/>
      <c r="I694" s="135"/>
      <c r="J694" s="139"/>
      <c r="K694" s="139"/>
      <c r="L694" s="140"/>
      <c r="M694" s="135"/>
      <c r="N694" s="191"/>
      <c r="O694" s="191"/>
      <c r="P694" s="191"/>
      <c r="Q694" s="191"/>
      <c r="R694" s="135"/>
      <c r="S694" s="135"/>
      <c r="T694" s="135"/>
      <c r="U694" s="135"/>
      <c r="V694" s="141"/>
      <c r="W694" s="142"/>
      <c r="X694" s="143"/>
    </row>
    <row r="695" spans="1:27" ht="15" customHeight="1" thickBot="1">
      <c r="A695" s="211"/>
      <c r="B695" s="207"/>
      <c r="C695" s="138"/>
      <c r="D695" s="135"/>
      <c r="E695" s="135"/>
      <c r="F695" s="135"/>
      <c r="G695" s="135"/>
      <c r="H695" s="135"/>
      <c r="I695" s="135"/>
      <c r="J695" s="139"/>
      <c r="K695" s="139"/>
      <c r="L695" s="140"/>
      <c r="M695" s="135"/>
      <c r="N695" s="191"/>
      <c r="O695" s="191"/>
      <c r="P695" s="191"/>
      <c r="Q695" s="191"/>
      <c r="R695" s="135"/>
      <c r="S695" s="135"/>
      <c r="T695" s="135"/>
      <c r="U695" s="135"/>
      <c r="V695" s="141"/>
      <c r="W695" s="142"/>
      <c r="X695" s="143"/>
    </row>
    <row r="696" spans="1:27" s="182" customFormat="1" ht="15" customHeight="1" thickBot="1">
      <c r="A696" s="274"/>
      <c r="B696" s="209" t="str">
        <f>X696</f>
        <v>DIVASIL</v>
      </c>
      <c r="C696" s="129">
        <f>SUMIF(Densidades!A:A,'Memória TOTAL'!X696,Densidades!B:B)</f>
        <v>1.3</v>
      </c>
      <c r="D696" s="130">
        <f>SUMIF(Densidades!A:A,'Memória TOTAL'!X696,Densidades!C:C)</f>
        <v>20</v>
      </c>
      <c r="E696" s="130"/>
      <c r="F696" s="130" t="str">
        <f>IF(E696=1,"FIRECLAY CASTABLE",IF(E696=2,"ALUMINA CASTABLE",IF(E696=3,"ALUMINA MASS",IF(E696=4,"SILICA MASS","-"))))</f>
        <v>-</v>
      </c>
      <c r="G696" s="130" t="str">
        <f>IF(E696=5,"BASIC CASTABLE",IF(E696=6,"BASIC MASS",IF(E696=7,"CARBON MASS",IF(E696=8,"CHROMITE CASTABLE","-"))))</f>
        <v>-</v>
      </c>
      <c r="H696" s="130" t="str">
        <f>IF(E696=9,"INSULATING CASTABLE",IF(E696=10,"FIRECLAY MASS",IF(E696=11,"CHROMITE MASS",IF(E696=12,"FIRECLAY PLASTIC.","-"))))</f>
        <v>-</v>
      </c>
      <c r="I696" s="130" t="str">
        <f>IF(E696=13,"ALUMINA PLASTIC",IF(E696=14,"FILLING SAND",IF(E696=15,"FIRECLAY MORTAR",IF(E696=16,"ALUMINA MORTAR",IF(E696=17,"BASIC MORTAR",IF(E696=18,"MORTAR","-"))))))</f>
        <v>-</v>
      </c>
      <c r="J696" s="132">
        <f>SUMIF(Formatos!A:A,'Memória TOTAL'!X697,Formatos!G:G)</f>
        <v>0</v>
      </c>
      <c r="K696" s="218">
        <f>SUMIF(Densidades!A:A,'Memória TOTAL'!X696,Densidades!I:I)</f>
        <v>8</v>
      </c>
      <c r="L696" s="219">
        <v>0</v>
      </c>
      <c r="M696" s="191"/>
      <c r="N696" s="191"/>
      <c r="O696" s="191"/>
      <c r="P696" s="191"/>
      <c r="Q696" s="191"/>
      <c r="R696" s="179" t="s">
        <v>1098</v>
      </c>
      <c r="S696" s="135"/>
      <c r="T696" s="179" t="s">
        <v>26</v>
      </c>
      <c r="U696" s="135"/>
      <c r="V696" s="180" t="s">
        <v>27</v>
      </c>
      <c r="W696" s="136" t="str">
        <f>IFERROR(IF(C696=0,"",ROUNDUP(SUM(V696:V697)*(1+L696),0)),"")</f>
        <v/>
      </c>
      <c r="X696" s="259" t="s">
        <v>1094</v>
      </c>
      <c r="Z696" s="183"/>
      <c r="AA696" s="183"/>
    </row>
    <row r="697" spans="1:27" s="182" customFormat="1" ht="15" customHeight="1" thickBot="1">
      <c r="A697" s="210"/>
      <c r="B697" s="190"/>
      <c r="C697" s="196"/>
      <c r="D697" s="191"/>
      <c r="E697" s="191"/>
      <c r="F697" s="191"/>
      <c r="G697" s="191"/>
      <c r="H697" s="191"/>
      <c r="I697" s="191"/>
      <c r="J697" s="192"/>
      <c r="K697" s="192"/>
      <c r="L697" s="140"/>
      <c r="M697" s="191"/>
      <c r="N697" s="191"/>
      <c r="O697" s="191"/>
      <c r="P697" s="191"/>
      <c r="Q697" s="191"/>
      <c r="R697" s="253"/>
      <c r="S697" s="135"/>
      <c r="T697" s="135" t="e">
        <f>W685/100*R697</f>
        <v>#VALUE!</v>
      </c>
      <c r="U697" s="135"/>
      <c r="V697" s="224" t="e">
        <f>ROUNDUP(T697*C696/D696,0)*D696</f>
        <v>#VALUE!</v>
      </c>
      <c r="W697" s="181"/>
      <c r="X697" s="143" t="str">
        <f>IF(AND(I696="-",H696="-",G696="-"),F696,IF(AND(I696="-",H696="-",F696="-"),G696,IF(AND(I696="-",G696="-",F696="-"),H696,I696)))</f>
        <v>-</v>
      </c>
      <c r="Z697" s="183"/>
      <c r="AA697" s="183"/>
    </row>
    <row r="698" spans="1:27" s="182" customFormat="1" ht="15" customHeight="1">
      <c r="A698" s="210"/>
      <c r="B698" s="853" t="s">
        <v>1869</v>
      </c>
      <c r="C698" s="196"/>
      <c r="D698" s="191"/>
      <c r="E698" s="191"/>
      <c r="F698" s="191"/>
      <c r="G698" s="191"/>
      <c r="H698" s="191"/>
      <c r="I698" s="191"/>
      <c r="J698" s="192"/>
      <c r="K698" s="192"/>
      <c r="L698" s="140"/>
      <c r="M698" s="191"/>
      <c r="N698" s="191"/>
      <c r="O698" s="191"/>
      <c r="P698" s="191"/>
      <c r="Q698" s="191"/>
      <c r="R698" s="191"/>
      <c r="S698" s="191"/>
      <c r="T698" s="191"/>
      <c r="U698" s="135"/>
      <c r="V698" s="193"/>
      <c r="W698" s="181"/>
      <c r="X698" s="137" t="s">
        <v>2</v>
      </c>
      <c r="Z698" s="183"/>
      <c r="AA698" s="183"/>
    </row>
    <row r="699" spans="1:27" s="182" customFormat="1" ht="15" customHeight="1">
      <c r="A699" s="210"/>
      <c r="B699" s="854"/>
      <c r="C699" s="196"/>
      <c r="D699" s="191"/>
      <c r="E699" s="191"/>
      <c r="F699" s="191"/>
      <c r="G699" s="191"/>
      <c r="H699" s="191"/>
      <c r="I699" s="191"/>
      <c r="J699" s="192"/>
      <c r="K699" s="192"/>
      <c r="L699" s="140"/>
      <c r="M699" s="191"/>
      <c r="N699" s="191"/>
      <c r="O699" s="191"/>
      <c r="P699" s="191"/>
      <c r="Q699" s="191"/>
      <c r="R699" s="191"/>
      <c r="S699" s="191"/>
      <c r="T699" s="191"/>
      <c r="U699" s="191"/>
      <c r="V699" s="193"/>
      <c r="W699" s="181"/>
      <c r="X699" s="137"/>
      <c r="Z699" s="183"/>
      <c r="AA699" s="183"/>
    </row>
    <row r="700" spans="1:27" ht="15" customHeight="1">
      <c r="A700" s="211"/>
      <c r="B700" s="207"/>
      <c r="C700" s="138"/>
      <c r="D700" s="135"/>
      <c r="E700" s="135"/>
      <c r="F700" s="135"/>
      <c r="G700" s="135"/>
      <c r="H700" s="135"/>
      <c r="I700" s="135"/>
      <c r="J700" s="139"/>
      <c r="K700" s="139"/>
      <c r="L700" s="140"/>
      <c r="M700" s="135"/>
      <c r="N700" s="191"/>
      <c r="O700" s="191"/>
      <c r="P700" s="191"/>
      <c r="Q700" s="191"/>
      <c r="R700" s="135"/>
      <c r="S700" s="135"/>
      <c r="T700" s="135"/>
      <c r="U700" s="135"/>
      <c r="V700" s="141"/>
      <c r="W700" s="142"/>
      <c r="X700" s="143"/>
    </row>
    <row r="701" spans="1:27" ht="15" customHeight="1" thickBot="1">
      <c r="A701" s="211"/>
      <c r="B701" s="505"/>
      <c r="C701" s="505"/>
      <c r="D701" s="508"/>
      <c r="E701" s="508"/>
      <c r="F701" s="508"/>
      <c r="G701" s="508"/>
      <c r="H701" s="508"/>
      <c r="I701" s="508"/>
      <c r="J701" s="508"/>
      <c r="K701" s="508"/>
      <c r="L701" s="508"/>
      <c r="M701" s="508"/>
      <c r="N701" s="508"/>
      <c r="O701" s="508"/>
      <c r="P701" s="508"/>
      <c r="Q701" s="508"/>
      <c r="R701" s="508"/>
      <c r="S701" s="508"/>
      <c r="T701" s="508"/>
      <c r="U701" s="508"/>
      <c r="V701" s="508"/>
      <c r="W701" s="508"/>
      <c r="X701" s="509"/>
    </row>
    <row r="702" spans="1:27" s="182" customFormat="1" ht="15" customHeight="1" thickBot="1">
      <c r="A702" s="274"/>
      <c r="B702" s="268" t="str">
        <f>IF(X703="","ÂNCORA METÁLICA",X703)</f>
        <v>ÂNCORA METÁLICA</v>
      </c>
      <c r="C702" s="215" t="s">
        <v>101</v>
      </c>
      <c r="D702" s="179" t="s">
        <v>102</v>
      </c>
      <c r="E702" s="179"/>
      <c r="F702" s="179"/>
      <c r="G702" s="179"/>
      <c r="H702" s="179"/>
      <c r="I702" s="179"/>
      <c r="J702" s="179" t="s">
        <v>103</v>
      </c>
      <c r="K702" s="179" t="s">
        <v>37</v>
      </c>
      <c r="L702" s="179" t="s">
        <v>39</v>
      </c>
      <c r="M702" s="179"/>
      <c r="N702" s="179" t="s">
        <v>106</v>
      </c>
      <c r="O702" s="179" t="s">
        <v>68</v>
      </c>
      <c r="P702" s="179" t="s">
        <v>69</v>
      </c>
      <c r="Q702" s="179" t="s">
        <v>107</v>
      </c>
      <c r="R702" s="179" t="s">
        <v>53</v>
      </c>
      <c r="S702" s="179" t="s">
        <v>40</v>
      </c>
      <c r="T702" s="179" t="s">
        <v>26</v>
      </c>
      <c r="U702" s="179" t="s">
        <v>38</v>
      </c>
      <c r="V702" s="180" t="s">
        <v>27</v>
      </c>
      <c r="W702" s="216"/>
      <c r="X702" s="217"/>
      <c r="Z702" s="183"/>
      <c r="AA702" s="183"/>
    </row>
    <row r="703" spans="1:27" s="182" customFormat="1" ht="15" customHeight="1" thickBot="1">
      <c r="A703" s="210"/>
      <c r="B703" s="190"/>
      <c r="C703" s="129">
        <f>SUMIF(Densidades!A:A,'Memória TOTAL'!X703,Densidades!B:B)</f>
        <v>0</v>
      </c>
      <c r="D703" s="130">
        <f>SUMIF(Densidades!A:A,'Memória TOTAL'!X703,Densidades!C:C)</f>
        <v>0</v>
      </c>
      <c r="E703" s="130"/>
      <c r="F703" s="130"/>
      <c r="G703" s="130"/>
      <c r="H703" s="130"/>
      <c r="I703" s="130"/>
      <c r="J703" s="132">
        <f>SUMIF(Formatos!A:A,'Memória TOTAL'!X704,Formatos!G:G)</f>
        <v>0</v>
      </c>
      <c r="K703" s="218">
        <f>SUMIF(Densidades!A:A,'Memória TOTAL'!X703,Densidades!I:I)</f>
        <v>0</v>
      </c>
      <c r="L703" s="219">
        <v>0</v>
      </c>
      <c r="M703" s="191"/>
      <c r="N703" s="191"/>
      <c r="O703" s="191"/>
      <c r="P703" s="191"/>
      <c r="Q703" s="191"/>
      <c r="R703" s="191"/>
      <c r="S703" s="191"/>
      <c r="T703" s="191"/>
      <c r="U703" s="191"/>
      <c r="V703" s="193"/>
      <c r="W703" s="189" t="str">
        <f>IF(C703=0,"",ROUNDUP(SUM(V705:V709)*(1+L703),0))</f>
        <v/>
      </c>
      <c r="X703" s="259"/>
      <c r="Z703" s="183"/>
      <c r="AA703" s="183"/>
    </row>
    <row r="704" spans="1:27" s="182" customFormat="1" ht="15" customHeight="1" thickBot="1">
      <c r="A704" s="210"/>
      <c r="B704" s="190"/>
      <c r="C704" s="196"/>
      <c r="D704" s="191"/>
      <c r="E704" s="191"/>
      <c r="F704" s="191"/>
      <c r="G704" s="191"/>
      <c r="H704" s="191"/>
      <c r="I704" s="191"/>
      <c r="J704" s="192"/>
      <c r="K704" s="192"/>
      <c r="L704" s="140"/>
      <c r="M704" s="191"/>
      <c r="N704" s="191"/>
      <c r="O704" s="191"/>
      <c r="P704" s="191"/>
      <c r="Q704" s="191"/>
      <c r="R704" s="191"/>
      <c r="S704" s="191"/>
      <c r="T704" s="191"/>
      <c r="U704" s="191"/>
      <c r="V704" s="193"/>
      <c r="W704" s="181"/>
      <c r="X704" s="259"/>
      <c r="Z704" s="183"/>
      <c r="AA704" s="183"/>
    </row>
    <row r="705" spans="1:27" s="182" customFormat="1" ht="15" customHeight="1" thickBot="1">
      <c r="A705" s="210"/>
      <c r="B705" s="164"/>
      <c r="C705" s="196"/>
      <c r="D705" s="191"/>
      <c r="E705" s="191"/>
      <c r="F705" s="191"/>
      <c r="G705" s="191"/>
      <c r="H705" s="191"/>
      <c r="I705" s="191"/>
      <c r="J705" s="192"/>
      <c r="K705" s="192"/>
      <c r="L705" s="140"/>
      <c r="M705" s="191"/>
      <c r="N705" s="191"/>
      <c r="O705" s="191"/>
      <c r="P705" s="191"/>
      <c r="Q705" s="191"/>
      <c r="R705" s="191"/>
      <c r="S705" s="191"/>
      <c r="T705" s="191"/>
      <c r="U705" s="191"/>
      <c r="V705" s="193"/>
      <c r="W705" s="181"/>
      <c r="X705" s="137" t="s">
        <v>520</v>
      </c>
      <c r="Z705" s="183"/>
      <c r="AA705" s="183"/>
    </row>
    <row r="706" spans="1:27" s="182" customFormat="1" ht="15" customHeight="1" thickBot="1">
      <c r="A706" s="210"/>
      <c r="B706" s="327"/>
      <c r="C706" s="220"/>
      <c r="D706" s="197"/>
      <c r="E706" s="197"/>
      <c r="F706" s="197"/>
      <c r="G706" s="197"/>
      <c r="H706" s="197"/>
      <c r="I706" s="197"/>
      <c r="J706" s="230"/>
      <c r="K706" s="230"/>
      <c r="L706" s="158"/>
      <c r="M706" s="197"/>
      <c r="N706" s="159"/>
      <c r="O706" s="159"/>
      <c r="P706" s="253"/>
      <c r="Q706" s="159"/>
      <c r="R706" s="197"/>
      <c r="S706" s="253"/>
      <c r="T706" s="223" t="str">
        <f>IF(P706="","-",ROUNDUP(S706/P706/P706,0))</f>
        <v>-</v>
      </c>
      <c r="U706" s="253"/>
      <c r="V706" s="224" t="str">
        <f>IF(T706="-","-",ROUNDUP(T706*U706,0))</f>
        <v>-</v>
      </c>
      <c r="W706" s="225"/>
      <c r="X706" s="226"/>
      <c r="Z706" s="183"/>
      <c r="AA706" s="183"/>
    </row>
    <row r="707" spans="1:27" s="182" customFormat="1" ht="15" customHeight="1" thickBot="1">
      <c r="A707" s="211"/>
      <c r="B707" s="327"/>
      <c r="C707" s="220"/>
      <c r="D707" s="197"/>
      <c r="E707" s="197"/>
      <c r="F707" s="197"/>
      <c r="G707" s="197"/>
      <c r="H707" s="197"/>
      <c r="I707" s="197"/>
      <c r="J707" s="230"/>
      <c r="K707" s="230"/>
      <c r="L707" s="158"/>
      <c r="M707" s="197" t="str">
        <f>IF(Q707="","",ROUND(Q707/P707,0))</f>
        <v/>
      </c>
      <c r="N707" s="253"/>
      <c r="O707" s="253"/>
      <c r="P707" s="156"/>
      <c r="Q707" s="156"/>
      <c r="R707" s="253">
        <v>360</v>
      </c>
      <c r="S707" s="197"/>
      <c r="T707" s="223" t="e">
        <f>ROUNDUP(N707*PI()/O707/360*R707,)</f>
        <v>#DIV/0!</v>
      </c>
      <c r="U707" s="253"/>
      <c r="V707" s="224" t="str">
        <f>IFERROR(IF(T707="-","-",ROUNDUP(T707*U707,0)),"-")</f>
        <v>-</v>
      </c>
      <c r="W707" s="225"/>
      <c r="X707" s="226"/>
      <c r="Z707" s="183"/>
      <c r="AA707" s="183"/>
    </row>
    <row r="708" spans="1:27" s="182" customFormat="1" ht="15" customHeight="1" thickBot="1">
      <c r="A708" s="210"/>
      <c r="B708" s="327"/>
      <c r="C708" s="220"/>
      <c r="D708" s="197"/>
      <c r="E708" s="197"/>
      <c r="F708" s="197"/>
      <c r="G708" s="197"/>
      <c r="H708" s="197"/>
      <c r="I708" s="197"/>
      <c r="J708" s="230"/>
      <c r="K708" s="230"/>
      <c r="L708" s="158"/>
      <c r="M708" s="197" t="str">
        <f>IF(Q708="","",ROUND(Q708/P708,0))</f>
        <v/>
      </c>
      <c r="N708" s="253"/>
      <c r="O708" s="253"/>
      <c r="P708" s="253"/>
      <c r="Q708" s="253"/>
      <c r="R708" s="253">
        <v>360</v>
      </c>
      <c r="S708" s="197"/>
      <c r="T708" s="223" t="str">
        <f>IF(P708="","-",(ROUND(PI()*N708/O708*R708/360,0))*(ROUND(Q708/P708,0)))</f>
        <v>-</v>
      </c>
      <c r="U708" s="253"/>
      <c r="V708" s="224" t="str">
        <f>IF(T708="-","-",ROUNDUP(T708*U708,0))</f>
        <v>-</v>
      </c>
      <c r="W708" s="225"/>
      <c r="X708" s="226"/>
      <c r="Z708" s="183"/>
      <c r="AA708" s="183"/>
    </row>
    <row r="709" spans="1:27" s="182" customFormat="1" ht="15" customHeight="1">
      <c r="A709" s="211"/>
      <c r="B709" s="163"/>
      <c r="C709" s="196"/>
      <c r="D709" s="191"/>
      <c r="E709" s="191"/>
      <c r="F709" s="191"/>
      <c r="G709" s="191"/>
      <c r="H709" s="191"/>
      <c r="I709" s="191"/>
      <c r="J709" s="192"/>
      <c r="K709" s="192"/>
      <c r="L709" s="140"/>
      <c r="M709" s="191"/>
      <c r="N709" s="191"/>
      <c r="O709" s="147"/>
      <c r="P709" s="153"/>
      <c r="Q709" s="147"/>
      <c r="R709" s="191"/>
      <c r="S709" s="191"/>
      <c r="T709" s="191"/>
      <c r="U709" s="191"/>
      <c r="V709" s="193"/>
      <c r="W709" s="181"/>
      <c r="X709" s="137"/>
      <c r="Z709" s="183"/>
      <c r="AA709" s="183"/>
    </row>
    <row r="710" spans="1:27" s="182" customFormat="1" ht="15" customHeight="1" thickBot="1">
      <c r="A710" s="210"/>
      <c r="B710" s="505"/>
      <c r="C710" s="505"/>
      <c r="D710" s="508"/>
      <c r="E710" s="508"/>
      <c r="F710" s="508"/>
      <c r="G710" s="508"/>
      <c r="H710" s="508"/>
      <c r="I710" s="508"/>
      <c r="J710" s="508"/>
      <c r="K710" s="508"/>
      <c r="L710" s="508"/>
      <c r="M710" s="508"/>
      <c r="N710" s="508"/>
      <c r="O710" s="508"/>
      <c r="P710" s="508"/>
      <c r="Q710" s="508"/>
      <c r="R710" s="508"/>
      <c r="S710" s="508"/>
      <c r="T710" s="508"/>
      <c r="U710" s="508"/>
      <c r="V710" s="508"/>
      <c r="W710" s="508"/>
      <c r="X710" s="509"/>
      <c r="Z710" s="183"/>
      <c r="AA710" s="183"/>
    </row>
    <row r="711" spans="1:27" s="182" customFormat="1" ht="15" customHeight="1" thickBot="1">
      <c r="A711" s="210"/>
      <c r="B711" s="268" t="str">
        <f>IF(X712="","ÂNCORA CERÂMICA",X712)</f>
        <v>ÂNCORA CERÂMICA</v>
      </c>
      <c r="C711" s="215" t="s">
        <v>101</v>
      </c>
      <c r="D711" s="180" t="s">
        <v>102</v>
      </c>
      <c r="E711" s="180"/>
      <c r="F711" s="180"/>
      <c r="G711" s="180"/>
      <c r="H711" s="180"/>
      <c r="I711" s="180"/>
      <c r="J711" s="180" t="s">
        <v>103</v>
      </c>
      <c r="K711" s="180" t="s">
        <v>37</v>
      </c>
      <c r="L711" s="180" t="s">
        <v>39</v>
      </c>
      <c r="M711" s="180"/>
      <c r="N711" s="180" t="s">
        <v>106</v>
      </c>
      <c r="O711" s="180" t="s">
        <v>68</v>
      </c>
      <c r="P711" s="180" t="s">
        <v>69</v>
      </c>
      <c r="Q711" s="180" t="s">
        <v>107</v>
      </c>
      <c r="R711" s="180" t="s">
        <v>53</v>
      </c>
      <c r="S711" s="180" t="s">
        <v>40</v>
      </c>
      <c r="T711" s="180" t="s">
        <v>26</v>
      </c>
      <c r="U711" s="180" t="s">
        <v>38</v>
      </c>
      <c r="V711" s="180" t="s">
        <v>27</v>
      </c>
      <c r="W711" s="216"/>
      <c r="X711" s="217"/>
      <c r="Z711" s="183"/>
      <c r="AA711" s="183"/>
    </row>
    <row r="712" spans="1:27" s="182" customFormat="1" ht="15" customHeight="1" thickBot="1">
      <c r="A712" s="211"/>
      <c r="B712" s="190"/>
      <c r="C712" s="129">
        <f>SUMIF(Densidades!A:A,'Memória TOTAL'!X712,Densidades!B:B)</f>
        <v>0</v>
      </c>
      <c r="D712" s="130">
        <f>SUMIF(Densidades!A:A,'Memória TOTAL'!X712,Densidades!C:C)</f>
        <v>0</v>
      </c>
      <c r="E712" s="130"/>
      <c r="F712" s="130"/>
      <c r="G712" s="130"/>
      <c r="H712" s="130"/>
      <c r="I712" s="130"/>
      <c r="J712" s="132">
        <f>SUMIF(Formatos!A:A,'Memória TOTAL'!X713,Formatos!G:G)</f>
        <v>0</v>
      </c>
      <c r="K712" s="218">
        <f>SUMIF(Densidades!A:A,'Memória TOTAL'!X712,Densidades!I:I)</f>
        <v>0</v>
      </c>
      <c r="L712" s="219">
        <v>0</v>
      </c>
      <c r="M712" s="191"/>
      <c r="N712" s="191"/>
      <c r="O712" s="191"/>
      <c r="P712" s="191"/>
      <c r="Q712" s="191"/>
      <c r="R712" s="191"/>
      <c r="S712" s="191"/>
      <c r="T712" s="191"/>
      <c r="U712" s="191"/>
      <c r="V712" s="193"/>
      <c r="W712" s="189" t="str">
        <f>IF(C712=0,"",ROUNDUP(SUM(V714:V718)*(1+L712),0))</f>
        <v/>
      </c>
      <c r="X712" s="259"/>
      <c r="Z712" s="183"/>
      <c r="AA712" s="183"/>
    </row>
    <row r="713" spans="1:27" s="182" customFormat="1" ht="15" customHeight="1" thickBot="1">
      <c r="A713" s="211"/>
      <c r="B713" s="190"/>
      <c r="C713" s="196"/>
      <c r="D713" s="191"/>
      <c r="E713" s="191"/>
      <c r="F713" s="191"/>
      <c r="G713" s="191"/>
      <c r="H713" s="191"/>
      <c r="I713" s="191"/>
      <c r="J713" s="192"/>
      <c r="K713" s="192"/>
      <c r="L713" s="140"/>
      <c r="M713" s="191"/>
      <c r="N713" s="191"/>
      <c r="O713" s="191"/>
      <c r="P713" s="191"/>
      <c r="Q713" s="191"/>
      <c r="R713" s="191"/>
      <c r="S713" s="191"/>
      <c r="T713" s="191"/>
      <c r="U713" s="191"/>
      <c r="V713" s="193"/>
      <c r="W713" s="181"/>
      <c r="X713" s="259"/>
      <c r="Z713" s="183"/>
      <c r="AA713" s="183"/>
    </row>
    <row r="714" spans="1:27" s="182" customFormat="1" ht="15" customHeight="1" thickBot="1">
      <c r="A714" s="274"/>
      <c r="B714" s="164"/>
      <c r="C714" s="196"/>
      <c r="D714" s="191"/>
      <c r="E714" s="191"/>
      <c r="F714" s="191"/>
      <c r="G714" s="191"/>
      <c r="H714" s="191"/>
      <c r="I714" s="191"/>
      <c r="J714" s="192"/>
      <c r="K714" s="192"/>
      <c r="L714" s="140"/>
      <c r="M714" s="191"/>
      <c r="N714" s="191"/>
      <c r="O714" s="191"/>
      <c r="P714" s="191"/>
      <c r="Q714" s="191"/>
      <c r="R714" s="191"/>
      <c r="S714" s="191"/>
      <c r="T714" s="191"/>
      <c r="U714" s="191"/>
      <c r="V714" s="193"/>
      <c r="W714" s="181"/>
      <c r="X714" s="137" t="s">
        <v>520</v>
      </c>
      <c r="Z714" s="183"/>
      <c r="AA714" s="183"/>
    </row>
    <row r="715" spans="1:27" s="182" customFormat="1" ht="15" customHeight="1" thickBot="1">
      <c r="A715" s="210"/>
      <c r="B715" s="327"/>
      <c r="C715" s="220"/>
      <c r="D715" s="197"/>
      <c r="E715" s="197"/>
      <c r="F715" s="197"/>
      <c r="G715" s="197"/>
      <c r="H715" s="197"/>
      <c r="I715" s="197"/>
      <c r="J715" s="230"/>
      <c r="K715" s="230"/>
      <c r="L715" s="158"/>
      <c r="M715" s="197"/>
      <c r="N715" s="159"/>
      <c r="O715" s="159"/>
      <c r="P715" s="253"/>
      <c r="Q715" s="159"/>
      <c r="R715" s="197"/>
      <c r="S715" s="253"/>
      <c r="T715" s="223" t="str">
        <f>IF(P715="","-",ROUNDUP(S715/P715/P715,0))</f>
        <v>-</v>
      </c>
      <c r="U715" s="253"/>
      <c r="V715" s="224" t="str">
        <f>IF(T715="-","-",ROUNDUP(T715*U715,0))</f>
        <v>-</v>
      </c>
      <c r="W715" s="225"/>
      <c r="X715" s="226"/>
      <c r="Z715" s="183"/>
      <c r="AA715" s="183"/>
    </row>
    <row r="716" spans="1:27" s="182" customFormat="1" ht="15" customHeight="1" thickBot="1">
      <c r="A716" s="211"/>
      <c r="B716" s="327"/>
      <c r="C716" s="220"/>
      <c r="D716" s="197"/>
      <c r="E716" s="197"/>
      <c r="F716" s="197"/>
      <c r="G716" s="197"/>
      <c r="H716" s="197"/>
      <c r="I716" s="197"/>
      <c r="J716" s="230"/>
      <c r="K716" s="230"/>
      <c r="L716" s="158"/>
      <c r="M716" s="197" t="str">
        <f>IF(Q716="","",ROUND(Q716/P716,0))</f>
        <v/>
      </c>
      <c r="N716" s="253"/>
      <c r="O716" s="253"/>
      <c r="P716" s="156"/>
      <c r="Q716" s="156"/>
      <c r="R716" s="253">
        <v>360</v>
      </c>
      <c r="S716" s="197"/>
      <c r="T716" s="223" t="e">
        <f>ROUNDUP(N716*PI()/O716/360*R716,)</f>
        <v>#DIV/0!</v>
      </c>
      <c r="U716" s="253"/>
      <c r="V716" s="224" t="str">
        <f>IFERROR(IF(T716="-","-",ROUNDUP(T716*U716,0)),"-")</f>
        <v>-</v>
      </c>
      <c r="W716" s="225"/>
      <c r="X716" s="226"/>
      <c r="Z716" s="183"/>
      <c r="AA716" s="183"/>
    </row>
    <row r="717" spans="1:27" s="182" customFormat="1" ht="15" customHeight="1" thickBot="1">
      <c r="A717" s="210"/>
      <c r="B717" s="327"/>
      <c r="C717" s="220"/>
      <c r="D717" s="197"/>
      <c r="E717" s="197"/>
      <c r="F717" s="197"/>
      <c r="G717" s="197"/>
      <c r="H717" s="197"/>
      <c r="I717" s="197"/>
      <c r="J717" s="230"/>
      <c r="K717" s="230"/>
      <c r="L717" s="158"/>
      <c r="M717" s="197" t="str">
        <f>IF(Q717="","",ROUND(Q717/P717,0))</f>
        <v/>
      </c>
      <c r="N717" s="253"/>
      <c r="O717" s="253"/>
      <c r="P717" s="253"/>
      <c r="Q717" s="253"/>
      <c r="R717" s="253">
        <v>360</v>
      </c>
      <c r="S717" s="197"/>
      <c r="T717" s="223" t="str">
        <f>IF(P717="","-",(ROUND(PI()*N717/O717*R717/360,0))*(ROUND(Q717/P717,0)))</f>
        <v>-</v>
      </c>
      <c r="U717" s="253"/>
      <c r="V717" s="224" t="str">
        <f>IF(T717="-","-",ROUNDUP(T717*U717,0))</f>
        <v>-</v>
      </c>
      <c r="W717" s="225"/>
      <c r="X717" s="226"/>
      <c r="Z717" s="183"/>
      <c r="AA717" s="183"/>
    </row>
    <row r="718" spans="1:27" s="182" customFormat="1" ht="15" customHeight="1">
      <c r="A718" s="210"/>
      <c r="B718" s="163"/>
      <c r="C718" s="196"/>
      <c r="D718" s="191"/>
      <c r="E718" s="191"/>
      <c r="F718" s="191"/>
      <c r="G718" s="191"/>
      <c r="H718" s="191"/>
      <c r="I718" s="191"/>
      <c r="J718" s="192"/>
      <c r="K718" s="192"/>
      <c r="L718" s="140"/>
      <c r="M718" s="191"/>
      <c r="N718" s="191"/>
      <c r="O718" s="147"/>
      <c r="P718" s="153"/>
      <c r="Q718" s="147"/>
      <c r="R718" s="191"/>
      <c r="S718" s="191"/>
      <c r="T718" s="191"/>
      <c r="U718" s="191"/>
      <c r="V718" s="193"/>
      <c r="W718" s="181"/>
      <c r="X718" s="137"/>
      <c r="Z718" s="183"/>
      <c r="AA718" s="183"/>
    </row>
    <row r="719" spans="1:27" s="182" customFormat="1" ht="15" customHeight="1" thickBot="1">
      <c r="A719" s="210"/>
      <c r="B719" s="163"/>
      <c r="C719" s="196"/>
      <c r="D719" s="191"/>
      <c r="E719" s="191"/>
      <c r="F719" s="191"/>
      <c r="G719" s="191"/>
      <c r="H719" s="191"/>
      <c r="I719" s="191"/>
      <c r="J719" s="192"/>
      <c r="K719" s="192"/>
      <c r="L719" s="140"/>
      <c r="M719" s="191"/>
      <c r="N719" s="191"/>
      <c r="O719" s="147"/>
      <c r="P719" s="153"/>
      <c r="Q719" s="147"/>
      <c r="R719" s="191"/>
      <c r="S719" s="191"/>
      <c r="T719" s="191"/>
      <c r="U719" s="191"/>
      <c r="V719" s="193"/>
      <c r="W719" s="181"/>
      <c r="X719" s="137"/>
      <c r="Z719" s="183"/>
      <c r="AA719" s="183"/>
    </row>
    <row r="720" spans="1:27" s="182" customFormat="1" ht="15" customHeight="1" thickBot="1">
      <c r="A720" s="211"/>
      <c r="B720" s="190"/>
      <c r="C720" s="129">
        <f>SUMIF(Densidades!A:A,'Memória TOTAL'!X720,Densidades!B:B)</f>
        <v>0</v>
      </c>
      <c r="D720" s="130">
        <f>SUMIF(Densidades!A:A,'Memória TOTAL'!X720,Densidades!C:C)</f>
        <v>0</v>
      </c>
      <c r="E720" s="130"/>
      <c r="F720" s="130"/>
      <c r="G720" s="130"/>
      <c r="H720" s="130"/>
      <c r="I720" s="130"/>
      <c r="J720" s="132">
        <f>SUMIF(Formatos!A:A,'Memória TOTAL'!X721,Formatos!G:G)</f>
        <v>0</v>
      </c>
      <c r="K720" s="218">
        <f>SUMIF(Densidades!A:A,'Memória TOTAL'!X720,Densidades!I:I)</f>
        <v>0</v>
      </c>
      <c r="L720" s="140"/>
      <c r="M720" s="191"/>
      <c r="N720" s="191"/>
      <c r="O720" s="191"/>
      <c r="P720" s="191"/>
      <c r="Q720" s="191"/>
      <c r="R720" s="191"/>
      <c r="S720" s="191"/>
      <c r="T720" s="191"/>
      <c r="U720" s="191"/>
      <c r="V720" s="229"/>
      <c r="W720" s="189" t="str">
        <f>W712</f>
        <v/>
      </c>
      <c r="X720" s="259"/>
      <c r="Z720" s="183"/>
      <c r="AA720" s="183"/>
    </row>
    <row r="721" spans="1:27" s="182" customFormat="1" ht="15" customHeight="1" thickBot="1">
      <c r="A721" s="211"/>
      <c r="B721" s="190"/>
      <c r="C721" s="196"/>
      <c r="D721" s="191"/>
      <c r="E721" s="191"/>
      <c r="F721" s="191"/>
      <c r="G721" s="191"/>
      <c r="H721" s="191"/>
      <c r="I721" s="191"/>
      <c r="J721" s="192"/>
      <c r="K721" s="192"/>
      <c r="L721" s="140"/>
      <c r="M721" s="191"/>
      <c r="N721" s="191"/>
      <c r="O721" s="191"/>
      <c r="P721" s="191"/>
      <c r="Q721" s="191"/>
      <c r="R721" s="191"/>
      <c r="S721" s="191"/>
      <c r="T721" s="191"/>
      <c r="U721" s="191"/>
      <c r="V721" s="193"/>
      <c r="W721" s="181"/>
      <c r="X721" s="259"/>
      <c r="Z721" s="183"/>
      <c r="AA721" s="183"/>
    </row>
    <row r="722" spans="1:27" s="182" customFormat="1" ht="15" customHeight="1">
      <c r="A722" s="274"/>
      <c r="B722" s="190"/>
      <c r="C722" s="196"/>
      <c r="D722" s="191"/>
      <c r="E722" s="191"/>
      <c r="F722" s="191"/>
      <c r="G722" s="191"/>
      <c r="H722" s="191"/>
      <c r="I722" s="191"/>
      <c r="J722" s="192"/>
      <c r="K722" s="192"/>
      <c r="L722" s="140"/>
      <c r="M722" s="191"/>
      <c r="N722" s="191"/>
      <c r="O722" s="191"/>
      <c r="P722" s="191"/>
      <c r="Q722" s="191"/>
      <c r="R722" s="191"/>
      <c r="S722" s="191"/>
      <c r="T722" s="191"/>
      <c r="U722" s="191"/>
      <c r="V722" s="193"/>
      <c r="W722" s="181"/>
      <c r="X722" s="137" t="s">
        <v>520</v>
      </c>
      <c r="Z722" s="183"/>
      <c r="AA722" s="183"/>
    </row>
    <row r="723" spans="1:27" s="182" customFormat="1" ht="15" customHeight="1" thickBot="1">
      <c r="A723" s="210"/>
      <c r="B723" s="190"/>
      <c r="C723" s="196"/>
      <c r="D723" s="191"/>
      <c r="E723" s="191"/>
      <c r="F723" s="191"/>
      <c r="G723" s="191"/>
      <c r="H723" s="191"/>
      <c r="I723" s="191"/>
      <c r="J723" s="192"/>
      <c r="K723" s="192"/>
      <c r="L723" s="140"/>
      <c r="M723" s="191"/>
      <c r="N723" s="191"/>
      <c r="O723" s="191"/>
      <c r="P723" s="191"/>
      <c r="Q723" s="191"/>
      <c r="R723" s="191"/>
      <c r="S723" s="191"/>
      <c r="T723" s="191"/>
      <c r="U723" s="191"/>
      <c r="V723" s="193"/>
      <c r="W723" s="181"/>
      <c r="X723" s="137"/>
      <c r="Z723" s="183"/>
      <c r="AA723" s="183"/>
    </row>
    <row r="724" spans="1:27" s="182" customFormat="1" ht="15" customHeight="1" thickBot="1">
      <c r="A724" s="210"/>
      <c r="B724" s="190"/>
      <c r="C724" s="129">
        <f>SUMIF(Densidades!A:A,'Memória TOTAL'!X724,Densidades!B:B)</f>
        <v>0</v>
      </c>
      <c r="D724" s="130">
        <f>SUMIF(Densidades!A:A,'Memória TOTAL'!X724,Densidades!C:C)</f>
        <v>0</v>
      </c>
      <c r="E724" s="130"/>
      <c r="F724" s="130"/>
      <c r="G724" s="130"/>
      <c r="H724" s="130"/>
      <c r="I724" s="130"/>
      <c r="J724" s="132">
        <f>SUMIF(Formatos!A:A,'Memória TOTAL'!X725,Formatos!G:G)</f>
        <v>0</v>
      </c>
      <c r="K724" s="218">
        <f>SUMIF(Densidades!A:A,'Memória TOTAL'!X724,Densidades!I:I)</f>
        <v>0</v>
      </c>
      <c r="L724" s="140"/>
      <c r="M724" s="191"/>
      <c r="N724" s="191"/>
      <c r="O724" s="191"/>
      <c r="P724" s="191"/>
      <c r="Q724" s="191"/>
      <c r="R724" s="191"/>
      <c r="S724" s="191"/>
      <c r="T724" s="191"/>
      <c r="U724" s="191"/>
      <c r="V724" s="229"/>
      <c r="W724" s="189" t="str">
        <f>W720</f>
        <v/>
      </c>
      <c r="X724" s="259"/>
      <c r="Z724" s="183"/>
      <c r="AA724" s="183"/>
    </row>
    <row r="725" spans="1:27" s="182" customFormat="1" ht="15" customHeight="1" thickBot="1">
      <c r="A725" s="210"/>
      <c r="B725" s="190"/>
      <c r="C725" s="196"/>
      <c r="D725" s="191"/>
      <c r="E725" s="191"/>
      <c r="F725" s="191"/>
      <c r="G725" s="191"/>
      <c r="H725" s="191"/>
      <c r="I725" s="191"/>
      <c r="J725" s="192"/>
      <c r="K725" s="192"/>
      <c r="L725" s="140"/>
      <c r="M725" s="191"/>
      <c r="N725" s="191"/>
      <c r="O725" s="191"/>
      <c r="P725" s="191"/>
      <c r="Q725" s="191"/>
      <c r="R725" s="191"/>
      <c r="S725" s="191"/>
      <c r="T725" s="191"/>
      <c r="U725" s="191"/>
      <c r="V725" s="193"/>
      <c r="W725" s="181"/>
      <c r="X725" s="259"/>
      <c r="Z725" s="183"/>
      <c r="AA725" s="183"/>
    </row>
    <row r="726" spans="1:27" s="182" customFormat="1" ht="15" customHeight="1">
      <c r="A726" s="210"/>
      <c r="B726" s="190"/>
      <c r="C726" s="196"/>
      <c r="D726" s="191"/>
      <c r="E726" s="191"/>
      <c r="F726" s="191"/>
      <c r="G726" s="191"/>
      <c r="H726" s="191"/>
      <c r="I726" s="191"/>
      <c r="J726" s="192"/>
      <c r="K726" s="192"/>
      <c r="L726" s="140"/>
      <c r="M726" s="191"/>
      <c r="N726" s="191"/>
      <c r="O726" s="191"/>
      <c r="P726" s="191"/>
      <c r="Q726" s="191"/>
      <c r="R726" s="191"/>
      <c r="S726" s="191"/>
      <c r="T726" s="191"/>
      <c r="U726" s="191"/>
      <c r="V726" s="193"/>
      <c r="W726" s="181"/>
      <c r="X726" s="137" t="s">
        <v>520</v>
      </c>
      <c r="Z726" s="183"/>
      <c r="AA726" s="183"/>
    </row>
    <row r="727" spans="1:27" s="182" customFormat="1" ht="15" customHeight="1">
      <c r="A727" s="211"/>
      <c r="B727" s="190"/>
      <c r="C727" s="196"/>
      <c r="D727" s="191"/>
      <c r="E727" s="191"/>
      <c r="F727" s="191"/>
      <c r="G727" s="191"/>
      <c r="H727" s="191"/>
      <c r="I727" s="191"/>
      <c r="J727" s="192"/>
      <c r="K727" s="192"/>
      <c r="L727" s="140"/>
      <c r="M727" s="191"/>
      <c r="N727" s="191"/>
      <c r="O727" s="191"/>
      <c r="P727" s="191"/>
      <c r="Q727" s="191"/>
      <c r="R727" s="191"/>
      <c r="S727" s="191"/>
      <c r="T727" s="191"/>
      <c r="U727" s="191"/>
      <c r="V727" s="193"/>
      <c r="W727" s="181"/>
      <c r="X727" s="137"/>
      <c r="Z727" s="183"/>
      <c r="AA727" s="183"/>
    </row>
    <row r="728" spans="1:27" s="182" customFormat="1" ht="15" customHeight="1" thickBot="1">
      <c r="A728" s="211"/>
      <c r="B728" s="190"/>
      <c r="C728" s="196"/>
      <c r="D728" s="191"/>
      <c r="E728" s="191"/>
      <c r="F728" s="191"/>
      <c r="G728" s="191"/>
      <c r="H728" s="191"/>
      <c r="I728" s="191"/>
      <c r="J728" s="192"/>
      <c r="K728" s="192"/>
      <c r="L728" s="140"/>
      <c r="M728" s="191"/>
      <c r="N728" s="191"/>
      <c r="O728" s="191"/>
      <c r="P728" s="191"/>
      <c r="Q728" s="191"/>
      <c r="R728" s="191"/>
      <c r="S728" s="191"/>
      <c r="T728" s="191"/>
      <c r="U728" s="191"/>
      <c r="V728" s="193"/>
      <c r="W728" s="181"/>
      <c r="X728" s="137"/>
      <c r="Z728" s="183"/>
      <c r="AA728" s="183"/>
    </row>
    <row r="729" spans="1:27" s="182" customFormat="1" ht="15" customHeight="1" thickBot="1">
      <c r="A729" s="274"/>
      <c r="B729" s="190"/>
      <c r="C729" s="129">
        <f>SUMIF(Densidades!A:A,'Memória TOTAL'!X729,Densidades!B:B)</f>
        <v>0.128</v>
      </c>
      <c r="D729" s="130">
        <f>SUMIF(Densidades!A:A,'Memória TOTAL'!X729,Densidades!C:C)</f>
        <v>1</v>
      </c>
      <c r="E729" s="131">
        <f>SUMIF(Formatos!A:A,'Memória TOTAL'!X730,Formatos!E:E)</f>
        <v>0</v>
      </c>
      <c r="F729" s="131">
        <f>SUMIF(Formatos!A:A,'Memória TOTAL'!X730,Formatos!F:F)</f>
        <v>0</v>
      </c>
      <c r="G729" s="131">
        <f>SUMIF(Formatos!A:A,'Memória TOTAL'!X730,Formatos!C:C)</f>
        <v>0</v>
      </c>
      <c r="H729" s="131">
        <f>SUMIF(Formatos!A:A,'Memória TOTAL'!X730,Formatos!D:D)</f>
        <v>0</v>
      </c>
      <c r="I729" s="130"/>
      <c r="J729" s="132">
        <f>SUMIF(Formatos!A:A,'Memória TOTAL'!X730,Formatos!G:G)</f>
        <v>0</v>
      </c>
      <c r="K729" s="218">
        <f>SUMIF(Densidades!A:A,'Memória TOTAL'!X729,Densidades!I:I)</f>
        <v>4</v>
      </c>
      <c r="L729" s="219">
        <v>0</v>
      </c>
      <c r="M729" s="191"/>
      <c r="N729" s="191"/>
      <c r="O729" s="191"/>
      <c r="P729" s="180" t="s">
        <v>2174</v>
      </c>
      <c r="Q729" s="180" t="s">
        <v>2177</v>
      </c>
      <c r="R729" s="180" t="s">
        <v>2176</v>
      </c>
      <c r="S729" s="180" t="s">
        <v>40</v>
      </c>
      <c r="T729" s="180" t="s">
        <v>26</v>
      </c>
      <c r="U729" s="180" t="s">
        <v>38</v>
      </c>
      <c r="V729" s="180" t="s">
        <v>27</v>
      </c>
      <c r="W729" s="189">
        <f>IF(C729=0,"",ROUNDUP(SUM(V730:V730)*(1+L729),2))</f>
        <v>0</v>
      </c>
      <c r="X729" s="259" t="s">
        <v>1788</v>
      </c>
      <c r="Z729" s="183"/>
      <c r="AA729" s="183"/>
    </row>
    <row r="730" spans="1:27" s="182" customFormat="1" ht="15" customHeight="1" thickBot="1">
      <c r="A730" s="210"/>
      <c r="B730" s="190"/>
      <c r="C730" s="196"/>
      <c r="D730" s="191"/>
      <c r="E730" s="191"/>
      <c r="F730" s="191"/>
      <c r="G730" s="191"/>
      <c r="H730" s="191"/>
      <c r="I730" s="191"/>
      <c r="J730" s="192"/>
      <c r="K730" s="192"/>
      <c r="L730" s="140"/>
      <c r="M730" s="191"/>
      <c r="N730" s="191"/>
      <c r="O730" s="191"/>
      <c r="P730" s="253"/>
      <c r="Q730" s="223">
        <f>130*4</f>
        <v>520</v>
      </c>
      <c r="R730" s="253"/>
      <c r="S730" s="223">
        <f>Q730*R730</f>
        <v>0</v>
      </c>
      <c r="T730" s="223">
        <f>ROUNDUP(S730/10^6*(1+L729),2)</f>
        <v>0</v>
      </c>
      <c r="U730" s="222" t="str">
        <f>W712</f>
        <v/>
      </c>
      <c r="V730" s="224" t="str">
        <f>IF(U730="","-",IF(COUNTIF(E729:H729,P730)&lt;1,"Esp. Errada",ROUNDUP((S730*U730)/(IF(P730=E729,1,E729)*IF(P730=G729,1,G729)*IF(P730=H729,1,H729)),0)))</f>
        <v>-</v>
      </c>
      <c r="W730" s="181"/>
      <c r="X730" s="259" t="s">
        <v>2175</v>
      </c>
      <c r="Z730" s="183"/>
      <c r="AA730" s="183"/>
    </row>
    <row r="731" spans="1:27" s="182" customFormat="1" ht="15" customHeight="1">
      <c r="A731" s="210"/>
      <c r="B731" s="190"/>
      <c r="C731" s="196"/>
      <c r="D731" s="191"/>
      <c r="E731" s="191"/>
      <c r="F731" s="191"/>
      <c r="G731" s="191"/>
      <c r="H731" s="191"/>
      <c r="I731" s="191"/>
      <c r="J731" s="192"/>
      <c r="K731" s="192"/>
      <c r="L731" s="140"/>
      <c r="M731" s="191"/>
      <c r="N731" s="191"/>
      <c r="O731" s="191"/>
      <c r="P731" s="191"/>
      <c r="Q731" s="191"/>
      <c r="R731" s="191"/>
      <c r="S731" s="191"/>
      <c r="T731" s="191"/>
      <c r="U731" s="191"/>
      <c r="V731" s="193"/>
      <c r="W731" s="181"/>
      <c r="X731" s="137" t="s">
        <v>520</v>
      </c>
      <c r="Z731" s="183"/>
      <c r="AA731" s="183"/>
    </row>
    <row r="732" spans="1:27" s="182" customFormat="1" ht="15" customHeight="1">
      <c r="A732" s="210"/>
      <c r="B732" s="190"/>
      <c r="C732" s="196"/>
      <c r="D732" s="191"/>
      <c r="E732" s="191"/>
      <c r="F732" s="191"/>
      <c r="G732" s="191"/>
      <c r="H732" s="191"/>
      <c r="I732" s="191"/>
      <c r="J732" s="192"/>
      <c r="K732" s="192"/>
      <c r="L732" s="140"/>
      <c r="M732" s="191"/>
      <c r="N732" s="191"/>
      <c r="O732" s="191"/>
      <c r="P732" s="191"/>
      <c r="Q732" s="191"/>
      <c r="R732" s="191"/>
      <c r="S732" s="191"/>
      <c r="T732" s="191"/>
      <c r="U732" s="191"/>
      <c r="V732" s="193"/>
      <c r="W732" s="181"/>
      <c r="X732" s="137"/>
      <c r="Z732" s="183"/>
      <c r="AA732" s="183"/>
    </row>
    <row r="733" spans="1:27" s="151" customFormat="1" ht="15" customHeight="1" thickBot="1">
      <c r="A733" s="210"/>
      <c r="B733" s="505"/>
      <c r="C733" s="505"/>
      <c r="D733" s="508"/>
      <c r="E733" s="508"/>
      <c r="F733" s="508"/>
      <c r="G733" s="508"/>
      <c r="H733" s="508"/>
      <c r="I733" s="508"/>
      <c r="J733" s="508"/>
      <c r="K733" s="508"/>
      <c r="L733" s="508"/>
      <c r="M733" s="508"/>
      <c r="N733" s="508"/>
      <c r="O733" s="508"/>
      <c r="P733" s="508"/>
      <c r="Q733" s="508"/>
      <c r="R733" s="508"/>
      <c r="S733" s="508"/>
      <c r="T733" s="508"/>
      <c r="U733" s="508"/>
      <c r="V733" s="508"/>
      <c r="W733" s="508"/>
      <c r="X733" s="509"/>
      <c r="Z733" s="152"/>
      <c r="AA733" s="152"/>
    </row>
    <row r="734" spans="1:27" s="182" customFormat="1" ht="15" customHeight="1" thickBot="1">
      <c r="A734" s="274"/>
      <c r="B734" s="268" t="str">
        <f>IF(X735="","ELETRODO ÂNCORA",X735)</f>
        <v>SPECIAL ELECTRODE ST</v>
      </c>
      <c r="C734" s="215" t="s">
        <v>101</v>
      </c>
      <c r="D734" s="180" t="s">
        <v>102</v>
      </c>
      <c r="E734" s="180"/>
      <c r="F734" s="180"/>
      <c r="G734" s="180"/>
      <c r="H734" s="180"/>
      <c r="I734" s="180"/>
      <c r="J734" s="180" t="s">
        <v>103</v>
      </c>
      <c r="K734" s="180" t="s">
        <v>37</v>
      </c>
      <c r="L734" s="180" t="s">
        <v>39</v>
      </c>
      <c r="M734" s="180"/>
      <c r="N734" s="180"/>
      <c r="O734" s="180"/>
      <c r="P734" s="180"/>
      <c r="Q734" s="180"/>
      <c r="R734" s="180"/>
      <c r="S734" s="180"/>
      <c r="T734" s="180"/>
      <c r="U734" s="180" t="s">
        <v>38</v>
      </c>
      <c r="V734" s="180" t="s">
        <v>27</v>
      </c>
      <c r="W734" s="216"/>
      <c r="X734" s="217"/>
      <c r="Z734" s="183"/>
      <c r="AA734" s="183"/>
    </row>
    <row r="735" spans="1:27" s="182" customFormat="1" ht="15" customHeight="1" thickBot="1">
      <c r="A735" s="210"/>
      <c r="B735" s="190"/>
      <c r="C735" s="129">
        <f>SUMIF(Densidades!A:A,'Memória TOTAL'!X735,Densidades!B:B)</f>
        <v>1</v>
      </c>
      <c r="D735" s="130">
        <f>SUMIF(Densidades!A:A,'Memória TOTAL'!X735,Densidades!C:C)</f>
        <v>140</v>
      </c>
      <c r="E735" s="130"/>
      <c r="F735" s="130"/>
      <c r="G735" s="130"/>
      <c r="H735" s="130"/>
      <c r="I735" s="130"/>
      <c r="J735" s="132">
        <f>SUMIF(Formatos!A:A,'Memória TOTAL'!X736,Formatos!G:G)</f>
        <v>0</v>
      </c>
      <c r="K735" s="218">
        <f>SUMIF(Densidades!A:A,'Memória TOTAL'!X735,Densidades!I:I)</f>
        <v>9</v>
      </c>
      <c r="L735" s="219">
        <v>0</v>
      </c>
      <c r="M735" s="191"/>
      <c r="N735" s="191"/>
      <c r="O735" s="191"/>
      <c r="P735" s="191"/>
      <c r="Q735" s="191"/>
      <c r="R735" s="191"/>
      <c r="S735" s="191"/>
      <c r="T735" s="191"/>
      <c r="U735" s="191"/>
      <c r="V735" s="193"/>
      <c r="W735" s="189">
        <f>IF(C735=0,"",ROUNDUP(SUM(V738:V740)*(1+L735),0))</f>
        <v>0</v>
      </c>
      <c r="X735" s="259" t="s">
        <v>1080</v>
      </c>
      <c r="Z735" s="183"/>
      <c r="AA735" s="183"/>
    </row>
    <row r="736" spans="1:27" s="182" customFormat="1" ht="15" customHeight="1" thickBot="1">
      <c r="A736" s="210"/>
      <c r="B736" s="190"/>
      <c r="C736" s="196"/>
      <c r="D736" s="191"/>
      <c r="E736" s="191"/>
      <c r="F736" s="191"/>
      <c r="G736" s="191"/>
      <c r="H736" s="191"/>
      <c r="I736" s="191"/>
      <c r="J736" s="192"/>
      <c r="K736" s="192"/>
      <c r="L736" s="140"/>
      <c r="M736" s="191"/>
      <c r="N736" s="191"/>
      <c r="O736" s="191"/>
      <c r="P736" s="191"/>
      <c r="Q736" s="191"/>
      <c r="R736" s="191"/>
      <c r="S736" s="191"/>
      <c r="T736" s="191"/>
      <c r="U736" s="191"/>
      <c r="V736" s="193"/>
      <c r="W736" s="181"/>
      <c r="X736" s="259" t="s">
        <v>1075</v>
      </c>
      <c r="Z736" s="183"/>
      <c r="AA736" s="183"/>
    </row>
    <row r="737" spans="1:27" s="182" customFormat="1" ht="15" customHeight="1" thickBot="1">
      <c r="A737" s="210"/>
      <c r="B737" s="164"/>
      <c r="C737" s="196"/>
      <c r="D737" s="191"/>
      <c r="E737" s="191"/>
      <c r="F737" s="191"/>
      <c r="G737" s="191"/>
      <c r="H737" s="191"/>
      <c r="I737" s="191"/>
      <c r="J737" s="192"/>
      <c r="K737" s="192"/>
      <c r="L737" s="140"/>
      <c r="M737" s="191"/>
      <c r="N737" s="191"/>
      <c r="O737" s="191"/>
      <c r="P737" s="191"/>
      <c r="Q737" s="191"/>
      <c r="R737" s="191"/>
      <c r="S737" s="191"/>
      <c r="T737" s="191"/>
      <c r="U737" s="191"/>
      <c r="V737" s="193"/>
      <c r="W737" s="181"/>
      <c r="X737" s="137" t="s">
        <v>520</v>
      </c>
      <c r="Z737" s="183"/>
      <c r="AA737" s="183"/>
    </row>
    <row r="738" spans="1:27" s="182" customFormat="1" ht="15" customHeight="1" thickBot="1">
      <c r="A738" s="210"/>
      <c r="B738" s="154" t="s">
        <v>1077</v>
      </c>
      <c r="C738" s="220"/>
      <c r="D738" s="197"/>
      <c r="E738" s="197"/>
      <c r="F738" s="197"/>
      <c r="G738" s="197"/>
      <c r="H738" s="197"/>
      <c r="I738" s="197"/>
      <c r="J738" s="230"/>
      <c r="K738" s="230"/>
      <c r="L738" s="158"/>
      <c r="M738" s="197"/>
      <c r="N738" s="159"/>
      <c r="O738" s="197"/>
      <c r="P738" s="197"/>
      <c r="Q738" s="197"/>
      <c r="R738" s="197"/>
      <c r="S738" s="197"/>
      <c r="T738" s="223"/>
      <c r="U738" s="253"/>
      <c r="V738" s="333">
        <f>U738/2/D735</f>
        <v>0</v>
      </c>
      <c r="W738" s="225"/>
      <c r="X738" s="226"/>
      <c r="Z738" s="183"/>
      <c r="AA738" s="183"/>
    </row>
    <row r="739" spans="1:27" s="182" customFormat="1" ht="15" customHeight="1" thickBot="1">
      <c r="A739" s="211"/>
      <c r="B739" s="154" t="s">
        <v>1092</v>
      </c>
      <c r="C739" s="220"/>
      <c r="D739" s="197"/>
      <c r="E739" s="197"/>
      <c r="F739" s="197"/>
      <c r="G739" s="197"/>
      <c r="H739" s="197"/>
      <c r="I739" s="197"/>
      <c r="J739" s="230"/>
      <c r="K739" s="230"/>
      <c r="L739" s="158"/>
      <c r="M739" s="197" t="str">
        <f>IF(Q739="","",ROUND(Q739/P739,0))</f>
        <v/>
      </c>
      <c r="N739" s="159"/>
      <c r="O739" s="197"/>
      <c r="P739" s="197"/>
      <c r="Q739" s="197"/>
      <c r="R739" s="197"/>
      <c r="S739" s="197"/>
      <c r="T739" s="223"/>
      <c r="U739" s="253"/>
      <c r="V739" s="333">
        <f>U739/D735</f>
        <v>0</v>
      </c>
      <c r="W739" s="225"/>
      <c r="X739" s="226"/>
      <c r="Z739" s="183"/>
      <c r="AA739" s="183"/>
    </row>
    <row r="740" spans="1:27" s="182" customFormat="1" ht="15" customHeight="1">
      <c r="A740" s="211"/>
      <c r="B740" s="163"/>
      <c r="C740" s="196"/>
      <c r="D740" s="191"/>
      <c r="E740" s="191"/>
      <c r="F740" s="191"/>
      <c r="G740" s="191"/>
      <c r="H740" s="191"/>
      <c r="I740" s="191"/>
      <c r="J740" s="192"/>
      <c r="K740" s="192"/>
      <c r="L740" s="140"/>
      <c r="M740" s="191"/>
      <c r="N740" s="191"/>
      <c r="O740" s="147"/>
      <c r="P740" s="153"/>
      <c r="Q740" s="147"/>
      <c r="R740" s="191"/>
      <c r="S740" s="191"/>
      <c r="T740" s="191"/>
      <c r="U740" s="191"/>
      <c r="V740" s="193"/>
      <c r="W740" s="181"/>
      <c r="X740" s="137"/>
      <c r="Z740" s="183"/>
      <c r="AA740" s="183"/>
    </row>
    <row r="741" spans="1:27" s="182" customFormat="1" ht="15" customHeight="1" thickBot="1">
      <c r="A741" s="210"/>
      <c r="B741" s="505"/>
      <c r="C741" s="505"/>
      <c r="D741" s="508"/>
      <c r="E741" s="508"/>
      <c r="F741" s="508"/>
      <c r="G741" s="508"/>
      <c r="H741" s="508"/>
      <c r="I741" s="508"/>
      <c r="J741" s="508"/>
      <c r="K741" s="508"/>
      <c r="L741" s="508"/>
      <c r="M741" s="508"/>
      <c r="N741" s="508"/>
      <c r="O741" s="508"/>
      <c r="P741" s="508"/>
      <c r="Q741" s="508"/>
      <c r="R741" s="508"/>
      <c r="S741" s="508"/>
      <c r="T741" s="508"/>
      <c r="U741" s="508"/>
      <c r="V741" s="508"/>
      <c r="W741" s="508"/>
      <c r="X741" s="509"/>
      <c r="Z741" s="183"/>
      <c r="AA741" s="183"/>
    </row>
    <row r="742" spans="1:27" ht="15" customHeight="1" thickBot="1">
      <c r="A742" s="211"/>
      <c r="B742" s="268" t="str">
        <f>IF(X743="","TIJOLO PARALELO",X743)</f>
        <v>TIJOLO PARALELO</v>
      </c>
      <c r="C742" s="269" t="s">
        <v>101</v>
      </c>
      <c r="D742" s="270" t="s">
        <v>102</v>
      </c>
      <c r="E742" s="270" t="s">
        <v>42</v>
      </c>
      <c r="F742" s="270" t="s">
        <v>42</v>
      </c>
      <c r="G742" s="270" t="s">
        <v>43</v>
      </c>
      <c r="H742" s="270" t="s">
        <v>44</v>
      </c>
      <c r="I742" s="270" t="s">
        <v>47</v>
      </c>
      <c r="J742" s="270" t="s">
        <v>103</v>
      </c>
      <c r="K742" s="270" t="s">
        <v>37</v>
      </c>
      <c r="L742" s="270" t="s">
        <v>39</v>
      </c>
      <c r="M742" s="270" t="s">
        <v>41</v>
      </c>
      <c r="N742" s="270" t="s">
        <v>46</v>
      </c>
      <c r="O742" s="270" t="s">
        <v>67</v>
      </c>
      <c r="P742" s="270" t="s">
        <v>113</v>
      </c>
      <c r="Q742" s="270"/>
      <c r="R742" s="270"/>
      <c r="S742" s="270" t="s">
        <v>70</v>
      </c>
      <c r="T742" s="270" t="s">
        <v>26</v>
      </c>
      <c r="U742" s="270" t="s">
        <v>38</v>
      </c>
      <c r="V742" s="271" t="s">
        <v>27</v>
      </c>
      <c r="W742" s="272"/>
      <c r="X742" s="273"/>
    </row>
    <row r="743" spans="1:27" ht="15" customHeight="1" thickBot="1">
      <c r="A743" s="211"/>
      <c r="B743" s="206"/>
      <c r="C743" s="129">
        <f>SUMIF(Densidades!A:A,'Memória TOTAL'!X743,Densidades!B:B)</f>
        <v>0</v>
      </c>
      <c r="D743" s="130">
        <f>SUMIF(Densidades!A:A,'Memória TOTAL'!X743,Densidades!C:C)</f>
        <v>0</v>
      </c>
      <c r="E743" s="131">
        <f>SUMIF(Formatos!A:A,'Memória TOTAL'!X744,Formatos!E:E)</f>
        <v>0</v>
      </c>
      <c r="F743" s="131">
        <f>SUMIF(Formatos!A:A,'Memória TOTAL'!X744,Formatos!F:F)</f>
        <v>0</v>
      </c>
      <c r="G743" s="131">
        <f>SUMIF(Formatos!A:A,'Memória TOTAL'!X744,Formatos!C:C)</f>
        <v>0</v>
      </c>
      <c r="H743" s="131">
        <f>SUMIF(Formatos!A:A,'Memória TOTAL'!X744,Formatos!D:D)</f>
        <v>0</v>
      </c>
      <c r="I743" s="131">
        <f>SUMIF(Densidades!A:A,'Memória TOTAL'!X743,Densidades!H:H)</f>
        <v>0</v>
      </c>
      <c r="J743" s="132">
        <f>SUMIF(Formatos!A:A,'Memória TOTAL'!X744,Formatos!G:G)</f>
        <v>0</v>
      </c>
      <c r="K743" s="133">
        <f>SUMIF(Densidades!A:A,'Memória TOTAL'!X743,Densidades!I:I)</f>
        <v>0</v>
      </c>
      <c r="L743" s="134">
        <v>0</v>
      </c>
      <c r="M743" s="135"/>
      <c r="N743" s="253"/>
      <c r="O743" s="135"/>
      <c r="P743" s="135"/>
      <c r="Q743" s="135"/>
      <c r="R743" s="135"/>
      <c r="S743" s="135"/>
      <c r="T743" s="135"/>
      <c r="U743" s="135"/>
      <c r="V743" s="141"/>
      <c r="W743" s="189" t="str">
        <f>IF(C743=0,"",ROUNDUP(SUM(V746:V748)*(1+L743),0))</f>
        <v/>
      </c>
      <c r="X743" s="259"/>
      <c r="Y743" s="182"/>
    </row>
    <row r="744" spans="1:27" ht="15" customHeight="1" thickBot="1">
      <c r="A744" s="210"/>
      <c r="B744" s="207"/>
      <c r="C744" s="138"/>
      <c r="D744" s="135"/>
      <c r="E744" s="131">
        <f t="shared" ref="E744:K744" si="108">E743</f>
        <v>0</v>
      </c>
      <c r="F744" s="131">
        <f t="shared" si="108"/>
        <v>0</v>
      </c>
      <c r="G744" s="131">
        <f t="shared" si="108"/>
        <v>0</v>
      </c>
      <c r="H744" s="131">
        <f t="shared" si="108"/>
        <v>0</v>
      </c>
      <c r="I744" s="131">
        <f t="shared" si="108"/>
        <v>0</v>
      </c>
      <c r="J744" s="131">
        <f t="shared" si="108"/>
        <v>0</v>
      </c>
      <c r="K744" s="133">
        <f t="shared" si="108"/>
        <v>0</v>
      </c>
      <c r="L744" s="140"/>
      <c r="M744" s="135"/>
      <c r="N744" s="131">
        <f>N743</f>
        <v>0</v>
      </c>
      <c r="O744" s="135"/>
      <c r="P744" s="135"/>
      <c r="Q744" s="135"/>
      <c r="R744" s="135"/>
      <c r="S744" s="135"/>
      <c r="T744" s="135"/>
      <c r="U744" s="135"/>
      <c r="V744" s="141"/>
      <c r="W744" s="142"/>
      <c r="X744" s="259"/>
      <c r="Y744" s="182"/>
    </row>
    <row r="745" spans="1:27" ht="15" customHeight="1" thickBot="1">
      <c r="A745" s="210"/>
      <c r="B745" s="208" t="s">
        <v>71</v>
      </c>
      <c r="C745" s="138"/>
      <c r="D745" s="135"/>
      <c r="E745" s="131">
        <f t="shared" ref="E745:K745" si="109">E744</f>
        <v>0</v>
      </c>
      <c r="F745" s="131">
        <f t="shared" si="109"/>
        <v>0</v>
      </c>
      <c r="G745" s="131">
        <f t="shared" si="109"/>
        <v>0</v>
      </c>
      <c r="H745" s="131">
        <f t="shared" si="109"/>
        <v>0</v>
      </c>
      <c r="I745" s="131">
        <f t="shared" si="109"/>
        <v>0</v>
      </c>
      <c r="J745" s="131">
        <f t="shared" si="109"/>
        <v>0</v>
      </c>
      <c r="K745" s="133">
        <f t="shared" si="109"/>
        <v>0</v>
      </c>
      <c r="L745" s="140"/>
      <c r="M745" s="135"/>
      <c r="N745" s="131">
        <f>N744</f>
        <v>0</v>
      </c>
      <c r="O745" s="135"/>
      <c r="P745" s="135"/>
      <c r="Q745" s="135"/>
      <c r="R745" s="135"/>
      <c r="S745" s="135"/>
      <c r="T745" s="135"/>
      <c r="U745" s="191" t="s">
        <v>669</v>
      </c>
      <c r="V745" s="141"/>
      <c r="W745" s="142"/>
      <c r="X745" s="143" t="s">
        <v>520</v>
      </c>
    </row>
    <row r="746" spans="1:27" ht="15" customHeight="1" thickBot="1">
      <c r="A746" s="210"/>
      <c r="B746" s="327"/>
      <c r="C746" s="155"/>
      <c r="D746" s="156"/>
      <c r="E746" s="172">
        <f t="shared" ref="E746:K746" si="110">E745</f>
        <v>0</v>
      </c>
      <c r="F746" s="172">
        <f t="shared" si="110"/>
        <v>0</v>
      </c>
      <c r="G746" s="172">
        <f t="shared" si="110"/>
        <v>0</v>
      </c>
      <c r="H746" s="172">
        <f t="shared" si="110"/>
        <v>0</v>
      </c>
      <c r="I746" s="172">
        <f t="shared" si="110"/>
        <v>0</v>
      </c>
      <c r="J746" s="172">
        <f t="shared" si="110"/>
        <v>0</v>
      </c>
      <c r="K746" s="173">
        <f t="shared" si="110"/>
        <v>0</v>
      </c>
      <c r="L746" s="158"/>
      <c r="M746" s="156"/>
      <c r="N746" s="172">
        <f>N745</f>
        <v>0</v>
      </c>
      <c r="O746" s="156"/>
      <c r="P746" s="253"/>
      <c r="Q746" s="156"/>
      <c r="R746" s="156"/>
      <c r="S746" s="253"/>
      <c r="T746" s="174" t="str">
        <f>IF(S746="","-",IF(COUNTIF(E746:H746,P746)&lt;1,"Esp. Errada",ROUNDUP(S746/((G746+N746)*(H746+N746)*((E746+N746)+(F746+N746))/2/(P746+N746)),0)))</f>
        <v>-</v>
      </c>
      <c r="U746" s="253"/>
      <c r="V746" s="175">
        <f>IF(S746="",0,IF(OR(P746=E746,P746=G746,P746=H746),T746*U746,"ESP. ERRADA"))</f>
        <v>0</v>
      </c>
      <c r="W746" s="176"/>
      <c r="X746" s="177"/>
    </row>
    <row r="747" spans="1:27" s="182" customFormat="1" ht="15" customHeight="1" thickBot="1">
      <c r="A747" s="210"/>
      <c r="B747" s="328"/>
      <c r="C747" s="220"/>
      <c r="D747" s="197"/>
      <c r="E747" s="172">
        <f t="shared" ref="E747:K747" si="111">E745</f>
        <v>0</v>
      </c>
      <c r="F747" s="172">
        <f t="shared" si="111"/>
        <v>0</v>
      </c>
      <c r="G747" s="172">
        <f t="shared" si="111"/>
        <v>0</v>
      </c>
      <c r="H747" s="172">
        <f t="shared" si="111"/>
        <v>0</v>
      </c>
      <c r="I747" s="172">
        <f t="shared" si="111"/>
        <v>0</v>
      </c>
      <c r="J747" s="172">
        <f t="shared" si="111"/>
        <v>0</v>
      </c>
      <c r="K747" s="221">
        <f t="shared" si="111"/>
        <v>0</v>
      </c>
      <c r="L747" s="158"/>
      <c r="M747" s="266"/>
      <c r="N747" s="172">
        <f>N745</f>
        <v>0</v>
      </c>
      <c r="O747" s="197"/>
      <c r="P747" s="253"/>
      <c r="Q747" s="197"/>
      <c r="R747" s="197"/>
      <c r="S747" s="197"/>
      <c r="T747" s="223" t="str">
        <f>IF(M747="","-",IF(COUNTIF(E747:H747,P747)&lt;1,"Esp. Errada",ROUNDUP(M747/IF(G747=P747,G747,(G747+N747))/IF(H747=P747,H747,(H747+N747))/IF(E747=P747,E747,(E747+N747)),0)))</f>
        <v>-</v>
      </c>
      <c r="U747" s="253"/>
      <c r="V747" s="175">
        <f>IF(M747="",0,IF(OR(P747=E747,P747=G747,P747=H747),T747*U747,"ESP. ERRADA"))</f>
        <v>0</v>
      </c>
      <c r="W747" s="225"/>
      <c r="X747" s="226"/>
      <c r="Z747" s="183"/>
      <c r="AA747" s="183"/>
    </row>
    <row r="748" spans="1:27" s="182" customFormat="1" ht="15" customHeight="1">
      <c r="A748" s="211"/>
      <c r="B748" s="206"/>
      <c r="C748" s="196"/>
      <c r="D748" s="191"/>
      <c r="E748" s="191"/>
      <c r="F748" s="191"/>
      <c r="G748" s="191"/>
      <c r="H748" s="191"/>
      <c r="I748" s="191"/>
      <c r="J748" s="192"/>
      <c r="K748" s="192"/>
      <c r="L748" s="140"/>
      <c r="M748" s="191"/>
      <c r="N748" s="191"/>
      <c r="O748" s="191"/>
      <c r="P748" s="191"/>
      <c r="Q748" s="191"/>
      <c r="R748" s="191"/>
      <c r="S748" s="191"/>
      <c r="T748" s="191"/>
      <c r="U748" s="191"/>
      <c r="V748" s="193"/>
      <c r="W748" s="181"/>
      <c r="X748" s="137"/>
      <c r="Z748" s="183"/>
      <c r="AA748" s="183"/>
    </row>
    <row r="749" spans="1:27" s="182" customFormat="1" ht="15" customHeight="1" thickBot="1">
      <c r="A749" s="211"/>
      <c r="B749" s="275" t="s">
        <v>1006</v>
      </c>
      <c r="C749" s="276"/>
      <c r="D749" s="277"/>
      <c r="E749" s="277"/>
      <c r="F749" s="277"/>
      <c r="G749" s="277"/>
      <c r="H749" s="277"/>
      <c r="I749" s="277"/>
      <c r="J749" s="278"/>
      <c r="K749" s="278"/>
      <c r="L749" s="279"/>
      <c r="M749" s="277"/>
      <c r="N749" s="277"/>
      <c r="O749" s="277"/>
      <c r="P749" s="277"/>
      <c r="Q749" s="277"/>
      <c r="R749" s="277"/>
      <c r="S749" s="280"/>
      <c r="T749" s="277"/>
      <c r="U749" s="277" t="s">
        <v>674</v>
      </c>
      <c r="V749" s="281" t="s">
        <v>27</v>
      </c>
      <c r="W749" s="282"/>
      <c r="X749" s="283"/>
      <c r="Z749" s="183"/>
      <c r="AA749" s="183"/>
    </row>
    <row r="750" spans="1:27" s="182" customFormat="1" ht="15" customHeight="1" thickBot="1">
      <c r="A750" s="211"/>
      <c r="B750" s="206"/>
      <c r="C750" s="129">
        <f>SUMIF(Densidades!A:A,'Memória TOTAL'!X750,Densidades!B:B)</f>
        <v>0</v>
      </c>
      <c r="D750" s="130">
        <f>SUMIF(Densidades!A:A,'Memória TOTAL'!X750,Densidades!C:C)</f>
        <v>0</v>
      </c>
      <c r="E750" s="130" t="str">
        <f>IF(I750=15,"FIRECLAY MORTAR",IF(I750=16,"ALUMINA MORTAR",IF(I750=17,"BASIC MORTAR",IF(I750=18,"MORTAR","-"))))</f>
        <v>-</v>
      </c>
      <c r="F750" s="130" t="str">
        <f>IF(I750=15,"FIRECLAY MORTAR",IF(I750=16,"ALUMINA MORTAR",IF(I750=17,"BASIC MORTAR",IF(I750=18,"MORTAR","-"))))</f>
        <v>-</v>
      </c>
      <c r="G750" s="130" t="str">
        <f>IF(I750=15,"FIRECLAY MORTAR",IF(I750=16,"ALUMINA MORTAR",IF(I750=17,"BASIC MORTAR",IF(I750=18,"MORTAR","-"))))</f>
        <v>-</v>
      </c>
      <c r="H750" s="130" t="str">
        <f>IF(I750=15,"FIRECLAY MORTAR",IF(I750=16,"ALUMINA MORTAR",IF(I750=17,"BASIC MORTAR",IF(I750=18,"MORTAR","-"))))</f>
        <v>-</v>
      </c>
      <c r="I750" s="130">
        <f>SUMIF(Densidades!A:A,'Memória TOTAL'!X750,Densidades!G:G)</f>
        <v>0</v>
      </c>
      <c r="J750" s="132">
        <f>SUMIF(Formatos!A:A,'Memória TOTAL'!X751,Formatos!G:G)</f>
        <v>0</v>
      </c>
      <c r="K750" s="133">
        <f>SUMIF(Densidades!A:A,'Memória TOTAL'!X750,Densidades!I:I)</f>
        <v>0</v>
      </c>
      <c r="L750" s="184">
        <v>0</v>
      </c>
      <c r="M750" s="185"/>
      <c r="N750" s="185"/>
      <c r="O750" s="185"/>
      <c r="P750" s="185"/>
      <c r="Q750" s="185"/>
      <c r="R750" s="185"/>
      <c r="S750" s="185"/>
      <c r="T750" s="186"/>
      <c r="U750" s="286"/>
      <c r="V750" s="188" t="e">
        <f>(W743*J743*C750)*U750</f>
        <v>#VALUE!</v>
      </c>
      <c r="W750" s="189" t="str">
        <f>IF(C750=0,"",ROUNDUP(SUM(V750:V751)*(1+L750),0))</f>
        <v/>
      </c>
      <c r="X750" s="259"/>
      <c r="Z750" s="183"/>
      <c r="AA750" s="183"/>
    </row>
    <row r="751" spans="1:27" s="182" customFormat="1" ht="15" customHeight="1">
      <c r="A751" s="211"/>
      <c r="B751" s="206"/>
      <c r="C751" s="129"/>
      <c r="D751" s="191"/>
      <c r="E751" s="191"/>
      <c r="F751" s="191"/>
      <c r="G751" s="191"/>
      <c r="H751" s="191"/>
      <c r="I751" s="191"/>
      <c r="J751" s="192"/>
      <c r="K751" s="192"/>
      <c r="L751" s="140"/>
      <c r="M751" s="191"/>
      <c r="N751" s="191"/>
      <c r="O751" s="191"/>
      <c r="P751" s="191"/>
      <c r="Q751" s="191"/>
      <c r="R751" s="191"/>
      <c r="S751" s="191"/>
      <c r="T751" s="191"/>
      <c r="U751" s="191"/>
      <c r="V751" s="193"/>
      <c r="W751" s="181"/>
      <c r="X751" s="137" t="str">
        <f>IF(AND(H750="-",G750="-",F750="-"),E750,IF(AND(H750="-",G750="-",E750="-"),F750,IF(AND(H750="-",F750="-",E750="-"),G750,H750)))</f>
        <v>-</v>
      </c>
      <c r="Z751" s="183"/>
      <c r="AA751" s="183"/>
    </row>
    <row r="752" spans="1:27" s="182" customFormat="1" ht="15" customHeight="1">
      <c r="A752" s="211"/>
      <c r="B752" s="209"/>
      <c r="C752" s="129"/>
      <c r="D752" s="191"/>
      <c r="E752" s="191"/>
      <c r="F752" s="191"/>
      <c r="G752" s="191"/>
      <c r="H752" s="191"/>
      <c r="I752" s="191"/>
      <c r="J752" s="192"/>
      <c r="K752" s="192"/>
      <c r="L752" s="140"/>
      <c r="M752" s="191"/>
      <c r="N752" s="191"/>
      <c r="O752" s="191"/>
      <c r="P752" s="191"/>
      <c r="Q752" s="191"/>
      <c r="R752" s="191"/>
      <c r="S752" s="191"/>
      <c r="T752" s="191"/>
      <c r="U752" s="191"/>
      <c r="V752" s="193"/>
      <c r="W752" s="181"/>
      <c r="X752" s="137" t="s">
        <v>2</v>
      </c>
      <c r="Z752" s="183"/>
      <c r="AA752" s="183"/>
    </row>
    <row r="753" spans="1:27" ht="15" customHeight="1">
      <c r="A753" s="211"/>
      <c r="B753" s="127"/>
      <c r="C753" s="165"/>
      <c r="D753" s="166"/>
      <c r="E753" s="166"/>
      <c r="F753" s="166"/>
      <c r="G753" s="166"/>
      <c r="H753" s="166"/>
      <c r="I753" s="166"/>
      <c r="J753" s="167"/>
      <c r="K753" s="167"/>
      <c r="L753" s="168"/>
      <c r="M753" s="166"/>
      <c r="N753" s="166"/>
      <c r="O753" s="166"/>
      <c r="P753" s="166"/>
      <c r="Q753" s="166"/>
      <c r="R753" s="166"/>
      <c r="S753" s="166"/>
      <c r="T753" s="166"/>
      <c r="U753" s="166"/>
      <c r="V753" s="169"/>
      <c r="W753" s="170"/>
      <c r="X753" s="171"/>
    </row>
    <row r="754" spans="1:27" s="182" customFormat="1" ht="15" customHeight="1" thickBot="1">
      <c r="A754" s="211"/>
      <c r="B754" s="275" t="s">
        <v>1007</v>
      </c>
      <c r="C754" s="276"/>
      <c r="D754" s="277"/>
      <c r="E754" s="277"/>
      <c r="F754" s="277"/>
      <c r="G754" s="277"/>
      <c r="H754" s="277"/>
      <c r="I754" s="277"/>
      <c r="J754" s="278"/>
      <c r="K754" s="278"/>
      <c r="L754" s="279"/>
      <c r="M754" s="277"/>
      <c r="N754" s="277"/>
      <c r="O754" s="277"/>
      <c r="P754" s="277"/>
      <c r="Q754" s="277"/>
      <c r="R754" s="277" t="s">
        <v>632</v>
      </c>
      <c r="S754" s="280" t="s">
        <v>633</v>
      </c>
      <c r="T754" s="277" t="s">
        <v>634</v>
      </c>
      <c r="U754" s="277" t="s">
        <v>38</v>
      </c>
      <c r="V754" s="281" t="s">
        <v>27</v>
      </c>
      <c r="W754" s="282"/>
      <c r="X754" s="283"/>
      <c r="Z754" s="183"/>
      <c r="AA754" s="183"/>
    </row>
    <row r="755" spans="1:27" s="182" customFormat="1" ht="15" customHeight="1" thickBot="1">
      <c r="A755" s="211"/>
      <c r="B755" s="206"/>
      <c r="C755" s="129">
        <f>SUMIF(Densidades!A:A,'Memória TOTAL'!X755,Densidades!B:B)</f>
        <v>0</v>
      </c>
      <c r="D755" s="130">
        <f>SUMIF(Densidades!A:A,'Memória TOTAL'!X755,Densidades!C:C)</f>
        <v>0</v>
      </c>
      <c r="E755" s="130" t="str">
        <f>IF(I755=15,"FIRECLAY MORTAR",IF(I755=16,"ALUMINA MORTAR",IF(I755=17,"BASIC MORTAR",IF(I755=18,"MORTAR","-"))))</f>
        <v>-</v>
      </c>
      <c r="F755" s="130" t="str">
        <f>IF(I755=15,"FIRECLAY MORTAR",IF(I755=16,"ALUMINA MORTAR",IF(I755=17,"BASIC MORTAR",IF(I755=18,"MORTAR","-"))))</f>
        <v>-</v>
      </c>
      <c r="G755" s="130" t="str">
        <f>IF(I755=15,"FIRECLAY MORTAR",IF(I755=16,"ALUMINA MORTAR",IF(I755=17,"BASIC MORTAR",IF(I755=18,"MORTAR","-"))))</f>
        <v>-</v>
      </c>
      <c r="H755" s="130" t="str">
        <f>IF(I755=15,"FIRECLAY MORTAR",IF(I755=16,"ALUMINA MORTAR",IF(I755=17,"BASIC MORTAR",IF(I755=18,"MORTAR","-"))))</f>
        <v>-</v>
      </c>
      <c r="I755" s="130">
        <f>SUMIF(Densidades!A:A,'Memória TOTAL'!X755,Densidades!G:G)</f>
        <v>0</v>
      </c>
      <c r="J755" s="132">
        <f>SUMIF(Formatos!A:A,'Memória TOTAL'!X756,Formatos!G:G)</f>
        <v>0</v>
      </c>
      <c r="K755" s="218">
        <f>SUMIF(Densidades!A:A,'Memória TOTAL'!X755,Densidades!I:I)</f>
        <v>0</v>
      </c>
      <c r="L755" s="184">
        <v>0</v>
      </c>
      <c r="M755" s="185"/>
      <c r="N755" s="185"/>
      <c r="O755" s="185"/>
      <c r="P755" s="185"/>
      <c r="Q755" s="185"/>
      <c r="R755" s="186">
        <f>((G743*H743)+(G743*E743)+(H743*E743))/1000000</f>
        <v>0</v>
      </c>
      <c r="S755" s="255">
        <v>2</v>
      </c>
      <c r="T755" s="186">
        <f>R755*S755</f>
        <v>0</v>
      </c>
      <c r="U755" s="187">
        <f>SUM(W743:W744)</f>
        <v>0</v>
      </c>
      <c r="V755" s="188">
        <f>(T755*C755*(1+L755))*U755</f>
        <v>0</v>
      </c>
      <c r="W755" s="189" t="str">
        <f>IF(C755=0,"",ROUNDUP(SUM(V755:V756)*(1+L755),0))</f>
        <v/>
      </c>
      <c r="X755" s="259"/>
      <c r="Z755" s="183"/>
      <c r="AA755" s="183"/>
    </row>
    <row r="756" spans="1:27" s="182" customFormat="1" ht="15" customHeight="1">
      <c r="A756" s="211"/>
      <c r="B756" s="206"/>
      <c r="C756" s="129"/>
      <c r="D756" s="191"/>
      <c r="E756" s="191"/>
      <c r="F756" s="191"/>
      <c r="G756" s="191"/>
      <c r="H756" s="191"/>
      <c r="I756" s="191"/>
      <c r="J756" s="192"/>
      <c r="K756" s="192"/>
      <c r="L756" s="140"/>
      <c r="M756" s="191"/>
      <c r="N756" s="191"/>
      <c r="O756" s="191"/>
      <c r="P756" s="191"/>
      <c r="Q756" s="191"/>
      <c r="R756" s="191"/>
      <c r="S756" s="191"/>
      <c r="T756" s="191"/>
      <c r="U756" s="191"/>
      <c r="V756" s="193"/>
      <c r="W756" s="181"/>
      <c r="X756" s="137" t="str">
        <f>IF(AND(H755="-",G755="-",F755="-"),E755,IF(AND(H755="-",G755="-",E755="-"),F755,IF(AND(H755="-",F755="-",E755="-"),G755,H755)))</f>
        <v>-</v>
      </c>
      <c r="Z756" s="183"/>
      <c r="AA756" s="183"/>
    </row>
    <row r="757" spans="1:27" s="182" customFormat="1" ht="15" customHeight="1">
      <c r="A757" s="211"/>
      <c r="B757" s="209"/>
      <c r="C757" s="129"/>
      <c r="D757" s="191"/>
      <c r="E757" s="191"/>
      <c r="F757" s="191"/>
      <c r="G757" s="191"/>
      <c r="H757" s="191"/>
      <c r="I757" s="191"/>
      <c r="J757" s="192"/>
      <c r="K757" s="192"/>
      <c r="L757" s="140"/>
      <c r="M757" s="191"/>
      <c r="N757" s="191"/>
      <c r="O757" s="191"/>
      <c r="P757" s="191"/>
      <c r="Q757" s="191"/>
      <c r="R757" s="191"/>
      <c r="S757" s="191"/>
      <c r="T757" s="191"/>
      <c r="U757" s="191"/>
      <c r="V757" s="193"/>
      <c r="W757" s="181"/>
      <c r="X757" s="137" t="s">
        <v>2</v>
      </c>
      <c r="Z757" s="183"/>
      <c r="AA757" s="183"/>
    </row>
    <row r="758" spans="1:27" s="182" customFormat="1" ht="15" customHeight="1">
      <c r="A758" s="211"/>
      <c r="B758" s="209"/>
      <c r="C758" s="129"/>
      <c r="D758" s="191"/>
      <c r="E758" s="191"/>
      <c r="F758" s="191"/>
      <c r="G758" s="191"/>
      <c r="H758" s="191"/>
      <c r="I758" s="191"/>
      <c r="J758" s="192"/>
      <c r="K758" s="192"/>
      <c r="L758" s="140"/>
      <c r="M758" s="191"/>
      <c r="N758" s="191"/>
      <c r="O758" s="191"/>
      <c r="P758" s="191"/>
      <c r="Q758" s="191"/>
      <c r="R758" s="191"/>
      <c r="S758" s="191"/>
      <c r="T758" s="191"/>
      <c r="U758" s="191"/>
      <c r="V758" s="193"/>
      <c r="W758" s="181"/>
      <c r="X758" s="137"/>
      <c r="Z758" s="183"/>
      <c r="AA758" s="183"/>
    </row>
    <row r="759" spans="1:27" s="182" customFormat="1" ht="15" customHeight="1" thickBot="1">
      <c r="A759" s="211"/>
      <c r="B759" s="505"/>
      <c r="C759" s="505"/>
      <c r="D759" s="508"/>
      <c r="E759" s="508"/>
      <c r="F759" s="508"/>
      <c r="G759" s="508"/>
      <c r="H759" s="508"/>
      <c r="I759" s="508"/>
      <c r="J759" s="508"/>
      <c r="K759" s="508"/>
      <c r="L759" s="508"/>
      <c r="M759" s="508"/>
      <c r="N759" s="508"/>
      <c r="O759" s="508"/>
      <c r="P759" s="508"/>
      <c r="Q759" s="508"/>
      <c r="R759" s="508"/>
      <c r="S759" s="508"/>
      <c r="T759" s="508"/>
      <c r="U759" s="508"/>
      <c r="V759" s="508"/>
      <c r="W759" s="508"/>
      <c r="X759" s="509"/>
      <c r="Z759" s="183"/>
      <c r="AA759" s="183"/>
    </row>
    <row r="760" spans="1:27" ht="15" customHeight="1" thickBot="1">
      <c r="A760" s="211"/>
      <c r="B760" s="268" t="str">
        <f>IF(X761="","TIJOLO / COMPOSIÇÃO",X761)</f>
        <v>TIJOLO / COMPOSIÇÃO</v>
      </c>
      <c r="C760" s="269" t="s">
        <v>101</v>
      </c>
      <c r="D760" s="270" t="s">
        <v>102</v>
      </c>
      <c r="E760" s="270" t="s">
        <v>42</v>
      </c>
      <c r="F760" s="270" t="s">
        <v>42</v>
      </c>
      <c r="G760" s="270" t="s">
        <v>43</v>
      </c>
      <c r="H760" s="270" t="s">
        <v>44</v>
      </c>
      <c r="I760" s="270" t="s">
        <v>47</v>
      </c>
      <c r="J760" s="270" t="s">
        <v>103</v>
      </c>
      <c r="K760" s="270" t="s">
        <v>37</v>
      </c>
      <c r="L760" s="270" t="s">
        <v>39</v>
      </c>
      <c r="M760" s="270" t="s">
        <v>45</v>
      </c>
      <c r="N760" s="270" t="s">
        <v>46</v>
      </c>
      <c r="O760" s="270" t="s">
        <v>668</v>
      </c>
      <c r="P760" s="270" t="s">
        <v>51</v>
      </c>
      <c r="Q760" s="270" t="s">
        <v>52</v>
      </c>
      <c r="R760" s="270"/>
      <c r="S760" s="270"/>
      <c r="T760" s="270" t="s">
        <v>669</v>
      </c>
      <c r="U760" s="270" t="s">
        <v>673</v>
      </c>
      <c r="V760" s="271" t="s">
        <v>27</v>
      </c>
      <c r="W760" s="272"/>
      <c r="X760" s="273"/>
    </row>
    <row r="761" spans="1:27" ht="15" customHeight="1" thickBot="1">
      <c r="A761" s="240"/>
      <c r="B761" s="242" t="s">
        <v>670</v>
      </c>
      <c r="C761" s="241">
        <f>SUMIF(Densidades!A:A,'Memória TOTAL'!X761,Densidades!B:B)</f>
        <v>0</v>
      </c>
      <c r="D761" s="130">
        <f>SUMIF(Densidades!A:A,'Memória TOTAL'!X761,Densidades!C:C)</f>
        <v>0</v>
      </c>
      <c r="E761" s="131">
        <f>IF(AND(E767=1,E768=2),SUMIF(Formatos!A:A,'Memória TOTAL'!X762,Formatos!D:D),SUMIF(Formatos!A:A,'Memória TOTAL'!X762,Formatos!E:E))</f>
        <v>0</v>
      </c>
      <c r="F761" s="131">
        <f>IF(AND(E767=1,E768=2),SUMIF(Formatos!A:A,'Memória TOTAL'!X762,Formatos!R:R),SUMIF(Formatos!A:A,'Memória TOTAL'!X762,Formatos!F:F))</f>
        <v>0</v>
      </c>
      <c r="G761" s="131">
        <f>SUMIF(Formatos!A:A,'Memória TOTAL'!X762,Formatos!C:C)</f>
        <v>0</v>
      </c>
      <c r="H761" s="131">
        <f>IF(AND(E767=1,E768=2),SUMIF(Formatos!A:A,'Memória TOTAL'!X762,Formatos!E:E),SUMIF(Formatos!A:A,'Memória TOTAL'!X762,Formatos!D:D))</f>
        <v>0</v>
      </c>
      <c r="I761" s="131">
        <f>SUMIF(Densidades!A:A,'Memória TOTAL'!X761,Densidades!H:H)</f>
        <v>0</v>
      </c>
      <c r="J761" s="132">
        <f>SUMIF(Formatos!A:A,'Memória TOTAL'!X762,Formatos!G:G)</f>
        <v>0</v>
      </c>
      <c r="K761" s="133">
        <f>SUMIF(Densidades!A:A,'Memória TOTAL'!X761,Densidades!I:I)</f>
        <v>0</v>
      </c>
      <c r="L761" s="249">
        <v>0</v>
      </c>
      <c r="M761" s="252"/>
      <c r="N761" s="252"/>
      <c r="O761" s="253"/>
      <c r="P761" s="251">
        <f>O761*2</f>
        <v>0</v>
      </c>
      <c r="Q761" s="135">
        <f>P761-(2*M761)</f>
        <v>0</v>
      </c>
      <c r="R761" s="135"/>
      <c r="S761" s="256"/>
      <c r="T761" s="257">
        <f>IF(AND(B763=0,B765=0),,IF(AND(B765=0,B763&lt;&gt;0),1,IF(OR(B765-B763&gt;=0,B765=0),(B765-B763)+1,"ERRO")))</f>
        <v>0</v>
      </c>
      <c r="U761" s="253"/>
      <c r="V761" s="252" t="str">
        <f>IF(M761="","",IF(AND(OR(M761=E761,M761=G761,M761=H761),H761=H765),ROUND(P771,0),"ESP. ERRADA"))</f>
        <v/>
      </c>
      <c r="W761" s="258" t="str">
        <f>IFERROR(IF(C761=0,"",ROUNDUP(SUM(V761)*(1+L761),0))*T761*U761,"")</f>
        <v/>
      </c>
      <c r="X761" s="259"/>
    </row>
    <row r="762" spans="1:27" s="182" customFormat="1" ht="15" customHeight="1" thickBot="1">
      <c r="A762" s="260"/>
      <c r="B762" s="245" t="s">
        <v>112</v>
      </c>
      <c r="C762" s="232"/>
      <c r="D762" s="191"/>
      <c r="E762" s="191"/>
      <c r="F762" s="191"/>
      <c r="G762" s="191"/>
      <c r="H762" s="191"/>
      <c r="I762" s="191"/>
      <c r="J762" s="192"/>
      <c r="K762" s="192"/>
      <c r="L762" s="140"/>
      <c r="M762" s="191"/>
      <c r="N762" s="191"/>
      <c r="O762" s="191"/>
      <c r="P762" s="191"/>
      <c r="Q762" s="191"/>
      <c r="R762" s="191"/>
      <c r="S762" s="191"/>
      <c r="T762" s="191"/>
      <c r="U762" s="191"/>
      <c r="V762" s="193"/>
      <c r="W762" s="181"/>
      <c r="X762" s="137" t="str">
        <f>IF(B767="","",B767)</f>
        <v/>
      </c>
      <c r="Z762" s="183"/>
      <c r="AA762" s="183"/>
    </row>
    <row r="763" spans="1:27" s="182" customFormat="1" ht="15" customHeight="1" thickBot="1">
      <c r="A763" s="260"/>
      <c r="B763" s="261"/>
      <c r="C763" s="232"/>
      <c r="D763" s="191"/>
      <c r="E763" s="191"/>
      <c r="F763" s="191"/>
      <c r="G763" s="191"/>
      <c r="H763" s="191"/>
      <c r="I763" s="191"/>
      <c r="J763" s="192"/>
      <c r="K763" s="192"/>
      <c r="L763" s="140"/>
      <c r="M763" s="191"/>
      <c r="N763" s="191"/>
      <c r="O763" s="191"/>
      <c r="P763" s="191"/>
      <c r="Q763" s="191"/>
      <c r="R763" s="191"/>
      <c r="S763" s="191"/>
      <c r="T763" s="191"/>
      <c r="U763" s="191"/>
      <c r="V763" s="193"/>
      <c r="W763" s="181"/>
      <c r="X763" s="137" t="s">
        <v>520</v>
      </c>
      <c r="Z763" s="183"/>
      <c r="AA763" s="183"/>
    </row>
    <row r="764" spans="1:27" s="182" customFormat="1" ht="15" customHeight="1" thickBot="1">
      <c r="A764" s="260"/>
      <c r="B764" s="245" t="s">
        <v>22</v>
      </c>
      <c r="C764" s="232" t="str">
        <f t="shared" ref="C764:L764" si="112">C760</f>
        <v>Dens.</v>
      </c>
      <c r="D764" s="191" t="str">
        <f t="shared" si="112"/>
        <v>Emb.</v>
      </c>
      <c r="E764" s="234" t="str">
        <f t="shared" si="112"/>
        <v>Esp. Tij.</v>
      </c>
      <c r="F764" s="234" t="str">
        <f t="shared" si="112"/>
        <v>Esp. Tij.</v>
      </c>
      <c r="G764" s="234" t="str">
        <f t="shared" si="112"/>
        <v>Comp. Tij.</v>
      </c>
      <c r="H764" s="234" t="str">
        <f t="shared" si="112"/>
        <v>Larg. Tij.</v>
      </c>
      <c r="I764" s="234" t="str">
        <f t="shared" si="112"/>
        <v>Tipo Fator</v>
      </c>
      <c r="J764" s="234" t="str">
        <f t="shared" si="112"/>
        <v>Vol.</v>
      </c>
      <c r="K764" s="234" t="str">
        <f t="shared" si="112"/>
        <v>Class.</v>
      </c>
      <c r="L764" s="191" t="str">
        <f t="shared" si="112"/>
        <v>Coefic. (%)</v>
      </c>
      <c r="M764" s="191"/>
      <c r="N764" s="191"/>
      <c r="O764" s="191"/>
      <c r="P764" s="191"/>
      <c r="Q764" s="191"/>
      <c r="R764" s="191"/>
      <c r="S764" s="191"/>
      <c r="T764" s="191"/>
      <c r="U764" s="191"/>
      <c r="V764" s="238"/>
      <c r="W764" s="181"/>
      <c r="X764" s="137"/>
      <c r="Z764" s="183"/>
      <c r="AA764" s="183"/>
    </row>
    <row r="765" spans="1:27" s="182" customFormat="1" ht="15" customHeight="1" thickBot="1">
      <c r="A765" s="260"/>
      <c r="B765" s="261"/>
      <c r="C765" s="241">
        <f>SUMIF(Densidades!A:A,'Memória TOTAL'!X765,Densidades!B:B)</f>
        <v>0</v>
      </c>
      <c r="D765" s="130">
        <f>SUMIF(Densidades!A:A,'Memória TOTAL'!X765,Densidades!C:C)</f>
        <v>620</v>
      </c>
      <c r="E765" s="131">
        <f>SUMIF(Formatos!A:A,'Memória TOTAL'!X766,Formatos!E:E)</f>
        <v>0</v>
      </c>
      <c r="F765" s="131">
        <f>SUMIF(Formatos!A:A,'Memória TOTAL'!X766,Formatos!F:F)</f>
        <v>0</v>
      </c>
      <c r="G765" s="131">
        <f>SUMIF(Formatos!A:A,'Memória TOTAL'!X766,Formatos!C:C)</f>
        <v>0</v>
      </c>
      <c r="H765" s="131">
        <f>SUMIF(Formatos!A:A,'Memória TOTAL'!X766,Formatos!D:D)</f>
        <v>0</v>
      </c>
      <c r="I765" s="131">
        <f>SUMIF(Densidades!A:A,'Memória TOTAL'!X765,Densidades!H:H)</f>
        <v>0</v>
      </c>
      <c r="J765" s="132">
        <f>SUMIF(Formatos!A:A,'Memória TOTAL'!X766,Formatos!G:G)</f>
        <v>0</v>
      </c>
      <c r="K765" s="218">
        <f>SUMIF(Densidades!A:A,'Memória TOTAL'!X765,Densidades!I:I)</f>
        <v>177</v>
      </c>
      <c r="L765" s="219">
        <v>0</v>
      </c>
      <c r="M765" s="191"/>
      <c r="N765" s="191"/>
      <c r="O765" s="191"/>
      <c r="P765" s="191"/>
      <c r="Q765" s="191"/>
      <c r="R765" s="191"/>
      <c r="S765" s="191"/>
      <c r="T765" s="228"/>
      <c r="U765" s="231"/>
      <c r="V765" s="252" t="str">
        <f>IF(M761="","",IF(AND(OR(M761=E765,M761=G765,M761=H765),H761=H765),ROUND(Q771,0),"ESP. ERRADA"))</f>
        <v/>
      </c>
      <c r="W765" s="263" t="str">
        <f>IFERROR(IF(C765=0,"",ROUNDUP(SUM(V765)*(1+L765),0))*T761*U761,"")</f>
        <v/>
      </c>
      <c r="X765" s="137" t="str">
        <f>IF(X761="","",X761)</f>
        <v/>
      </c>
      <c r="Z765" s="183"/>
      <c r="AA765" s="183"/>
    </row>
    <row r="766" spans="1:27" s="182" customFormat="1" ht="15" customHeight="1" thickBot="1">
      <c r="A766" s="260"/>
      <c r="B766" s="243" t="s">
        <v>671</v>
      </c>
      <c r="C766" s="232"/>
      <c r="D766" s="191"/>
      <c r="E766" s="191"/>
      <c r="F766" s="191"/>
      <c r="G766" s="191"/>
      <c r="H766" s="191"/>
      <c r="I766" s="191"/>
      <c r="J766" s="192"/>
      <c r="K766" s="192"/>
      <c r="L766" s="140"/>
      <c r="M766" s="191"/>
      <c r="N766" s="191"/>
      <c r="O766" s="191"/>
      <c r="P766" s="191"/>
      <c r="Q766" s="191"/>
      <c r="R766" s="191"/>
      <c r="S766" s="191"/>
      <c r="T766" s="191"/>
      <c r="U766" s="191"/>
      <c r="V766" s="193"/>
      <c r="W766" s="181"/>
      <c r="X766" s="137" t="str">
        <f>IF(B768="","",B768)</f>
        <v/>
      </c>
      <c r="Z766" s="183"/>
      <c r="AA766" s="183"/>
    </row>
    <row r="767" spans="1:27" s="182" customFormat="1" ht="15" customHeight="1" thickBot="1">
      <c r="A767" s="260"/>
      <c r="B767" s="259"/>
      <c r="C767" s="239" t="s">
        <v>54</v>
      </c>
      <c r="D767" s="235"/>
      <c r="E767" s="191">
        <f>SUMIF(Formatos!A:A,'Memória TOTAL'!X762,Formatos!S:S)</f>
        <v>0</v>
      </c>
      <c r="F767" s="234"/>
      <c r="G767" s="234"/>
      <c r="H767" s="144" t="s">
        <v>54</v>
      </c>
      <c r="I767" s="144" t="s">
        <v>55</v>
      </c>
      <c r="J767" s="192"/>
      <c r="K767" s="192"/>
      <c r="L767" s="140"/>
      <c r="M767" s="191"/>
      <c r="N767" s="191" t="s">
        <v>22</v>
      </c>
      <c r="O767" s="145" t="s">
        <v>48</v>
      </c>
      <c r="P767" s="145" t="s">
        <v>49</v>
      </c>
      <c r="Q767" s="146" t="s">
        <v>50</v>
      </c>
      <c r="R767" s="145" t="s">
        <v>54</v>
      </c>
      <c r="S767" s="145" t="s">
        <v>55</v>
      </c>
      <c r="T767" s="191"/>
      <c r="U767" s="191"/>
      <c r="V767" s="193"/>
      <c r="W767" s="181"/>
      <c r="X767" s="137" t="s">
        <v>520</v>
      </c>
      <c r="Z767" s="183"/>
      <c r="AA767" s="183"/>
    </row>
    <row r="768" spans="1:27" s="182" customFormat="1" ht="15" customHeight="1" thickBot="1">
      <c r="A768" s="260"/>
      <c r="B768" s="259"/>
      <c r="C768" s="239" t="s">
        <v>55</v>
      </c>
      <c r="D768" s="235"/>
      <c r="E768" s="191">
        <f>SUMIF(Formatos!A:A,'Memória TOTAL'!X766,Formatos!S:S)</f>
        <v>0</v>
      </c>
      <c r="F768" s="191"/>
      <c r="G768" s="191"/>
      <c r="H768" s="236" t="e">
        <f>(1/(-(N768+N761)*(Q768+N761)+(O768+N761)*(P768+N761)))*3.1416*(-P761*(Q768+N761)+Q761*(P768+N761))</f>
        <v>#DIV/0!</v>
      </c>
      <c r="I768" s="236" t="e">
        <f>((P761*PI())-(H768*(N768+N761)))/(P768+N761)</f>
        <v>#DIV/0!</v>
      </c>
      <c r="J768" s="192"/>
      <c r="K768" s="192"/>
      <c r="L768" s="140"/>
      <c r="M768" s="191"/>
      <c r="N768" s="191">
        <f>E761</f>
        <v>0</v>
      </c>
      <c r="O768" s="147">
        <f>F761</f>
        <v>0</v>
      </c>
      <c r="P768" s="147">
        <f>E765</f>
        <v>0</v>
      </c>
      <c r="Q768" s="153">
        <f>F765</f>
        <v>0</v>
      </c>
      <c r="R768" s="147" t="e">
        <f>IF(ROUND(H768+0.4,0)&gt;=0,ROUND(H768+0.4,0),"ERRO")</f>
        <v>#DIV/0!</v>
      </c>
      <c r="S768" s="147" t="e">
        <f>IF(ROUND(I768+0.4,0)&gt;=0,ROUND(I768+0.4,0),"ERRO")</f>
        <v>#DIV/0!</v>
      </c>
      <c r="T768" s="191"/>
      <c r="U768" s="191"/>
      <c r="V768" s="193"/>
      <c r="W768" s="227"/>
      <c r="X768" s="137"/>
      <c r="Z768" s="183"/>
      <c r="AA768" s="183"/>
    </row>
    <row r="769" spans="1:27" s="151" customFormat="1" ht="15" customHeight="1" thickBot="1">
      <c r="A769" s="244"/>
      <c r="B769" s="243" t="s">
        <v>672</v>
      </c>
      <c r="C769" s="232"/>
      <c r="D769" s="191"/>
      <c r="E769" s="191"/>
      <c r="F769" s="191"/>
      <c r="G769" s="191"/>
      <c r="H769" s="191"/>
      <c r="I769" s="191"/>
      <c r="J769" s="192"/>
      <c r="K769" s="192"/>
      <c r="L769" s="191"/>
      <c r="M769" s="191"/>
      <c r="N769" s="191"/>
      <c r="O769" s="237"/>
      <c r="P769" s="191"/>
      <c r="Q769" s="191"/>
      <c r="R769" s="191"/>
      <c r="S769" s="191"/>
      <c r="T769" s="147"/>
      <c r="U769" s="147"/>
      <c r="V769" s="148"/>
      <c r="W769" s="149"/>
      <c r="X769" s="150"/>
      <c r="Z769" s="152"/>
      <c r="AA769" s="152"/>
    </row>
    <row r="770" spans="1:27" s="151" customFormat="1" ht="15" customHeight="1" thickBot="1">
      <c r="A770" s="244"/>
      <c r="B770" s="246"/>
      <c r="C770" s="232"/>
      <c r="D770" s="191"/>
      <c r="E770" s="191"/>
      <c r="F770" s="191"/>
      <c r="G770" s="191"/>
      <c r="H770" s="191"/>
      <c r="I770" s="191"/>
      <c r="J770" s="192"/>
      <c r="K770" s="192"/>
      <c r="L770" s="191"/>
      <c r="M770" s="191"/>
      <c r="N770" s="231"/>
      <c r="O770" s="605" t="s">
        <v>53</v>
      </c>
      <c r="P770" s="232" t="s">
        <v>54</v>
      </c>
      <c r="Q770" s="191" t="s">
        <v>55</v>
      </c>
      <c r="R770" s="191"/>
      <c r="S770" s="191"/>
      <c r="T770" s="147"/>
      <c r="U770" s="147"/>
      <c r="V770" s="148"/>
      <c r="W770" s="149"/>
      <c r="X770" s="150"/>
      <c r="Z770" s="152"/>
      <c r="AA770" s="152"/>
    </row>
    <row r="771" spans="1:27" s="151" customFormat="1" ht="15" customHeight="1" thickBot="1">
      <c r="A771" s="244"/>
      <c r="B771" s="247" t="str">
        <f>IF(AND(B765&lt;&gt;B763,B765&lt;&gt;0),"FIADAS "&amp;B763&amp;" a "&amp;B765,"FIADA "&amp;B763)</f>
        <v xml:space="preserve">FIADA </v>
      </c>
      <c r="C771" s="264"/>
      <c r="D771" s="197"/>
      <c r="E771" s="197"/>
      <c r="F771" s="197"/>
      <c r="G771" s="197"/>
      <c r="H771" s="197"/>
      <c r="I771" s="197"/>
      <c r="J771" s="230"/>
      <c r="K771" s="230"/>
      <c r="L771" s="158"/>
      <c r="M771" s="197"/>
      <c r="N771" s="160"/>
      <c r="O771" s="255">
        <v>360</v>
      </c>
      <c r="P771" s="254" t="e">
        <f>IF(H768/360*O771-ROUNDDOWN(H768/360*O771,0)&gt;I768/360*O771-ROUNDDOWN(I768/360*O771,0),ROUNDUP(H768/360*O771,0),ROUNDUP(SUM(H768/360*O771,I768/360*O771),0)-ROUNDUP(I768/360*O771,0))</f>
        <v>#DIV/0!</v>
      </c>
      <c r="Q771" s="248" t="e">
        <f>IF(I768/360*O771-ROUNDDOWN(I768/360*O771,0)&gt;H768/360*O771-ROUNDDOWN(H768/360*O771,0),ROUNDUP(I768/360*O771,0),ROUNDUP(SUM(H768/360*O771,I768/360*O771),0)-ROUNDUP(H768/360*O771,0))</f>
        <v>#DIV/0!</v>
      </c>
      <c r="R771" s="159"/>
      <c r="S771" s="159"/>
      <c r="T771" s="159"/>
      <c r="U771" s="159"/>
      <c r="V771" s="160"/>
      <c r="W771" s="161"/>
      <c r="X771" s="162"/>
      <c r="Z771" s="152"/>
      <c r="AA771" s="152"/>
    </row>
    <row r="772" spans="1:27" s="182" customFormat="1" ht="15" customHeight="1">
      <c r="A772" s="211"/>
      <c r="B772" s="206"/>
      <c r="C772" s="294"/>
      <c r="D772" s="191"/>
      <c r="E772" s="131"/>
      <c r="F772" s="131"/>
      <c r="G772" s="131"/>
      <c r="H772" s="131"/>
      <c r="I772" s="228"/>
      <c r="J772" s="228"/>
      <c r="K772" s="228"/>
      <c r="L772" s="191"/>
      <c r="M772" s="191"/>
      <c r="N772" s="191"/>
      <c r="O772" s="140"/>
      <c r="P772" s="191"/>
      <c r="Q772" s="191"/>
      <c r="R772" s="191"/>
      <c r="S772" s="191"/>
      <c r="T772" s="191"/>
      <c r="U772" s="191"/>
      <c r="V772" s="193"/>
      <c r="W772" s="181"/>
      <c r="X772" s="137"/>
      <c r="Z772" s="183"/>
      <c r="AA772" s="183"/>
    </row>
    <row r="773" spans="1:27" s="182" customFormat="1" ht="15" customHeight="1">
      <c r="A773" s="211"/>
      <c r="B773" s="206"/>
      <c r="C773" s="294"/>
      <c r="D773" s="191"/>
      <c r="E773" s="131"/>
      <c r="F773" s="131"/>
      <c r="G773" s="131"/>
      <c r="H773" s="131"/>
      <c r="I773" s="228"/>
      <c r="J773" s="228"/>
      <c r="K773" s="228"/>
      <c r="L773" s="191"/>
      <c r="M773" s="191"/>
      <c r="N773" s="191"/>
      <c r="O773" s="140"/>
      <c r="P773" s="191"/>
      <c r="Q773" s="191"/>
      <c r="R773" s="191"/>
      <c r="S773" s="191"/>
      <c r="T773" s="191"/>
      <c r="U773" s="191"/>
      <c r="V773" s="193"/>
      <c r="W773" s="181"/>
      <c r="X773" s="137"/>
      <c r="Z773" s="183"/>
      <c r="AA773" s="183"/>
    </row>
    <row r="774" spans="1:27" s="182" customFormat="1" ht="15" customHeight="1" thickBot="1">
      <c r="A774" s="211"/>
      <c r="B774" s="275" t="s">
        <v>1006</v>
      </c>
      <c r="C774" s="276"/>
      <c r="D774" s="277"/>
      <c r="E774" s="277"/>
      <c r="F774" s="277"/>
      <c r="G774" s="277"/>
      <c r="H774" s="277"/>
      <c r="I774" s="277"/>
      <c r="J774" s="278"/>
      <c r="K774" s="278"/>
      <c r="L774" s="279"/>
      <c r="M774" s="277"/>
      <c r="N774" s="277"/>
      <c r="O774" s="277"/>
      <c r="P774" s="277"/>
      <c r="Q774" s="277"/>
      <c r="R774" s="277"/>
      <c r="S774" s="280"/>
      <c r="T774" s="277"/>
      <c r="U774" s="277" t="s">
        <v>674</v>
      </c>
      <c r="V774" s="281" t="s">
        <v>27</v>
      </c>
      <c r="W774" s="282"/>
      <c r="X774" s="283"/>
      <c r="Z774" s="183"/>
      <c r="AA774" s="183"/>
    </row>
    <row r="775" spans="1:27" s="182" customFormat="1" ht="15" customHeight="1" thickBot="1">
      <c r="A775" s="211"/>
      <c r="B775" s="206"/>
      <c r="C775" s="129">
        <f>SUMIF(Densidades!A:A,'Memória TOTAL'!X775,Densidades!B:B)</f>
        <v>0</v>
      </c>
      <c r="D775" s="130">
        <f>SUMIF(Densidades!A:A,'Memória TOTAL'!X775,Densidades!C:C)</f>
        <v>0</v>
      </c>
      <c r="E775" s="130" t="str">
        <f>IF(I775=15,"FIRECLAY MORTAR",IF(I775=16,"ALUMINA MORTAR",IF(I775=17,"BASIC MORTAR",IF(I775=18,"MORTAR","-"))))</f>
        <v>-</v>
      </c>
      <c r="F775" s="130" t="str">
        <f>IF(I775=15,"FIRECLAY MORTAR",IF(I775=16,"ALUMINA MORTAR",IF(I775=17,"BASIC MORTAR",IF(I775=18,"MORTAR","-"))))</f>
        <v>-</v>
      </c>
      <c r="G775" s="130" t="str">
        <f>IF(I775=15,"FIRECLAY MORTAR",IF(I775=16,"ALUMINA MORTAR",IF(I775=17,"BASIC MORTAR",IF(I775=18,"MORTAR","-"))))</f>
        <v>-</v>
      </c>
      <c r="H775" s="130" t="str">
        <f>IF(I775=15,"FIRECLAY MORTAR",IF(I775=16,"ALUMINA MORTAR",IF(I775=17,"BASIC MORTAR",IF(I775=18,"MORTAR","-"))))</f>
        <v>-</v>
      </c>
      <c r="I775" s="130">
        <f>SUMIF(Densidades!A:A,'Memória TOTAL'!X775,Densidades!G:G)</f>
        <v>0</v>
      </c>
      <c r="J775" s="132">
        <f>SUMIF(Formatos!A:A,'Memória TOTAL'!X776,Formatos!G:G)</f>
        <v>0</v>
      </c>
      <c r="K775" s="133">
        <f>SUMIF(Densidades!A:A,'Memória TOTAL'!X775,Densidades!I:I)</f>
        <v>0</v>
      </c>
      <c r="L775" s="184">
        <v>0</v>
      </c>
      <c r="M775" s="185"/>
      <c r="N775" s="185"/>
      <c r="O775" s="185"/>
      <c r="P775" s="185"/>
      <c r="Q775" s="185"/>
      <c r="R775" s="185"/>
      <c r="S775" s="185"/>
      <c r="T775" s="186"/>
      <c r="U775" s="286"/>
      <c r="V775" s="188" t="e">
        <f>(W761*J761*C775+W765*J765*C775)*U775</f>
        <v>#VALUE!</v>
      </c>
      <c r="W775" s="189" t="str">
        <f>IF(C775=0,"",ROUNDUP(SUM(V775:V776)*(1+L775),0))</f>
        <v/>
      </c>
      <c r="X775" s="259"/>
      <c r="Z775" s="183"/>
      <c r="AA775" s="183"/>
    </row>
    <row r="776" spans="1:27" s="182" customFormat="1" ht="15" customHeight="1">
      <c r="A776" s="211"/>
      <c r="B776" s="206"/>
      <c r="C776" s="129"/>
      <c r="D776" s="191"/>
      <c r="E776" s="191"/>
      <c r="F776" s="191"/>
      <c r="G776" s="191"/>
      <c r="H776" s="191"/>
      <c r="I776" s="191"/>
      <c r="J776" s="192"/>
      <c r="K776" s="192"/>
      <c r="L776" s="140"/>
      <c r="M776" s="191"/>
      <c r="N776" s="191"/>
      <c r="O776" s="191"/>
      <c r="P776" s="191"/>
      <c r="Q776" s="191"/>
      <c r="R776" s="191"/>
      <c r="S776" s="191"/>
      <c r="T776" s="191"/>
      <c r="U776" s="191"/>
      <c r="V776" s="193"/>
      <c r="W776" s="181"/>
      <c r="X776" s="137" t="str">
        <f>IF(AND(H775="-",G775="-",F775="-"),E775,IF(AND(H775="-",G775="-",E775="-"),F775,IF(AND(H775="-",F775="-",E775="-"),G775,H775)))</f>
        <v>-</v>
      </c>
      <c r="Z776" s="183"/>
      <c r="AA776" s="183"/>
    </row>
    <row r="777" spans="1:27" s="182" customFormat="1" ht="15" customHeight="1">
      <c r="A777" s="211"/>
      <c r="B777" s="209"/>
      <c r="C777" s="129"/>
      <c r="D777" s="191"/>
      <c r="E777" s="191"/>
      <c r="F777" s="191"/>
      <c r="G777" s="191"/>
      <c r="H777" s="191"/>
      <c r="I777" s="191"/>
      <c r="J777" s="192"/>
      <c r="K777" s="192"/>
      <c r="L777" s="140"/>
      <c r="M777" s="191"/>
      <c r="N777" s="191"/>
      <c r="O777" s="191"/>
      <c r="P777" s="191"/>
      <c r="Q777" s="191"/>
      <c r="R777" s="191"/>
      <c r="S777" s="191"/>
      <c r="T777" s="191"/>
      <c r="U777" s="191"/>
      <c r="V777" s="193"/>
      <c r="W777" s="181"/>
      <c r="X777" s="137" t="s">
        <v>2</v>
      </c>
      <c r="Z777" s="183"/>
      <c r="AA777" s="183"/>
    </row>
    <row r="778" spans="1:27" ht="15" customHeight="1">
      <c r="A778" s="211"/>
      <c r="B778" s="127"/>
      <c r="C778" s="165"/>
      <c r="D778" s="166"/>
      <c r="E778" s="166"/>
      <c r="F778" s="166"/>
      <c r="G778" s="166"/>
      <c r="H778" s="166"/>
      <c r="I778" s="166"/>
      <c r="J778" s="167"/>
      <c r="K778" s="167"/>
      <c r="L778" s="168"/>
      <c r="M778" s="166"/>
      <c r="N778" s="166"/>
      <c r="O778" s="166"/>
      <c r="P778" s="166"/>
      <c r="Q778" s="166"/>
      <c r="R778" s="166"/>
      <c r="S778" s="166"/>
      <c r="T778" s="166"/>
      <c r="U778" s="166"/>
      <c r="V778" s="169"/>
      <c r="W778" s="170"/>
      <c r="X778" s="171"/>
    </row>
    <row r="779" spans="1:27" s="182" customFormat="1" ht="15" customHeight="1" thickBot="1">
      <c r="A779" s="211"/>
      <c r="B779" s="275" t="s">
        <v>1007</v>
      </c>
      <c r="C779" s="276"/>
      <c r="D779" s="277"/>
      <c r="E779" s="277"/>
      <c r="F779" s="277"/>
      <c r="G779" s="277"/>
      <c r="H779" s="277"/>
      <c r="I779" s="277"/>
      <c r="J779" s="278"/>
      <c r="K779" s="278"/>
      <c r="L779" s="279"/>
      <c r="M779" s="277"/>
      <c r="N779" s="277"/>
      <c r="O779" s="277"/>
      <c r="P779" s="277"/>
      <c r="Q779" s="277"/>
      <c r="R779" s="277" t="s">
        <v>632</v>
      </c>
      <c r="S779" s="280" t="s">
        <v>633</v>
      </c>
      <c r="T779" s="277" t="s">
        <v>634</v>
      </c>
      <c r="U779" s="277" t="s">
        <v>38</v>
      </c>
      <c r="V779" s="281" t="s">
        <v>27</v>
      </c>
      <c r="W779" s="282"/>
      <c r="X779" s="283"/>
      <c r="Z779" s="183"/>
      <c r="AA779" s="183"/>
    </row>
    <row r="780" spans="1:27" s="182" customFormat="1" ht="15" customHeight="1" thickBot="1">
      <c r="A780" s="211"/>
      <c r="B780" s="206"/>
      <c r="C780" s="129">
        <f>SUMIF(Densidades!A:A,'Memória TOTAL'!X780,Densidades!B:B)</f>
        <v>0</v>
      </c>
      <c r="D780" s="130">
        <f>SUMIF(Densidades!A:A,'Memória TOTAL'!X780,Densidades!C:C)</f>
        <v>0</v>
      </c>
      <c r="E780" s="130" t="str">
        <f>IF(I780=15,"FIRECLAY MORTAR",IF(I780=16,"ALUMINA MORTAR",IF(I780=17,"BASIC MORTAR",IF(I780=18,"MORTAR","-"))))</f>
        <v>-</v>
      </c>
      <c r="F780" s="130" t="str">
        <f>IF(I780=15,"FIRECLAY MORTAR",IF(I780=16,"ALUMINA MORTAR",IF(I780=17,"BASIC MORTAR",IF(I780=18,"MORTAR","-"))))</f>
        <v>-</v>
      </c>
      <c r="G780" s="130" t="str">
        <f>IF(I780=15,"FIRECLAY MORTAR",IF(I780=16,"ALUMINA MORTAR",IF(I780=17,"BASIC MORTAR",IF(I780=18,"MORTAR","-"))))</f>
        <v>-</v>
      </c>
      <c r="H780" s="130" t="str">
        <f>IF(I780=15,"FIRECLAY MORTAR",IF(I780=16,"ALUMINA MORTAR",IF(I780=17,"BASIC MORTAR",IF(I780=18,"MORTAR","-"))))</f>
        <v>-</v>
      </c>
      <c r="I780" s="130">
        <f>SUMIF(Densidades!A:A,'Memória TOTAL'!X780,Densidades!G:G)</f>
        <v>0</v>
      </c>
      <c r="J780" s="132">
        <f>SUMIF(Formatos!A:A,'Memória TOTAL'!X781,Formatos!G:G)</f>
        <v>0</v>
      </c>
      <c r="K780" s="218">
        <f>SUMIF(Densidades!A:A,'Memória TOTAL'!X780,Densidades!I:I)</f>
        <v>0</v>
      </c>
      <c r="L780" s="184">
        <v>0</v>
      </c>
      <c r="M780" s="185"/>
      <c r="N780" s="185"/>
      <c r="O780" s="185"/>
      <c r="P780" s="185"/>
      <c r="Q780" s="185"/>
      <c r="R780" s="186">
        <f>((G761*H761)+(G761*E761)+(H761*E761))/1000000</f>
        <v>0</v>
      </c>
      <c r="S780" s="255">
        <v>2</v>
      </c>
      <c r="T780" s="186">
        <f>R780*S780</f>
        <v>0</v>
      </c>
      <c r="U780" s="187">
        <f>SUM(W761:W766)</f>
        <v>0</v>
      </c>
      <c r="V780" s="188">
        <f>(T780*C780*(1+L780))*U780</f>
        <v>0</v>
      </c>
      <c r="W780" s="189" t="str">
        <f>IF(C780=0,"",ROUNDUP(SUM(V780:V781)*(1+L780),0))</f>
        <v/>
      </c>
      <c r="X780" s="259"/>
      <c r="Z780" s="183"/>
      <c r="AA780" s="183"/>
    </row>
    <row r="781" spans="1:27" s="182" customFormat="1" ht="15" customHeight="1">
      <c r="A781" s="211"/>
      <c r="B781" s="206"/>
      <c r="C781" s="129"/>
      <c r="D781" s="191"/>
      <c r="E781" s="191"/>
      <c r="F781" s="191"/>
      <c r="G781" s="191"/>
      <c r="H781" s="191"/>
      <c r="I781" s="191"/>
      <c r="J781" s="192"/>
      <c r="K781" s="192"/>
      <c r="L781" s="140"/>
      <c r="M781" s="191"/>
      <c r="N781" s="191"/>
      <c r="O781" s="191"/>
      <c r="P781" s="191"/>
      <c r="Q781" s="191"/>
      <c r="R781" s="191"/>
      <c r="S781" s="191"/>
      <c r="T781" s="191"/>
      <c r="U781" s="191"/>
      <c r="V781" s="193"/>
      <c r="W781" s="181"/>
      <c r="X781" s="137" t="str">
        <f>IF(AND(H780="-",G780="-",F780="-"),E780,IF(AND(H780="-",G780="-",E780="-"),F780,IF(AND(H780="-",F780="-",E780="-"),G780,H780)))</f>
        <v>-</v>
      </c>
      <c r="Z781" s="183"/>
      <c r="AA781" s="183"/>
    </row>
    <row r="782" spans="1:27" s="182" customFormat="1" ht="15" customHeight="1">
      <c r="A782" s="211"/>
      <c r="B782" s="209"/>
      <c r="C782" s="129"/>
      <c r="D782" s="191"/>
      <c r="E782" s="191"/>
      <c r="F782" s="191"/>
      <c r="G782" s="191"/>
      <c r="H782" s="191"/>
      <c r="I782" s="191"/>
      <c r="J782" s="192"/>
      <c r="K782" s="192"/>
      <c r="L782" s="140"/>
      <c r="M782" s="191"/>
      <c r="N782" s="191"/>
      <c r="O782" s="191"/>
      <c r="P782" s="191"/>
      <c r="Q782" s="191"/>
      <c r="R782" s="191"/>
      <c r="S782" s="191"/>
      <c r="T782" s="191"/>
      <c r="U782" s="191"/>
      <c r="V782" s="193"/>
      <c r="W782" s="181"/>
      <c r="X782" s="137" t="s">
        <v>2</v>
      </c>
      <c r="Z782" s="183"/>
      <c r="AA782" s="183"/>
    </row>
    <row r="783" spans="1:27" s="182" customFormat="1" ht="15" customHeight="1">
      <c r="A783" s="211"/>
      <c r="B783" s="209"/>
      <c r="C783" s="129"/>
      <c r="D783" s="191"/>
      <c r="E783" s="191"/>
      <c r="F783" s="191"/>
      <c r="G783" s="191"/>
      <c r="H783" s="191"/>
      <c r="I783" s="191"/>
      <c r="J783" s="192"/>
      <c r="K783" s="192"/>
      <c r="L783" s="140"/>
      <c r="M783" s="191"/>
      <c r="N783" s="191"/>
      <c r="O783" s="191"/>
      <c r="P783" s="191"/>
      <c r="Q783" s="191"/>
      <c r="R783" s="191"/>
      <c r="S783" s="191"/>
      <c r="T783" s="191"/>
      <c r="U783" s="191"/>
      <c r="V783" s="193"/>
      <c r="W783" s="181"/>
      <c r="X783" s="137"/>
      <c r="Z783" s="183"/>
      <c r="AA783" s="183"/>
    </row>
    <row r="784" spans="1:27" s="182" customFormat="1" ht="15" customHeight="1" thickBot="1">
      <c r="A784" s="211"/>
      <c r="B784" s="505"/>
      <c r="C784" s="505"/>
      <c r="D784" s="508"/>
      <c r="E784" s="508"/>
      <c r="F784" s="508"/>
      <c r="G784" s="508"/>
      <c r="H784" s="508"/>
      <c r="I784" s="508"/>
      <c r="J784" s="508"/>
      <c r="K784" s="508"/>
      <c r="L784" s="508"/>
      <c r="M784" s="508"/>
      <c r="N784" s="508"/>
      <c r="O784" s="508"/>
      <c r="P784" s="508"/>
      <c r="Q784" s="508"/>
      <c r="R784" s="508"/>
      <c r="S784" s="508"/>
      <c r="T784" s="508"/>
      <c r="U784" s="508"/>
      <c r="V784" s="508"/>
      <c r="W784" s="508"/>
      <c r="X784" s="509"/>
      <c r="Z784" s="183"/>
      <c r="AA784" s="183"/>
    </row>
    <row r="785" spans="1:27" ht="15" customHeight="1" thickBot="1">
      <c r="A785" s="211"/>
      <c r="B785" s="268" t="str">
        <f>IF(X786="","TIJOLO / COMPOSIÇÃO",X786)</f>
        <v>TIJOLO / COMPOSIÇÃO</v>
      </c>
      <c r="C785" s="269" t="s">
        <v>101</v>
      </c>
      <c r="D785" s="270" t="s">
        <v>102</v>
      </c>
      <c r="E785" s="270" t="s">
        <v>42</v>
      </c>
      <c r="F785" s="270" t="s">
        <v>42</v>
      </c>
      <c r="G785" s="270" t="s">
        <v>43</v>
      </c>
      <c r="H785" s="270" t="s">
        <v>44</v>
      </c>
      <c r="I785" s="270" t="s">
        <v>47</v>
      </c>
      <c r="J785" s="270" t="s">
        <v>103</v>
      </c>
      <c r="K785" s="270" t="s">
        <v>37</v>
      </c>
      <c r="L785" s="270" t="s">
        <v>39</v>
      </c>
      <c r="M785" s="270" t="s">
        <v>45</v>
      </c>
      <c r="N785" s="270" t="s">
        <v>46</v>
      </c>
      <c r="O785" s="270" t="s">
        <v>668</v>
      </c>
      <c r="P785" s="270" t="s">
        <v>51</v>
      </c>
      <c r="Q785" s="270" t="s">
        <v>52</v>
      </c>
      <c r="R785" s="270"/>
      <c r="S785" s="270"/>
      <c r="T785" s="270"/>
      <c r="U785" s="270" t="s">
        <v>673</v>
      </c>
      <c r="V785" s="271" t="s">
        <v>27</v>
      </c>
      <c r="W785" s="272"/>
      <c r="X785" s="273"/>
    </row>
    <row r="786" spans="1:27" ht="15" customHeight="1" thickBot="1">
      <c r="A786" s="240"/>
      <c r="B786" s="242" t="s">
        <v>670</v>
      </c>
      <c r="C786" s="241">
        <f>SUMIF(Densidades!A:A,'Memória TOTAL'!X786,Densidades!B:B)</f>
        <v>0</v>
      </c>
      <c r="D786" s="130">
        <f>SUMIF(Densidades!A:A,'Memória TOTAL'!X786,Densidades!C:C)</f>
        <v>0</v>
      </c>
      <c r="E786" s="131">
        <f>IF(AND(E792=1,E793=2),SUMIF(Formatos!A:A,'Memória TOTAL'!X787,Formatos!D:D),SUMIF(Formatos!A:A,'Memória TOTAL'!X787,Formatos!E:E))</f>
        <v>0</v>
      </c>
      <c r="F786" s="131">
        <f>IF(AND(E792=1,E793=2),SUMIF(Formatos!A:A,'Memória TOTAL'!X787,Formatos!R:R),SUMIF(Formatos!A:A,'Memória TOTAL'!X787,Formatos!F:F))</f>
        <v>0</v>
      </c>
      <c r="G786" s="131">
        <f>SUMIF(Formatos!A:A,'Memória TOTAL'!X787,Formatos!C:C)</f>
        <v>0</v>
      </c>
      <c r="H786" s="131">
        <f>IF(AND(E792=1,E793=2),SUMIF(Formatos!A:A,'Memória TOTAL'!X787,Formatos!E:E),SUMIF(Formatos!A:A,'Memória TOTAL'!X787,Formatos!D:D))</f>
        <v>0</v>
      </c>
      <c r="I786" s="131">
        <f>SUMIF(Densidades!A:A,'Memória TOTAL'!X786,Densidades!H:H)</f>
        <v>0</v>
      </c>
      <c r="J786" s="132">
        <f>SUMIF(Formatos!A:A,'Memória TOTAL'!X787,Formatos!G:G)</f>
        <v>0</v>
      </c>
      <c r="K786" s="133">
        <f>SUMIF(Densidades!A:A,'Memória TOTAL'!X786,Densidades!I:I)</f>
        <v>0</v>
      </c>
      <c r="L786" s="249">
        <v>0</v>
      </c>
      <c r="M786" s="252"/>
      <c r="N786" s="252"/>
      <c r="O786" s="253"/>
      <c r="P786" s="251">
        <f>O786*2</f>
        <v>0</v>
      </c>
      <c r="Q786" s="135">
        <f>P786-(2*M786)</f>
        <v>0</v>
      </c>
      <c r="R786" s="135"/>
      <c r="S786" s="256"/>
      <c r="T786" s="256"/>
      <c r="U786" s="253"/>
      <c r="V786" s="252" t="str">
        <f>IF(M786="","",IF(AND(OR(M786=E786,M786=G786,M786=H786),H786=H790),ROUND(SUM(P796:P846),0),"ESP. ERRADA"))</f>
        <v/>
      </c>
      <c r="W786" s="258" t="str">
        <f>IFERROR(IF(C786=0,"",ROUNDUP(SUM(V786)*(1+L786),0))*U786,"")</f>
        <v/>
      </c>
      <c r="X786" s="259"/>
    </row>
    <row r="787" spans="1:27" s="182" customFormat="1" ht="15" customHeight="1">
      <c r="A787" s="211"/>
      <c r="B787" s="486"/>
      <c r="C787" s="485"/>
      <c r="D787" s="191"/>
      <c r="E787" s="191"/>
      <c r="F787" s="191"/>
      <c r="G787" s="191"/>
      <c r="H787" s="191"/>
      <c r="I787" s="191"/>
      <c r="J787" s="192"/>
      <c r="K787" s="192"/>
      <c r="L787" s="140"/>
      <c r="M787" s="191"/>
      <c r="N787" s="191"/>
      <c r="O787" s="191"/>
      <c r="P787" s="191"/>
      <c r="Q787" s="191"/>
      <c r="R787" s="191"/>
      <c r="S787" s="191"/>
      <c r="T787" s="191"/>
      <c r="U787" s="191"/>
      <c r="V787" s="193"/>
      <c r="W787" s="181"/>
      <c r="X787" s="137" t="str">
        <f>IF(B792="","",B792)</f>
        <v/>
      </c>
      <c r="Z787" s="183"/>
      <c r="AA787" s="183"/>
    </row>
    <row r="788" spans="1:27" s="182" customFormat="1" ht="15" customHeight="1">
      <c r="A788" s="211"/>
      <c r="B788" s="487"/>
      <c r="C788" s="196"/>
      <c r="D788" s="191"/>
      <c r="E788" s="191"/>
      <c r="F788" s="191"/>
      <c r="G788" s="191"/>
      <c r="H788" s="191"/>
      <c r="I788" s="191"/>
      <c r="J788" s="192"/>
      <c r="K788" s="192"/>
      <c r="L788" s="140"/>
      <c r="M788" s="191"/>
      <c r="N788" s="191"/>
      <c r="O788" s="191"/>
      <c r="P788" s="191"/>
      <c r="Q788" s="191"/>
      <c r="R788" s="191"/>
      <c r="S788" s="191"/>
      <c r="T788" s="191"/>
      <c r="U788" s="191"/>
      <c r="V788" s="193"/>
      <c r="W788" s="181"/>
      <c r="X788" s="137" t="s">
        <v>520</v>
      </c>
      <c r="Z788" s="183"/>
      <c r="AA788" s="183"/>
    </row>
    <row r="789" spans="1:27" s="182" customFormat="1" ht="15" customHeight="1" thickBot="1">
      <c r="A789" s="211"/>
      <c r="B789" s="487"/>
      <c r="C789" s="196" t="str">
        <f t="shared" ref="C789:L789" si="113">C785</f>
        <v>Dens.</v>
      </c>
      <c r="D789" s="191" t="str">
        <f t="shared" si="113"/>
        <v>Emb.</v>
      </c>
      <c r="E789" s="234" t="str">
        <f t="shared" si="113"/>
        <v>Esp. Tij.</v>
      </c>
      <c r="F789" s="234" t="str">
        <f t="shared" si="113"/>
        <v>Esp. Tij.</v>
      </c>
      <c r="G789" s="234" t="str">
        <f t="shared" si="113"/>
        <v>Comp. Tij.</v>
      </c>
      <c r="H789" s="234" t="str">
        <f t="shared" si="113"/>
        <v>Larg. Tij.</v>
      </c>
      <c r="I789" s="234" t="str">
        <f t="shared" si="113"/>
        <v>Tipo Fator</v>
      </c>
      <c r="J789" s="234" t="str">
        <f t="shared" si="113"/>
        <v>Vol.</v>
      </c>
      <c r="K789" s="234" t="str">
        <f t="shared" si="113"/>
        <v>Class.</v>
      </c>
      <c r="L789" s="191" t="str">
        <f t="shared" si="113"/>
        <v>Coefic. (%)</v>
      </c>
      <c r="M789" s="191"/>
      <c r="N789" s="191"/>
      <c r="O789" s="191"/>
      <c r="P789" s="191"/>
      <c r="Q789" s="191"/>
      <c r="R789" s="191"/>
      <c r="S789" s="191"/>
      <c r="T789" s="191"/>
      <c r="U789" s="191"/>
      <c r="V789" s="238"/>
      <c r="W789" s="181"/>
      <c r="X789" s="137"/>
      <c r="Z789" s="183"/>
      <c r="AA789" s="183"/>
    </row>
    <row r="790" spans="1:27" s="182" customFormat="1" ht="15" customHeight="1" thickBot="1">
      <c r="A790" s="211"/>
      <c r="B790" s="488"/>
      <c r="C790" s="129">
        <f>SUMIF(Densidades!A:A,'Memória TOTAL'!X790,Densidades!B:B)</f>
        <v>0</v>
      </c>
      <c r="D790" s="130">
        <f>SUMIF(Densidades!A:A,'Memória TOTAL'!X790,Densidades!C:C)</f>
        <v>620</v>
      </c>
      <c r="E790" s="131">
        <f>SUMIF(Formatos!A:A,'Memória TOTAL'!X791,Formatos!E:E)</f>
        <v>0</v>
      </c>
      <c r="F790" s="131">
        <f>SUMIF(Formatos!A:A,'Memória TOTAL'!X791,Formatos!F:F)</f>
        <v>0</v>
      </c>
      <c r="G790" s="131">
        <f>SUMIF(Formatos!A:A,'Memória TOTAL'!X791,Formatos!C:C)</f>
        <v>0</v>
      </c>
      <c r="H790" s="131">
        <f>SUMIF(Formatos!A:A,'Memória TOTAL'!X791,Formatos!D:D)</f>
        <v>0</v>
      </c>
      <c r="I790" s="131">
        <f>SUMIF(Densidades!A:A,'Memória TOTAL'!X790,Densidades!H:H)</f>
        <v>0</v>
      </c>
      <c r="J790" s="132">
        <f>SUMIF(Formatos!A:A,'Memória TOTAL'!X791,Formatos!G:G)</f>
        <v>0</v>
      </c>
      <c r="K790" s="218">
        <f>SUMIF(Densidades!A:A,'Memória TOTAL'!X790,Densidades!I:I)</f>
        <v>177</v>
      </c>
      <c r="L790" s="219">
        <v>0</v>
      </c>
      <c r="M790" s="191"/>
      <c r="N790" s="191"/>
      <c r="O790" s="191"/>
      <c r="P790" s="191"/>
      <c r="Q790" s="191"/>
      <c r="R790" s="191"/>
      <c r="S790" s="191"/>
      <c r="T790" s="228"/>
      <c r="U790" s="231"/>
      <c r="V790" s="252" t="str">
        <f>IF(M786="","",IF(AND(OR(M786=E790,M786=G790,M786=H790),H786=H790),ROUND(SUM(Q796:Q846),0),"ESP. ERRADA"))</f>
        <v/>
      </c>
      <c r="W790" s="263" t="str">
        <f>IFERROR(IF(C790=0,"",ROUNDUP(SUM(V790)*(1+L790),0))*U786,"")</f>
        <v/>
      </c>
      <c r="X790" s="137" t="str">
        <f>IF(X786="","",X786)</f>
        <v/>
      </c>
      <c r="Z790" s="183"/>
      <c r="AA790" s="183"/>
    </row>
    <row r="791" spans="1:27" s="182" customFormat="1" ht="15" customHeight="1" thickBot="1">
      <c r="A791" s="211"/>
      <c r="B791" s="243" t="s">
        <v>671</v>
      </c>
      <c r="C791" s="232"/>
      <c r="D791" s="191"/>
      <c r="E791" s="191"/>
      <c r="F791" s="191"/>
      <c r="G791" s="191"/>
      <c r="H791" s="191"/>
      <c r="I791" s="191"/>
      <c r="J791" s="192"/>
      <c r="K791" s="192"/>
      <c r="L791" s="140"/>
      <c r="M791" s="191"/>
      <c r="N791" s="191"/>
      <c r="O791" s="191"/>
      <c r="P791" s="191"/>
      <c r="Q791" s="191"/>
      <c r="R791" s="191"/>
      <c r="S791" s="191"/>
      <c r="T791" s="191"/>
      <c r="U791" s="191"/>
      <c r="V791" s="193"/>
      <c r="W791" s="181"/>
      <c r="X791" s="137" t="str">
        <f>IF(B793="","",B793)</f>
        <v/>
      </c>
      <c r="Z791" s="183"/>
      <c r="AA791" s="183"/>
    </row>
    <row r="792" spans="1:27" s="182" customFormat="1" ht="15" customHeight="1" thickBot="1">
      <c r="A792" s="211"/>
      <c r="B792" s="259"/>
      <c r="C792" s="239" t="s">
        <v>54</v>
      </c>
      <c r="D792" s="235"/>
      <c r="E792" s="191">
        <f>SUMIF(Formatos!A:A,'Memória TOTAL'!X787,Formatos!S:S)</f>
        <v>0</v>
      </c>
      <c r="F792" s="234"/>
      <c r="G792" s="234"/>
      <c r="H792" s="144" t="s">
        <v>54</v>
      </c>
      <c r="I792" s="144" t="s">
        <v>55</v>
      </c>
      <c r="J792" s="192"/>
      <c r="K792" s="192"/>
      <c r="L792" s="140"/>
      <c r="M792" s="191"/>
      <c r="N792" s="191" t="s">
        <v>22</v>
      </c>
      <c r="O792" s="145" t="s">
        <v>48</v>
      </c>
      <c r="P792" s="145" t="s">
        <v>49</v>
      </c>
      <c r="Q792" s="146" t="s">
        <v>50</v>
      </c>
      <c r="R792" s="145" t="s">
        <v>54</v>
      </c>
      <c r="S792" s="145" t="s">
        <v>55</v>
      </c>
      <c r="T792" s="191"/>
      <c r="U792" s="191"/>
      <c r="V792" s="193"/>
      <c r="W792" s="181"/>
      <c r="X792" s="137" t="s">
        <v>520</v>
      </c>
      <c r="Z792" s="183"/>
      <c r="AA792" s="183"/>
    </row>
    <row r="793" spans="1:27" s="182" customFormat="1" ht="15" customHeight="1" thickBot="1">
      <c r="A793" s="211"/>
      <c r="B793" s="259"/>
      <c r="C793" s="239" t="s">
        <v>55</v>
      </c>
      <c r="D793" s="235"/>
      <c r="E793" s="191">
        <f>SUMIF(Formatos!A:A,'Memória TOTAL'!X791,Formatos!S:S)</f>
        <v>0</v>
      </c>
      <c r="F793" s="191"/>
      <c r="G793" s="191"/>
      <c r="H793" s="236" t="e">
        <f>(1/(-(N793+N786)*(Q793+N786)+(O793+N786)*(P793+N786)))*3.1416*(-P786*(Q793+N786)+Q786*(P793+N786))</f>
        <v>#DIV/0!</v>
      </c>
      <c r="I793" s="236" t="e">
        <f>((P786*PI())-(H793*(N793+N786)))/(P793+N786)</f>
        <v>#DIV/0!</v>
      </c>
      <c r="J793" s="192"/>
      <c r="K793" s="192"/>
      <c r="L793" s="140"/>
      <c r="M793" s="191"/>
      <c r="N793" s="191">
        <f>E786</f>
        <v>0</v>
      </c>
      <c r="O793" s="147">
        <f>F786</f>
        <v>0</v>
      </c>
      <c r="P793" s="147">
        <f>E790</f>
        <v>0</v>
      </c>
      <c r="Q793" s="153">
        <f>F790</f>
        <v>0</v>
      </c>
      <c r="R793" s="147" t="e">
        <f>IF(ROUND(H793+0.4,0)&gt;=0,ROUND(H793+0.4,0),"ERRO")</f>
        <v>#DIV/0!</v>
      </c>
      <c r="S793" s="147" t="e">
        <f>IF(ROUND(I793+0.4,0)&gt;=0,ROUND(I793+0.4,0),"ERRO")</f>
        <v>#DIV/0!</v>
      </c>
      <c r="T793" s="191"/>
      <c r="U793" s="191"/>
      <c r="V793" s="193"/>
      <c r="W793" s="227"/>
      <c r="X793" s="137"/>
      <c r="Z793" s="183"/>
      <c r="AA793" s="183"/>
    </row>
    <row r="794" spans="1:27" s="151" customFormat="1" ht="15" customHeight="1" thickBot="1">
      <c r="A794" s="211"/>
      <c r="B794" s="243" t="s">
        <v>672</v>
      </c>
      <c r="C794" s="232"/>
      <c r="D794" s="191"/>
      <c r="E794" s="191"/>
      <c r="F794" s="191"/>
      <c r="G794" s="191"/>
      <c r="H794" s="191"/>
      <c r="I794" s="191"/>
      <c r="J794" s="191"/>
      <c r="K794" s="191"/>
      <c r="L794" s="191"/>
      <c r="M794" s="191"/>
      <c r="N794" s="191"/>
      <c r="O794" s="237"/>
      <c r="P794" s="191"/>
      <c r="Q794" s="191"/>
      <c r="R794" s="191"/>
      <c r="S794" s="191"/>
      <c r="T794" s="147"/>
      <c r="U794" s="147"/>
      <c r="V794" s="148"/>
      <c r="W794" s="149"/>
      <c r="X794" s="150"/>
      <c r="Z794" s="152"/>
      <c r="AA794" s="152"/>
    </row>
    <row r="795" spans="1:27" s="151" customFormat="1" ht="15" customHeight="1" thickBot="1">
      <c r="A795" s="211"/>
      <c r="B795" s="246"/>
      <c r="C795" s="232"/>
      <c r="D795" s="191"/>
      <c r="E795" s="191"/>
      <c r="F795" s="191"/>
      <c r="G795" s="191"/>
      <c r="H795" s="232" t="s">
        <v>54</v>
      </c>
      <c r="I795" s="191" t="s">
        <v>55</v>
      </c>
      <c r="J795" s="191"/>
      <c r="K795" s="191"/>
      <c r="L795" s="191"/>
      <c r="M795" s="191"/>
      <c r="N795" s="231"/>
      <c r="O795" s="605" t="s">
        <v>53</v>
      </c>
      <c r="P795" s="232" t="s">
        <v>54</v>
      </c>
      <c r="Q795" s="191" t="s">
        <v>55</v>
      </c>
      <c r="R795" s="191"/>
      <c r="S795" s="191"/>
      <c r="T795" s="147"/>
      <c r="U795" s="147"/>
      <c r="V795" s="148"/>
      <c r="W795" s="149"/>
      <c r="X795" s="150"/>
      <c r="Z795" s="152"/>
      <c r="AA795" s="152"/>
    </row>
    <row r="796" spans="1:27" s="151" customFormat="1" ht="15" customHeight="1">
      <c r="A796" s="211"/>
      <c r="B796" s="209" t="s">
        <v>388</v>
      </c>
      <c r="C796" s="484"/>
      <c r="D796" s="197"/>
      <c r="E796" s="197"/>
      <c r="F796" s="197"/>
      <c r="G796" s="197"/>
      <c r="H796" s="197" t="e">
        <f>H793</f>
        <v>#DIV/0!</v>
      </c>
      <c r="I796" s="264" t="e">
        <f>I793</f>
        <v>#DIV/0!</v>
      </c>
      <c r="J796" s="230"/>
      <c r="K796" s="333"/>
      <c r="L796" s="158"/>
      <c r="M796" s="197"/>
      <c r="N796" s="160"/>
      <c r="O796" s="611">
        <v>360</v>
      </c>
      <c r="P796" s="254" t="e">
        <f>IF(H796/360*O796-ROUNDDOWN(H796/360*O796,0)&gt;I796/360*O796-ROUNDDOWN(I796/360*O796,0),ROUNDUP(H796/360*O796,0),ROUNDUP(SUM(H796/360*O796,I796/360*O796),0)-ROUNDUP(I796/360*O796,0))</f>
        <v>#DIV/0!</v>
      </c>
      <c r="Q796" s="248" t="e">
        <f>IF(I796/360*O796-ROUNDDOWN(I796/360*O796,0)&gt;H796/360*O796-ROUNDDOWN(H796/360*O796,0),ROUNDUP(I796/360*O796,0),ROUNDUP(SUM(H796/360*O796,I796/360*O796),0)-ROUNDUP(H796/360*O796,0))</f>
        <v>#DIV/0!</v>
      </c>
      <c r="R796" s="159"/>
      <c r="S796" s="159"/>
      <c r="T796" s="159"/>
      <c r="U796" s="159"/>
      <c r="V796" s="160"/>
      <c r="W796" s="161"/>
      <c r="X796" s="162"/>
      <c r="Z796" s="152"/>
      <c r="AA796" s="152"/>
    </row>
    <row r="797" spans="1:27" s="151" customFormat="1" ht="15" customHeight="1">
      <c r="A797" s="211"/>
      <c r="B797" s="209" t="s">
        <v>980</v>
      </c>
      <c r="C797" s="484"/>
      <c r="D797" s="197"/>
      <c r="E797" s="197"/>
      <c r="F797" s="197"/>
      <c r="G797" s="197"/>
      <c r="H797" s="197" t="e">
        <f>H796</f>
        <v>#DIV/0!</v>
      </c>
      <c r="I797" s="264" t="e">
        <f>I796</f>
        <v>#DIV/0!</v>
      </c>
      <c r="J797" s="230"/>
      <c r="K797" s="333"/>
      <c r="L797" s="158"/>
      <c r="M797" s="197"/>
      <c r="N797" s="160"/>
      <c r="O797" s="612">
        <f>O796</f>
        <v>360</v>
      </c>
      <c r="P797" s="254" t="e">
        <f t="shared" ref="P797:P845" si="114">IF(H797/360*O797-ROUNDDOWN(H797/360*O797,0)&gt;I797/360*O797-ROUNDDOWN(I797/360*O797,0),ROUNDUP(H797/360*O797,0),ROUNDUP(SUM(H797/360*O797,I797/360*O797),0)-ROUNDUP(I797/360*O797,0))</f>
        <v>#DIV/0!</v>
      </c>
      <c r="Q797" s="248" t="e">
        <f t="shared" ref="Q797:Q845" si="115">IF(I797/360*O797-ROUNDDOWN(I797/360*O797,0)&gt;H797/360*O797-ROUNDDOWN(H797/360*O797,0),ROUNDUP(I797/360*O797,0),ROUNDUP(SUM(H797/360*O797,I797/360*O797),0)-ROUNDUP(H797/360*O797,0))</f>
        <v>#DIV/0!</v>
      </c>
      <c r="R797" s="159"/>
      <c r="S797" s="159"/>
      <c r="T797" s="159"/>
      <c r="U797" s="159"/>
      <c r="V797" s="160"/>
      <c r="W797" s="161"/>
      <c r="X797" s="162"/>
      <c r="Z797" s="152"/>
      <c r="AA797" s="152"/>
    </row>
    <row r="798" spans="1:27" s="151" customFormat="1" ht="15" customHeight="1">
      <c r="A798" s="211"/>
      <c r="B798" s="209" t="s">
        <v>389</v>
      </c>
      <c r="C798" s="484"/>
      <c r="D798" s="197"/>
      <c r="E798" s="197"/>
      <c r="F798" s="197"/>
      <c r="G798" s="197"/>
      <c r="H798" s="197" t="e">
        <f t="shared" ref="H798:I813" si="116">H797</f>
        <v>#DIV/0!</v>
      </c>
      <c r="I798" s="264" t="e">
        <f t="shared" si="116"/>
        <v>#DIV/0!</v>
      </c>
      <c r="J798" s="230"/>
      <c r="K798" s="333"/>
      <c r="L798" s="158"/>
      <c r="M798" s="197"/>
      <c r="N798" s="160"/>
      <c r="O798" s="612">
        <f t="shared" ref="O798:O844" si="117">O797</f>
        <v>360</v>
      </c>
      <c r="P798" s="254" t="e">
        <f t="shared" si="114"/>
        <v>#DIV/0!</v>
      </c>
      <c r="Q798" s="248" t="e">
        <f t="shared" si="115"/>
        <v>#DIV/0!</v>
      </c>
      <c r="R798" s="159"/>
      <c r="S798" s="159"/>
      <c r="T798" s="159"/>
      <c r="U798" s="159"/>
      <c r="V798" s="160"/>
      <c r="W798" s="161"/>
      <c r="X798" s="162"/>
      <c r="Z798" s="152"/>
      <c r="AA798" s="152"/>
    </row>
    <row r="799" spans="1:27" s="151" customFormat="1" ht="15" customHeight="1">
      <c r="A799" s="211"/>
      <c r="B799" s="209" t="s">
        <v>390</v>
      </c>
      <c r="C799" s="484"/>
      <c r="D799" s="197"/>
      <c r="E799" s="197"/>
      <c r="F799" s="197"/>
      <c r="G799" s="197"/>
      <c r="H799" s="197" t="e">
        <f t="shared" si="116"/>
        <v>#DIV/0!</v>
      </c>
      <c r="I799" s="264" t="e">
        <f t="shared" si="116"/>
        <v>#DIV/0!</v>
      </c>
      <c r="J799" s="230"/>
      <c r="K799" s="333"/>
      <c r="L799" s="158"/>
      <c r="M799" s="197"/>
      <c r="N799" s="160"/>
      <c r="O799" s="612">
        <f t="shared" si="117"/>
        <v>360</v>
      </c>
      <c r="P799" s="254" t="e">
        <f t="shared" si="114"/>
        <v>#DIV/0!</v>
      </c>
      <c r="Q799" s="248" t="e">
        <f t="shared" si="115"/>
        <v>#DIV/0!</v>
      </c>
      <c r="R799" s="159"/>
      <c r="S799" s="159"/>
      <c r="T799" s="159"/>
      <c r="U799" s="159"/>
      <c r="V799" s="160"/>
      <c r="W799" s="161"/>
      <c r="X799" s="162"/>
      <c r="Z799" s="152"/>
      <c r="AA799" s="152"/>
    </row>
    <row r="800" spans="1:27" s="151" customFormat="1" ht="15" customHeight="1">
      <c r="A800" s="211"/>
      <c r="B800" s="209" t="s">
        <v>391</v>
      </c>
      <c r="C800" s="484"/>
      <c r="D800" s="197"/>
      <c r="E800" s="197"/>
      <c r="F800" s="197"/>
      <c r="G800" s="197"/>
      <c r="H800" s="197" t="e">
        <f t="shared" si="116"/>
        <v>#DIV/0!</v>
      </c>
      <c r="I800" s="264" t="e">
        <f t="shared" si="116"/>
        <v>#DIV/0!</v>
      </c>
      <c r="J800" s="230"/>
      <c r="K800" s="333"/>
      <c r="L800" s="158"/>
      <c r="M800" s="197"/>
      <c r="N800" s="160"/>
      <c r="O800" s="612">
        <f t="shared" si="117"/>
        <v>360</v>
      </c>
      <c r="P800" s="254" t="e">
        <f t="shared" si="114"/>
        <v>#DIV/0!</v>
      </c>
      <c r="Q800" s="248" t="e">
        <f t="shared" si="115"/>
        <v>#DIV/0!</v>
      </c>
      <c r="R800" s="159"/>
      <c r="S800" s="159"/>
      <c r="T800" s="159"/>
      <c r="U800" s="159"/>
      <c r="V800" s="160"/>
      <c r="W800" s="161"/>
      <c r="X800" s="162"/>
      <c r="Z800" s="152"/>
      <c r="AA800" s="152"/>
    </row>
    <row r="801" spans="1:27" s="151" customFormat="1" ht="15" customHeight="1">
      <c r="A801" s="211"/>
      <c r="B801" s="209" t="s">
        <v>392</v>
      </c>
      <c r="C801" s="484"/>
      <c r="D801" s="197"/>
      <c r="E801" s="197"/>
      <c r="F801" s="197"/>
      <c r="G801" s="197"/>
      <c r="H801" s="197" t="e">
        <f t="shared" si="116"/>
        <v>#DIV/0!</v>
      </c>
      <c r="I801" s="264" t="e">
        <f t="shared" si="116"/>
        <v>#DIV/0!</v>
      </c>
      <c r="J801" s="230"/>
      <c r="K801" s="333"/>
      <c r="L801" s="158"/>
      <c r="M801" s="197"/>
      <c r="N801" s="160"/>
      <c r="O801" s="612">
        <f t="shared" si="117"/>
        <v>360</v>
      </c>
      <c r="P801" s="254" t="e">
        <f t="shared" si="114"/>
        <v>#DIV/0!</v>
      </c>
      <c r="Q801" s="248" t="e">
        <f t="shared" si="115"/>
        <v>#DIV/0!</v>
      </c>
      <c r="R801" s="159"/>
      <c r="S801" s="159"/>
      <c r="T801" s="159"/>
      <c r="U801" s="159"/>
      <c r="V801" s="160"/>
      <c r="W801" s="161"/>
      <c r="X801" s="162"/>
      <c r="Z801" s="152"/>
      <c r="AA801" s="152"/>
    </row>
    <row r="802" spans="1:27" s="151" customFormat="1" ht="15" customHeight="1">
      <c r="A802" s="211"/>
      <c r="B802" s="209" t="s">
        <v>393</v>
      </c>
      <c r="C802" s="484"/>
      <c r="D802" s="197"/>
      <c r="E802" s="197"/>
      <c r="F802" s="197"/>
      <c r="G802" s="197"/>
      <c r="H802" s="197" t="e">
        <f t="shared" si="116"/>
        <v>#DIV/0!</v>
      </c>
      <c r="I802" s="264" t="e">
        <f t="shared" si="116"/>
        <v>#DIV/0!</v>
      </c>
      <c r="J802" s="230"/>
      <c r="K802" s="333"/>
      <c r="L802" s="158"/>
      <c r="M802" s="197"/>
      <c r="N802" s="160"/>
      <c r="O802" s="612">
        <f t="shared" si="117"/>
        <v>360</v>
      </c>
      <c r="P802" s="254" t="e">
        <f t="shared" si="114"/>
        <v>#DIV/0!</v>
      </c>
      <c r="Q802" s="248" t="e">
        <f t="shared" si="115"/>
        <v>#DIV/0!</v>
      </c>
      <c r="R802" s="159"/>
      <c r="S802" s="159"/>
      <c r="T802" s="159"/>
      <c r="U802" s="159"/>
      <c r="V802" s="160"/>
      <c r="W802" s="161"/>
      <c r="X802" s="162"/>
      <c r="Z802" s="152"/>
      <c r="AA802" s="152"/>
    </row>
    <row r="803" spans="1:27" s="151" customFormat="1" ht="15" customHeight="1">
      <c r="A803" s="211"/>
      <c r="B803" s="209" t="s">
        <v>394</v>
      </c>
      <c r="C803" s="484"/>
      <c r="D803" s="197"/>
      <c r="E803" s="197"/>
      <c r="F803" s="197"/>
      <c r="G803" s="197"/>
      <c r="H803" s="197" t="e">
        <f t="shared" si="116"/>
        <v>#DIV/0!</v>
      </c>
      <c r="I803" s="264" t="e">
        <f t="shared" si="116"/>
        <v>#DIV/0!</v>
      </c>
      <c r="J803" s="230"/>
      <c r="K803" s="333"/>
      <c r="L803" s="158"/>
      <c r="M803" s="197"/>
      <c r="N803" s="160"/>
      <c r="O803" s="612">
        <f t="shared" si="117"/>
        <v>360</v>
      </c>
      <c r="P803" s="254" t="e">
        <f t="shared" si="114"/>
        <v>#DIV/0!</v>
      </c>
      <c r="Q803" s="248" t="e">
        <f t="shared" si="115"/>
        <v>#DIV/0!</v>
      </c>
      <c r="R803" s="159"/>
      <c r="S803" s="159"/>
      <c r="T803" s="159"/>
      <c r="U803" s="159"/>
      <c r="V803" s="160"/>
      <c r="W803" s="161"/>
      <c r="X803" s="162"/>
      <c r="Z803" s="152"/>
      <c r="AA803" s="152"/>
    </row>
    <row r="804" spans="1:27" s="151" customFormat="1" ht="15" customHeight="1">
      <c r="A804" s="211"/>
      <c r="B804" s="209" t="s">
        <v>395</v>
      </c>
      <c r="C804" s="484"/>
      <c r="D804" s="197"/>
      <c r="E804" s="197"/>
      <c r="F804" s="197"/>
      <c r="G804" s="197"/>
      <c r="H804" s="197" t="e">
        <f t="shared" si="116"/>
        <v>#DIV/0!</v>
      </c>
      <c r="I804" s="264" t="e">
        <f t="shared" si="116"/>
        <v>#DIV/0!</v>
      </c>
      <c r="J804" s="230"/>
      <c r="K804" s="333"/>
      <c r="L804" s="158"/>
      <c r="M804" s="197"/>
      <c r="N804" s="160"/>
      <c r="O804" s="612">
        <f t="shared" si="117"/>
        <v>360</v>
      </c>
      <c r="P804" s="254" t="e">
        <f t="shared" si="114"/>
        <v>#DIV/0!</v>
      </c>
      <c r="Q804" s="248" t="e">
        <f t="shared" si="115"/>
        <v>#DIV/0!</v>
      </c>
      <c r="R804" s="159"/>
      <c r="S804" s="159"/>
      <c r="T804" s="159"/>
      <c r="U804" s="159"/>
      <c r="V804" s="160"/>
      <c r="W804" s="161"/>
      <c r="X804" s="162"/>
      <c r="Z804" s="152"/>
      <c r="AA804" s="152"/>
    </row>
    <row r="805" spans="1:27" s="151" customFormat="1" ht="15" customHeight="1">
      <c r="A805" s="211"/>
      <c r="B805" s="209" t="s">
        <v>396</v>
      </c>
      <c r="C805" s="484"/>
      <c r="D805" s="197"/>
      <c r="E805" s="197"/>
      <c r="F805" s="197"/>
      <c r="G805" s="197"/>
      <c r="H805" s="197" t="e">
        <f t="shared" si="116"/>
        <v>#DIV/0!</v>
      </c>
      <c r="I805" s="264" t="e">
        <f t="shared" si="116"/>
        <v>#DIV/0!</v>
      </c>
      <c r="J805" s="230"/>
      <c r="K805" s="333"/>
      <c r="L805" s="158"/>
      <c r="M805" s="197"/>
      <c r="N805" s="160"/>
      <c r="O805" s="612">
        <f t="shared" si="117"/>
        <v>360</v>
      </c>
      <c r="P805" s="254" t="e">
        <f t="shared" si="114"/>
        <v>#DIV/0!</v>
      </c>
      <c r="Q805" s="248" t="e">
        <f t="shared" si="115"/>
        <v>#DIV/0!</v>
      </c>
      <c r="R805" s="159"/>
      <c r="S805" s="159"/>
      <c r="T805" s="159"/>
      <c r="U805" s="159"/>
      <c r="V805" s="160"/>
      <c r="W805" s="161"/>
      <c r="X805" s="162"/>
      <c r="Z805" s="152"/>
      <c r="AA805" s="152"/>
    </row>
    <row r="806" spans="1:27" s="151" customFormat="1" ht="15" customHeight="1">
      <c r="A806" s="211"/>
      <c r="B806" s="209" t="s">
        <v>397</v>
      </c>
      <c r="C806" s="484"/>
      <c r="D806" s="197"/>
      <c r="E806" s="197"/>
      <c r="F806" s="197"/>
      <c r="G806" s="197"/>
      <c r="H806" s="197" t="e">
        <f t="shared" si="116"/>
        <v>#DIV/0!</v>
      </c>
      <c r="I806" s="264" t="e">
        <f t="shared" si="116"/>
        <v>#DIV/0!</v>
      </c>
      <c r="J806" s="230"/>
      <c r="K806" s="333"/>
      <c r="L806" s="158"/>
      <c r="M806" s="197"/>
      <c r="N806" s="160"/>
      <c r="O806" s="612">
        <f t="shared" si="117"/>
        <v>360</v>
      </c>
      <c r="P806" s="254" t="e">
        <f t="shared" si="114"/>
        <v>#DIV/0!</v>
      </c>
      <c r="Q806" s="248" t="e">
        <f t="shared" si="115"/>
        <v>#DIV/0!</v>
      </c>
      <c r="R806" s="159"/>
      <c r="S806" s="159"/>
      <c r="T806" s="159"/>
      <c r="U806" s="159"/>
      <c r="V806" s="160"/>
      <c r="W806" s="161"/>
      <c r="X806" s="162"/>
      <c r="Z806" s="152"/>
      <c r="AA806" s="152"/>
    </row>
    <row r="807" spans="1:27" s="151" customFormat="1" ht="15" customHeight="1">
      <c r="A807" s="211"/>
      <c r="B807" s="209" t="s">
        <v>398</v>
      </c>
      <c r="C807" s="484"/>
      <c r="D807" s="197"/>
      <c r="E807" s="197"/>
      <c r="F807" s="197"/>
      <c r="G807" s="197"/>
      <c r="H807" s="197" t="e">
        <f t="shared" si="116"/>
        <v>#DIV/0!</v>
      </c>
      <c r="I807" s="264" t="e">
        <f t="shared" si="116"/>
        <v>#DIV/0!</v>
      </c>
      <c r="J807" s="230"/>
      <c r="K807" s="333"/>
      <c r="L807" s="158"/>
      <c r="M807" s="197"/>
      <c r="N807" s="160"/>
      <c r="O807" s="612">
        <f t="shared" si="117"/>
        <v>360</v>
      </c>
      <c r="P807" s="254" t="e">
        <f t="shared" si="114"/>
        <v>#DIV/0!</v>
      </c>
      <c r="Q807" s="248" t="e">
        <f t="shared" si="115"/>
        <v>#DIV/0!</v>
      </c>
      <c r="R807" s="159"/>
      <c r="S807" s="159"/>
      <c r="T807" s="159"/>
      <c r="U807" s="159"/>
      <c r="V807" s="160"/>
      <c r="W807" s="161"/>
      <c r="X807" s="162"/>
      <c r="Z807" s="152"/>
      <c r="AA807" s="152"/>
    </row>
    <row r="808" spans="1:27" s="151" customFormat="1" ht="15" customHeight="1">
      <c r="A808" s="211"/>
      <c r="B808" s="209" t="s">
        <v>399</v>
      </c>
      <c r="C808" s="484"/>
      <c r="D808" s="197"/>
      <c r="E808" s="197"/>
      <c r="F808" s="197"/>
      <c r="G808" s="197"/>
      <c r="H808" s="197" t="e">
        <f t="shared" si="116"/>
        <v>#DIV/0!</v>
      </c>
      <c r="I808" s="264" t="e">
        <f t="shared" si="116"/>
        <v>#DIV/0!</v>
      </c>
      <c r="J808" s="230"/>
      <c r="K808" s="333"/>
      <c r="L808" s="158"/>
      <c r="M808" s="197"/>
      <c r="N808" s="160"/>
      <c r="O808" s="612">
        <f t="shared" si="117"/>
        <v>360</v>
      </c>
      <c r="P808" s="254" t="e">
        <f t="shared" si="114"/>
        <v>#DIV/0!</v>
      </c>
      <c r="Q808" s="248" t="e">
        <f t="shared" si="115"/>
        <v>#DIV/0!</v>
      </c>
      <c r="R808" s="159"/>
      <c r="S808" s="159"/>
      <c r="T808" s="159"/>
      <c r="U808" s="159"/>
      <c r="V808" s="160"/>
      <c r="W808" s="161"/>
      <c r="X808" s="162"/>
      <c r="Z808" s="152"/>
      <c r="AA808" s="152"/>
    </row>
    <row r="809" spans="1:27" s="151" customFormat="1" ht="15" customHeight="1">
      <c r="A809" s="211"/>
      <c r="B809" s="209" t="s">
        <v>400</v>
      </c>
      <c r="C809" s="484"/>
      <c r="D809" s="197"/>
      <c r="E809" s="197"/>
      <c r="F809" s="197"/>
      <c r="G809" s="197"/>
      <c r="H809" s="197" t="e">
        <f t="shared" si="116"/>
        <v>#DIV/0!</v>
      </c>
      <c r="I809" s="264" t="e">
        <f t="shared" si="116"/>
        <v>#DIV/0!</v>
      </c>
      <c r="J809" s="230"/>
      <c r="K809" s="333"/>
      <c r="L809" s="158"/>
      <c r="M809" s="197"/>
      <c r="N809" s="160"/>
      <c r="O809" s="612">
        <f t="shared" si="117"/>
        <v>360</v>
      </c>
      <c r="P809" s="254" t="e">
        <f t="shared" si="114"/>
        <v>#DIV/0!</v>
      </c>
      <c r="Q809" s="248" t="e">
        <f t="shared" si="115"/>
        <v>#DIV/0!</v>
      </c>
      <c r="R809" s="159"/>
      <c r="S809" s="159"/>
      <c r="T809" s="159"/>
      <c r="U809" s="159"/>
      <c r="V809" s="160"/>
      <c r="W809" s="161"/>
      <c r="X809" s="162"/>
      <c r="Z809" s="152"/>
      <c r="AA809" s="152"/>
    </row>
    <row r="810" spans="1:27" s="151" customFormat="1" ht="15" customHeight="1">
      <c r="A810" s="211"/>
      <c r="B810" s="209" t="s">
        <v>401</v>
      </c>
      <c r="C810" s="484"/>
      <c r="D810" s="197"/>
      <c r="E810" s="197"/>
      <c r="F810" s="197"/>
      <c r="G810" s="197"/>
      <c r="H810" s="197" t="e">
        <f t="shared" si="116"/>
        <v>#DIV/0!</v>
      </c>
      <c r="I810" s="264" t="e">
        <f t="shared" si="116"/>
        <v>#DIV/0!</v>
      </c>
      <c r="J810" s="230"/>
      <c r="K810" s="333"/>
      <c r="L810" s="158"/>
      <c r="M810" s="197"/>
      <c r="N810" s="160"/>
      <c r="O810" s="612">
        <f t="shared" si="117"/>
        <v>360</v>
      </c>
      <c r="P810" s="254" t="e">
        <f t="shared" si="114"/>
        <v>#DIV/0!</v>
      </c>
      <c r="Q810" s="248" t="e">
        <f t="shared" si="115"/>
        <v>#DIV/0!</v>
      </c>
      <c r="R810" s="159"/>
      <c r="S810" s="159"/>
      <c r="T810" s="159"/>
      <c r="U810" s="159"/>
      <c r="V810" s="160"/>
      <c r="W810" s="161"/>
      <c r="X810" s="162"/>
      <c r="Z810" s="152"/>
      <c r="AA810" s="152"/>
    </row>
    <row r="811" spans="1:27" s="151" customFormat="1" ht="15" customHeight="1">
      <c r="A811" s="211"/>
      <c r="B811" s="209" t="s">
        <v>402</v>
      </c>
      <c r="C811" s="484"/>
      <c r="D811" s="197"/>
      <c r="E811" s="197"/>
      <c r="F811" s="197"/>
      <c r="G811" s="197"/>
      <c r="H811" s="197" t="e">
        <f t="shared" si="116"/>
        <v>#DIV/0!</v>
      </c>
      <c r="I811" s="264" t="e">
        <f t="shared" si="116"/>
        <v>#DIV/0!</v>
      </c>
      <c r="J811" s="230"/>
      <c r="K811" s="333"/>
      <c r="L811" s="158"/>
      <c r="M811" s="197"/>
      <c r="N811" s="160"/>
      <c r="O811" s="612">
        <f t="shared" si="117"/>
        <v>360</v>
      </c>
      <c r="P811" s="254" t="e">
        <f t="shared" si="114"/>
        <v>#DIV/0!</v>
      </c>
      <c r="Q811" s="248" t="e">
        <f t="shared" si="115"/>
        <v>#DIV/0!</v>
      </c>
      <c r="R811" s="159"/>
      <c r="S811" s="159"/>
      <c r="T811" s="159"/>
      <c r="U811" s="159"/>
      <c r="V811" s="160"/>
      <c r="W811" s="161"/>
      <c r="X811" s="162"/>
      <c r="Z811" s="152"/>
      <c r="AA811" s="152"/>
    </row>
    <row r="812" spans="1:27" s="151" customFormat="1" ht="15" customHeight="1">
      <c r="A812" s="211"/>
      <c r="B812" s="209" t="s">
        <v>403</v>
      </c>
      <c r="C812" s="484"/>
      <c r="D812" s="197"/>
      <c r="E812" s="197"/>
      <c r="F812" s="197"/>
      <c r="G812" s="197"/>
      <c r="H812" s="197" t="e">
        <f t="shared" si="116"/>
        <v>#DIV/0!</v>
      </c>
      <c r="I812" s="264" t="e">
        <f t="shared" si="116"/>
        <v>#DIV/0!</v>
      </c>
      <c r="J812" s="230"/>
      <c r="K812" s="333"/>
      <c r="L812" s="158"/>
      <c r="M812" s="197"/>
      <c r="N812" s="160"/>
      <c r="O812" s="612">
        <f t="shared" si="117"/>
        <v>360</v>
      </c>
      <c r="P812" s="254" t="e">
        <f t="shared" si="114"/>
        <v>#DIV/0!</v>
      </c>
      <c r="Q812" s="248" t="e">
        <f t="shared" si="115"/>
        <v>#DIV/0!</v>
      </c>
      <c r="R812" s="159"/>
      <c r="S812" s="159"/>
      <c r="T812" s="159"/>
      <c r="U812" s="159"/>
      <c r="V812" s="160"/>
      <c r="W812" s="161"/>
      <c r="X812" s="162"/>
      <c r="Z812" s="152"/>
      <c r="AA812" s="152"/>
    </row>
    <row r="813" spans="1:27" s="151" customFormat="1" ht="15" customHeight="1">
      <c r="A813" s="211"/>
      <c r="B813" s="209" t="s">
        <v>404</v>
      </c>
      <c r="C813" s="484"/>
      <c r="D813" s="197"/>
      <c r="E813" s="197"/>
      <c r="F813" s="197"/>
      <c r="G813" s="197"/>
      <c r="H813" s="197" t="e">
        <f t="shared" si="116"/>
        <v>#DIV/0!</v>
      </c>
      <c r="I813" s="264" t="e">
        <f t="shared" si="116"/>
        <v>#DIV/0!</v>
      </c>
      <c r="J813" s="230"/>
      <c r="K813" s="333"/>
      <c r="L813" s="158"/>
      <c r="M813" s="197"/>
      <c r="N813" s="160"/>
      <c r="O813" s="612">
        <f t="shared" si="117"/>
        <v>360</v>
      </c>
      <c r="P813" s="254" t="e">
        <f t="shared" si="114"/>
        <v>#DIV/0!</v>
      </c>
      <c r="Q813" s="248" t="e">
        <f t="shared" si="115"/>
        <v>#DIV/0!</v>
      </c>
      <c r="R813" s="159"/>
      <c r="S813" s="159"/>
      <c r="T813" s="159"/>
      <c r="U813" s="159"/>
      <c r="V813" s="160"/>
      <c r="W813" s="161"/>
      <c r="X813" s="162"/>
      <c r="Z813" s="152"/>
      <c r="AA813" s="152"/>
    </row>
    <row r="814" spans="1:27" s="151" customFormat="1" ht="15" customHeight="1">
      <c r="A814" s="211"/>
      <c r="B814" s="209" t="s">
        <v>405</v>
      </c>
      <c r="C814" s="484"/>
      <c r="D814" s="197"/>
      <c r="E814" s="197"/>
      <c r="F814" s="197"/>
      <c r="G814" s="197"/>
      <c r="H814" s="197" t="e">
        <f t="shared" ref="H814:I829" si="118">H813</f>
        <v>#DIV/0!</v>
      </c>
      <c r="I814" s="264" t="e">
        <f t="shared" si="118"/>
        <v>#DIV/0!</v>
      </c>
      <c r="J814" s="230"/>
      <c r="K814" s="333"/>
      <c r="L814" s="158"/>
      <c r="M814" s="197"/>
      <c r="N814" s="160"/>
      <c r="O814" s="612">
        <f t="shared" si="117"/>
        <v>360</v>
      </c>
      <c r="P814" s="254" t="e">
        <f t="shared" si="114"/>
        <v>#DIV/0!</v>
      </c>
      <c r="Q814" s="248" t="e">
        <f t="shared" si="115"/>
        <v>#DIV/0!</v>
      </c>
      <c r="R814" s="159"/>
      <c r="S814" s="159"/>
      <c r="T814" s="159"/>
      <c r="U814" s="159"/>
      <c r="V814" s="160"/>
      <c r="W814" s="161"/>
      <c r="X814" s="162"/>
      <c r="Z814" s="152"/>
      <c r="AA814" s="152"/>
    </row>
    <row r="815" spans="1:27" s="151" customFormat="1" ht="15" customHeight="1">
      <c r="A815" s="211"/>
      <c r="B815" s="209" t="s">
        <v>406</v>
      </c>
      <c r="C815" s="484"/>
      <c r="D815" s="197"/>
      <c r="E815" s="197"/>
      <c r="F815" s="197"/>
      <c r="G815" s="197"/>
      <c r="H815" s="197" t="e">
        <f t="shared" si="118"/>
        <v>#DIV/0!</v>
      </c>
      <c r="I815" s="264" t="e">
        <f t="shared" si="118"/>
        <v>#DIV/0!</v>
      </c>
      <c r="J815" s="230"/>
      <c r="K815" s="333"/>
      <c r="L815" s="158"/>
      <c r="M815" s="197"/>
      <c r="N815" s="160"/>
      <c r="O815" s="612">
        <f t="shared" si="117"/>
        <v>360</v>
      </c>
      <c r="P815" s="254" t="e">
        <f t="shared" si="114"/>
        <v>#DIV/0!</v>
      </c>
      <c r="Q815" s="248" t="e">
        <f t="shared" si="115"/>
        <v>#DIV/0!</v>
      </c>
      <c r="R815" s="159"/>
      <c r="S815" s="159"/>
      <c r="T815" s="159"/>
      <c r="U815" s="159"/>
      <c r="V815" s="160"/>
      <c r="W815" s="161"/>
      <c r="X815" s="162"/>
      <c r="Z815" s="152"/>
      <c r="AA815" s="152"/>
    </row>
    <row r="816" spans="1:27" s="151" customFormat="1" ht="15" customHeight="1">
      <c r="A816" s="211"/>
      <c r="B816" s="209" t="s">
        <v>407</v>
      </c>
      <c r="C816" s="484"/>
      <c r="D816" s="197"/>
      <c r="E816" s="197"/>
      <c r="F816" s="197"/>
      <c r="G816" s="197"/>
      <c r="H816" s="197" t="e">
        <f t="shared" si="118"/>
        <v>#DIV/0!</v>
      </c>
      <c r="I816" s="264" t="e">
        <f t="shared" si="118"/>
        <v>#DIV/0!</v>
      </c>
      <c r="J816" s="230"/>
      <c r="K816" s="333"/>
      <c r="L816" s="158"/>
      <c r="M816" s="197"/>
      <c r="N816" s="160"/>
      <c r="O816" s="612">
        <f t="shared" si="117"/>
        <v>360</v>
      </c>
      <c r="P816" s="254" t="e">
        <f t="shared" si="114"/>
        <v>#DIV/0!</v>
      </c>
      <c r="Q816" s="248" t="e">
        <f t="shared" si="115"/>
        <v>#DIV/0!</v>
      </c>
      <c r="R816" s="159"/>
      <c r="S816" s="159"/>
      <c r="T816" s="159"/>
      <c r="U816" s="159"/>
      <c r="V816" s="160"/>
      <c r="W816" s="161"/>
      <c r="X816" s="162"/>
      <c r="Z816" s="152"/>
      <c r="AA816" s="152"/>
    </row>
    <row r="817" spans="1:27" s="151" customFormat="1" ht="15" customHeight="1">
      <c r="A817" s="211"/>
      <c r="B817" s="209" t="s">
        <v>408</v>
      </c>
      <c r="C817" s="484"/>
      <c r="D817" s="197"/>
      <c r="E817" s="197"/>
      <c r="F817" s="197"/>
      <c r="G817" s="197"/>
      <c r="H817" s="197" t="e">
        <f t="shared" si="118"/>
        <v>#DIV/0!</v>
      </c>
      <c r="I817" s="264" t="e">
        <f t="shared" si="118"/>
        <v>#DIV/0!</v>
      </c>
      <c r="J817" s="230"/>
      <c r="K817" s="333"/>
      <c r="L817" s="158"/>
      <c r="M817" s="197"/>
      <c r="N817" s="160"/>
      <c r="O817" s="612">
        <f t="shared" si="117"/>
        <v>360</v>
      </c>
      <c r="P817" s="254" t="e">
        <f t="shared" si="114"/>
        <v>#DIV/0!</v>
      </c>
      <c r="Q817" s="248" t="e">
        <f t="shared" si="115"/>
        <v>#DIV/0!</v>
      </c>
      <c r="R817" s="159"/>
      <c r="S817" s="159"/>
      <c r="T817" s="159"/>
      <c r="U817" s="159"/>
      <c r="V817" s="160"/>
      <c r="W817" s="161"/>
      <c r="X817" s="162"/>
      <c r="Z817" s="152"/>
      <c r="AA817" s="152"/>
    </row>
    <row r="818" spans="1:27" s="151" customFormat="1" ht="15" customHeight="1">
      <c r="A818" s="211"/>
      <c r="B818" s="209" t="s">
        <v>409</v>
      </c>
      <c r="C818" s="484"/>
      <c r="D818" s="197"/>
      <c r="E818" s="197"/>
      <c r="F818" s="197"/>
      <c r="G818" s="197"/>
      <c r="H818" s="197" t="e">
        <f t="shared" si="118"/>
        <v>#DIV/0!</v>
      </c>
      <c r="I818" s="264" t="e">
        <f t="shared" si="118"/>
        <v>#DIV/0!</v>
      </c>
      <c r="J818" s="230"/>
      <c r="K818" s="333"/>
      <c r="L818" s="158"/>
      <c r="M818" s="197"/>
      <c r="N818" s="160"/>
      <c r="O818" s="612">
        <f t="shared" si="117"/>
        <v>360</v>
      </c>
      <c r="P818" s="254" t="e">
        <f t="shared" si="114"/>
        <v>#DIV/0!</v>
      </c>
      <c r="Q818" s="248" t="e">
        <f t="shared" si="115"/>
        <v>#DIV/0!</v>
      </c>
      <c r="R818" s="159"/>
      <c r="S818" s="159"/>
      <c r="T818" s="159"/>
      <c r="U818" s="159"/>
      <c r="V818" s="160"/>
      <c r="W818" s="161"/>
      <c r="X818" s="162"/>
      <c r="Z818" s="152"/>
      <c r="AA818" s="152"/>
    </row>
    <row r="819" spans="1:27" s="151" customFormat="1" ht="15" customHeight="1">
      <c r="A819" s="211"/>
      <c r="B819" s="209" t="s">
        <v>410</v>
      </c>
      <c r="C819" s="484"/>
      <c r="D819" s="197"/>
      <c r="E819" s="197"/>
      <c r="F819" s="197"/>
      <c r="G819" s="197"/>
      <c r="H819" s="197" t="e">
        <f t="shared" si="118"/>
        <v>#DIV/0!</v>
      </c>
      <c r="I819" s="264" t="e">
        <f t="shared" si="118"/>
        <v>#DIV/0!</v>
      </c>
      <c r="J819" s="230"/>
      <c r="K819" s="333"/>
      <c r="L819" s="158"/>
      <c r="M819" s="197"/>
      <c r="N819" s="160"/>
      <c r="O819" s="612">
        <f t="shared" si="117"/>
        <v>360</v>
      </c>
      <c r="P819" s="254" t="e">
        <f t="shared" si="114"/>
        <v>#DIV/0!</v>
      </c>
      <c r="Q819" s="248" t="e">
        <f t="shared" si="115"/>
        <v>#DIV/0!</v>
      </c>
      <c r="R819" s="159"/>
      <c r="S819" s="159"/>
      <c r="T819" s="159"/>
      <c r="U819" s="159"/>
      <c r="V819" s="160"/>
      <c r="W819" s="161"/>
      <c r="X819" s="162"/>
      <c r="Z819" s="152"/>
      <c r="AA819" s="152"/>
    </row>
    <row r="820" spans="1:27" s="151" customFormat="1" ht="15" customHeight="1">
      <c r="A820" s="211"/>
      <c r="B820" s="209" t="s">
        <v>411</v>
      </c>
      <c r="C820" s="484"/>
      <c r="D820" s="197"/>
      <c r="E820" s="197"/>
      <c r="F820" s="197"/>
      <c r="G820" s="197"/>
      <c r="H820" s="197" t="e">
        <f t="shared" si="118"/>
        <v>#DIV/0!</v>
      </c>
      <c r="I820" s="264" t="e">
        <f t="shared" si="118"/>
        <v>#DIV/0!</v>
      </c>
      <c r="J820" s="230"/>
      <c r="K820" s="333"/>
      <c r="L820" s="158"/>
      <c r="M820" s="197"/>
      <c r="N820" s="160"/>
      <c r="O820" s="612">
        <f t="shared" si="117"/>
        <v>360</v>
      </c>
      <c r="P820" s="254" t="e">
        <f t="shared" si="114"/>
        <v>#DIV/0!</v>
      </c>
      <c r="Q820" s="248" t="e">
        <f t="shared" si="115"/>
        <v>#DIV/0!</v>
      </c>
      <c r="R820" s="159"/>
      <c r="S820" s="159"/>
      <c r="T820" s="159"/>
      <c r="U820" s="159"/>
      <c r="V820" s="160"/>
      <c r="W820" s="161"/>
      <c r="X820" s="162"/>
      <c r="Z820" s="152"/>
      <c r="AA820" s="152"/>
    </row>
    <row r="821" spans="1:27" s="151" customFormat="1" ht="15" customHeight="1">
      <c r="A821" s="211"/>
      <c r="B821" s="209" t="s">
        <v>412</v>
      </c>
      <c r="C821" s="484"/>
      <c r="D821" s="197"/>
      <c r="E821" s="197"/>
      <c r="F821" s="197"/>
      <c r="G821" s="197"/>
      <c r="H821" s="197" t="e">
        <f t="shared" si="118"/>
        <v>#DIV/0!</v>
      </c>
      <c r="I821" s="264" t="e">
        <f t="shared" si="118"/>
        <v>#DIV/0!</v>
      </c>
      <c r="J821" s="230"/>
      <c r="K821" s="333"/>
      <c r="L821" s="158"/>
      <c r="M821" s="197"/>
      <c r="N821" s="160"/>
      <c r="O821" s="612">
        <f t="shared" si="117"/>
        <v>360</v>
      </c>
      <c r="P821" s="254" t="e">
        <f t="shared" si="114"/>
        <v>#DIV/0!</v>
      </c>
      <c r="Q821" s="248" t="e">
        <f t="shared" si="115"/>
        <v>#DIV/0!</v>
      </c>
      <c r="R821" s="159"/>
      <c r="S821" s="159"/>
      <c r="T821" s="159"/>
      <c r="U821" s="159"/>
      <c r="V821" s="160"/>
      <c r="W821" s="161"/>
      <c r="X821" s="162"/>
      <c r="Z821" s="152"/>
      <c r="AA821" s="152"/>
    </row>
    <row r="822" spans="1:27" s="151" customFormat="1" ht="15" customHeight="1">
      <c r="A822" s="211"/>
      <c r="B822" s="209" t="s">
        <v>413</v>
      </c>
      <c r="C822" s="484"/>
      <c r="D822" s="197"/>
      <c r="E822" s="197"/>
      <c r="F822" s="197"/>
      <c r="G822" s="197"/>
      <c r="H822" s="197" t="e">
        <f t="shared" si="118"/>
        <v>#DIV/0!</v>
      </c>
      <c r="I822" s="264" t="e">
        <f t="shared" si="118"/>
        <v>#DIV/0!</v>
      </c>
      <c r="J822" s="230"/>
      <c r="K822" s="333"/>
      <c r="L822" s="158"/>
      <c r="M822" s="197"/>
      <c r="N822" s="160"/>
      <c r="O822" s="612">
        <f t="shared" si="117"/>
        <v>360</v>
      </c>
      <c r="P822" s="254" t="e">
        <f t="shared" si="114"/>
        <v>#DIV/0!</v>
      </c>
      <c r="Q822" s="248" t="e">
        <f t="shared" si="115"/>
        <v>#DIV/0!</v>
      </c>
      <c r="R822" s="159"/>
      <c r="S822" s="159"/>
      <c r="T822" s="159"/>
      <c r="U822" s="159"/>
      <c r="V822" s="160"/>
      <c r="W822" s="161"/>
      <c r="X822" s="162"/>
      <c r="Z822" s="152"/>
      <c r="AA822" s="152"/>
    </row>
    <row r="823" spans="1:27" s="151" customFormat="1" ht="15" customHeight="1">
      <c r="A823" s="211"/>
      <c r="B823" s="209" t="s">
        <v>414</v>
      </c>
      <c r="C823" s="484"/>
      <c r="D823" s="197"/>
      <c r="E823" s="197"/>
      <c r="F823" s="197"/>
      <c r="G823" s="197"/>
      <c r="H823" s="197" t="e">
        <f t="shared" si="118"/>
        <v>#DIV/0!</v>
      </c>
      <c r="I823" s="264" t="e">
        <f t="shared" si="118"/>
        <v>#DIV/0!</v>
      </c>
      <c r="J823" s="230"/>
      <c r="K823" s="333"/>
      <c r="L823" s="158"/>
      <c r="M823" s="197"/>
      <c r="N823" s="160"/>
      <c r="O823" s="612">
        <f t="shared" si="117"/>
        <v>360</v>
      </c>
      <c r="P823" s="254" t="e">
        <f t="shared" si="114"/>
        <v>#DIV/0!</v>
      </c>
      <c r="Q823" s="248" t="e">
        <f t="shared" si="115"/>
        <v>#DIV/0!</v>
      </c>
      <c r="R823" s="159"/>
      <c r="S823" s="159"/>
      <c r="T823" s="159"/>
      <c r="U823" s="159"/>
      <c r="V823" s="160"/>
      <c r="W823" s="161"/>
      <c r="X823" s="162"/>
      <c r="Z823" s="152"/>
      <c r="AA823" s="152"/>
    </row>
    <row r="824" spans="1:27" s="151" customFormat="1" ht="15" customHeight="1">
      <c r="A824" s="211"/>
      <c r="B824" s="209" t="s">
        <v>415</v>
      </c>
      <c r="C824" s="484"/>
      <c r="D824" s="197"/>
      <c r="E824" s="197"/>
      <c r="F824" s="197"/>
      <c r="G824" s="197"/>
      <c r="H824" s="197" t="e">
        <f t="shared" si="118"/>
        <v>#DIV/0!</v>
      </c>
      <c r="I824" s="264" t="e">
        <f t="shared" si="118"/>
        <v>#DIV/0!</v>
      </c>
      <c r="J824" s="230"/>
      <c r="K824" s="333"/>
      <c r="L824" s="158"/>
      <c r="M824" s="197"/>
      <c r="N824" s="160"/>
      <c r="O824" s="612">
        <f t="shared" si="117"/>
        <v>360</v>
      </c>
      <c r="P824" s="254" t="e">
        <f t="shared" si="114"/>
        <v>#DIV/0!</v>
      </c>
      <c r="Q824" s="248" t="e">
        <f t="shared" si="115"/>
        <v>#DIV/0!</v>
      </c>
      <c r="R824" s="159"/>
      <c r="S824" s="159"/>
      <c r="T824" s="159"/>
      <c r="U824" s="159"/>
      <c r="V824" s="160"/>
      <c r="W824" s="161"/>
      <c r="X824" s="162"/>
      <c r="Z824" s="152"/>
      <c r="AA824" s="152"/>
    </row>
    <row r="825" spans="1:27" s="151" customFormat="1" ht="15" customHeight="1">
      <c r="A825" s="211"/>
      <c r="B825" s="209" t="s">
        <v>416</v>
      </c>
      <c r="C825" s="484"/>
      <c r="D825" s="197"/>
      <c r="E825" s="197"/>
      <c r="F825" s="197"/>
      <c r="G825" s="197"/>
      <c r="H825" s="197" t="e">
        <f t="shared" si="118"/>
        <v>#DIV/0!</v>
      </c>
      <c r="I825" s="264" t="e">
        <f t="shared" si="118"/>
        <v>#DIV/0!</v>
      </c>
      <c r="J825" s="230"/>
      <c r="K825" s="333"/>
      <c r="L825" s="158"/>
      <c r="M825" s="197"/>
      <c r="N825" s="160"/>
      <c r="O825" s="612">
        <f t="shared" si="117"/>
        <v>360</v>
      </c>
      <c r="P825" s="254" t="e">
        <f t="shared" si="114"/>
        <v>#DIV/0!</v>
      </c>
      <c r="Q825" s="248" t="e">
        <f t="shared" si="115"/>
        <v>#DIV/0!</v>
      </c>
      <c r="R825" s="159"/>
      <c r="S825" s="159"/>
      <c r="T825" s="159"/>
      <c r="U825" s="159"/>
      <c r="V825" s="160"/>
      <c r="W825" s="161"/>
      <c r="X825" s="162"/>
      <c r="Z825" s="152"/>
      <c r="AA825" s="152"/>
    </row>
    <row r="826" spans="1:27" s="151" customFormat="1" ht="15" customHeight="1">
      <c r="A826" s="211"/>
      <c r="B826" s="209" t="s">
        <v>986</v>
      </c>
      <c r="C826" s="484"/>
      <c r="D826" s="197"/>
      <c r="E826" s="197"/>
      <c r="F826" s="197"/>
      <c r="G826" s="197"/>
      <c r="H826" s="197" t="e">
        <f t="shared" si="118"/>
        <v>#DIV/0!</v>
      </c>
      <c r="I826" s="264" t="e">
        <f t="shared" si="118"/>
        <v>#DIV/0!</v>
      </c>
      <c r="J826" s="230"/>
      <c r="K826" s="333"/>
      <c r="L826" s="158"/>
      <c r="M826" s="197"/>
      <c r="N826" s="160"/>
      <c r="O826" s="612">
        <f t="shared" si="117"/>
        <v>360</v>
      </c>
      <c r="P826" s="254" t="e">
        <f t="shared" si="114"/>
        <v>#DIV/0!</v>
      </c>
      <c r="Q826" s="248" t="e">
        <f t="shared" si="115"/>
        <v>#DIV/0!</v>
      </c>
      <c r="R826" s="159"/>
      <c r="S826" s="159"/>
      <c r="T826" s="159"/>
      <c r="U826" s="159"/>
      <c r="V826" s="160"/>
      <c r="W826" s="161"/>
      <c r="X826" s="162"/>
      <c r="Z826" s="152"/>
      <c r="AA826" s="152"/>
    </row>
    <row r="827" spans="1:27" s="151" customFormat="1" ht="15" customHeight="1">
      <c r="A827" s="211"/>
      <c r="B827" s="209" t="s">
        <v>987</v>
      </c>
      <c r="C827" s="484"/>
      <c r="D827" s="197"/>
      <c r="E827" s="197"/>
      <c r="F827" s="197"/>
      <c r="G827" s="197"/>
      <c r="H827" s="197" t="e">
        <f t="shared" si="118"/>
        <v>#DIV/0!</v>
      </c>
      <c r="I827" s="264" t="e">
        <f t="shared" si="118"/>
        <v>#DIV/0!</v>
      </c>
      <c r="J827" s="230"/>
      <c r="K827" s="333"/>
      <c r="L827" s="158"/>
      <c r="M827" s="197"/>
      <c r="N827" s="160"/>
      <c r="O827" s="612">
        <f t="shared" si="117"/>
        <v>360</v>
      </c>
      <c r="P827" s="254" t="e">
        <f t="shared" si="114"/>
        <v>#DIV/0!</v>
      </c>
      <c r="Q827" s="248" t="e">
        <f t="shared" si="115"/>
        <v>#DIV/0!</v>
      </c>
      <c r="R827" s="159"/>
      <c r="S827" s="159"/>
      <c r="T827" s="159"/>
      <c r="U827" s="159"/>
      <c r="V827" s="160"/>
      <c r="W827" s="161"/>
      <c r="X827" s="162"/>
      <c r="Z827" s="152"/>
      <c r="AA827" s="152"/>
    </row>
    <row r="828" spans="1:27" s="151" customFormat="1" ht="15" customHeight="1">
      <c r="A828" s="211"/>
      <c r="B828" s="209" t="s">
        <v>988</v>
      </c>
      <c r="C828" s="484"/>
      <c r="D828" s="197"/>
      <c r="E828" s="197"/>
      <c r="F828" s="197"/>
      <c r="G828" s="197"/>
      <c r="H828" s="197" t="e">
        <f t="shared" si="118"/>
        <v>#DIV/0!</v>
      </c>
      <c r="I828" s="264" t="e">
        <f t="shared" si="118"/>
        <v>#DIV/0!</v>
      </c>
      <c r="J828" s="230"/>
      <c r="K828" s="333"/>
      <c r="L828" s="158"/>
      <c r="M828" s="197"/>
      <c r="N828" s="160"/>
      <c r="O828" s="612">
        <f t="shared" si="117"/>
        <v>360</v>
      </c>
      <c r="P828" s="254" t="e">
        <f t="shared" si="114"/>
        <v>#DIV/0!</v>
      </c>
      <c r="Q828" s="248" t="e">
        <f t="shared" si="115"/>
        <v>#DIV/0!</v>
      </c>
      <c r="R828" s="159"/>
      <c r="S828" s="159"/>
      <c r="T828" s="159"/>
      <c r="U828" s="159"/>
      <c r="V828" s="160"/>
      <c r="W828" s="161"/>
      <c r="X828" s="162"/>
      <c r="Z828" s="152"/>
      <c r="AA828" s="152"/>
    </row>
    <row r="829" spans="1:27" s="151" customFormat="1" ht="15" customHeight="1">
      <c r="A829" s="211"/>
      <c r="B829" s="209" t="s">
        <v>989</v>
      </c>
      <c r="C829" s="484"/>
      <c r="D829" s="197"/>
      <c r="E829" s="197"/>
      <c r="F829" s="197"/>
      <c r="G829" s="197"/>
      <c r="H829" s="197" t="e">
        <f t="shared" si="118"/>
        <v>#DIV/0!</v>
      </c>
      <c r="I829" s="264" t="e">
        <f t="shared" si="118"/>
        <v>#DIV/0!</v>
      </c>
      <c r="J829" s="230"/>
      <c r="K829" s="333"/>
      <c r="L829" s="158"/>
      <c r="M829" s="197"/>
      <c r="N829" s="160"/>
      <c r="O829" s="612">
        <f t="shared" si="117"/>
        <v>360</v>
      </c>
      <c r="P829" s="254" t="e">
        <f t="shared" si="114"/>
        <v>#DIV/0!</v>
      </c>
      <c r="Q829" s="248" t="e">
        <f t="shared" si="115"/>
        <v>#DIV/0!</v>
      </c>
      <c r="R829" s="159"/>
      <c r="S829" s="159"/>
      <c r="T829" s="159"/>
      <c r="U829" s="159"/>
      <c r="V829" s="160"/>
      <c r="W829" s="161"/>
      <c r="X829" s="162"/>
      <c r="Z829" s="152"/>
    </row>
    <row r="830" spans="1:27" s="151" customFormat="1" ht="15" customHeight="1">
      <c r="A830" s="211"/>
      <c r="B830" s="209" t="s">
        <v>990</v>
      </c>
      <c r="C830" s="484"/>
      <c r="D830" s="197"/>
      <c r="E830" s="197"/>
      <c r="F830" s="197"/>
      <c r="G830" s="197"/>
      <c r="H830" s="197" t="e">
        <f t="shared" ref="H830:I844" si="119">H829</f>
        <v>#DIV/0!</v>
      </c>
      <c r="I830" s="264" t="e">
        <f t="shared" si="119"/>
        <v>#DIV/0!</v>
      </c>
      <c r="J830" s="230"/>
      <c r="K830" s="333"/>
      <c r="L830" s="158"/>
      <c r="M830" s="197"/>
      <c r="N830" s="160"/>
      <c r="O830" s="612">
        <f t="shared" si="117"/>
        <v>360</v>
      </c>
      <c r="P830" s="254" t="e">
        <f t="shared" si="114"/>
        <v>#DIV/0!</v>
      </c>
      <c r="Q830" s="248" t="e">
        <f t="shared" si="115"/>
        <v>#DIV/0!</v>
      </c>
      <c r="R830" s="159"/>
      <c r="S830" s="159"/>
      <c r="T830" s="159"/>
      <c r="U830" s="159"/>
      <c r="V830" s="160"/>
      <c r="W830" s="161"/>
      <c r="X830" s="162"/>
      <c r="Z830" s="152"/>
    </row>
    <row r="831" spans="1:27" s="151" customFormat="1" ht="15" customHeight="1">
      <c r="A831" s="211"/>
      <c r="B831" s="209" t="s">
        <v>991</v>
      </c>
      <c r="C831" s="484"/>
      <c r="D831" s="197"/>
      <c r="E831" s="197"/>
      <c r="F831" s="197"/>
      <c r="G831" s="197"/>
      <c r="H831" s="197" t="e">
        <f t="shared" si="119"/>
        <v>#DIV/0!</v>
      </c>
      <c r="I831" s="264" t="e">
        <f t="shared" si="119"/>
        <v>#DIV/0!</v>
      </c>
      <c r="J831" s="230"/>
      <c r="K831" s="333"/>
      <c r="L831" s="158"/>
      <c r="M831" s="197"/>
      <c r="N831" s="160"/>
      <c r="O831" s="612">
        <f t="shared" si="117"/>
        <v>360</v>
      </c>
      <c r="P831" s="254" t="e">
        <f t="shared" si="114"/>
        <v>#DIV/0!</v>
      </c>
      <c r="Q831" s="248" t="e">
        <f t="shared" si="115"/>
        <v>#DIV/0!</v>
      </c>
      <c r="R831" s="159"/>
      <c r="S831" s="159"/>
      <c r="T831" s="159"/>
      <c r="U831" s="159"/>
      <c r="V831" s="160"/>
      <c r="W831" s="161"/>
      <c r="X831" s="162"/>
      <c r="Z831" s="152"/>
    </row>
    <row r="832" spans="1:27" s="151" customFormat="1" ht="15" customHeight="1">
      <c r="A832" s="211"/>
      <c r="B832" s="209" t="s">
        <v>992</v>
      </c>
      <c r="C832" s="484"/>
      <c r="D832" s="197"/>
      <c r="E832" s="197"/>
      <c r="F832" s="197"/>
      <c r="G832" s="197"/>
      <c r="H832" s="197" t="e">
        <f t="shared" si="119"/>
        <v>#DIV/0!</v>
      </c>
      <c r="I832" s="264" t="e">
        <f t="shared" si="119"/>
        <v>#DIV/0!</v>
      </c>
      <c r="J832" s="230"/>
      <c r="K832" s="333"/>
      <c r="L832" s="158"/>
      <c r="M832" s="197"/>
      <c r="N832" s="160"/>
      <c r="O832" s="612">
        <f t="shared" si="117"/>
        <v>360</v>
      </c>
      <c r="P832" s="254" t="e">
        <f t="shared" si="114"/>
        <v>#DIV/0!</v>
      </c>
      <c r="Q832" s="248" t="e">
        <f t="shared" si="115"/>
        <v>#DIV/0!</v>
      </c>
      <c r="R832" s="159"/>
      <c r="S832" s="159"/>
      <c r="T832" s="159"/>
      <c r="U832" s="159"/>
      <c r="V832" s="160"/>
      <c r="W832" s="161"/>
      <c r="X832" s="162"/>
      <c r="Z832" s="152"/>
    </row>
    <row r="833" spans="1:28" s="151" customFormat="1" ht="15" customHeight="1">
      <c r="A833" s="211"/>
      <c r="B833" s="209" t="s">
        <v>993</v>
      </c>
      <c r="C833" s="484"/>
      <c r="D833" s="197"/>
      <c r="E833" s="197"/>
      <c r="F833" s="197"/>
      <c r="G833" s="197"/>
      <c r="H833" s="197" t="e">
        <f t="shared" si="119"/>
        <v>#DIV/0!</v>
      </c>
      <c r="I833" s="264" t="e">
        <f t="shared" si="119"/>
        <v>#DIV/0!</v>
      </c>
      <c r="J833" s="230"/>
      <c r="K833" s="333"/>
      <c r="L833" s="158"/>
      <c r="M833" s="197"/>
      <c r="N833" s="160"/>
      <c r="O833" s="612">
        <f t="shared" si="117"/>
        <v>360</v>
      </c>
      <c r="P833" s="254" t="e">
        <f t="shared" si="114"/>
        <v>#DIV/0!</v>
      </c>
      <c r="Q833" s="248" t="e">
        <f t="shared" si="115"/>
        <v>#DIV/0!</v>
      </c>
      <c r="R833" s="159"/>
      <c r="S833" s="159"/>
      <c r="T833" s="159"/>
      <c r="U833" s="159"/>
      <c r="V833" s="160"/>
      <c r="W833" s="161"/>
      <c r="X833" s="162"/>
      <c r="Z833" s="152"/>
    </row>
    <row r="834" spans="1:28" s="151" customFormat="1" ht="15" customHeight="1">
      <c r="A834" s="211"/>
      <c r="B834" s="209" t="s">
        <v>994</v>
      </c>
      <c r="C834" s="484"/>
      <c r="D834" s="197"/>
      <c r="E834" s="197"/>
      <c r="F834" s="197"/>
      <c r="G834" s="197"/>
      <c r="H834" s="197" t="e">
        <f t="shared" si="119"/>
        <v>#DIV/0!</v>
      </c>
      <c r="I834" s="264" t="e">
        <f t="shared" si="119"/>
        <v>#DIV/0!</v>
      </c>
      <c r="J834" s="230"/>
      <c r="K834" s="333"/>
      <c r="L834" s="158"/>
      <c r="M834" s="197"/>
      <c r="N834" s="160"/>
      <c r="O834" s="612">
        <f t="shared" si="117"/>
        <v>360</v>
      </c>
      <c r="P834" s="254" t="e">
        <f t="shared" si="114"/>
        <v>#DIV/0!</v>
      </c>
      <c r="Q834" s="248" t="e">
        <f t="shared" si="115"/>
        <v>#DIV/0!</v>
      </c>
      <c r="R834" s="159"/>
      <c r="S834" s="159"/>
      <c r="T834" s="159"/>
      <c r="U834" s="159"/>
      <c r="V834" s="160"/>
      <c r="W834" s="161"/>
      <c r="X834" s="162"/>
      <c r="Z834" s="152"/>
    </row>
    <row r="835" spans="1:28" s="151" customFormat="1" ht="15" customHeight="1">
      <c r="A835" s="211"/>
      <c r="B835" s="209" t="s">
        <v>995</v>
      </c>
      <c r="C835" s="484"/>
      <c r="D835" s="197"/>
      <c r="E835" s="197"/>
      <c r="F835" s="197"/>
      <c r="G835" s="197"/>
      <c r="H835" s="197" t="e">
        <f t="shared" si="119"/>
        <v>#DIV/0!</v>
      </c>
      <c r="I835" s="264" t="e">
        <f t="shared" si="119"/>
        <v>#DIV/0!</v>
      </c>
      <c r="J835" s="230"/>
      <c r="K835" s="333"/>
      <c r="L835" s="158"/>
      <c r="M835" s="197"/>
      <c r="N835" s="160"/>
      <c r="O835" s="612">
        <f t="shared" si="117"/>
        <v>360</v>
      </c>
      <c r="P835" s="254" t="e">
        <f t="shared" si="114"/>
        <v>#DIV/0!</v>
      </c>
      <c r="Q835" s="248" t="e">
        <f t="shared" si="115"/>
        <v>#DIV/0!</v>
      </c>
      <c r="R835" s="159"/>
      <c r="S835" s="159"/>
      <c r="T835" s="159"/>
      <c r="U835" s="159"/>
      <c r="V835" s="160"/>
      <c r="W835" s="161"/>
      <c r="X835" s="162"/>
      <c r="Z835" s="152"/>
    </row>
    <row r="836" spans="1:28" s="151" customFormat="1" ht="15" customHeight="1">
      <c r="A836" s="211"/>
      <c r="B836" s="209" t="s">
        <v>996</v>
      </c>
      <c r="C836" s="484"/>
      <c r="D836" s="197"/>
      <c r="E836" s="197"/>
      <c r="F836" s="197"/>
      <c r="G836" s="197"/>
      <c r="H836" s="197" t="e">
        <f t="shared" si="119"/>
        <v>#DIV/0!</v>
      </c>
      <c r="I836" s="264" t="e">
        <f t="shared" si="119"/>
        <v>#DIV/0!</v>
      </c>
      <c r="J836" s="230"/>
      <c r="K836" s="333"/>
      <c r="L836" s="158"/>
      <c r="M836" s="197"/>
      <c r="N836" s="160"/>
      <c r="O836" s="612">
        <f t="shared" si="117"/>
        <v>360</v>
      </c>
      <c r="P836" s="254" t="e">
        <f t="shared" si="114"/>
        <v>#DIV/0!</v>
      </c>
      <c r="Q836" s="248" t="e">
        <f t="shared" si="115"/>
        <v>#DIV/0!</v>
      </c>
      <c r="R836" s="159"/>
      <c r="S836" s="159"/>
      <c r="T836" s="159"/>
      <c r="U836" s="159"/>
      <c r="V836" s="160"/>
      <c r="W836" s="161"/>
      <c r="X836" s="162"/>
      <c r="Z836" s="152"/>
    </row>
    <row r="837" spans="1:28" s="151" customFormat="1" ht="15" customHeight="1">
      <c r="A837" s="211"/>
      <c r="B837" s="209" t="s">
        <v>997</v>
      </c>
      <c r="C837" s="484"/>
      <c r="D837" s="197"/>
      <c r="E837" s="197"/>
      <c r="F837" s="197"/>
      <c r="G837" s="197"/>
      <c r="H837" s="197" t="e">
        <f t="shared" si="119"/>
        <v>#DIV/0!</v>
      </c>
      <c r="I837" s="264" t="e">
        <f t="shared" si="119"/>
        <v>#DIV/0!</v>
      </c>
      <c r="J837" s="230"/>
      <c r="K837" s="333"/>
      <c r="L837" s="158"/>
      <c r="M837" s="197"/>
      <c r="N837" s="160"/>
      <c r="O837" s="612">
        <f t="shared" si="117"/>
        <v>360</v>
      </c>
      <c r="P837" s="254" t="e">
        <f t="shared" si="114"/>
        <v>#DIV/0!</v>
      </c>
      <c r="Q837" s="248" t="e">
        <f t="shared" si="115"/>
        <v>#DIV/0!</v>
      </c>
      <c r="R837" s="159"/>
      <c r="S837" s="159"/>
      <c r="T837" s="159"/>
      <c r="U837" s="159"/>
      <c r="V837" s="160"/>
      <c r="W837" s="161"/>
      <c r="X837" s="162"/>
      <c r="Z837" s="152"/>
    </row>
    <row r="838" spans="1:28" s="151" customFormat="1" ht="15" customHeight="1">
      <c r="A838" s="211"/>
      <c r="B838" s="209" t="s">
        <v>998</v>
      </c>
      <c r="C838" s="484"/>
      <c r="D838" s="197"/>
      <c r="E838" s="197"/>
      <c r="F838" s="197"/>
      <c r="G838" s="197"/>
      <c r="H838" s="197" t="e">
        <f t="shared" si="119"/>
        <v>#DIV/0!</v>
      </c>
      <c r="I838" s="264" t="e">
        <f t="shared" si="119"/>
        <v>#DIV/0!</v>
      </c>
      <c r="J838" s="230"/>
      <c r="K838" s="333"/>
      <c r="L838" s="158"/>
      <c r="M838" s="197"/>
      <c r="N838" s="160"/>
      <c r="O838" s="612">
        <f t="shared" si="117"/>
        <v>360</v>
      </c>
      <c r="P838" s="254" t="e">
        <f t="shared" si="114"/>
        <v>#DIV/0!</v>
      </c>
      <c r="Q838" s="248" t="e">
        <f t="shared" si="115"/>
        <v>#DIV/0!</v>
      </c>
      <c r="R838" s="159"/>
      <c r="S838" s="159"/>
      <c r="T838" s="159"/>
      <c r="U838" s="159"/>
      <c r="V838" s="160"/>
      <c r="W838" s="161"/>
      <c r="X838" s="162"/>
      <c r="Z838" s="152"/>
    </row>
    <row r="839" spans="1:28" s="151" customFormat="1" ht="15" customHeight="1">
      <c r="A839" s="211"/>
      <c r="B839" s="209" t="s">
        <v>999</v>
      </c>
      <c r="C839" s="484"/>
      <c r="D839" s="197"/>
      <c r="E839" s="197"/>
      <c r="F839" s="197"/>
      <c r="G839" s="197"/>
      <c r="H839" s="197" t="e">
        <f t="shared" si="119"/>
        <v>#DIV/0!</v>
      </c>
      <c r="I839" s="264" t="e">
        <f t="shared" si="119"/>
        <v>#DIV/0!</v>
      </c>
      <c r="J839" s="230"/>
      <c r="K839" s="333"/>
      <c r="L839" s="158"/>
      <c r="M839" s="197"/>
      <c r="N839" s="160"/>
      <c r="O839" s="612">
        <f t="shared" si="117"/>
        <v>360</v>
      </c>
      <c r="P839" s="254" t="e">
        <f t="shared" si="114"/>
        <v>#DIV/0!</v>
      </c>
      <c r="Q839" s="248" t="e">
        <f t="shared" si="115"/>
        <v>#DIV/0!</v>
      </c>
      <c r="R839" s="159"/>
      <c r="S839" s="159"/>
      <c r="T839" s="159"/>
      <c r="U839" s="159"/>
      <c r="V839" s="160"/>
      <c r="W839" s="161"/>
      <c r="X839" s="162"/>
      <c r="Z839" s="152"/>
    </row>
    <row r="840" spans="1:28" s="151" customFormat="1" ht="15" customHeight="1">
      <c r="A840" s="211"/>
      <c r="B840" s="209" t="s">
        <v>1000</v>
      </c>
      <c r="C840" s="484"/>
      <c r="D840" s="197"/>
      <c r="E840" s="197"/>
      <c r="F840" s="197"/>
      <c r="G840" s="197"/>
      <c r="H840" s="197" t="e">
        <f t="shared" si="119"/>
        <v>#DIV/0!</v>
      </c>
      <c r="I840" s="264" t="e">
        <f t="shared" si="119"/>
        <v>#DIV/0!</v>
      </c>
      <c r="J840" s="230"/>
      <c r="K840" s="333"/>
      <c r="L840" s="158"/>
      <c r="M840" s="197"/>
      <c r="N840" s="160"/>
      <c r="O840" s="612">
        <f t="shared" si="117"/>
        <v>360</v>
      </c>
      <c r="P840" s="254" t="e">
        <f t="shared" si="114"/>
        <v>#DIV/0!</v>
      </c>
      <c r="Q840" s="248" t="e">
        <f t="shared" si="115"/>
        <v>#DIV/0!</v>
      </c>
      <c r="R840" s="159"/>
      <c r="S840" s="159"/>
      <c r="T840" s="159"/>
      <c r="U840" s="159"/>
      <c r="V840" s="160"/>
      <c r="W840" s="161"/>
      <c r="X840" s="162"/>
      <c r="Z840" s="152"/>
      <c r="AA840" s="152"/>
    </row>
    <row r="841" spans="1:28" s="151" customFormat="1" ht="15" customHeight="1">
      <c r="A841" s="211"/>
      <c r="B841" s="209" t="s">
        <v>1001</v>
      </c>
      <c r="C841" s="484"/>
      <c r="D841" s="197"/>
      <c r="E841" s="197"/>
      <c r="F841" s="197"/>
      <c r="G841" s="197"/>
      <c r="H841" s="197" t="e">
        <f t="shared" si="119"/>
        <v>#DIV/0!</v>
      </c>
      <c r="I841" s="264" t="e">
        <f t="shared" si="119"/>
        <v>#DIV/0!</v>
      </c>
      <c r="J841" s="230"/>
      <c r="K841" s="333"/>
      <c r="L841" s="158"/>
      <c r="M841" s="197"/>
      <c r="N841" s="160"/>
      <c r="O841" s="612">
        <f t="shared" si="117"/>
        <v>360</v>
      </c>
      <c r="P841" s="254" t="e">
        <f t="shared" si="114"/>
        <v>#DIV/0!</v>
      </c>
      <c r="Q841" s="248" t="e">
        <f t="shared" si="115"/>
        <v>#DIV/0!</v>
      </c>
      <c r="R841" s="159"/>
      <c r="S841" s="159"/>
      <c r="T841" s="159"/>
      <c r="U841" s="159"/>
      <c r="V841" s="160"/>
      <c r="W841" s="161"/>
      <c r="X841" s="162"/>
      <c r="Z841" s="152"/>
      <c r="AA841" s="152"/>
    </row>
    <row r="842" spans="1:28" s="151" customFormat="1" ht="15" customHeight="1">
      <c r="A842" s="211"/>
      <c r="B842" s="209" t="s">
        <v>1002</v>
      </c>
      <c r="C842" s="484"/>
      <c r="D842" s="197"/>
      <c r="E842" s="197"/>
      <c r="F842" s="197"/>
      <c r="G842" s="197"/>
      <c r="H842" s="197" t="e">
        <f t="shared" si="119"/>
        <v>#DIV/0!</v>
      </c>
      <c r="I842" s="264" t="e">
        <f t="shared" si="119"/>
        <v>#DIV/0!</v>
      </c>
      <c r="J842" s="230"/>
      <c r="K842" s="333"/>
      <c r="L842" s="158"/>
      <c r="M842" s="197"/>
      <c r="N842" s="160"/>
      <c r="O842" s="612">
        <f t="shared" si="117"/>
        <v>360</v>
      </c>
      <c r="P842" s="254" t="e">
        <f t="shared" si="114"/>
        <v>#DIV/0!</v>
      </c>
      <c r="Q842" s="248" t="e">
        <f t="shared" si="115"/>
        <v>#DIV/0!</v>
      </c>
      <c r="R842" s="159"/>
      <c r="S842" s="159"/>
      <c r="T842" s="159"/>
      <c r="U842" s="159"/>
      <c r="V842" s="160"/>
      <c r="W842" s="161"/>
      <c r="X842" s="162"/>
      <c r="Z842" s="152"/>
      <c r="AA842" s="152"/>
    </row>
    <row r="843" spans="1:28" s="151" customFormat="1" ht="15" customHeight="1">
      <c r="A843" s="211"/>
      <c r="B843" s="209" t="s">
        <v>1003</v>
      </c>
      <c r="C843" s="484"/>
      <c r="D843" s="197"/>
      <c r="E843" s="197"/>
      <c r="F843" s="197"/>
      <c r="G843" s="197"/>
      <c r="H843" s="197" t="e">
        <f t="shared" si="119"/>
        <v>#DIV/0!</v>
      </c>
      <c r="I843" s="264" t="e">
        <f t="shared" si="119"/>
        <v>#DIV/0!</v>
      </c>
      <c r="J843" s="230"/>
      <c r="K843" s="333"/>
      <c r="L843" s="158"/>
      <c r="M843" s="197"/>
      <c r="N843" s="160"/>
      <c r="O843" s="612">
        <f t="shared" si="117"/>
        <v>360</v>
      </c>
      <c r="P843" s="254" t="e">
        <f t="shared" si="114"/>
        <v>#DIV/0!</v>
      </c>
      <c r="Q843" s="248" t="e">
        <f t="shared" si="115"/>
        <v>#DIV/0!</v>
      </c>
      <c r="R843" s="159"/>
      <c r="S843" s="159"/>
      <c r="T843" s="159"/>
      <c r="U843" s="159"/>
      <c r="V843" s="160"/>
      <c r="W843" s="161"/>
      <c r="X843" s="162"/>
      <c r="Z843" s="152"/>
      <c r="AA843" s="152"/>
    </row>
    <row r="844" spans="1:28" s="151" customFormat="1" ht="15" customHeight="1">
      <c r="A844" s="211"/>
      <c r="B844" s="209" t="s">
        <v>1004</v>
      </c>
      <c r="C844" s="484"/>
      <c r="D844" s="197"/>
      <c r="E844" s="197"/>
      <c r="F844" s="197"/>
      <c r="G844" s="197"/>
      <c r="H844" s="197" t="e">
        <f t="shared" si="119"/>
        <v>#DIV/0!</v>
      </c>
      <c r="I844" s="264" t="e">
        <f t="shared" si="119"/>
        <v>#DIV/0!</v>
      </c>
      <c r="J844" s="230"/>
      <c r="K844" s="333"/>
      <c r="L844" s="158"/>
      <c r="M844" s="197"/>
      <c r="N844" s="160"/>
      <c r="O844" s="612">
        <f t="shared" si="117"/>
        <v>360</v>
      </c>
      <c r="P844" s="254" t="e">
        <f t="shared" si="114"/>
        <v>#DIV/0!</v>
      </c>
      <c r="Q844" s="248" t="e">
        <f t="shared" si="115"/>
        <v>#DIV/0!</v>
      </c>
      <c r="R844" s="159"/>
      <c r="S844" s="159"/>
      <c r="T844" s="159"/>
      <c r="U844" s="159"/>
      <c r="V844" s="160"/>
      <c r="W844" s="161"/>
      <c r="X844" s="162"/>
      <c r="Z844" s="152"/>
      <c r="AA844" s="152"/>
    </row>
    <row r="845" spans="1:28" s="151" customFormat="1" ht="15" customHeight="1" thickBot="1">
      <c r="A845" s="211"/>
      <c r="B845" s="209" t="s">
        <v>1005</v>
      </c>
      <c r="C845" s="484"/>
      <c r="D845" s="197"/>
      <c r="E845" s="197"/>
      <c r="F845" s="197"/>
      <c r="G845" s="197"/>
      <c r="H845" s="197" t="e">
        <f>H844</f>
        <v>#DIV/0!</v>
      </c>
      <c r="I845" s="264" t="e">
        <f>I844</f>
        <v>#DIV/0!</v>
      </c>
      <c r="J845" s="621"/>
      <c r="K845" s="622"/>
      <c r="L845" s="158"/>
      <c r="M845" s="197"/>
      <c r="N845" s="160"/>
      <c r="O845" s="613">
        <f>O844</f>
        <v>360</v>
      </c>
      <c r="P845" s="254" t="e">
        <f t="shared" si="114"/>
        <v>#DIV/0!</v>
      </c>
      <c r="Q845" s="248" t="e">
        <f t="shared" si="115"/>
        <v>#DIV/0!</v>
      </c>
      <c r="R845" s="159"/>
      <c r="S845" s="159"/>
      <c r="T845" s="159"/>
      <c r="U845" s="159"/>
      <c r="V845" s="160"/>
      <c r="W845" s="161"/>
      <c r="X845" s="162"/>
      <c r="Z845" s="152"/>
      <c r="AA845" s="152"/>
    </row>
    <row r="846" spans="1:28" s="182" customFormat="1" ht="15" customHeight="1">
      <c r="A846" s="211"/>
      <c r="B846" s="206"/>
      <c r="C846" s="294"/>
      <c r="D846" s="191"/>
      <c r="E846" s="131"/>
      <c r="F846" s="131"/>
      <c r="G846" s="131"/>
      <c r="H846" s="131"/>
      <c r="I846" s="228"/>
      <c r="J846" s="228"/>
      <c r="K846" s="228"/>
      <c r="L846" s="191"/>
      <c r="M846" s="191"/>
      <c r="N846" s="191"/>
      <c r="O846" s="140"/>
      <c r="P846" s="191"/>
      <c r="Q846" s="191"/>
      <c r="R846" s="191"/>
      <c r="S846" s="191"/>
      <c r="T846" s="191"/>
      <c r="U846" s="191"/>
      <c r="V846" s="193"/>
      <c r="W846" s="181"/>
      <c r="X846" s="137"/>
      <c r="Z846" s="183"/>
      <c r="AA846" s="151"/>
      <c r="AB846" s="151"/>
    </row>
    <row r="847" spans="1:28" s="182" customFormat="1" ht="15" customHeight="1">
      <c r="A847" s="211"/>
      <c r="B847" s="206"/>
      <c r="C847" s="294"/>
      <c r="D847" s="191"/>
      <c r="E847" s="131"/>
      <c r="F847" s="131"/>
      <c r="G847" s="131"/>
      <c r="H847" s="131"/>
      <c r="I847" s="228"/>
      <c r="J847" s="228"/>
      <c r="K847" s="228"/>
      <c r="L847" s="191"/>
      <c r="M847" s="191"/>
      <c r="N847" s="191"/>
      <c r="O847" s="140"/>
      <c r="P847" s="191"/>
      <c r="Q847" s="191"/>
      <c r="R847" s="191"/>
      <c r="S847" s="191"/>
      <c r="T847" s="191"/>
      <c r="U847" s="191"/>
      <c r="V847" s="193"/>
      <c r="W847" s="181"/>
      <c r="X847" s="137"/>
      <c r="Z847" s="183"/>
      <c r="AA847" s="151"/>
      <c r="AB847" s="151"/>
    </row>
    <row r="848" spans="1:28" s="182" customFormat="1" ht="15" customHeight="1" thickBot="1">
      <c r="A848" s="211"/>
      <c r="B848" s="275" t="s">
        <v>1006</v>
      </c>
      <c r="C848" s="276"/>
      <c r="D848" s="277"/>
      <c r="E848" s="277"/>
      <c r="F848" s="277"/>
      <c r="G848" s="277"/>
      <c r="H848" s="277"/>
      <c r="I848" s="277"/>
      <c r="J848" s="278"/>
      <c r="K848" s="278"/>
      <c r="L848" s="279"/>
      <c r="M848" s="277"/>
      <c r="N848" s="277"/>
      <c r="O848" s="277"/>
      <c r="P848" s="277"/>
      <c r="Q848" s="277"/>
      <c r="R848" s="277"/>
      <c r="S848" s="280"/>
      <c r="T848" s="277"/>
      <c r="U848" s="277" t="s">
        <v>674</v>
      </c>
      <c r="V848" s="281" t="s">
        <v>27</v>
      </c>
      <c r="W848" s="282"/>
      <c r="X848" s="283"/>
      <c r="Z848" s="183"/>
      <c r="AA848" s="151"/>
      <c r="AB848" s="151"/>
    </row>
    <row r="849" spans="1:28" s="182" customFormat="1" ht="15" customHeight="1" thickBot="1">
      <c r="A849" s="211"/>
      <c r="B849" s="206"/>
      <c r="C849" s="129">
        <f>SUMIF(Densidades!A:A,'Memória TOTAL'!X849,Densidades!B:B)</f>
        <v>0</v>
      </c>
      <c r="D849" s="130">
        <f>SUMIF(Densidades!A:A,'Memória TOTAL'!X849,Densidades!C:C)</f>
        <v>0</v>
      </c>
      <c r="E849" s="130" t="str">
        <f>IF(I849=15,"FIRECLAY MORTAR",IF(I849=16,"ALUMINA MORTAR",IF(I849=17,"BASIC MORTAR",IF(I849=18,"MORTAR","-"))))</f>
        <v>-</v>
      </c>
      <c r="F849" s="130" t="str">
        <f>IF(I849=15,"FIRECLAY MORTAR",IF(I849=16,"ALUMINA MORTAR",IF(I849=17,"BASIC MORTAR",IF(I849=18,"MORTAR","-"))))</f>
        <v>-</v>
      </c>
      <c r="G849" s="130" t="str">
        <f>IF(I849=15,"FIRECLAY MORTAR",IF(I849=16,"ALUMINA MORTAR",IF(I849=17,"BASIC MORTAR",IF(I849=18,"MORTAR","-"))))</f>
        <v>-</v>
      </c>
      <c r="H849" s="130" t="str">
        <f>IF(I849=15,"FIRECLAY MORTAR",IF(I849=16,"ALUMINA MORTAR",IF(I849=17,"BASIC MORTAR",IF(I849=18,"MORTAR","-"))))</f>
        <v>-</v>
      </c>
      <c r="I849" s="130">
        <f>SUMIF(Densidades!A:A,'Memória TOTAL'!X849,Densidades!G:G)</f>
        <v>0</v>
      </c>
      <c r="J849" s="132">
        <f>SUMIF(Formatos!A:A,'Memória TOTAL'!X850,Formatos!G:G)</f>
        <v>0</v>
      </c>
      <c r="K849" s="133">
        <f>SUMIF(Densidades!A:A,'Memória TOTAL'!X849,Densidades!I:I)</f>
        <v>0</v>
      </c>
      <c r="L849" s="184">
        <v>0</v>
      </c>
      <c r="M849" s="185"/>
      <c r="N849" s="185"/>
      <c r="O849" s="185"/>
      <c r="P849" s="185"/>
      <c r="Q849" s="185"/>
      <c r="R849" s="185"/>
      <c r="S849" s="185"/>
      <c r="T849" s="186"/>
      <c r="U849" s="286">
        <v>0.06</v>
      </c>
      <c r="V849" s="188" t="e">
        <f>(W786*J786*C849+W790*J790*C849)*U849</f>
        <v>#VALUE!</v>
      </c>
      <c r="W849" s="189" t="str">
        <f>IF(C849=0,"",ROUNDUP(SUM(V849:V850)*(1+L849),0))</f>
        <v/>
      </c>
      <c r="X849" s="259"/>
      <c r="Z849" s="183"/>
      <c r="AA849" s="151"/>
      <c r="AB849" s="151"/>
    </row>
    <row r="850" spans="1:28" s="182" customFormat="1" ht="15" customHeight="1">
      <c r="A850" s="211"/>
      <c r="B850" s="206"/>
      <c r="C850" s="129"/>
      <c r="D850" s="191"/>
      <c r="E850" s="191"/>
      <c r="F850" s="191"/>
      <c r="G850" s="191"/>
      <c r="H850" s="191"/>
      <c r="I850" s="191"/>
      <c r="J850" s="192"/>
      <c r="K850" s="192"/>
      <c r="L850" s="140"/>
      <c r="M850" s="191"/>
      <c r="N850" s="191"/>
      <c r="O850" s="191"/>
      <c r="P850" s="191"/>
      <c r="Q850" s="191"/>
      <c r="R850" s="191"/>
      <c r="S850" s="191"/>
      <c r="T850" s="191"/>
      <c r="U850" s="191"/>
      <c r="V850" s="193"/>
      <c r="W850" s="181"/>
      <c r="X850" s="137" t="str">
        <f>IF(AND(H849="-",G849="-",F849="-"),E849,IF(AND(H849="-",G849="-",E849="-"),F849,IF(AND(H849="-",F849="-",E849="-"),G849,H849)))</f>
        <v>-</v>
      </c>
      <c r="Z850" s="183"/>
      <c r="AA850" s="151"/>
      <c r="AB850" s="151"/>
    </row>
    <row r="851" spans="1:28" s="182" customFormat="1" ht="15" customHeight="1">
      <c r="A851" s="211"/>
      <c r="B851" s="209"/>
      <c r="C851" s="129"/>
      <c r="D851" s="191"/>
      <c r="E851" s="191"/>
      <c r="F851" s="191"/>
      <c r="G851" s="191"/>
      <c r="H851" s="191"/>
      <c r="I851" s="191"/>
      <c r="J851" s="192"/>
      <c r="K851" s="192"/>
      <c r="L851" s="140"/>
      <c r="M851" s="191"/>
      <c r="N851" s="191"/>
      <c r="O851" s="191"/>
      <c r="P851" s="191"/>
      <c r="Q851" s="191"/>
      <c r="R851" s="191"/>
      <c r="S851" s="191"/>
      <c r="T851" s="191"/>
      <c r="U851" s="191"/>
      <c r="V851" s="193"/>
      <c r="W851" s="181"/>
      <c r="X851" s="137" t="s">
        <v>2</v>
      </c>
      <c r="Z851" s="183"/>
      <c r="AA851" s="152"/>
      <c r="AB851" s="151"/>
    </row>
    <row r="852" spans="1:28" ht="15" customHeight="1">
      <c r="A852" s="211"/>
      <c r="B852" s="127"/>
      <c r="C852" s="165"/>
      <c r="D852" s="166"/>
      <c r="E852" s="166"/>
      <c r="F852" s="166"/>
      <c r="G852" s="166"/>
      <c r="H852" s="166"/>
      <c r="I852" s="166"/>
      <c r="J852" s="167"/>
      <c r="K852" s="167"/>
      <c r="L852" s="168"/>
      <c r="M852" s="166"/>
      <c r="N852" s="166"/>
      <c r="O852" s="166"/>
      <c r="P852" s="166"/>
      <c r="Q852" s="166"/>
      <c r="R852" s="166"/>
      <c r="S852" s="166"/>
      <c r="T852" s="166"/>
      <c r="U852" s="166"/>
      <c r="V852" s="169"/>
      <c r="W852" s="170"/>
      <c r="X852" s="171"/>
    </row>
    <row r="853" spans="1:28" s="182" customFormat="1" ht="15" customHeight="1" thickBot="1">
      <c r="A853" s="211"/>
      <c r="B853" s="275" t="s">
        <v>1007</v>
      </c>
      <c r="C853" s="276"/>
      <c r="D853" s="277"/>
      <c r="E853" s="277"/>
      <c r="F853" s="277"/>
      <c r="G853" s="277"/>
      <c r="H853" s="277"/>
      <c r="I853" s="277"/>
      <c r="J853" s="278"/>
      <c r="K853" s="278"/>
      <c r="L853" s="279"/>
      <c r="M853" s="277"/>
      <c r="N853" s="277"/>
      <c r="O853" s="277"/>
      <c r="P853" s="277"/>
      <c r="Q853" s="277"/>
      <c r="R853" s="277" t="s">
        <v>632</v>
      </c>
      <c r="S853" s="280" t="s">
        <v>633</v>
      </c>
      <c r="T853" s="277" t="s">
        <v>634</v>
      </c>
      <c r="U853" s="277" t="s">
        <v>38</v>
      </c>
      <c r="V853" s="281" t="s">
        <v>27</v>
      </c>
      <c r="W853" s="282"/>
      <c r="X853" s="283"/>
      <c r="Z853" s="183"/>
      <c r="AA853" s="183"/>
    </row>
    <row r="854" spans="1:28" s="182" customFormat="1" ht="15" customHeight="1" thickBot="1">
      <c r="A854" s="211"/>
      <c r="B854" s="206"/>
      <c r="C854" s="129">
        <f>SUMIF(Densidades!A:A,'Memória TOTAL'!X854,Densidades!B:B)</f>
        <v>0</v>
      </c>
      <c r="D854" s="130">
        <f>SUMIF(Densidades!A:A,'Memória TOTAL'!X854,Densidades!C:C)</f>
        <v>0</v>
      </c>
      <c r="E854" s="130" t="str">
        <f>IF(I854=15,"FIRECLAY MORTAR",IF(I854=16,"ALUMINA MORTAR",IF(I854=17,"BASIC MORTAR",IF(I854=18,"MORTAR","-"))))</f>
        <v>-</v>
      </c>
      <c r="F854" s="130" t="str">
        <f>IF(I854=15,"FIRECLAY MORTAR",IF(I854=16,"ALUMINA MORTAR",IF(I854=17,"BASIC MORTAR",IF(I854=18,"MORTAR","-"))))</f>
        <v>-</v>
      </c>
      <c r="G854" s="130" t="str">
        <f>IF(I854=15,"FIRECLAY MORTAR",IF(I854=16,"ALUMINA MORTAR",IF(I854=17,"BASIC MORTAR",IF(I854=18,"MORTAR","-"))))</f>
        <v>-</v>
      </c>
      <c r="H854" s="130" t="str">
        <f>IF(I854=15,"FIRECLAY MORTAR",IF(I854=16,"ALUMINA MORTAR",IF(I854=17,"BASIC MORTAR",IF(I854=18,"MORTAR","-"))))</f>
        <v>-</v>
      </c>
      <c r="I854" s="130">
        <f>SUMIF(Densidades!A:A,'Memória TOTAL'!X854,Densidades!G:G)</f>
        <v>0</v>
      </c>
      <c r="J854" s="132">
        <f>SUMIF(Formatos!A:A,'Memória TOTAL'!X855,Formatos!G:G)</f>
        <v>0</v>
      </c>
      <c r="K854" s="218">
        <f>SUMIF(Densidades!A:A,'Memória TOTAL'!X854,Densidades!I:I)</f>
        <v>0</v>
      </c>
      <c r="L854" s="184">
        <v>0</v>
      </c>
      <c r="M854" s="185"/>
      <c r="N854" s="185"/>
      <c r="O854" s="185"/>
      <c r="P854" s="185"/>
      <c r="Q854" s="185"/>
      <c r="R854" s="186">
        <f>((G786*H786)+(G786*E786)+(H786*E786))/1000000</f>
        <v>0</v>
      </c>
      <c r="S854" s="255">
        <v>2</v>
      </c>
      <c r="T854" s="186">
        <f>R854*S854</f>
        <v>0</v>
      </c>
      <c r="U854" s="187">
        <f>SUM(W786:W791)</f>
        <v>0</v>
      </c>
      <c r="V854" s="188">
        <f>(T854*C854*(1+L854))*U854</f>
        <v>0</v>
      </c>
      <c r="W854" s="189" t="str">
        <f>IF(C854=0,"",ROUNDUP(SUM(V854:V855)*(1+L854),0))</f>
        <v/>
      </c>
      <c r="X854" s="259"/>
      <c r="Z854" s="183"/>
      <c r="AA854" s="183"/>
    </row>
    <row r="855" spans="1:28" s="182" customFormat="1" ht="15" customHeight="1">
      <c r="A855" s="211"/>
      <c r="B855" s="206"/>
      <c r="C855" s="129"/>
      <c r="D855" s="191"/>
      <c r="E855" s="191"/>
      <c r="F855" s="191"/>
      <c r="G855" s="191"/>
      <c r="H855" s="191"/>
      <c r="I855" s="191"/>
      <c r="J855" s="192"/>
      <c r="K855" s="192"/>
      <c r="L855" s="140"/>
      <c r="M855" s="191"/>
      <c r="N855" s="191"/>
      <c r="O855" s="191"/>
      <c r="P855" s="191"/>
      <c r="Q855" s="191"/>
      <c r="R855" s="191"/>
      <c r="S855" s="191"/>
      <c r="T855" s="191"/>
      <c r="U855" s="191"/>
      <c r="V855" s="193"/>
      <c r="W855" s="181"/>
      <c r="X855" s="137" t="str">
        <f>IF(AND(H854="-",G854="-",F854="-"),E854,IF(AND(H854="-",G854="-",E854="-"),F854,IF(AND(H854="-",F854="-",E854="-"),G854,H854)))</f>
        <v>-</v>
      </c>
      <c r="Z855" s="183"/>
      <c r="AA855" s="183"/>
    </row>
    <row r="856" spans="1:28" s="182" customFormat="1" ht="15" customHeight="1">
      <c r="A856" s="211"/>
      <c r="B856" s="209"/>
      <c r="C856" s="129"/>
      <c r="D856" s="191"/>
      <c r="E856" s="191"/>
      <c r="F856" s="191"/>
      <c r="G856" s="191"/>
      <c r="H856" s="191"/>
      <c r="I856" s="191"/>
      <c r="J856" s="192"/>
      <c r="K856" s="192"/>
      <c r="L856" s="140"/>
      <c r="M856" s="191"/>
      <c r="N856" s="191"/>
      <c r="O856" s="191"/>
      <c r="P856" s="191"/>
      <c r="Q856" s="191"/>
      <c r="R856" s="191"/>
      <c r="S856" s="191"/>
      <c r="T856" s="191"/>
      <c r="U856" s="191"/>
      <c r="V856" s="193"/>
      <c r="W856" s="181"/>
      <c r="X856" s="137" t="s">
        <v>2</v>
      </c>
      <c r="Z856" s="183"/>
      <c r="AA856" s="183"/>
    </row>
    <row r="857" spans="1:28" s="182" customFormat="1" ht="15" customHeight="1">
      <c r="A857" s="211"/>
      <c r="B857" s="209"/>
      <c r="C857" s="129"/>
      <c r="D857" s="191"/>
      <c r="E857" s="191"/>
      <c r="F857" s="191"/>
      <c r="G857" s="191"/>
      <c r="H857" s="191"/>
      <c r="I857" s="191"/>
      <c r="J857" s="192"/>
      <c r="K857" s="192"/>
      <c r="L857" s="140"/>
      <c r="M857" s="191"/>
      <c r="N857" s="191"/>
      <c r="O857" s="191"/>
      <c r="P857" s="191"/>
      <c r="Q857" s="191"/>
      <c r="R857" s="191"/>
      <c r="S857" s="191"/>
      <c r="T857" s="191"/>
      <c r="U857" s="191"/>
      <c r="V857" s="193"/>
      <c r="W857" s="181"/>
      <c r="X857" s="137"/>
      <c r="Z857" s="183"/>
      <c r="AA857" s="183"/>
    </row>
    <row r="858" spans="1:28" s="182" customFormat="1" ht="15" customHeight="1" thickBot="1">
      <c r="A858" s="211"/>
      <c r="B858" s="505"/>
      <c r="C858" s="505"/>
      <c r="D858" s="508"/>
      <c r="E858" s="508"/>
      <c r="F858" s="508"/>
      <c r="G858" s="508"/>
      <c r="H858" s="508"/>
      <c r="I858" s="508"/>
      <c r="J858" s="508"/>
      <c r="K858" s="508"/>
      <c r="L858" s="508"/>
      <c r="M858" s="508"/>
      <c r="N858" s="508"/>
      <c r="O858" s="508"/>
      <c r="P858" s="508"/>
      <c r="Q858" s="508"/>
      <c r="R858" s="508"/>
      <c r="S858" s="508"/>
      <c r="T858" s="508"/>
      <c r="U858" s="508"/>
      <c r="V858" s="508"/>
      <c r="W858" s="508"/>
      <c r="X858" s="509"/>
      <c r="Y858" s="507"/>
      <c r="Z858" s="183"/>
      <c r="AA858" s="183"/>
    </row>
    <row r="859" spans="1:28" ht="15" customHeight="1" thickBot="1">
      <c r="A859" s="274"/>
      <c r="B859" s="498" t="str">
        <f>IF(X860="","COMPOSIÇÃO CONE 2 TIJOLOS",X860)</f>
        <v>COMPOSIÇÃO CONE 2 TIJOLOS</v>
      </c>
      <c r="C859" s="499" t="s">
        <v>101</v>
      </c>
      <c r="D859" s="500" t="s">
        <v>102</v>
      </c>
      <c r="E859" s="500" t="s">
        <v>42</v>
      </c>
      <c r="F859" s="500" t="s">
        <v>42</v>
      </c>
      <c r="G859" s="500" t="s">
        <v>43</v>
      </c>
      <c r="H859" s="500" t="s">
        <v>44</v>
      </c>
      <c r="I859" s="500" t="s">
        <v>47</v>
      </c>
      <c r="J859" s="500" t="s">
        <v>103</v>
      </c>
      <c r="K859" s="500" t="s">
        <v>37</v>
      </c>
      <c r="L859" s="500" t="s">
        <v>39</v>
      </c>
      <c r="M859" s="500" t="s">
        <v>45</v>
      </c>
      <c r="N859" s="500" t="s">
        <v>46</v>
      </c>
      <c r="O859" s="501" t="s">
        <v>106</v>
      </c>
      <c r="P859" s="500" t="s">
        <v>52</v>
      </c>
      <c r="Q859" s="501" t="s">
        <v>53</v>
      </c>
      <c r="R859" s="501" t="s">
        <v>104</v>
      </c>
      <c r="S859" s="500"/>
      <c r="T859" s="500"/>
      <c r="U859" s="500" t="s">
        <v>673</v>
      </c>
      <c r="V859" s="502" t="s">
        <v>27</v>
      </c>
      <c r="W859" s="503"/>
      <c r="X859" s="504"/>
    </row>
    <row r="860" spans="1:28" ht="15" customHeight="1" thickBot="1">
      <c r="A860" s="211"/>
      <c r="B860" s="848" t="s">
        <v>1813</v>
      </c>
      <c r="C860" s="241">
        <f>SUMIF(Densidades!A:A,'Memória TOTAL'!X860,Densidades!B:B)</f>
        <v>0</v>
      </c>
      <c r="D860" s="130">
        <f>SUMIF(Densidades!A:A,'Memória TOTAL'!X860,Densidades!C:C)</f>
        <v>0</v>
      </c>
      <c r="E860" s="131">
        <f>IF(AND(E866=1,E867=2),SUMIF(Formatos!A:A,'Memória TOTAL'!X861,Formatos!D:D),SUMIF(Formatos!A:A,'Memória TOTAL'!X861,Formatos!E:E))</f>
        <v>0</v>
      </c>
      <c r="F860" s="131">
        <f>IF(AND(E866=1,E867=2),SUMIF(Formatos!A:A,'Memória TOTAL'!X861,Formatos!R:R),SUMIF(Formatos!A:A,'Memória TOTAL'!X861,Formatos!F:F))</f>
        <v>0</v>
      </c>
      <c r="G860" s="131">
        <f>SUMIF(Formatos!A:A,'Memória TOTAL'!X861,Formatos!C:C)</f>
        <v>0</v>
      </c>
      <c r="H860" s="131">
        <f>IF(AND(E866=1,E867=2),SUMIF(Formatos!A:A,'Memória TOTAL'!X861,Formatos!E:E),SUMIF(Formatos!A:A,'Memória TOTAL'!X861,Formatos!D:D))</f>
        <v>0</v>
      </c>
      <c r="I860" s="131">
        <f>SUMIF(Densidades!A:A,'Memória TOTAL'!X860,Densidades!H:H)</f>
        <v>0</v>
      </c>
      <c r="J860" s="132">
        <f>SUMIF(Formatos!A:A,'Memória TOTAL'!X861,Formatos!G:G)</f>
        <v>0</v>
      </c>
      <c r="K860" s="133">
        <f>SUMIF(Densidades!A:A,'Memória TOTAL'!X860,Densidades!I:I)</f>
        <v>0</v>
      </c>
      <c r="L860" s="249">
        <v>0</v>
      </c>
      <c r="M860" s="603"/>
      <c r="N860" s="604"/>
      <c r="O860" s="604"/>
      <c r="P860" s="251"/>
      <c r="Q860" s="604"/>
      <c r="R860" s="607" t="s">
        <v>2169</v>
      </c>
      <c r="S860" s="606"/>
      <c r="T860" s="256"/>
      <c r="U860" s="496"/>
      <c r="V860" s="252" t="str">
        <f>IF(M860="","",IF(AND(OR(M860=E860,M860=G860,M860=H860),H860=H864),ROUND(SUM(P871:P921),0),"ESP. ERRADA"))</f>
        <v/>
      </c>
      <c r="W860" s="258" t="str">
        <f>IFERROR(IF(C860=0,"",ROUNDUP(SUM(V860)*(1+L860),0))*U860,"")</f>
        <v/>
      </c>
      <c r="X860" s="497"/>
    </row>
    <row r="861" spans="1:28" s="182" customFormat="1" ht="15" customHeight="1" thickBot="1">
      <c r="A861" s="211"/>
      <c r="B861" s="849"/>
      <c r="C861" s="232"/>
      <c r="D861" s="191"/>
      <c r="E861" s="191"/>
      <c r="F861" s="191"/>
      <c r="G861" s="191"/>
      <c r="H861" s="191"/>
      <c r="I861" s="191"/>
      <c r="J861" s="192"/>
      <c r="K861" s="192"/>
      <c r="L861" s="140"/>
      <c r="M861" s="191"/>
      <c r="N861" s="191"/>
      <c r="O861" s="191"/>
      <c r="P861" s="191"/>
      <c r="Q861" s="191"/>
      <c r="R861" s="191"/>
      <c r="S861" s="191"/>
      <c r="T861" s="191"/>
      <c r="U861" s="191"/>
      <c r="V861" s="193"/>
      <c r="W861" s="181"/>
      <c r="X861" s="137" t="str">
        <f>IF(B866="","",B866)</f>
        <v/>
      </c>
      <c r="Z861" s="183"/>
      <c r="AA861" s="183"/>
    </row>
    <row r="862" spans="1:28" s="182" customFormat="1" ht="15" customHeight="1">
      <c r="A862" s="211"/>
      <c r="B862" s="297"/>
      <c r="C862" s="232"/>
      <c r="D862" s="191"/>
      <c r="E862" s="191"/>
      <c r="F862" s="191"/>
      <c r="G862" s="191"/>
      <c r="H862" s="191"/>
      <c r="I862" s="191"/>
      <c r="J862" s="192"/>
      <c r="K862" s="192"/>
      <c r="L862" s="140"/>
      <c r="M862" s="191"/>
      <c r="N862" s="191"/>
      <c r="O862" s="191"/>
      <c r="P862" s="191"/>
      <c r="Q862" s="191"/>
      <c r="R862" s="191"/>
      <c r="S862" s="191"/>
      <c r="T862" s="191"/>
      <c r="U862" s="191"/>
      <c r="V862" s="193"/>
      <c r="W862" s="181"/>
      <c r="X862" s="137" t="s">
        <v>520</v>
      </c>
      <c r="Z862" s="183"/>
      <c r="AA862" s="183"/>
    </row>
    <row r="863" spans="1:28" s="182" customFormat="1" ht="15" customHeight="1" thickBot="1">
      <c r="A863" s="211"/>
      <c r="B863" s="297"/>
      <c r="C863" s="295" t="str">
        <f t="shared" ref="C863:L863" si="120">C859</f>
        <v>Dens.</v>
      </c>
      <c r="D863" s="178" t="str">
        <f t="shared" si="120"/>
        <v>Emb.</v>
      </c>
      <c r="E863" s="178" t="str">
        <f t="shared" si="120"/>
        <v>Esp. Tij.</v>
      </c>
      <c r="F863" s="178" t="str">
        <f t="shared" si="120"/>
        <v>Esp. Tij.</v>
      </c>
      <c r="G863" s="178" t="str">
        <f t="shared" si="120"/>
        <v>Comp. Tij.</v>
      </c>
      <c r="H863" s="178" t="str">
        <f t="shared" si="120"/>
        <v>Larg. Tij.</v>
      </c>
      <c r="I863" s="178" t="str">
        <f t="shared" si="120"/>
        <v>Tipo Fator</v>
      </c>
      <c r="J863" s="178" t="str">
        <f t="shared" si="120"/>
        <v>Vol.</v>
      </c>
      <c r="K863" s="178" t="str">
        <f t="shared" si="120"/>
        <v>Class.</v>
      </c>
      <c r="L863" s="178" t="str">
        <f t="shared" si="120"/>
        <v>Coefic. (%)</v>
      </c>
      <c r="M863" s="191"/>
      <c r="N863" s="191"/>
      <c r="O863" s="191"/>
      <c r="P863" s="191"/>
      <c r="Q863" s="191"/>
      <c r="R863" s="191"/>
      <c r="S863" s="191"/>
      <c r="T863" s="191"/>
      <c r="U863" s="191"/>
      <c r="V863" s="238"/>
      <c r="W863" s="181"/>
      <c r="X863" s="137"/>
      <c r="Z863" s="183"/>
      <c r="AA863" s="183"/>
    </row>
    <row r="864" spans="1:28" s="182" customFormat="1" ht="15" customHeight="1" thickBot="1">
      <c r="A864" s="211"/>
      <c r="B864" s="298"/>
      <c r="C864" s="241">
        <f>SUMIF(Densidades!A:A,'Memória TOTAL'!X864,Densidades!B:B)</f>
        <v>0</v>
      </c>
      <c r="D864" s="130">
        <f>SUMIF(Densidades!A:A,'Memória TOTAL'!X864,Densidades!C:C)</f>
        <v>620</v>
      </c>
      <c r="E864" s="131">
        <f>SUMIF(Formatos!A:A,'Memória TOTAL'!X865,Formatos!E:E)</f>
        <v>0</v>
      </c>
      <c r="F864" s="131">
        <f>SUMIF(Formatos!A:A,'Memória TOTAL'!X865,Formatos!F:F)</f>
        <v>0</v>
      </c>
      <c r="G864" s="131">
        <f>SUMIF(Formatos!A:A,'Memória TOTAL'!X865,Formatos!C:C)</f>
        <v>0</v>
      </c>
      <c r="H864" s="131">
        <f>SUMIF(Formatos!A:A,'Memória TOTAL'!X865,Formatos!D:D)</f>
        <v>0</v>
      </c>
      <c r="I864" s="131">
        <f>SUMIF(Densidades!A:A,'Memória TOTAL'!X864,Densidades!H:H)</f>
        <v>0</v>
      </c>
      <c r="J864" s="132">
        <f>SUMIF(Formatos!A:A,'Memória TOTAL'!X865,Formatos!G:G)</f>
        <v>0</v>
      </c>
      <c r="K864" s="218">
        <f>SUMIF(Densidades!A:A,'Memória TOTAL'!X864,Densidades!I:I)</f>
        <v>177</v>
      </c>
      <c r="L864" s="219">
        <v>0</v>
      </c>
      <c r="M864" s="191"/>
      <c r="N864" s="191"/>
      <c r="O864" s="191"/>
      <c r="P864" s="191"/>
      <c r="Q864" s="191"/>
      <c r="R864" s="191"/>
      <c r="S864" s="191"/>
      <c r="T864" s="228"/>
      <c r="U864" s="231"/>
      <c r="V864" s="252" t="str">
        <f>IF(M860="","",IF(AND(OR(M860=E864,M860=G864,M860=H864),H860=H864),ROUND(SUM(Q871:Q921),0),"ESP. ERRADA"))</f>
        <v/>
      </c>
      <c r="W864" s="263" t="str">
        <f>IFERROR(IF(C864=0,"",ROUNDUP(SUM(V864)*(1+L864),0))*U860,"")</f>
        <v/>
      </c>
      <c r="X864" s="137" t="str">
        <f>IF(X860="","",X860)</f>
        <v/>
      </c>
      <c r="Z864" s="183"/>
      <c r="AA864" s="183"/>
    </row>
    <row r="865" spans="1:27" s="182" customFormat="1" ht="15" customHeight="1" thickBot="1">
      <c r="A865" s="260"/>
      <c r="B865" s="243" t="s">
        <v>671</v>
      </c>
      <c r="C865" s="232"/>
      <c r="D865" s="191"/>
      <c r="E865" s="191"/>
      <c r="F865" s="191"/>
      <c r="G865" s="191"/>
      <c r="H865" s="191"/>
      <c r="I865" s="191"/>
      <c r="J865" s="192"/>
      <c r="K865" s="192"/>
      <c r="L865" s="140"/>
      <c r="M865" s="191"/>
      <c r="N865" s="191"/>
      <c r="O865" s="191"/>
      <c r="P865" s="191"/>
      <c r="Q865" s="191"/>
      <c r="R865" s="191"/>
      <c r="S865" s="191"/>
      <c r="T865" s="191"/>
      <c r="U865" s="191"/>
      <c r="V865" s="193"/>
      <c r="W865" s="181"/>
      <c r="X865" s="137" t="str">
        <f>IF(B867="","",B867)</f>
        <v/>
      </c>
      <c r="Z865" s="183"/>
      <c r="AA865" s="183"/>
    </row>
    <row r="866" spans="1:27" s="182" customFormat="1" ht="15" customHeight="1" thickBot="1">
      <c r="A866" s="260"/>
      <c r="B866" s="259"/>
      <c r="C866" s="239" t="s">
        <v>54</v>
      </c>
      <c r="D866" s="235"/>
      <c r="E866" s="191">
        <f>SUMIF(Formatos!A:A,'Memória TOTAL'!X861,Formatos!S:S)</f>
        <v>0</v>
      </c>
      <c r="F866" s="191"/>
      <c r="G866" s="191"/>
      <c r="H866" s="236"/>
      <c r="I866" s="236"/>
      <c r="J866" s="192"/>
      <c r="K866" s="192"/>
      <c r="L866" s="140"/>
      <c r="M866" s="191"/>
      <c r="N866" s="191"/>
      <c r="O866" s="145"/>
      <c r="P866" s="145"/>
      <c r="Q866" s="146"/>
      <c r="R866" s="145"/>
      <c r="S866" s="145"/>
      <c r="T866" s="191"/>
      <c r="U866" s="191"/>
      <c r="V866" s="193"/>
      <c r="W866" s="181"/>
      <c r="X866" s="137" t="s">
        <v>520</v>
      </c>
      <c r="Z866" s="183"/>
      <c r="AA866" s="183"/>
    </row>
    <row r="867" spans="1:27" s="182" customFormat="1" ht="15" customHeight="1" thickBot="1">
      <c r="A867" s="260"/>
      <c r="B867" s="259"/>
      <c r="C867" s="239" t="s">
        <v>55</v>
      </c>
      <c r="D867" s="235"/>
      <c r="E867" s="191">
        <f>SUMIF(Formatos!A:A,'Memória TOTAL'!X865,Formatos!S:S)</f>
        <v>0</v>
      </c>
      <c r="F867" s="191"/>
      <c r="G867" s="191"/>
      <c r="H867" s="236"/>
      <c r="I867" s="236"/>
      <c r="J867" s="192"/>
      <c r="K867" s="192"/>
      <c r="L867" s="140"/>
      <c r="M867" s="191"/>
      <c r="N867" s="191"/>
      <c r="O867" s="147"/>
      <c r="P867" s="147"/>
      <c r="Q867" s="153"/>
      <c r="R867" s="147"/>
      <c r="S867" s="147"/>
      <c r="T867" s="191"/>
      <c r="U867" s="191"/>
      <c r="V867" s="193"/>
      <c r="W867" s="227"/>
      <c r="X867" s="137"/>
      <c r="Z867" s="183"/>
      <c r="AA867" s="183"/>
    </row>
    <row r="868" spans="1:27" s="151" customFormat="1" ht="15" customHeight="1" thickBot="1">
      <c r="A868" s="244"/>
      <c r="B868" s="243" t="s">
        <v>672</v>
      </c>
      <c r="C868" s="232"/>
      <c r="D868" s="191"/>
      <c r="E868" s="191"/>
      <c r="F868" s="191"/>
      <c r="G868" s="191"/>
      <c r="H868" s="191"/>
      <c r="I868" s="191"/>
      <c r="J868" s="192"/>
      <c r="K868" s="192"/>
      <c r="L868" s="191"/>
      <c r="M868" s="191"/>
      <c r="N868" s="191"/>
      <c r="O868" s="191"/>
      <c r="P868" s="191"/>
      <c r="Q868" s="191"/>
      <c r="R868" s="191"/>
      <c r="S868" s="191"/>
      <c r="T868" s="147"/>
      <c r="U868" s="147"/>
      <c r="V868" s="148"/>
      <c r="W868" s="149"/>
      <c r="X868" s="150"/>
      <c r="Z868" s="152"/>
      <c r="AA868" s="152"/>
    </row>
    <row r="869" spans="1:27" s="151" customFormat="1" ht="15" customHeight="1" thickBot="1">
      <c r="A869" s="244"/>
      <c r="B869" s="840"/>
      <c r="C869" s="232"/>
      <c r="D869" s="191"/>
      <c r="E869" s="191"/>
      <c r="F869" s="191"/>
      <c r="G869" s="191"/>
      <c r="H869" s="191"/>
      <c r="I869" s="191"/>
      <c r="J869" s="192"/>
      <c r="K869" s="192"/>
      <c r="L869" s="191"/>
      <c r="M869" s="191"/>
      <c r="N869" s="191"/>
      <c r="O869" s="237"/>
      <c r="P869" s="191"/>
      <c r="Q869" s="191"/>
      <c r="R869" s="191"/>
      <c r="S869" s="842" t="s">
        <v>1070</v>
      </c>
      <c r="T869" s="843"/>
      <c r="U869" s="147"/>
      <c r="V869" s="148"/>
      <c r="W869" s="149"/>
      <c r="X869" s="150"/>
      <c r="Z869" s="152"/>
      <c r="AA869" s="152"/>
    </row>
    <row r="870" spans="1:27" s="182" customFormat="1" ht="15" customHeight="1" thickBot="1">
      <c r="A870" s="211"/>
      <c r="B870" s="841"/>
      <c r="C870" s="293" t="s">
        <v>985</v>
      </c>
      <c r="D870" s="191" t="s">
        <v>2170</v>
      </c>
      <c r="E870" s="191" t="s">
        <v>22</v>
      </c>
      <c r="F870" s="191" t="s">
        <v>48</v>
      </c>
      <c r="G870" s="191" t="s">
        <v>982</v>
      </c>
      <c r="H870" s="191" t="s">
        <v>983</v>
      </c>
      <c r="I870" s="191" t="s">
        <v>981</v>
      </c>
      <c r="J870" s="192" t="s">
        <v>45</v>
      </c>
      <c r="K870" s="192" t="s">
        <v>46</v>
      </c>
      <c r="L870" s="191" t="s">
        <v>2172</v>
      </c>
      <c r="M870" s="192" t="s">
        <v>2173</v>
      </c>
      <c r="N870" s="191"/>
      <c r="O870" s="605" t="s">
        <v>53</v>
      </c>
      <c r="P870" s="232" t="s">
        <v>54</v>
      </c>
      <c r="Q870" s="191" t="s">
        <v>55</v>
      </c>
      <c r="R870" s="191"/>
      <c r="S870" s="293" t="s">
        <v>985</v>
      </c>
      <c r="T870" s="191" t="s">
        <v>984</v>
      </c>
      <c r="U870" s="191"/>
      <c r="V870" s="193"/>
      <c r="W870" s="181"/>
      <c r="X870" s="137"/>
      <c r="Z870" s="183"/>
      <c r="AA870" s="183"/>
    </row>
    <row r="871" spans="1:27" s="182" customFormat="1" ht="15" customHeight="1">
      <c r="A871" s="211"/>
      <c r="B871" s="209" t="s">
        <v>388</v>
      </c>
      <c r="C871" s="293">
        <f>O860</f>
        <v>0</v>
      </c>
      <c r="D871" s="623">
        <f>Q860</f>
        <v>0</v>
      </c>
      <c r="E871" s="623">
        <f>E860</f>
        <v>0</v>
      </c>
      <c r="F871" s="623">
        <f>F860</f>
        <v>0</v>
      </c>
      <c r="G871" s="623">
        <f>E864</f>
        <v>0</v>
      </c>
      <c r="H871" s="623">
        <f>F864</f>
        <v>0</v>
      </c>
      <c r="I871" s="623">
        <f>IF(M860=G860,H860,IF(M860=H860,G860,"Espessura Errada"))</f>
        <v>0</v>
      </c>
      <c r="J871" s="623">
        <f>M860</f>
        <v>0</v>
      </c>
      <c r="K871" s="623">
        <f>N860</f>
        <v>0</v>
      </c>
      <c r="L871" s="624" t="e">
        <f t="shared" ref="L871:L920" si="121">(1/(-(E871+K871)*(H871+K871)+(F871+K871)*(G871+K871)))*3.1416*(-C871*(H871+K871)+(C871-(J871*2))*(G871+K871))</f>
        <v>#DIV/0!</v>
      </c>
      <c r="M871" s="624" t="e">
        <f t="shared" ref="M871:M920" si="122">((C871*PI())-(L871*(E871+K871)))/(G871+K871)</f>
        <v>#DIV/0!</v>
      </c>
      <c r="N871" s="191"/>
      <c r="O871" s="608">
        <v>360</v>
      </c>
      <c r="P871" s="232" t="e">
        <f t="shared" ref="P871:P920" si="123">IF(L871/360*O871-ROUNDDOWN(L871/360*O871,0)&gt;M871/360*O871-ROUNDDOWN(M871/360*O871,0),ROUNDUP(L871/360*O871,0),ROUNDUP(SUM(L871/360*O871,M871/360*O871),0)-ROUNDUP(M871/360*O871,0))</f>
        <v>#DIV/0!</v>
      </c>
      <c r="Q871" s="191" t="e">
        <f t="shared" ref="Q871:Q920" si="124">IF(M871/360*O871-ROUNDDOWN(M871/360*O871,0)&gt;L871/360*O871-ROUNDDOWN(L871/360*O871,0),ROUNDUP(M871/360*O871,0),ROUNDUP(SUM(L871/360*O871,M871/360*O871),0)-ROUNDUP(L871/360*O871,0))</f>
        <v>#DIV/0!</v>
      </c>
      <c r="R871" s="191"/>
      <c r="S871" s="323" t="e">
        <f t="shared" ref="S871:S920" si="125">((E871*(L871+K871)+G871*(M871+K871))/PI()-C871)/(P871+Q871)</f>
        <v>#DIV/0!</v>
      </c>
      <c r="T871" s="323" t="e">
        <f t="shared" ref="T871:T895" si="126">((F871*(L871+K871)+H871*(M871+K871))/PI()-(C871-(J871*2)))/(P871+Q871)</f>
        <v>#DIV/0!</v>
      </c>
      <c r="U871" s="191"/>
      <c r="V871" s="193"/>
      <c r="W871" s="181"/>
      <c r="X871" s="137"/>
      <c r="Z871" s="183"/>
      <c r="AA871" s="183"/>
    </row>
    <row r="872" spans="1:27" s="182" customFormat="1" ht="15" customHeight="1">
      <c r="A872" s="211"/>
      <c r="B872" s="209" t="s">
        <v>980</v>
      </c>
      <c r="C872" s="294">
        <f>IF(R860="Inclinado",C871+2*SIN(RADIANS(Q860))*(I872+K872),C871+2*TAN(RADIANS(Q860))*(I872+K872))</f>
        <v>0</v>
      </c>
      <c r="D872" s="623">
        <f t="shared" ref="D872:K887" si="127">D871</f>
        <v>0</v>
      </c>
      <c r="E872" s="623">
        <f t="shared" si="127"/>
        <v>0</v>
      </c>
      <c r="F872" s="623">
        <f t="shared" si="127"/>
        <v>0</v>
      </c>
      <c r="G872" s="623">
        <f t="shared" si="127"/>
        <v>0</v>
      </c>
      <c r="H872" s="623">
        <f t="shared" si="127"/>
        <v>0</v>
      </c>
      <c r="I872" s="623">
        <f t="shared" si="127"/>
        <v>0</v>
      </c>
      <c r="J872" s="623">
        <f t="shared" si="127"/>
        <v>0</v>
      </c>
      <c r="K872" s="623">
        <f t="shared" si="127"/>
        <v>0</v>
      </c>
      <c r="L872" s="624" t="e">
        <f t="shared" si="121"/>
        <v>#DIV/0!</v>
      </c>
      <c r="M872" s="624" t="e">
        <f t="shared" si="122"/>
        <v>#DIV/0!</v>
      </c>
      <c r="N872" s="191"/>
      <c r="O872" s="609">
        <f>O871</f>
        <v>360</v>
      </c>
      <c r="P872" s="232" t="e">
        <f t="shared" si="123"/>
        <v>#DIV/0!</v>
      </c>
      <c r="Q872" s="191" t="e">
        <f t="shared" si="124"/>
        <v>#DIV/0!</v>
      </c>
      <c r="R872" s="191"/>
      <c r="S872" s="323" t="e">
        <f t="shared" si="125"/>
        <v>#DIV/0!</v>
      </c>
      <c r="T872" s="323" t="e">
        <f t="shared" si="126"/>
        <v>#DIV/0!</v>
      </c>
      <c r="U872" s="191"/>
      <c r="V872" s="193"/>
      <c r="W872" s="181"/>
      <c r="X872" s="137"/>
      <c r="Z872" s="183"/>
      <c r="AA872" s="183"/>
    </row>
    <row r="873" spans="1:27" s="182" customFormat="1" ht="15" customHeight="1">
      <c r="A873" s="211"/>
      <c r="B873" s="209" t="s">
        <v>389</v>
      </c>
      <c r="C873" s="294">
        <f>IF(R860="Inclinado",C872+2*SIN(RADIANS(Q860))*(I872+N860),C872+2*TAN(RADIANS(Q860))*(I872+N860))</f>
        <v>0</v>
      </c>
      <c r="D873" s="623">
        <f t="shared" si="127"/>
        <v>0</v>
      </c>
      <c r="E873" s="623">
        <f t="shared" si="127"/>
        <v>0</v>
      </c>
      <c r="F873" s="623">
        <f t="shared" si="127"/>
        <v>0</v>
      </c>
      <c r="G873" s="623">
        <f t="shared" si="127"/>
        <v>0</v>
      </c>
      <c r="H873" s="623">
        <f t="shared" si="127"/>
        <v>0</v>
      </c>
      <c r="I873" s="623">
        <f t="shared" si="127"/>
        <v>0</v>
      </c>
      <c r="J873" s="623">
        <f t="shared" si="127"/>
        <v>0</v>
      </c>
      <c r="K873" s="623">
        <f t="shared" si="127"/>
        <v>0</v>
      </c>
      <c r="L873" s="624" t="e">
        <f t="shared" si="121"/>
        <v>#DIV/0!</v>
      </c>
      <c r="M873" s="624" t="e">
        <f t="shared" si="122"/>
        <v>#DIV/0!</v>
      </c>
      <c r="N873" s="191"/>
      <c r="O873" s="609">
        <f t="shared" ref="O873:O920" si="128">O872</f>
        <v>360</v>
      </c>
      <c r="P873" s="232" t="e">
        <f t="shared" si="123"/>
        <v>#DIV/0!</v>
      </c>
      <c r="Q873" s="191" t="e">
        <f t="shared" si="124"/>
        <v>#DIV/0!</v>
      </c>
      <c r="R873" s="191"/>
      <c r="S873" s="323" t="e">
        <f t="shared" si="125"/>
        <v>#DIV/0!</v>
      </c>
      <c r="T873" s="323" t="e">
        <f t="shared" si="126"/>
        <v>#DIV/0!</v>
      </c>
      <c r="U873" s="191"/>
      <c r="V873" s="193"/>
      <c r="W873" s="181"/>
      <c r="X873" s="137"/>
      <c r="Z873" s="183"/>
      <c r="AA873" s="183"/>
    </row>
    <row r="874" spans="1:27" s="182" customFormat="1" ht="15" customHeight="1">
      <c r="A874" s="211"/>
      <c r="B874" s="209" t="s">
        <v>390</v>
      </c>
      <c r="C874" s="294">
        <f>IF(R860="Inclinado",C873+2*SIN(RADIANS(Q860))*(I873+N860),C873+2*TAN(RADIANS(Q860))*(I873+N860))</f>
        <v>0</v>
      </c>
      <c r="D874" s="623">
        <f t="shared" si="127"/>
        <v>0</v>
      </c>
      <c r="E874" s="623">
        <f t="shared" si="127"/>
        <v>0</v>
      </c>
      <c r="F874" s="623">
        <f t="shared" si="127"/>
        <v>0</v>
      </c>
      <c r="G874" s="623">
        <f t="shared" si="127"/>
        <v>0</v>
      </c>
      <c r="H874" s="623">
        <f t="shared" si="127"/>
        <v>0</v>
      </c>
      <c r="I874" s="623">
        <f t="shared" si="127"/>
        <v>0</v>
      </c>
      <c r="J874" s="623">
        <f t="shared" si="127"/>
        <v>0</v>
      </c>
      <c r="K874" s="623">
        <f t="shared" si="127"/>
        <v>0</v>
      </c>
      <c r="L874" s="624" t="e">
        <f t="shared" si="121"/>
        <v>#DIV/0!</v>
      </c>
      <c r="M874" s="624" t="e">
        <f t="shared" si="122"/>
        <v>#DIV/0!</v>
      </c>
      <c r="N874" s="191"/>
      <c r="O874" s="609">
        <f t="shared" si="128"/>
        <v>360</v>
      </c>
      <c r="P874" s="232" t="e">
        <f t="shared" si="123"/>
        <v>#DIV/0!</v>
      </c>
      <c r="Q874" s="191" t="e">
        <f t="shared" si="124"/>
        <v>#DIV/0!</v>
      </c>
      <c r="R874" s="191"/>
      <c r="S874" s="323" t="e">
        <f t="shared" si="125"/>
        <v>#DIV/0!</v>
      </c>
      <c r="T874" s="323" t="e">
        <f t="shared" si="126"/>
        <v>#DIV/0!</v>
      </c>
      <c r="U874" s="191"/>
      <c r="V874" s="193"/>
      <c r="W874" s="181"/>
      <c r="X874" s="137"/>
      <c r="Z874" s="183"/>
      <c r="AA874" s="183"/>
    </row>
    <row r="875" spans="1:27" s="182" customFormat="1" ht="15" customHeight="1">
      <c r="A875" s="211"/>
      <c r="B875" s="209" t="s">
        <v>391</v>
      </c>
      <c r="C875" s="294">
        <f>IF(R860="Inclinado",C874+2*SIN(RADIANS(Q860))*(I874+N860),C874+2*TAN(RADIANS(Q860))*(I874+N860))</f>
        <v>0</v>
      </c>
      <c r="D875" s="623">
        <f t="shared" si="127"/>
        <v>0</v>
      </c>
      <c r="E875" s="623">
        <f t="shared" si="127"/>
        <v>0</v>
      </c>
      <c r="F875" s="623">
        <f t="shared" si="127"/>
        <v>0</v>
      </c>
      <c r="G875" s="623">
        <f t="shared" si="127"/>
        <v>0</v>
      </c>
      <c r="H875" s="623">
        <f t="shared" si="127"/>
        <v>0</v>
      </c>
      <c r="I875" s="623">
        <f t="shared" si="127"/>
        <v>0</v>
      </c>
      <c r="J875" s="623">
        <f t="shared" si="127"/>
        <v>0</v>
      </c>
      <c r="K875" s="623">
        <f t="shared" si="127"/>
        <v>0</v>
      </c>
      <c r="L875" s="624" t="e">
        <f t="shared" si="121"/>
        <v>#DIV/0!</v>
      </c>
      <c r="M875" s="624" t="e">
        <f t="shared" si="122"/>
        <v>#DIV/0!</v>
      </c>
      <c r="N875" s="191"/>
      <c r="O875" s="609">
        <f t="shared" si="128"/>
        <v>360</v>
      </c>
      <c r="P875" s="232" t="e">
        <f t="shared" si="123"/>
        <v>#DIV/0!</v>
      </c>
      <c r="Q875" s="191" t="e">
        <f t="shared" si="124"/>
        <v>#DIV/0!</v>
      </c>
      <c r="R875" s="191"/>
      <c r="S875" s="323" t="e">
        <f t="shared" si="125"/>
        <v>#DIV/0!</v>
      </c>
      <c r="T875" s="323" t="e">
        <f t="shared" si="126"/>
        <v>#DIV/0!</v>
      </c>
      <c r="U875" s="191"/>
      <c r="V875" s="193"/>
      <c r="W875" s="181"/>
      <c r="X875" s="137"/>
      <c r="Z875" s="183"/>
      <c r="AA875" s="183"/>
    </row>
    <row r="876" spans="1:27" s="182" customFormat="1" ht="15" customHeight="1">
      <c r="A876" s="211"/>
      <c r="B876" s="209" t="s">
        <v>392</v>
      </c>
      <c r="C876" s="294">
        <f>IF(R860="Inclinado",C875+2*SIN(RADIANS(Q860))*(I875+N860),C875+2*TAN(RADIANS(Q860))*(I875+N860))</f>
        <v>0</v>
      </c>
      <c r="D876" s="623">
        <f t="shared" si="127"/>
        <v>0</v>
      </c>
      <c r="E876" s="623">
        <f t="shared" si="127"/>
        <v>0</v>
      </c>
      <c r="F876" s="623">
        <f t="shared" si="127"/>
        <v>0</v>
      </c>
      <c r="G876" s="623">
        <f t="shared" si="127"/>
        <v>0</v>
      </c>
      <c r="H876" s="623">
        <f t="shared" si="127"/>
        <v>0</v>
      </c>
      <c r="I876" s="623">
        <f t="shared" si="127"/>
        <v>0</v>
      </c>
      <c r="J876" s="623">
        <f t="shared" si="127"/>
        <v>0</v>
      </c>
      <c r="K876" s="623">
        <f t="shared" si="127"/>
        <v>0</v>
      </c>
      <c r="L876" s="624" t="e">
        <f t="shared" si="121"/>
        <v>#DIV/0!</v>
      </c>
      <c r="M876" s="624" t="e">
        <f t="shared" si="122"/>
        <v>#DIV/0!</v>
      </c>
      <c r="N876" s="191"/>
      <c r="O876" s="609">
        <f t="shared" si="128"/>
        <v>360</v>
      </c>
      <c r="P876" s="232" t="e">
        <f t="shared" si="123"/>
        <v>#DIV/0!</v>
      </c>
      <c r="Q876" s="191" t="e">
        <f t="shared" si="124"/>
        <v>#DIV/0!</v>
      </c>
      <c r="R876" s="191"/>
      <c r="S876" s="323" t="e">
        <f t="shared" si="125"/>
        <v>#DIV/0!</v>
      </c>
      <c r="T876" s="323" t="e">
        <f t="shared" si="126"/>
        <v>#DIV/0!</v>
      </c>
      <c r="U876" s="191"/>
      <c r="V876" s="193"/>
      <c r="W876" s="181"/>
      <c r="X876" s="137"/>
      <c r="Z876" s="183"/>
      <c r="AA876" s="183"/>
    </row>
    <row r="877" spans="1:27" s="182" customFormat="1" ht="15" customHeight="1">
      <c r="A877" s="211"/>
      <c r="B877" s="209" t="s">
        <v>393</v>
      </c>
      <c r="C877" s="294">
        <f>IF(R860="Inclinado",C876+2*SIN(RADIANS(Q860))*(I876+N860),C876+2*TAN(RADIANS(Q860))*(I876+N860))</f>
        <v>0</v>
      </c>
      <c r="D877" s="623">
        <f t="shared" si="127"/>
        <v>0</v>
      </c>
      <c r="E877" s="623">
        <f t="shared" si="127"/>
        <v>0</v>
      </c>
      <c r="F877" s="623">
        <f t="shared" si="127"/>
        <v>0</v>
      </c>
      <c r="G877" s="623">
        <f t="shared" si="127"/>
        <v>0</v>
      </c>
      <c r="H877" s="623">
        <f t="shared" si="127"/>
        <v>0</v>
      </c>
      <c r="I877" s="623">
        <f t="shared" si="127"/>
        <v>0</v>
      </c>
      <c r="J877" s="623">
        <f t="shared" si="127"/>
        <v>0</v>
      </c>
      <c r="K877" s="623">
        <f t="shared" si="127"/>
        <v>0</v>
      </c>
      <c r="L877" s="624" t="e">
        <f t="shared" si="121"/>
        <v>#DIV/0!</v>
      </c>
      <c r="M877" s="624" t="e">
        <f t="shared" si="122"/>
        <v>#DIV/0!</v>
      </c>
      <c r="N877" s="191"/>
      <c r="O877" s="609">
        <f t="shared" si="128"/>
        <v>360</v>
      </c>
      <c r="P877" s="232" t="e">
        <f t="shared" si="123"/>
        <v>#DIV/0!</v>
      </c>
      <c r="Q877" s="191" t="e">
        <f t="shared" si="124"/>
        <v>#DIV/0!</v>
      </c>
      <c r="R877" s="191"/>
      <c r="S877" s="323" t="e">
        <f t="shared" si="125"/>
        <v>#DIV/0!</v>
      </c>
      <c r="T877" s="323" t="e">
        <f t="shared" si="126"/>
        <v>#DIV/0!</v>
      </c>
      <c r="U877" s="191"/>
      <c r="V877" s="193"/>
      <c r="W877" s="181"/>
      <c r="X877" s="137"/>
      <c r="Z877" s="183"/>
      <c r="AA877" s="183"/>
    </row>
    <row r="878" spans="1:27" s="182" customFormat="1" ht="15" customHeight="1">
      <c r="A878" s="211"/>
      <c r="B878" s="209" t="s">
        <v>394</v>
      </c>
      <c r="C878" s="294">
        <f>IF(R860="Inclinado",C877+2*SIN(RADIANS(Q860))*(I877+N860),C877+2*TAN(RADIANS(Q860))*(I877+N860))</f>
        <v>0</v>
      </c>
      <c r="D878" s="623">
        <f t="shared" si="127"/>
        <v>0</v>
      </c>
      <c r="E878" s="623">
        <f t="shared" si="127"/>
        <v>0</v>
      </c>
      <c r="F878" s="623">
        <f t="shared" si="127"/>
        <v>0</v>
      </c>
      <c r="G878" s="623">
        <f t="shared" si="127"/>
        <v>0</v>
      </c>
      <c r="H878" s="623">
        <f t="shared" si="127"/>
        <v>0</v>
      </c>
      <c r="I878" s="623">
        <f t="shared" si="127"/>
        <v>0</v>
      </c>
      <c r="J878" s="623">
        <f t="shared" si="127"/>
        <v>0</v>
      </c>
      <c r="K878" s="623">
        <f t="shared" si="127"/>
        <v>0</v>
      </c>
      <c r="L878" s="624" t="e">
        <f t="shared" si="121"/>
        <v>#DIV/0!</v>
      </c>
      <c r="M878" s="624" t="e">
        <f t="shared" si="122"/>
        <v>#DIV/0!</v>
      </c>
      <c r="N878" s="191"/>
      <c r="O878" s="609">
        <f t="shared" si="128"/>
        <v>360</v>
      </c>
      <c r="P878" s="232" t="e">
        <f t="shared" si="123"/>
        <v>#DIV/0!</v>
      </c>
      <c r="Q878" s="191" t="e">
        <f t="shared" si="124"/>
        <v>#DIV/0!</v>
      </c>
      <c r="R878" s="191"/>
      <c r="S878" s="323" t="e">
        <f t="shared" si="125"/>
        <v>#DIV/0!</v>
      </c>
      <c r="T878" s="323" t="e">
        <f t="shared" si="126"/>
        <v>#DIV/0!</v>
      </c>
      <c r="U878" s="191"/>
      <c r="V878" s="193"/>
      <c r="W878" s="181"/>
      <c r="X878" s="137"/>
      <c r="Z878" s="183"/>
      <c r="AA878" s="183"/>
    </row>
    <row r="879" spans="1:27" s="182" customFormat="1" ht="15" customHeight="1">
      <c r="A879" s="211"/>
      <c r="B879" s="209" t="s">
        <v>395</v>
      </c>
      <c r="C879" s="294">
        <f>IF(R860="Inclinado",C878+2*SIN(RADIANS(Q860))*(I878+N860),C878+2*TAN(RADIANS(Q860))*(I878+N860))</f>
        <v>0</v>
      </c>
      <c r="D879" s="623">
        <f t="shared" si="127"/>
        <v>0</v>
      </c>
      <c r="E879" s="623">
        <f t="shared" si="127"/>
        <v>0</v>
      </c>
      <c r="F879" s="623">
        <f t="shared" si="127"/>
        <v>0</v>
      </c>
      <c r="G879" s="623">
        <f t="shared" si="127"/>
        <v>0</v>
      </c>
      <c r="H879" s="623">
        <f t="shared" si="127"/>
        <v>0</v>
      </c>
      <c r="I879" s="623">
        <f t="shared" si="127"/>
        <v>0</v>
      </c>
      <c r="J879" s="623">
        <f t="shared" si="127"/>
        <v>0</v>
      </c>
      <c r="K879" s="623">
        <f t="shared" si="127"/>
        <v>0</v>
      </c>
      <c r="L879" s="624" t="e">
        <f t="shared" si="121"/>
        <v>#DIV/0!</v>
      </c>
      <c r="M879" s="624" t="e">
        <f t="shared" si="122"/>
        <v>#DIV/0!</v>
      </c>
      <c r="N879" s="191"/>
      <c r="O879" s="609">
        <f t="shared" si="128"/>
        <v>360</v>
      </c>
      <c r="P879" s="232" t="e">
        <f t="shared" si="123"/>
        <v>#DIV/0!</v>
      </c>
      <c r="Q879" s="191" t="e">
        <f t="shared" si="124"/>
        <v>#DIV/0!</v>
      </c>
      <c r="R879" s="191"/>
      <c r="S879" s="323" t="e">
        <f t="shared" si="125"/>
        <v>#DIV/0!</v>
      </c>
      <c r="T879" s="323" t="e">
        <f t="shared" si="126"/>
        <v>#DIV/0!</v>
      </c>
      <c r="U879" s="191"/>
      <c r="V879" s="193"/>
      <c r="W879" s="181"/>
      <c r="X879" s="137"/>
      <c r="Z879" s="183"/>
      <c r="AA879" s="183"/>
    </row>
    <row r="880" spans="1:27" s="182" customFormat="1" ht="15" customHeight="1">
      <c r="A880" s="211"/>
      <c r="B880" s="209" t="s">
        <v>396</v>
      </c>
      <c r="C880" s="294">
        <f>IF(R860="Inclinado",C879+2*SIN(RADIANS(Q860))*(I879+N860),C879+2*TAN(RADIANS(Q860))*(I879+N860))</f>
        <v>0</v>
      </c>
      <c r="D880" s="623">
        <f t="shared" si="127"/>
        <v>0</v>
      </c>
      <c r="E880" s="623">
        <f t="shared" si="127"/>
        <v>0</v>
      </c>
      <c r="F880" s="623">
        <f t="shared" si="127"/>
        <v>0</v>
      </c>
      <c r="G880" s="623">
        <f t="shared" si="127"/>
        <v>0</v>
      </c>
      <c r="H880" s="623">
        <f t="shared" si="127"/>
        <v>0</v>
      </c>
      <c r="I880" s="623">
        <f t="shared" si="127"/>
        <v>0</v>
      </c>
      <c r="J880" s="623">
        <f t="shared" si="127"/>
        <v>0</v>
      </c>
      <c r="K880" s="623">
        <f t="shared" si="127"/>
        <v>0</v>
      </c>
      <c r="L880" s="624" t="e">
        <f t="shared" si="121"/>
        <v>#DIV/0!</v>
      </c>
      <c r="M880" s="624" t="e">
        <f t="shared" si="122"/>
        <v>#DIV/0!</v>
      </c>
      <c r="N880" s="191"/>
      <c r="O880" s="609">
        <f t="shared" si="128"/>
        <v>360</v>
      </c>
      <c r="P880" s="232" t="e">
        <f t="shared" si="123"/>
        <v>#DIV/0!</v>
      </c>
      <c r="Q880" s="191" t="e">
        <f t="shared" si="124"/>
        <v>#DIV/0!</v>
      </c>
      <c r="R880" s="191"/>
      <c r="S880" s="323" t="e">
        <f t="shared" si="125"/>
        <v>#DIV/0!</v>
      </c>
      <c r="T880" s="323" t="e">
        <f t="shared" si="126"/>
        <v>#DIV/0!</v>
      </c>
      <c r="U880" s="191"/>
      <c r="V880" s="193"/>
      <c r="W880" s="181"/>
      <c r="X880" s="137"/>
      <c r="Z880" s="183"/>
      <c r="AA880" s="183"/>
    </row>
    <row r="881" spans="1:27" s="182" customFormat="1" ht="15" customHeight="1">
      <c r="A881" s="211"/>
      <c r="B881" s="209" t="s">
        <v>397</v>
      </c>
      <c r="C881" s="294">
        <f>IF(R860="Inclinado",C880+2*SIN(RADIANS(Q860))*(I880+N860),C880+2*TAN(RADIANS(Q860))*(I880+N860))</f>
        <v>0</v>
      </c>
      <c r="D881" s="623">
        <f t="shared" si="127"/>
        <v>0</v>
      </c>
      <c r="E881" s="623">
        <f t="shared" si="127"/>
        <v>0</v>
      </c>
      <c r="F881" s="623">
        <f t="shared" si="127"/>
        <v>0</v>
      </c>
      <c r="G881" s="623">
        <f t="shared" si="127"/>
        <v>0</v>
      </c>
      <c r="H881" s="623">
        <f t="shared" si="127"/>
        <v>0</v>
      </c>
      <c r="I881" s="623">
        <f t="shared" si="127"/>
        <v>0</v>
      </c>
      <c r="J881" s="623">
        <f t="shared" si="127"/>
        <v>0</v>
      </c>
      <c r="K881" s="623">
        <f t="shared" si="127"/>
        <v>0</v>
      </c>
      <c r="L881" s="624" t="e">
        <f t="shared" si="121"/>
        <v>#DIV/0!</v>
      </c>
      <c r="M881" s="624" t="e">
        <f t="shared" si="122"/>
        <v>#DIV/0!</v>
      </c>
      <c r="N881" s="191"/>
      <c r="O881" s="609">
        <f t="shared" si="128"/>
        <v>360</v>
      </c>
      <c r="P881" s="232" t="e">
        <f t="shared" si="123"/>
        <v>#DIV/0!</v>
      </c>
      <c r="Q881" s="191" t="e">
        <f t="shared" si="124"/>
        <v>#DIV/0!</v>
      </c>
      <c r="R881" s="191"/>
      <c r="S881" s="323" t="e">
        <f t="shared" si="125"/>
        <v>#DIV/0!</v>
      </c>
      <c r="T881" s="323" t="e">
        <f t="shared" si="126"/>
        <v>#DIV/0!</v>
      </c>
      <c r="U881" s="191"/>
      <c r="V881" s="193"/>
      <c r="W881" s="181"/>
      <c r="X881" s="137"/>
      <c r="Z881" s="183"/>
      <c r="AA881" s="183"/>
    </row>
    <row r="882" spans="1:27" s="182" customFormat="1" ht="15" customHeight="1">
      <c r="A882" s="211"/>
      <c r="B882" s="209" t="s">
        <v>398</v>
      </c>
      <c r="C882" s="294">
        <f>IF(R860="Inclinado",C881+2*SIN(RADIANS(Q860))*(I881+N860),C881+2*TAN(RADIANS(Q860))*(I881+N860))</f>
        <v>0</v>
      </c>
      <c r="D882" s="623">
        <f t="shared" si="127"/>
        <v>0</v>
      </c>
      <c r="E882" s="623">
        <f t="shared" si="127"/>
        <v>0</v>
      </c>
      <c r="F882" s="623">
        <f t="shared" si="127"/>
        <v>0</v>
      </c>
      <c r="G882" s="623">
        <f t="shared" si="127"/>
        <v>0</v>
      </c>
      <c r="H882" s="623">
        <f t="shared" si="127"/>
        <v>0</v>
      </c>
      <c r="I882" s="623">
        <f t="shared" si="127"/>
        <v>0</v>
      </c>
      <c r="J882" s="623">
        <f t="shared" si="127"/>
        <v>0</v>
      </c>
      <c r="K882" s="623">
        <f t="shared" si="127"/>
        <v>0</v>
      </c>
      <c r="L882" s="624" t="e">
        <f t="shared" si="121"/>
        <v>#DIV/0!</v>
      </c>
      <c r="M882" s="624" t="e">
        <f t="shared" si="122"/>
        <v>#DIV/0!</v>
      </c>
      <c r="N882" s="191"/>
      <c r="O882" s="609">
        <f t="shared" si="128"/>
        <v>360</v>
      </c>
      <c r="P882" s="232" t="e">
        <f t="shared" si="123"/>
        <v>#DIV/0!</v>
      </c>
      <c r="Q882" s="191" t="e">
        <f t="shared" si="124"/>
        <v>#DIV/0!</v>
      </c>
      <c r="R882" s="191"/>
      <c r="S882" s="323" t="e">
        <f t="shared" si="125"/>
        <v>#DIV/0!</v>
      </c>
      <c r="T882" s="323" t="e">
        <f t="shared" si="126"/>
        <v>#DIV/0!</v>
      </c>
      <c r="U882" s="191"/>
      <c r="V882" s="193"/>
      <c r="W882" s="181"/>
      <c r="X882" s="137"/>
      <c r="Z882" s="183"/>
      <c r="AA882" s="183"/>
    </row>
    <row r="883" spans="1:27" s="182" customFormat="1" ht="15" customHeight="1">
      <c r="A883" s="211"/>
      <c r="B883" s="209" t="s">
        <v>399</v>
      </c>
      <c r="C883" s="294">
        <f>IF(R860="Inclinado",C882+2*SIN(RADIANS(Q860))*(I882+N860),C882+2*TAN(RADIANS(Q860))*(I882+N860))</f>
        <v>0</v>
      </c>
      <c r="D883" s="623">
        <f t="shared" si="127"/>
        <v>0</v>
      </c>
      <c r="E883" s="623">
        <f t="shared" si="127"/>
        <v>0</v>
      </c>
      <c r="F883" s="623">
        <f t="shared" si="127"/>
        <v>0</v>
      </c>
      <c r="G883" s="623">
        <f t="shared" si="127"/>
        <v>0</v>
      </c>
      <c r="H883" s="623">
        <f t="shared" si="127"/>
        <v>0</v>
      </c>
      <c r="I883" s="623">
        <f t="shared" si="127"/>
        <v>0</v>
      </c>
      <c r="J883" s="623">
        <f t="shared" si="127"/>
        <v>0</v>
      </c>
      <c r="K883" s="623">
        <f t="shared" si="127"/>
        <v>0</v>
      </c>
      <c r="L883" s="624" t="e">
        <f t="shared" si="121"/>
        <v>#DIV/0!</v>
      </c>
      <c r="M883" s="624" t="e">
        <f t="shared" si="122"/>
        <v>#DIV/0!</v>
      </c>
      <c r="N883" s="191"/>
      <c r="O883" s="609">
        <f t="shared" si="128"/>
        <v>360</v>
      </c>
      <c r="P883" s="232" t="e">
        <f t="shared" si="123"/>
        <v>#DIV/0!</v>
      </c>
      <c r="Q883" s="191" t="e">
        <f t="shared" si="124"/>
        <v>#DIV/0!</v>
      </c>
      <c r="R883" s="191"/>
      <c r="S883" s="323" t="e">
        <f t="shared" si="125"/>
        <v>#DIV/0!</v>
      </c>
      <c r="T883" s="323" t="e">
        <f t="shared" si="126"/>
        <v>#DIV/0!</v>
      </c>
      <c r="U883" s="191"/>
      <c r="V883" s="193"/>
      <c r="W883" s="181"/>
      <c r="X883" s="137"/>
      <c r="Z883" s="183"/>
      <c r="AA883" s="183"/>
    </row>
    <row r="884" spans="1:27" s="182" customFormat="1" ht="15" customHeight="1">
      <c r="A884" s="211"/>
      <c r="B884" s="209" t="s">
        <v>400</v>
      </c>
      <c r="C884" s="294">
        <f>IF(R860="Inclinado",C883+2*SIN(RADIANS(Q860))*(I883+N860),C883+2*TAN(RADIANS(Q860))*(I883+N860))</f>
        <v>0</v>
      </c>
      <c r="D884" s="623">
        <f t="shared" si="127"/>
        <v>0</v>
      </c>
      <c r="E884" s="623">
        <f t="shared" si="127"/>
        <v>0</v>
      </c>
      <c r="F884" s="623">
        <f t="shared" si="127"/>
        <v>0</v>
      </c>
      <c r="G884" s="623">
        <f t="shared" si="127"/>
        <v>0</v>
      </c>
      <c r="H884" s="623">
        <f t="shared" si="127"/>
        <v>0</v>
      </c>
      <c r="I884" s="623">
        <f t="shared" si="127"/>
        <v>0</v>
      </c>
      <c r="J884" s="623">
        <f t="shared" si="127"/>
        <v>0</v>
      </c>
      <c r="K884" s="623">
        <f t="shared" si="127"/>
        <v>0</v>
      </c>
      <c r="L884" s="624" t="e">
        <f t="shared" si="121"/>
        <v>#DIV/0!</v>
      </c>
      <c r="M884" s="624" t="e">
        <f t="shared" si="122"/>
        <v>#DIV/0!</v>
      </c>
      <c r="N884" s="191"/>
      <c r="O884" s="609">
        <f t="shared" si="128"/>
        <v>360</v>
      </c>
      <c r="P884" s="232" t="e">
        <f t="shared" si="123"/>
        <v>#DIV/0!</v>
      </c>
      <c r="Q884" s="191" t="e">
        <f t="shared" si="124"/>
        <v>#DIV/0!</v>
      </c>
      <c r="R884" s="191"/>
      <c r="S884" s="323" t="e">
        <f t="shared" si="125"/>
        <v>#DIV/0!</v>
      </c>
      <c r="T884" s="323" t="e">
        <f t="shared" si="126"/>
        <v>#DIV/0!</v>
      </c>
      <c r="U884" s="191"/>
      <c r="V884" s="193"/>
      <c r="W884" s="181"/>
      <c r="X884" s="137"/>
      <c r="Z884" s="183"/>
      <c r="AA884" s="183"/>
    </row>
    <row r="885" spans="1:27" s="182" customFormat="1" ht="15" customHeight="1">
      <c r="A885" s="211"/>
      <c r="B885" s="209" t="s">
        <v>401</v>
      </c>
      <c r="C885" s="294">
        <f>IF(R860="Inclinado",C884+2*SIN(RADIANS(Q860))*(I884+N860),C884+2*TAN(RADIANS(Q860))*(I884+N860))</f>
        <v>0</v>
      </c>
      <c r="D885" s="623">
        <f t="shared" si="127"/>
        <v>0</v>
      </c>
      <c r="E885" s="623">
        <f t="shared" si="127"/>
        <v>0</v>
      </c>
      <c r="F885" s="623">
        <f t="shared" si="127"/>
        <v>0</v>
      </c>
      <c r="G885" s="623">
        <f t="shared" si="127"/>
        <v>0</v>
      </c>
      <c r="H885" s="623">
        <f t="shared" si="127"/>
        <v>0</v>
      </c>
      <c r="I885" s="623">
        <f t="shared" si="127"/>
        <v>0</v>
      </c>
      <c r="J885" s="623">
        <f t="shared" si="127"/>
        <v>0</v>
      </c>
      <c r="K885" s="623">
        <f t="shared" si="127"/>
        <v>0</v>
      </c>
      <c r="L885" s="624" t="e">
        <f t="shared" si="121"/>
        <v>#DIV/0!</v>
      </c>
      <c r="M885" s="624" t="e">
        <f t="shared" si="122"/>
        <v>#DIV/0!</v>
      </c>
      <c r="N885" s="191"/>
      <c r="O885" s="609">
        <f t="shared" si="128"/>
        <v>360</v>
      </c>
      <c r="P885" s="232" t="e">
        <f t="shared" si="123"/>
        <v>#DIV/0!</v>
      </c>
      <c r="Q885" s="191" t="e">
        <f t="shared" si="124"/>
        <v>#DIV/0!</v>
      </c>
      <c r="R885" s="191"/>
      <c r="S885" s="323" t="e">
        <f t="shared" si="125"/>
        <v>#DIV/0!</v>
      </c>
      <c r="T885" s="323" t="e">
        <f t="shared" si="126"/>
        <v>#DIV/0!</v>
      </c>
      <c r="U885" s="191"/>
      <c r="V885" s="193"/>
      <c r="W885" s="181"/>
      <c r="X885" s="137"/>
      <c r="Z885" s="183"/>
      <c r="AA885" s="183"/>
    </row>
    <row r="886" spans="1:27" s="182" customFormat="1" ht="15" customHeight="1">
      <c r="A886" s="211"/>
      <c r="B886" s="209" t="s">
        <v>402</v>
      </c>
      <c r="C886" s="294">
        <f>IF(R860="Inclinado",C885+2*SIN(RADIANS(Q860))*(I885+N860),C885+2*TAN(RADIANS(Q860))*(I885+N860))</f>
        <v>0</v>
      </c>
      <c r="D886" s="623">
        <f t="shared" si="127"/>
        <v>0</v>
      </c>
      <c r="E886" s="623">
        <f t="shared" si="127"/>
        <v>0</v>
      </c>
      <c r="F886" s="623">
        <f t="shared" si="127"/>
        <v>0</v>
      </c>
      <c r="G886" s="623">
        <f t="shared" si="127"/>
        <v>0</v>
      </c>
      <c r="H886" s="623">
        <f t="shared" si="127"/>
        <v>0</v>
      </c>
      <c r="I886" s="623">
        <f t="shared" si="127"/>
        <v>0</v>
      </c>
      <c r="J886" s="623">
        <f t="shared" si="127"/>
        <v>0</v>
      </c>
      <c r="K886" s="623">
        <f t="shared" si="127"/>
        <v>0</v>
      </c>
      <c r="L886" s="624" t="e">
        <f t="shared" si="121"/>
        <v>#DIV/0!</v>
      </c>
      <c r="M886" s="624" t="e">
        <f t="shared" si="122"/>
        <v>#DIV/0!</v>
      </c>
      <c r="N886" s="191"/>
      <c r="O886" s="609">
        <f t="shared" si="128"/>
        <v>360</v>
      </c>
      <c r="P886" s="232" t="e">
        <f t="shared" si="123"/>
        <v>#DIV/0!</v>
      </c>
      <c r="Q886" s="191" t="e">
        <f t="shared" si="124"/>
        <v>#DIV/0!</v>
      </c>
      <c r="R886" s="191"/>
      <c r="S886" s="323" t="e">
        <f t="shared" si="125"/>
        <v>#DIV/0!</v>
      </c>
      <c r="T886" s="323" t="e">
        <f t="shared" si="126"/>
        <v>#DIV/0!</v>
      </c>
      <c r="U886" s="191"/>
      <c r="V886" s="193"/>
      <c r="W886" s="181"/>
      <c r="X886" s="137"/>
      <c r="Z886" s="183"/>
      <c r="AA886" s="183"/>
    </row>
    <row r="887" spans="1:27" s="182" customFormat="1" ht="15" customHeight="1">
      <c r="A887" s="211"/>
      <c r="B887" s="209" t="s">
        <v>403</v>
      </c>
      <c r="C887" s="294">
        <f>IF(R860="Inclinado",C886+2*SIN(RADIANS(Q860))*(I886+N860),C886+2*TAN(RADIANS(Q860))*(I886+N860))</f>
        <v>0</v>
      </c>
      <c r="D887" s="623">
        <f t="shared" si="127"/>
        <v>0</v>
      </c>
      <c r="E887" s="623">
        <f t="shared" si="127"/>
        <v>0</v>
      </c>
      <c r="F887" s="623">
        <f t="shared" si="127"/>
        <v>0</v>
      </c>
      <c r="G887" s="623">
        <f t="shared" si="127"/>
        <v>0</v>
      </c>
      <c r="H887" s="623">
        <f t="shared" si="127"/>
        <v>0</v>
      </c>
      <c r="I887" s="623">
        <f t="shared" si="127"/>
        <v>0</v>
      </c>
      <c r="J887" s="623">
        <f t="shared" si="127"/>
        <v>0</v>
      </c>
      <c r="K887" s="623">
        <f t="shared" si="127"/>
        <v>0</v>
      </c>
      <c r="L887" s="624" t="e">
        <f t="shared" si="121"/>
        <v>#DIV/0!</v>
      </c>
      <c r="M887" s="624" t="e">
        <f t="shared" si="122"/>
        <v>#DIV/0!</v>
      </c>
      <c r="N887" s="191"/>
      <c r="O887" s="609">
        <f t="shared" si="128"/>
        <v>360</v>
      </c>
      <c r="P887" s="232" t="e">
        <f t="shared" si="123"/>
        <v>#DIV/0!</v>
      </c>
      <c r="Q887" s="191" t="e">
        <f t="shared" si="124"/>
        <v>#DIV/0!</v>
      </c>
      <c r="R887" s="191"/>
      <c r="S887" s="323" t="e">
        <f t="shared" si="125"/>
        <v>#DIV/0!</v>
      </c>
      <c r="T887" s="323" t="e">
        <f t="shared" si="126"/>
        <v>#DIV/0!</v>
      </c>
      <c r="U887" s="191"/>
      <c r="V887" s="193"/>
      <c r="W887" s="181"/>
      <c r="X887" s="137"/>
      <c r="Z887" s="183"/>
      <c r="AA887" s="183"/>
    </row>
    <row r="888" spans="1:27" s="182" customFormat="1" ht="15" customHeight="1">
      <c r="A888" s="211"/>
      <c r="B888" s="209" t="s">
        <v>404</v>
      </c>
      <c r="C888" s="294">
        <f>IF(R860="Inclinado",C887+2*SIN(RADIANS(Q860))*(I887+N860),C887+2*TAN(RADIANS(Q860))*(I887+N860))</f>
        <v>0</v>
      </c>
      <c r="D888" s="623">
        <f t="shared" ref="D888:K903" si="129">D887</f>
        <v>0</v>
      </c>
      <c r="E888" s="623">
        <f t="shared" si="129"/>
        <v>0</v>
      </c>
      <c r="F888" s="623">
        <f t="shared" si="129"/>
        <v>0</v>
      </c>
      <c r="G888" s="623">
        <f t="shared" si="129"/>
        <v>0</v>
      </c>
      <c r="H888" s="623">
        <f t="shared" si="129"/>
        <v>0</v>
      </c>
      <c r="I888" s="623">
        <f t="shared" si="129"/>
        <v>0</v>
      </c>
      <c r="J888" s="623">
        <f t="shared" si="129"/>
        <v>0</v>
      </c>
      <c r="K888" s="623">
        <f t="shared" si="129"/>
        <v>0</v>
      </c>
      <c r="L888" s="624" t="e">
        <f t="shared" si="121"/>
        <v>#DIV/0!</v>
      </c>
      <c r="M888" s="624" t="e">
        <f t="shared" si="122"/>
        <v>#DIV/0!</v>
      </c>
      <c r="N888" s="191"/>
      <c r="O888" s="609">
        <f t="shared" si="128"/>
        <v>360</v>
      </c>
      <c r="P888" s="232" t="e">
        <f t="shared" si="123"/>
        <v>#DIV/0!</v>
      </c>
      <c r="Q888" s="191" t="e">
        <f t="shared" si="124"/>
        <v>#DIV/0!</v>
      </c>
      <c r="R888" s="191"/>
      <c r="S888" s="323" t="e">
        <f t="shared" si="125"/>
        <v>#DIV/0!</v>
      </c>
      <c r="T888" s="323" t="e">
        <f t="shared" si="126"/>
        <v>#DIV/0!</v>
      </c>
      <c r="U888" s="191"/>
      <c r="V888" s="193"/>
      <c r="W888" s="181"/>
      <c r="X888" s="137"/>
      <c r="Z888" s="183"/>
      <c r="AA888" s="183"/>
    </row>
    <row r="889" spans="1:27" s="182" customFormat="1" ht="15" customHeight="1">
      <c r="A889" s="211"/>
      <c r="B889" s="209" t="s">
        <v>405</v>
      </c>
      <c r="C889" s="294">
        <f>IF(R860="Inclinado",C888+2*SIN(RADIANS(Q860))*(I888+N860),C888+2*TAN(RADIANS(Q860))*(I888+N860))</f>
        <v>0</v>
      </c>
      <c r="D889" s="623">
        <f t="shared" si="129"/>
        <v>0</v>
      </c>
      <c r="E889" s="623">
        <f t="shared" si="129"/>
        <v>0</v>
      </c>
      <c r="F889" s="623">
        <f t="shared" si="129"/>
        <v>0</v>
      </c>
      <c r="G889" s="623">
        <f t="shared" si="129"/>
        <v>0</v>
      </c>
      <c r="H889" s="623">
        <f t="shared" si="129"/>
        <v>0</v>
      </c>
      <c r="I889" s="623">
        <f t="shared" si="129"/>
        <v>0</v>
      </c>
      <c r="J889" s="623">
        <f t="shared" si="129"/>
        <v>0</v>
      </c>
      <c r="K889" s="623">
        <f t="shared" si="129"/>
        <v>0</v>
      </c>
      <c r="L889" s="624" t="e">
        <f t="shared" si="121"/>
        <v>#DIV/0!</v>
      </c>
      <c r="M889" s="624" t="e">
        <f t="shared" si="122"/>
        <v>#DIV/0!</v>
      </c>
      <c r="N889" s="191"/>
      <c r="O889" s="609">
        <f t="shared" si="128"/>
        <v>360</v>
      </c>
      <c r="P889" s="232" t="e">
        <f t="shared" si="123"/>
        <v>#DIV/0!</v>
      </c>
      <c r="Q889" s="191" t="e">
        <f t="shared" si="124"/>
        <v>#DIV/0!</v>
      </c>
      <c r="R889" s="191"/>
      <c r="S889" s="323" t="e">
        <f t="shared" si="125"/>
        <v>#DIV/0!</v>
      </c>
      <c r="T889" s="323" t="e">
        <f t="shared" si="126"/>
        <v>#DIV/0!</v>
      </c>
      <c r="U889" s="191"/>
      <c r="V889" s="193"/>
      <c r="W889" s="181"/>
      <c r="X889" s="137"/>
      <c r="Z889" s="183"/>
      <c r="AA889" s="183"/>
    </row>
    <row r="890" spans="1:27" s="182" customFormat="1" ht="15" customHeight="1">
      <c r="A890" s="211"/>
      <c r="B890" s="209" t="s">
        <v>406</v>
      </c>
      <c r="C890" s="294">
        <f>IF(R860="Inclinado",C889+2*SIN(RADIANS(Q860))*(I889+N860),C889+2*TAN(RADIANS(Q860))*(I889+N860))</f>
        <v>0</v>
      </c>
      <c r="D890" s="623">
        <f t="shared" si="129"/>
        <v>0</v>
      </c>
      <c r="E890" s="623">
        <f t="shared" si="129"/>
        <v>0</v>
      </c>
      <c r="F890" s="623">
        <f t="shared" si="129"/>
        <v>0</v>
      </c>
      <c r="G890" s="623">
        <f t="shared" si="129"/>
        <v>0</v>
      </c>
      <c r="H890" s="623">
        <f t="shared" si="129"/>
        <v>0</v>
      </c>
      <c r="I890" s="623">
        <f t="shared" si="129"/>
        <v>0</v>
      </c>
      <c r="J890" s="623">
        <f t="shared" si="129"/>
        <v>0</v>
      </c>
      <c r="K890" s="623">
        <f t="shared" si="129"/>
        <v>0</v>
      </c>
      <c r="L890" s="624" t="e">
        <f t="shared" si="121"/>
        <v>#DIV/0!</v>
      </c>
      <c r="M890" s="624" t="e">
        <f t="shared" si="122"/>
        <v>#DIV/0!</v>
      </c>
      <c r="N890" s="191"/>
      <c r="O890" s="609">
        <f t="shared" si="128"/>
        <v>360</v>
      </c>
      <c r="P890" s="232" t="e">
        <f t="shared" si="123"/>
        <v>#DIV/0!</v>
      </c>
      <c r="Q890" s="191" t="e">
        <f t="shared" si="124"/>
        <v>#DIV/0!</v>
      </c>
      <c r="R890" s="191"/>
      <c r="S890" s="323" t="e">
        <f t="shared" si="125"/>
        <v>#DIV/0!</v>
      </c>
      <c r="T890" s="323" t="e">
        <f t="shared" si="126"/>
        <v>#DIV/0!</v>
      </c>
      <c r="U890" s="191"/>
      <c r="V890" s="193"/>
      <c r="W890" s="181"/>
      <c r="X890" s="137"/>
      <c r="Z890" s="183"/>
      <c r="AA890" s="183"/>
    </row>
    <row r="891" spans="1:27" s="182" customFormat="1" ht="15" customHeight="1">
      <c r="A891" s="211"/>
      <c r="B891" s="209" t="s">
        <v>407</v>
      </c>
      <c r="C891" s="294">
        <f>IF(R860="Inclinado",C890+2*SIN(RADIANS(Q860))*(I890+N860),C890+2*TAN(RADIANS(Q860))*(I890+N860))</f>
        <v>0</v>
      </c>
      <c r="D891" s="623">
        <f t="shared" si="129"/>
        <v>0</v>
      </c>
      <c r="E891" s="623">
        <f t="shared" si="129"/>
        <v>0</v>
      </c>
      <c r="F891" s="623">
        <f t="shared" si="129"/>
        <v>0</v>
      </c>
      <c r="G891" s="623">
        <f t="shared" si="129"/>
        <v>0</v>
      </c>
      <c r="H891" s="623">
        <f t="shared" si="129"/>
        <v>0</v>
      </c>
      <c r="I891" s="623">
        <f t="shared" si="129"/>
        <v>0</v>
      </c>
      <c r="J891" s="623">
        <f t="shared" si="129"/>
        <v>0</v>
      </c>
      <c r="K891" s="623">
        <f t="shared" si="129"/>
        <v>0</v>
      </c>
      <c r="L891" s="624" t="e">
        <f t="shared" si="121"/>
        <v>#DIV/0!</v>
      </c>
      <c r="M891" s="624" t="e">
        <f t="shared" si="122"/>
        <v>#DIV/0!</v>
      </c>
      <c r="N891" s="191"/>
      <c r="O891" s="609">
        <f t="shared" si="128"/>
        <v>360</v>
      </c>
      <c r="P891" s="232" t="e">
        <f t="shared" si="123"/>
        <v>#DIV/0!</v>
      </c>
      <c r="Q891" s="191" t="e">
        <f t="shared" si="124"/>
        <v>#DIV/0!</v>
      </c>
      <c r="R891" s="191"/>
      <c r="S891" s="323" t="e">
        <f t="shared" si="125"/>
        <v>#DIV/0!</v>
      </c>
      <c r="T891" s="323" t="e">
        <f t="shared" si="126"/>
        <v>#DIV/0!</v>
      </c>
      <c r="U891" s="191"/>
      <c r="V891" s="193"/>
      <c r="W891" s="181"/>
      <c r="X891" s="137"/>
      <c r="Z891" s="183"/>
      <c r="AA891" s="183"/>
    </row>
    <row r="892" spans="1:27" s="182" customFormat="1" ht="15" customHeight="1">
      <c r="A892" s="211"/>
      <c r="B892" s="209" t="s">
        <v>408</v>
      </c>
      <c r="C892" s="294">
        <f>IF(R860="Inclinado",C891+2*SIN(RADIANS(Q860))*(I891+N860),C891+2*TAN(RADIANS(Q860))*(I891+N860))</f>
        <v>0</v>
      </c>
      <c r="D892" s="623">
        <f t="shared" si="129"/>
        <v>0</v>
      </c>
      <c r="E892" s="623">
        <f t="shared" si="129"/>
        <v>0</v>
      </c>
      <c r="F892" s="623">
        <f t="shared" si="129"/>
        <v>0</v>
      </c>
      <c r="G892" s="623">
        <f t="shared" si="129"/>
        <v>0</v>
      </c>
      <c r="H892" s="623">
        <f t="shared" si="129"/>
        <v>0</v>
      </c>
      <c r="I892" s="623">
        <f t="shared" si="129"/>
        <v>0</v>
      </c>
      <c r="J892" s="623">
        <f t="shared" si="129"/>
        <v>0</v>
      </c>
      <c r="K892" s="623">
        <f t="shared" si="129"/>
        <v>0</v>
      </c>
      <c r="L892" s="624" t="e">
        <f t="shared" si="121"/>
        <v>#DIV/0!</v>
      </c>
      <c r="M892" s="624" t="e">
        <f t="shared" si="122"/>
        <v>#DIV/0!</v>
      </c>
      <c r="N892" s="191"/>
      <c r="O892" s="609">
        <f t="shared" si="128"/>
        <v>360</v>
      </c>
      <c r="P892" s="232" t="e">
        <f t="shared" si="123"/>
        <v>#DIV/0!</v>
      </c>
      <c r="Q892" s="191" t="e">
        <f t="shared" si="124"/>
        <v>#DIV/0!</v>
      </c>
      <c r="R892" s="191"/>
      <c r="S892" s="323" t="e">
        <f t="shared" si="125"/>
        <v>#DIV/0!</v>
      </c>
      <c r="T892" s="323" t="e">
        <f t="shared" si="126"/>
        <v>#DIV/0!</v>
      </c>
      <c r="U892" s="191"/>
      <c r="V892" s="193"/>
      <c r="W892" s="181"/>
      <c r="X892" s="137"/>
      <c r="Z892" s="183"/>
      <c r="AA892" s="183"/>
    </row>
    <row r="893" spans="1:27" s="182" customFormat="1" ht="15" customHeight="1">
      <c r="A893" s="211"/>
      <c r="B893" s="209" t="s">
        <v>409</v>
      </c>
      <c r="C893" s="294">
        <f>IF(R860="Inclinado",C892+2*SIN(RADIANS(Q860))*(I892+N860),C892+2*TAN(RADIANS(Q860))*(I892+N860))</f>
        <v>0</v>
      </c>
      <c r="D893" s="623">
        <f t="shared" si="129"/>
        <v>0</v>
      </c>
      <c r="E893" s="623">
        <f t="shared" si="129"/>
        <v>0</v>
      </c>
      <c r="F893" s="623">
        <f t="shared" si="129"/>
        <v>0</v>
      </c>
      <c r="G893" s="623">
        <f t="shared" si="129"/>
        <v>0</v>
      </c>
      <c r="H893" s="623">
        <f t="shared" si="129"/>
        <v>0</v>
      </c>
      <c r="I893" s="623">
        <f t="shared" si="129"/>
        <v>0</v>
      </c>
      <c r="J893" s="623">
        <f t="shared" si="129"/>
        <v>0</v>
      </c>
      <c r="K893" s="623">
        <f t="shared" si="129"/>
        <v>0</v>
      </c>
      <c r="L893" s="624" t="e">
        <f t="shared" si="121"/>
        <v>#DIV/0!</v>
      </c>
      <c r="M893" s="624" t="e">
        <f t="shared" si="122"/>
        <v>#DIV/0!</v>
      </c>
      <c r="N893" s="191"/>
      <c r="O893" s="609">
        <f t="shared" si="128"/>
        <v>360</v>
      </c>
      <c r="P893" s="232" t="e">
        <f t="shared" si="123"/>
        <v>#DIV/0!</v>
      </c>
      <c r="Q893" s="191" t="e">
        <f t="shared" si="124"/>
        <v>#DIV/0!</v>
      </c>
      <c r="R893" s="191"/>
      <c r="S893" s="323" t="e">
        <f t="shared" si="125"/>
        <v>#DIV/0!</v>
      </c>
      <c r="T893" s="323" t="e">
        <f t="shared" si="126"/>
        <v>#DIV/0!</v>
      </c>
      <c r="U893" s="191"/>
      <c r="V893" s="193"/>
      <c r="W893" s="181"/>
      <c r="X893" s="137"/>
      <c r="Z893" s="183"/>
      <c r="AA893" s="183"/>
    </row>
    <row r="894" spans="1:27" s="182" customFormat="1" ht="15" customHeight="1">
      <c r="A894" s="211"/>
      <c r="B894" s="209" t="s">
        <v>410</v>
      </c>
      <c r="C894" s="294">
        <f>IF(R860="Inclinado",C893+2*SIN(RADIANS(Q860))*(I893+N860),C893+2*TAN(RADIANS(Q860))*(I893+N860))</f>
        <v>0</v>
      </c>
      <c r="D894" s="623">
        <f t="shared" si="129"/>
        <v>0</v>
      </c>
      <c r="E894" s="623">
        <f t="shared" si="129"/>
        <v>0</v>
      </c>
      <c r="F894" s="623">
        <f t="shared" si="129"/>
        <v>0</v>
      </c>
      <c r="G894" s="623">
        <f t="shared" si="129"/>
        <v>0</v>
      </c>
      <c r="H894" s="623">
        <f t="shared" si="129"/>
        <v>0</v>
      </c>
      <c r="I894" s="623">
        <f t="shared" si="129"/>
        <v>0</v>
      </c>
      <c r="J894" s="623">
        <f t="shared" si="129"/>
        <v>0</v>
      </c>
      <c r="K894" s="623">
        <f t="shared" si="129"/>
        <v>0</v>
      </c>
      <c r="L894" s="624" t="e">
        <f t="shared" si="121"/>
        <v>#DIV/0!</v>
      </c>
      <c r="M894" s="624" t="e">
        <f t="shared" si="122"/>
        <v>#DIV/0!</v>
      </c>
      <c r="N894" s="191"/>
      <c r="O894" s="609">
        <f t="shared" si="128"/>
        <v>360</v>
      </c>
      <c r="P894" s="232" t="e">
        <f t="shared" si="123"/>
        <v>#DIV/0!</v>
      </c>
      <c r="Q894" s="191" t="e">
        <f t="shared" si="124"/>
        <v>#DIV/0!</v>
      </c>
      <c r="R894" s="191"/>
      <c r="S894" s="323" t="e">
        <f t="shared" si="125"/>
        <v>#DIV/0!</v>
      </c>
      <c r="T894" s="323" t="e">
        <f t="shared" si="126"/>
        <v>#DIV/0!</v>
      </c>
      <c r="U894" s="191"/>
      <c r="V894" s="193"/>
      <c r="W894" s="181"/>
      <c r="X894" s="137"/>
      <c r="Z894" s="183"/>
      <c r="AA894" s="183"/>
    </row>
    <row r="895" spans="1:27" s="182" customFormat="1" ht="15" customHeight="1">
      <c r="A895" s="211"/>
      <c r="B895" s="209" t="s">
        <v>411</v>
      </c>
      <c r="C895" s="294">
        <f>IF(R860="Inclinado",C894+2*SIN(RADIANS(Q860))*(I894+N860),C894+2*TAN(RADIANS(Q860))*(I894+N860))</f>
        <v>0</v>
      </c>
      <c r="D895" s="623">
        <f t="shared" si="129"/>
        <v>0</v>
      </c>
      <c r="E895" s="623">
        <f t="shared" si="129"/>
        <v>0</v>
      </c>
      <c r="F895" s="623">
        <f t="shared" si="129"/>
        <v>0</v>
      </c>
      <c r="G895" s="623">
        <f t="shared" si="129"/>
        <v>0</v>
      </c>
      <c r="H895" s="623">
        <f t="shared" si="129"/>
        <v>0</v>
      </c>
      <c r="I895" s="623">
        <f t="shared" si="129"/>
        <v>0</v>
      </c>
      <c r="J895" s="623">
        <f t="shared" si="129"/>
        <v>0</v>
      </c>
      <c r="K895" s="623">
        <f t="shared" si="129"/>
        <v>0</v>
      </c>
      <c r="L895" s="624" t="e">
        <f t="shared" si="121"/>
        <v>#DIV/0!</v>
      </c>
      <c r="M895" s="624" t="e">
        <f t="shared" si="122"/>
        <v>#DIV/0!</v>
      </c>
      <c r="N895" s="191"/>
      <c r="O895" s="609">
        <f t="shared" si="128"/>
        <v>360</v>
      </c>
      <c r="P895" s="232" t="e">
        <f t="shared" si="123"/>
        <v>#DIV/0!</v>
      </c>
      <c r="Q895" s="191" t="e">
        <f t="shared" si="124"/>
        <v>#DIV/0!</v>
      </c>
      <c r="R895" s="191"/>
      <c r="S895" s="323" t="e">
        <f t="shared" si="125"/>
        <v>#DIV/0!</v>
      </c>
      <c r="T895" s="323" t="e">
        <f t="shared" si="126"/>
        <v>#DIV/0!</v>
      </c>
      <c r="U895" s="191"/>
      <c r="V895" s="193"/>
      <c r="W895" s="181"/>
      <c r="X895" s="137"/>
      <c r="Z895" s="183"/>
      <c r="AA895" s="183"/>
    </row>
    <row r="896" spans="1:27" s="182" customFormat="1" ht="15" customHeight="1">
      <c r="A896" s="211"/>
      <c r="B896" s="209" t="s">
        <v>412</v>
      </c>
      <c r="C896" s="294">
        <f>IF(R860="Inclinado",C895+2*SIN(RADIANS(Q860))*(I895+N860),C895+2*TAN(RADIANS(Q860))*(I895+N860))</f>
        <v>0</v>
      </c>
      <c r="D896" s="623">
        <f t="shared" si="129"/>
        <v>0</v>
      </c>
      <c r="E896" s="623">
        <f t="shared" si="129"/>
        <v>0</v>
      </c>
      <c r="F896" s="623">
        <f t="shared" si="129"/>
        <v>0</v>
      </c>
      <c r="G896" s="623">
        <f t="shared" si="129"/>
        <v>0</v>
      </c>
      <c r="H896" s="623">
        <f t="shared" si="129"/>
        <v>0</v>
      </c>
      <c r="I896" s="623">
        <f t="shared" si="129"/>
        <v>0</v>
      </c>
      <c r="J896" s="623">
        <f t="shared" si="129"/>
        <v>0</v>
      </c>
      <c r="K896" s="623">
        <f t="shared" si="129"/>
        <v>0</v>
      </c>
      <c r="L896" s="624" t="e">
        <f t="shared" si="121"/>
        <v>#DIV/0!</v>
      </c>
      <c r="M896" s="624" t="e">
        <f t="shared" si="122"/>
        <v>#DIV/0!</v>
      </c>
      <c r="N896" s="191"/>
      <c r="O896" s="609">
        <f t="shared" si="128"/>
        <v>360</v>
      </c>
      <c r="P896" s="232" t="e">
        <f t="shared" si="123"/>
        <v>#DIV/0!</v>
      </c>
      <c r="Q896" s="191" t="e">
        <f t="shared" si="124"/>
        <v>#DIV/0!</v>
      </c>
      <c r="R896" s="191"/>
      <c r="S896" s="323" t="e">
        <f t="shared" si="125"/>
        <v>#DIV/0!</v>
      </c>
      <c r="T896" s="323" t="e">
        <f>((F896*(L896+K896)+H896*(M896+K896))/PI()-(C896-(J896*2)))/(P896+Q896)</f>
        <v>#DIV/0!</v>
      </c>
      <c r="U896" s="191"/>
      <c r="V896" s="193"/>
      <c r="W896" s="181"/>
      <c r="X896" s="137"/>
      <c r="Z896" s="183"/>
      <c r="AA896" s="183"/>
    </row>
    <row r="897" spans="1:27" s="182" customFormat="1" ht="15" customHeight="1">
      <c r="A897" s="211"/>
      <c r="B897" s="209" t="s">
        <v>413</v>
      </c>
      <c r="C897" s="294">
        <f>IF(R860="Inclinado",C896+2*SIN(RADIANS(Q860))*(I896+N860),C896+2*TAN(RADIANS(Q860))*(I896+N860))</f>
        <v>0</v>
      </c>
      <c r="D897" s="623">
        <f t="shared" si="129"/>
        <v>0</v>
      </c>
      <c r="E897" s="623">
        <f t="shared" si="129"/>
        <v>0</v>
      </c>
      <c r="F897" s="623">
        <f t="shared" si="129"/>
        <v>0</v>
      </c>
      <c r="G897" s="623">
        <f t="shared" si="129"/>
        <v>0</v>
      </c>
      <c r="H897" s="623">
        <f t="shared" si="129"/>
        <v>0</v>
      </c>
      <c r="I897" s="623">
        <f t="shared" si="129"/>
        <v>0</v>
      </c>
      <c r="J897" s="623">
        <f t="shared" si="129"/>
        <v>0</v>
      </c>
      <c r="K897" s="623">
        <f t="shared" si="129"/>
        <v>0</v>
      </c>
      <c r="L897" s="624" t="e">
        <f t="shared" si="121"/>
        <v>#DIV/0!</v>
      </c>
      <c r="M897" s="624" t="e">
        <f t="shared" si="122"/>
        <v>#DIV/0!</v>
      </c>
      <c r="N897" s="191"/>
      <c r="O897" s="609">
        <f t="shared" si="128"/>
        <v>360</v>
      </c>
      <c r="P897" s="232" t="e">
        <f t="shared" si="123"/>
        <v>#DIV/0!</v>
      </c>
      <c r="Q897" s="191" t="e">
        <f t="shared" si="124"/>
        <v>#DIV/0!</v>
      </c>
      <c r="R897" s="191"/>
      <c r="S897" s="323" t="e">
        <f t="shared" si="125"/>
        <v>#DIV/0!</v>
      </c>
      <c r="T897" s="323" t="e">
        <f t="shared" ref="T897:T920" si="130">((F897*(L897+K897)+H897*(M897+K897))/PI()-(C897-(J897*2)))/(P897+Q897)</f>
        <v>#DIV/0!</v>
      </c>
      <c r="U897" s="191"/>
      <c r="V897" s="193"/>
      <c r="W897" s="181"/>
      <c r="X897" s="137"/>
      <c r="Z897" s="183"/>
      <c r="AA897" s="183"/>
    </row>
    <row r="898" spans="1:27" s="182" customFormat="1" ht="15" customHeight="1">
      <c r="A898" s="211"/>
      <c r="B898" s="209" t="s">
        <v>414</v>
      </c>
      <c r="C898" s="294">
        <f>IF(R860="Inclinado",C897+2*SIN(RADIANS(Q860))*(I897+N860),C897+2*TAN(RADIANS(Q860))*(I897+N860))</f>
        <v>0</v>
      </c>
      <c r="D898" s="623">
        <f t="shared" si="129"/>
        <v>0</v>
      </c>
      <c r="E898" s="623">
        <f t="shared" si="129"/>
        <v>0</v>
      </c>
      <c r="F898" s="623">
        <f t="shared" si="129"/>
        <v>0</v>
      </c>
      <c r="G898" s="623">
        <f t="shared" si="129"/>
        <v>0</v>
      </c>
      <c r="H898" s="623">
        <f t="shared" si="129"/>
        <v>0</v>
      </c>
      <c r="I898" s="623">
        <f t="shared" si="129"/>
        <v>0</v>
      </c>
      <c r="J898" s="623">
        <f t="shared" si="129"/>
        <v>0</v>
      </c>
      <c r="K898" s="623">
        <f t="shared" si="129"/>
        <v>0</v>
      </c>
      <c r="L898" s="624" t="e">
        <f t="shared" si="121"/>
        <v>#DIV/0!</v>
      </c>
      <c r="M898" s="624" t="e">
        <f t="shared" si="122"/>
        <v>#DIV/0!</v>
      </c>
      <c r="N898" s="191"/>
      <c r="O898" s="609">
        <f t="shared" si="128"/>
        <v>360</v>
      </c>
      <c r="P898" s="232" t="e">
        <f t="shared" si="123"/>
        <v>#DIV/0!</v>
      </c>
      <c r="Q898" s="191" t="e">
        <f t="shared" si="124"/>
        <v>#DIV/0!</v>
      </c>
      <c r="R898" s="191"/>
      <c r="S898" s="323" t="e">
        <f t="shared" si="125"/>
        <v>#DIV/0!</v>
      </c>
      <c r="T898" s="323" t="e">
        <f t="shared" si="130"/>
        <v>#DIV/0!</v>
      </c>
      <c r="U898" s="191"/>
      <c r="V898" s="193"/>
      <c r="W898" s="181"/>
      <c r="X898" s="137"/>
      <c r="Z898" s="183"/>
      <c r="AA898" s="183"/>
    </row>
    <row r="899" spans="1:27" s="182" customFormat="1" ht="15" customHeight="1">
      <c r="A899" s="211"/>
      <c r="B899" s="209" t="s">
        <v>415</v>
      </c>
      <c r="C899" s="294">
        <f>IF(R860="Inclinado",C898+2*SIN(RADIANS(Q860))*(I898+N860),C898+2*TAN(RADIANS(Q860))*(I898+N860))</f>
        <v>0</v>
      </c>
      <c r="D899" s="623">
        <f t="shared" si="129"/>
        <v>0</v>
      </c>
      <c r="E899" s="623">
        <f t="shared" si="129"/>
        <v>0</v>
      </c>
      <c r="F899" s="623">
        <f t="shared" si="129"/>
        <v>0</v>
      </c>
      <c r="G899" s="623">
        <f t="shared" si="129"/>
        <v>0</v>
      </c>
      <c r="H899" s="623">
        <f t="shared" si="129"/>
        <v>0</v>
      </c>
      <c r="I899" s="623">
        <f t="shared" si="129"/>
        <v>0</v>
      </c>
      <c r="J899" s="623">
        <f t="shared" si="129"/>
        <v>0</v>
      </c>
      <c r="K899" s="623">
        <f t="shared" si="129"/>
        <v>0</v>
      </c>
      <c r="L899" s="624" t="e">
        <f t="shared" si="121"/>
        <v>#DIV/0!</v>
      </c>
      <c r="M899" s="624" t="e">
        <f t="shared" si="122"/>
        <v>#DIV/0!</v>
      </c>
      <c r="N899" s="191"/>
      <c r="O899" s="609">
        <f t="shared" si="128"/>
        <v>360</v>
      </c>
      <c r="P899" s="232" t="e">
        <f t="shared" si="123"/>
        <v>#DIV/0!</v>
      </c>
      <c r="Q899" s="191" t="e">
        <f t="shared" si="124"/>
        <v>#DIV/0!</v>
      </c>
      <c r="R899" s="191"/>
      <c r="S899" s="323" t="e">
        <f t="shared" si="125"/>
        <v>#DIV/0!</v>
      </c>
      <c r="T899" s="323" t="e">
        <f t="shared" si="130"/>
        <v>#DIV/0!</v>
      </c>
      <c r="U899" s="191"/>
      <c r="V899" s="193"/>
      <c r="W899" s="181"/>
      <c r="X899" s="137"/>
      <c r="Z899" s="183"/>
      <c r="AA899" s="183"/>
    </row>
    <row r="900" spans="1:27" s="182" customFormat="1" ht="15" customHeight="1">
      <c r="A900" s="211"/>
      <c r="B900" s="209" t="s">
        <v>416</v>
      </c>
      <c r="C900" s="294">
        <f>IF(R860="Inclinado",C899+2*SIN(RADIANS(Q860))*(I899+N860),C899+2*TAN(RADIANS(Q860))*(I899+N860))</f>
        <v>0</v>
      </c>
      <c r="D900" s="623">
        <f t="shared" si="129"/>
        <v>0</v>
      </c>
      <c r="E900" s="623">
        <f t="shared" si="129"/>
        <v>0</v>
      </c>
      <c r="F900" s="623">
        <f t="shared" si="129"/>
        <v>0</v>
      </c>
      <c r="G900" s="623">
        <f t="shared" si="129"/>
        <v>0</v>
      </c>
      <c r="H900" s="623">
        <f t="shared" si="129"/>
        <v>0</v>
      </c>
      <c r="I900" s="623">
        <f t="shared" si="129"/>
        <v>0</v>
      </c>
      <c r="J900" s="623">
        <f t="shared" si="129"/>
        <v>0</v>
      </c>
      <c r="K900" s="623">
        <f t="shared" si="129"/>
        <v>0</v>
      </c>
      <c r="L900" s="624" t="e">
        <f t="shared" si="121"/>
        <v>#DIV/0!</v>
      </c>
      <c r="M900" s="624" t="e">
        <f t="shared" si="122"/>
        <v>#DIV/0!</v>
      </c>
      <c r="N900" s="191"/>
      <c r="O900" s="609">
        <f t="shared" si="128"/>
        <v>360</v>
      </c>
      <c r="P900" s="232" t="e">
        <f t="shared" si="123"/>
        <v>#DIV/0!</v>
      </c>
      <c r="Q900" s="191" t="e">
        <f t="shared" si="124"/>
        <v>#DIV/0!</v>
      </c>
      <c r="R900" s="191"/>
      <c r="S900" s="323" t="e">
        <f t="shared" si="125"/>
        <v>#DIV/0!</v>
      </c>
      <c r="T900" s="323" t="e">
        <f t="shared" si="130"/>
        <v>#DIV/0!</v>
      </c>
      <c r="U900" s="191"/>
      <c r="V900" s="193"/>
      <c r="W900" s="181"/>
      <c r="X900" s="137"/>
      <c r="Z900" s="183"/>
      <c r="AA900" s="183"/>
    </row>
    <row r="901" spans="1:27" s="182" customFormat="1" ht="15" customHeight="1">
      <c r="A901" s="211"/>
      <c r="B901" s="209" t="s">
        <v>986</v>
      </c>
      <c r="C901" s="294">
        <f>IF(R860="Inclinado",C900+2*SIN(RADIANS(Q860))*(I900+N860),C900+2*TAN(RADIANS(Q860))*(I900+N860))</f>
        <v>0</v>
      </c>
      <c r="D901" s="623">
        <f t="shared" si="129"/>
        <v>0</v>
      </c>
      <c r="E901" s="623">
        <f t="shared" si="129"/>
        <v>0</v>
      </c>
      <c r="F901" s="623">
        <f t="shared" si="129"/>
        <v>0</v>
      </c>
      <c r="G901" s="623">
        <f t="shared" si="129"/>
        <v>0</v>
      </c>
      <c r="H901" s="623">
        <f t="shared" si="129"/>
        <v>0</v>
      </c>
      <c r="I901" s="623">
        <f t="shared" si="129"/>
        <v>0</v>
      </c>
      <c r="J901" s="623">
        <f t="shared" si="129"/>
        <v>0</v>
      </c>
      <c r="K901" s="623">
        <f t="shared" si="129"/>
        <v>0</v>
      </c>
      <c r="L901" s="624" t="e">
        <f t="shared" si="121"/>
        <v>#DIV/0!</v>
      </c>
      <c r="M901" s="624" t="e">
        <f t="shared" si="122"/>
        <v>#DIV/0!</v>
      </c>
      <c r="N901" s="191"/>
      <c r="O901" s="609">
        <f t="shared" si="128"/>
        <v>360</v>
      </c>
      <c r="P901" s="232" t="e">
        <f t="shared" si="123"/>
        <v>#DIV/0!</v>
      </c>
      <c r="Q901" s="191" t="e">
        <f t="shared" si="124"/>
        <v>#DIV/0!</v>
      </c>
      <c r="R901" s="191"/>
      <c r="S901" s="323" t="e">
        <f t="shared" si="125"/>
        <v>#DIV/0!</v>
      </c>
      <c r="T901" s="323" t="e">
        <f t="shared" si="130"/>
        <v>#DIV/0!</v>
      </c>
      <c r="U901" s="191"/>
      <c r="V901" s="193"/>
      <c r="W901" s="181"/>
      <c r="X901" s="137"/>
      <c r="Z901" s="183"/>
      <c r="AA901" s="183"/>
    </row>
    <row r="902" spans="1:27" s="182" customFormat="1" ht="15" customHeight="1">
      <c r="A902" s="211"/>
      <c r="B902" s="209" t="s">
        <v>987</v>
      </c>
      <c r="C902" s="294">
        <f>IF(R860="Inclinado",C901+2*SIN(RADIANS(Q860))*(I901+N860),C901+2*TAN(RADIANS(Q860))*(I901+N860))</f>
        <v>0</v>
      </c>
      <c r="D902" s="623">
        <f t="shared" si="129"/>
        <v>0</v>
      </c>
      <c r="E902" s="623">
        <f t="shared" si="129"/>
        <v>0</v>
      </c>
      <c r="F902" s="623">
        <f t="shared" si="129"/>
        <v>0</v>
      </c>
      <c r="G902" s="623">
        <f t="shared" si="129"/>
        <v>0</v>
      </c>
      <c r="H902" s="623">
        <f t="shared" si="129"/>
        <v>0</v>
      </c>
      <c r="I902" s="623">
        <f t="shared" si="129"/>
        <v>0</v>
      </c>
      <c r="J902" s="623">
        <f t="shared" si="129"/>
        <v>0</v>
      </c>
      <c r="K902" s="623">
        <f t="shared" si="129"/>
        <v>0</v>
      </c>
      <c r="L902" s="624" t="e">
        <f t="shared" si="121"/>
        <v>#DIV/0!</v>
      </c>
      <c r="M902" s="624" t="e">
        <f t="shared" si="122"/>
        <v>#DIV/0!</v>
      </c>
      <c r="N902" s="191"/>
      <c r="O902" s="609">
        <f t="shared" si="128"/>
        <v>360</v>
      </c>
      <c r="P902" s="232" t="e">
        <f t="shared" si="123"/>
        <v>#DIV/0!</v>
      </c>
      <c r="Q902" s="191" t="e">
        <f t="shared" si="124"/>
        <v>#DIV/0!</v>
      </c>
      <c r="R902" s="191"/>
      <c r="S902" s="323" t="e">
        <f t="shared" si="125"/>
        <v>#DIV/0!</v>
      </c>
      <c r="T902" s="323" t="e">
        <f t="shared" si="130"/>
        <v>#DIV/0!</v>
      </c>
      <c r="U902" s="191"/>
      <c r="V902" s="193"/>
      <c r="W902" s="181"/>
      <c r="X902" s="137"/>
      <c r="Z902" s="183"/>
      <c r="AA902" s="183"/>
    </row>
    <row r="903" spans="1:27" s="182" customFormat="1" ht="15" customHeight="1">
      <c r="A903" s="211"/>
      <c r="B903" s="209" t="s">
        <v>988</v>
      </c>
      <c r="C903" s="294">
        <f>IF(R860="Inclinado",C902+2*SIN(RADIANS(Q860))*(I902+N860),C902+2*TAN(RADIANS(Q860))*(I902+N860))</f>
        <v>0</v>
      </c>
      <c r="D903" s="623">
        <f t="shared" si="129"/>
        <v>0</v>
      </c>
      <c r="E903" s="623">
        <f t="shared" si="129"/>
        <v>0</v>
      </c>
      <c r="F903" s="623">
        <f t="shared" si="129"/>
        <v>0</v>
      </c>
      <c r="G903" s="623">
        <f t="shared" si="129"/>
        <v>0</v>
      </c>
      <c r="H903" s="623">
        <f t="shared" si="129"/>
        <v>0</v>
      </c>
      <c r="I903" s="623">
        <f t="shared" si="129"/>
        <v>0</v>
      </c>
      <c r="J903" s="623">
        <f t="shared" si="129"/>
        <v>0</v>
      </c>
      <c r="K903" s="623">
        <f t="shared" si="129"/>
        <v>0</v>
      </c>
      <c r="L903" s="624" t="e">
        <f t="shared" si="121"/>
        <v>#DIV/0!</v>
      </c>
      <c r="M903" s="624" t="e">
        <f t="shared" si="122"/>
        <v>#DIV/0!</v>
      </c>
      <c r="N903" s="191"/>
      <c r="O903" s="609">
        <f t="shared" si="128"/>
        <v>360</v>
      </c>
      <c r="P903" s="232" t="e">
        <f t="shared" si="123"/>
        <v>#DIV/0!</v>
      </c>
      <c r="Q903" s="191" t="e">
        <f t="shared" si="124"/>
        <v>#DIV/0!</v>
      </c>
      <c r="R903" s="191"/>
      <c r="S903" s="323" t="e">
        <f t="shared" si="125"/>
        <v>#DIV/0!</v>
      </c>
      <c r="T903" s="323" t="e">
        <f t="shared" si="130"/>
        <v>#DIV/0!</v>
      </c>
      <c r="U903" s="191"/>
      <c r="V903" s="193"/>
      <c r="W903" s="181"/>
      <c r="X903" s="137"/>
      <c r="Z903" s="183"/>
      <c r="AA903" s="183"/>
    </row>
    <row r="904" spans="1:27" s="182" customFormat="1" ht="15" customHeight="1">
      <c r="A904" s="211"/>
      <c r="B904" s="209" t="s">
        <v>989</v>
      </c>
      <c r="C904" s="294">
        <f>IF(R860="Inclinado",C903+2*SIN(RADIANS(Q860))*(I903+N860),C903+2*TAN(RADIANS(Q860))*(I903+N860))</f>
        <v>0</v>
      </c>
      <c r="D904" s="623">
        <f t="shared" ref="D904:K919" si="131">D903</f>
        <v>0</v>
      </c>
      <c r="E904" s="623">
        <f t="shared" si="131"/>
        <v>0</v>
      </c>
      <c r="F904" s="623">
        <f t="shared" si="131"/>
        <v>0</v>
      </c>
      <c r="G904" s="623">
        <f t="shared" si="131"/>
        <v>0</v>
      </c>
      <c r="H904" s="623">
        <f t="shared" si="131"/>
        <v>0</v>
      </c>
      <c r="I904" s="623">
        <f t="shared" si="131"/>
        <v>0</v>
      </c>
      <c r="J904" s="623">
        <f t="shared" si="131"/>
        <v>0</v>
      </c>
      <c r="K904" s="623">
        <f t="shared" si="131"/>
        <v>0</v>
      </c>
      <c r="L904" s="624" t="e">
        <f t="shared" si="121"/>
        <v>#DIV/0!</v>
      </c>
      <c r="M904" s="624" t="e">
        <f t="shared" si="122"/>
        <v>#DIV/0!</v>
      </c>
      <c r="N904" s="191"/>
      <c r="O904" s="609">
        <f t="shared" si="128"/>
        <v>360</v>
      </c>
      <c r="P904" s="232" t="e">
        <f t="shared" si="123"/>
        <v>#DIV/0!</v>
      </c>
      <c r="Q904" s="191" t="e">
        <f t="shared" si="124"/>
        <v>#DIV/0!</v>
      </c>
      <c r="R904" s="191"/>
      <c r="S904" s="323" t="e">
        <f t="shared" si="125"/>
        <v>#DIV/0!</v>
      </c>
      <c r="T904" s="323" t="e">
        <f t="shared" si="130"/>
        <v>#DIV/0!</v>
      </c>
      <c r="U904" s="191"/>
      <c r="V904" s="193"/>
      <c r="W904" s="181"/>
      <c r="X904" s="137"/>
      <c r="Z904" s="183"/>
      <c r="AA904" s="183"/>
    </row>
    <row r="905" spans="1:27" s="182" customFormat="1" ht="15" customHeight="1">
      <c r="A905" s="211"/>
      <c r="B905" s="209" t="s">
        <v>990</v>
      </c>
      <c r="C905" s="294">
        <f>IF(R860="Inclinado",C904+2*SIN(RADIANS(Q860))*(I904+N860),C904+2*TAN(RADIANS(Q860))*(I904+N860))</f>
        <v>0</v>
      </c>
      <c r="D905" s="623">
        <f t="shared" si="131"/>
        <v>0</v>
      </c>
      <c r="E905" s="623">
        <f t="shared" si="131"/>
        <v>0</v>
      </c>
      <c r="F905" s="623">
        <f t="shared" si="131"/>
        <v>0</v>
      </c>
      <c r="G905" s="623">
        <f t="shared" si="131"/>
        <v>0</v>
      </c>
      <c r="H905" s="623">
        <f t="shared" si="131"/>
        <v>0</v>
      </c>
      <c r="I905" s="623">
        <f t="shared" si="131"/>
        <v>0</v>
      </c>
      <c r="J905" s="623">
        <f t="shared" si="131"/>
        <v>0</v>
      </c>
      <c r="K905" s="623">
        <f t="shared" si="131"/>
        <v>0</v>
      </c>
      <c r="L905" s="624" t="e">
        <f t="shared" si="121"/>
        <v>#DIV/0!</v>
      </c>
      <c r="M905" s="624" t="e">
        <f t="shared" si="122"/>
        <v>#DIV/0!</v>
      </c>
      <c r="N905" s="191"/>
      <c r="O905" s="609">
        <f t="shared" si="128"/>
        <v>360</v>
      </c>
      <c r="P905" s="232" t="e">
        <f t="shared" si="123"/>
        <v>#DIV/0!</v>
      </c>
      <c r="Q905" s="191" t="e">
        <f t="shared" si="124"/>
        <v>#DIV/0!</v>
      </c>
      <c r="R905" s="191"/>
      <c r="S905" s="323" t="e">
        <f t="shared" si="125"/>
        <v>#DIV/0!</v>
      </c>
      <c r="T905" s="323" t="e">
        <f t="shared" si="130"/>
        <v>#DIV/0!</v>
      </c>
      <c r="U905" s="191"/>
      <c r="V905" s="193"/>
      <c r="W905" s="181"/>
      <c r="X905" s="137"/>
      <c r="Z905" s="183"/>
      <c r="AA905" s="183"/>
    </row>
    <row r="906" spans="1:27" s="182" customFormat="1" ht="15" customHeight="1">
      <c r="A906" s="211"/>
      <c r="B906" s="209" t="s">
        <v>991</v>
      </c>
      <c r="C906" s="294">
        <f>IF(R860="Inclinado",C905+2*SIN(RADIANS(Q860))*(I905+N860),C905+2*TAN(RADIANS(Q860))*(I905+N860))</f>
        <v>0</v>
      </c>
      <c r="D906" s="623">
        <f t="shared" si="131"/>
        <v>0</v>
      </c>
      <c r="E906" s="623">
        <f t="shared" si="131"/>
        <v>0</v>
      </c>
      <c r="F906" s="623">
        <f t="shared" si="131"/>
        <v>0</v>
      </c>
      <c r="G906" s="623">
        <f t="shared" si="131"/>
        <v>0</v>
      </c>
      <c r="H906" s="623">
        <f t="shared" si="131"/>
        <v>0</v>
      </c>
      <c r="I906" s="623">
        <f t="shared" si="131"/>
        <v>0</v>
      </c>
      <c r="J906" s="623">
        <f t="shared" si="131"/>
        <v>0</v>
      </c>
      <c r="K906" s="623">
        <f t="shared" si="131"/>
        <v>0</v>
      </c>
      <c r="L906" s="624" t="e">
        <f t="shared" si="121"/>
        <v>#DIV/0!</v>
      </c>
      <c r="M906" s="624" t="e">
        <f t="shared" si="122"/>
        <v>#DIV/0!</v>
      </c>
      <c r="N906" s="191"/>
      <c r="O906" s="609">
        <f t="shared" si="128"/>
        <v>360</v>
      </c>
      <c r="P906" s="232" t="e">
        <f t="shared" si="123"/>
        <v>#DIV/0!</v>
      </c>
      <c r="Q906" s="191" t="e">
        <f t="shared" si="124"/>
        <v>#DIV/0!</v>
      </c>
      <c r="R906" s="191"/>
      <c r="S906" s="323" t="e">
        <f t="shared" si="125"/>
        <v>#DIV/0!</v>
      </c>
      <c r="T906" s="323" t="e">
        <f t="shared" si="130"/>
        <v>#DIV/0!</v>
      </c>
      <c r="U906" s="191"/>
      <c r="V906" s="193"/>
      <c r="W906" s="181"/>
      <c r="X906" s="137"/>
      <c r="Z906" s="183"/>
      <c r="AA906" s="183"/>
    </row>
    <row r="907" spans="1:27" s="182" customFormat="1" ht="15" customHeight="1">
      <c r="A907" s="211"/>
      <c r="B907" s="209" t="s">
        <v>992</v>
      </c>
      <c r="C907" s="294">
        <f>IF(R860="Inclinado",C906+2*SIN(RADIANS(Q860))*(I906+N860),C906+2*TAN(RADIANS(Q860))*(I906+N860))</f>
        <v>0</v>
      </c>
      <c r="D907" s="623">
        <f t="shared" si="131"/>
        <v>0</v>
      </c>
      <c r="E907" s="623">
        <f t="shared" si="131"/>
        <v>0</v>
      </c>
      <c r="F907" s="623">
        <f t="shared" si="131"/>
        <v>0</v>
      </c>
      <c r="G907" s="623">
        <f t="shared" si="131"/>
        <v>0</v>
      </c>
      <c r="H907" s="623">
        <f t="shared" si="131"/>
        <v>0</v>
      </c>
      <c r="I907" s="623">
        <f t="shared" si="131"/>
        <v>0</v>
      </c>
      <c r="J907" s="623">
        <f t="shared" si="131"/>
        <v>0</v>
      </c>
      <c r="K907" s="623">
        <f t="shared" si="131"/>
        <v>0</v>
      </c>
      <c r="L907" s="624" t="e">
        <f t="shared" si="121"/>
        <v>#DIV/0!</v>
      </c>
      <c r="M907" s="624" t="e">
        <f t="shared" si="122"/>
        <v>#DIV/0!</v>
      </c>
      <c r="N907" s="191"/>
      <c r="O907" s="609">
        <f t="shared" si="128"/>
        <v>360</v>
      </c>
      <c r="P907" s="232" t="e">
        <f t="shared" si="123"/>
        <v>#DIV/0!</v>
      </c>
      <c r="Q907" s="191" t="e">
        <f t="shared" si="124"/>
        <v>#DIV/0!</v>
      </c>
      <c r="R907" s="191"/>
      <c r="S907" s="323" t="e">
        <f t="shared" si="125"/>
        <v>#DIV/0!</v>
      </c>
      <c r="T907" s="323" t="e">
        <f t="shared" si="130"/>
        <v>#DIV/0!</v>
      </c>
      <c r="U907" s="191"/>
      <c r="V907" s="193"/>
      <c r="W907" s="181"/>
      <c r="X907" s="137"/>
      <c r="Z907" s="183"/>
      <c r="AA907" s="183"/>
    </row>
    <row r="908" spans="1:27" s="182" customFormat="1" ht="15" customHeight="1">
      <c r="A908" s="211"/>
      <c r="B908" s="209" t="s">
        <v>993</v>
      </c>
      <c r="C908" s="294">
        <f>IF(R860="Inclinado",C907+2*SIN(RADIANS(Q860))*(I907+N860),C907+2*TAN(RADIANS(Q860))*(I907+N860))</f>
        <v>0</v>
      </c>
      <c r="D908" s="623">
        <f t="shared" si="131"/>
        <v>0</v>
      </c>
      <c r="E908" s="623">
        <f t="shared" si="131"/>
        <v>0</v>
      </c>
      <c r="F908" s="623">
        <f t="shared" si="131"/>
        <v>0</v>
      </c>
      <c r="G908" s="623">
        <f t="shared" si="131"/>
        <v>0</v>
      </c>
      <c r="H908" s="623">
        <f t="shared" si="131"/>
        <v>0</v>
      </c>
      <c r="I908" s="623">
        <f t="shared" si="131"/>
        <v>0</v>
      </c>
      <c r="J908" s="623">
        <f t="shared" si="131"/>
        <v>0</v>
      </c>
      <c r="K908" s="623">
        <f t="shared" si="131"/>
        <v>0</v>
      </c>
      <c r="L908" s="624" t="e">
        <f t="shared" si="121"/>
        <v>#DIV/0!</v>
      </c>
      <c r="M908" s="624" t="e">
        <f t="shared" si="122"/>
        <v>#DIV/0!</v>
      </c>
      <c r="N908" s="191"/>
      <c r="O908" s="609">
        <f t="shared" si="128"/>
        <v>360</v>
      </c>
      <c r="P908" s="232" t="e">
        <f t="shared" si="123"/>
        <v>#DIV/0!</v>
      </c>
      <c r="Q908" s="191" t="e">
        <f t="shared" si="124"/>
        <v>#DIV/0!</v>
      </c>
      <c r="R908" s="191"/>
      <c r="S908" s="323" t="e">
        <f t="shared" si="125"/>
        <v>#DIV/0!</v>
      </c>
      <c r="T908" s="323" t="e">
        <f t="shared" si="130"/>
        <v>#DIV/0!</v>
      </c>
      <c r="U908" s="191"/>
      <c r="V908" s="193"/>
      <c r="W908" s="181"/>
      <c r="X908" s="137"/>
      <c r="Z908" s="183"/>
      <c r="AA908" s="183"/>
    </row>
    <row r="909" spans="1:27" s="182" customFormat="1" ht="15" customHeight="1">
      <c r="A909" s="211"/>
      <c r="B909" s="209" t="s">
        <v>994</v>
      </c>
      <c r="C909" s="294">
        <f>IF(R860="Inclinado",C908+2*SIN(RADIANS(Q860))*(I908+N860),C908+2*TAN(RADIANS(Q860))*(I908+N860))</f>
        <v>0</v>
      </c>
      <c r="D909" s="623">
        <f t="shared" si="131"/>
        <v>0</v>
      </c>
      <c r="E909" s="623">
        <f t="shared" si="131"/>
        <v>0</v>
      </c>
      <c r="F909" s="623">
        <f t="shared" si="131"/>
        <v>0</v>
      </c>
      <c r="G909" s="623">
        <f t="shared" si="131"/>
        <v>0</v>
      </c>
      <c r="H909" s="623">
        <f t="shared" si="131"/>
        <v>0</v>
      </c>
      <c r="I909" s="623">
        <f t="shared" si="131"/>
        <v>0</v>
      </c>
      <c r="J909" s="623">
        <f t="shared" si="131"/>
        <v>0</v>
      </c>
      <c r="K909" s="623">
        <f t="shared" si="131"/>
        <v>0</v>
      </c>
      <c r="L909" s="624" t="e">
        <f t="shared" si="121"/>
        <v>#DIV/0!</v>
      </c>
      <c r="M909" s="624" t="e">
        <f t="shared" si="122"/>
        <v>#DIV/0!</v>
      </c>
      <c r="N909" s="191"/>
      <c r="O909" s="609">
        <f t="shared" si="128"/>
        <v>360</v>
      </c>
      <c r="P909" s="232" t="e">
        <f t="shared" si="123"/>
        <v>#DIV/0!</v>
      </c>
      <c r="Q909" s="191" t="e">
        <f t="shared" si="124"/>
        <v>#DIV/0!</v>
      </c>
      <c r="R909" s="191"/>
      <c r="S909" s="323" t="e">
        <f t="shared" si="125"/>
        <v>#DIV/0!</v>
      </c>
      <c r="T909" s="323" t="e">
        <f t="shared" si="130"/>
        <v>#DIV/0!</v>
      </c>
      <c r="U909" s="191"/>
      <c r="V909" s="193"/>
      <c r="W909" s="181"/>
      <c r="X909" s="137"/>
      <c r="Z909" s="183"/>
      <c r="AA909" s="183"/>
    </row>
    <row r="910" spans="1:27" s="182" customFormat="1" ht="15" customHeight="1">
      <c r="A910" s="211"/>
      <c r="B910" s="209" t="s">
        <v>995</v>
      </c>
      <c r="C910" s="294">
        <f>IF(R860="Inclinado",C909+2*SIN(RADIANS(Q860))*(I909+N860),C909+2*TAN(RADIANS(Q860))*(I909+N860))</f>
        <v>0</v>
      </c>
      <c r="D910" s="623">
        <f t="shared" si="131"/>
        <v>0</v>
      </c>
      <c r="E910" s="623">
        <f t="shared" si="131"/>
        <v>0</v>
      </c>
      <c r="F910" s="623">
        <f t="shared" si="131"/>
        <v>0</v>
      </c>
      <c r="G910" s="623">
        <f t="shared" si="131"/>
        <v>0</v>
      </c>
      <c r="H910" s="623">
        <f t="shared" si="131"/>
        <v>0</v>
      </c>
      <c r="I910" s="623">
        <f t="shared" si="131"/>
        <v>0</v>
      </c>
      <c r="J910" s="623">
        <f t="shared" si="131"/>
        <v>0</v>
      </c>
      <c r="K910" s="623">
        <f t="shared" si="131"/>
        <v>0</v>
      </c>
      <c r="L910" s="624" t="e">
        <f t="shared" si="121"/>
        <v>#DIV/0!</v>
      </c>
      <c r="M910" s="624" t="e">
        <f t="shared" si="122"/>
        <v>#DIV/0!</v>
      </c>
      <c r="N910" s="191"/>
      <c r="O910" s="609">
        <f t="shared" si="128"/>
        <v>360</v>
      </c>
      <c r="P910" s="232" t="e">
        <f t="shared" si="123"/>
        <v>#DIV/0!</v>
      </c>
      <c r="Q910" s="191" t="e">
        <f t="shared" si="124"/>
        <v>#DIV/0!</v>
      </c>
      <c r="R910" s="191"/>
      <c r="S910" s="323" t="e">
        <f t="shared" si="125"/>
        <v>#DIV/0!</v>
      </c>
      <c r="T910" s="323" t="e">
        <f t="shared" si="130"/>
        <v>#DIV/0!</v>
      </c>
      <c r="U910" s="191"/>
      <c r="V910" s="193"/>
      <c r="W910" s="181"/>
      <c r="X910" s="137"/>
      <c r="Z910" s="183"/>
      <c r="AA910" s="183"/>
    </row>
    <row r="911" spans="1:27" s="182" customFormat="1" ht="15" customHeight="1">
      <c r="A911" s="211"/>
      <c r="B911" s="209" t="s">
        <v>996</v>
      </c>
      <c r="C911" s="294">
        <f>IF(R860="Inclinado",C910+2*SIN(RADIANS(Q860))*(I910+N860),C910+2*TAN(RADIANS(Q860))*(I910+N860))</f>
        <v>0</v>
      </c>
      <c r="D911" s="623">
        <f t="shared" si="131"/>
        <v>0</v>
      </c>
      <c r="E911" s="623">
        <f t="shared" si="131"/>
        <v>0</v>
      </c>
      <c r="F911" s="623">
        <f t="shared" si="131"/>
        <v>0</v>
      </c>
      <c r="G911" s="623">
        <f t="shared" si="131"/>
        <v>0</v>
      </c>
      <c r="H911" s="623">
        <f t="shared" si="131"/>
        <v>0</v>
      </c>
      <c r="I911" s="623">
        <f t="shared" si="131"/>
        <v>0</v>
      </c>
      <c r="J911" s="623">
        <f t="shared" si="131"/>
        <v>0</v>
      </c>
      <c r="K911" s="623">
        <f t="shared" si="131"/>
        <v>0</v>
      </c>
      <c r="L911" s="624" t="e">
        <f t="shared" si="121"/>
        <v>#DIV/0!</v>
      </c>
      <c r="M911" s="624" t="e">
        <f t="shared" si="122"/>
        <v>#DIV/0!</v>
      </c>
      <c r="N911" s="191"/>
      <c r="O911" s="609">
        <f t="shared" si="128"/>
        <v>360</v>
      </c>
      <c r="P911" s="232" t="e">
        <f t="shared" si="123"/>
        <v>#DIV/0!</v>
      </c>
      <c r="Q911" s="191" t="e">
        <f t="shared" si="124"/>
        <v>#DIV/0!</v>
      </c>
      <c r="R911" s="191"/>
      <c r="S911" s="323" t="e">
        <f t="shared" si="125"/>
        <v>#DIV/0!</v>
      </c>
      <c r="T911" s="323" t="e">
        <f t="shared" si="130"/>
        <v>#DIV/0!</v>
      </c>
      <c r="U911" s="191"/>
      <c r="V911" s="193"/>
      <c r="W911" s="181"/>
      <c r="X911" s="137"/>
      <c r="Z911" s="183"/>
      <c r="AA911" s="183"/>
    </row>
    <row r="912" spans="1:27" s="182" customFormat="1" ht="15" customHeight="1">
      <c r="A912" s="211"/>
      <c r="B912" s="209" t="s">
        <v>997</v>
      </c>
      <c r="C912" s="294">
        <f>IF(R860="Inclinado",C911+2*SIN(RADIANS(Q860))*(I911+N860),C911+2*TAN(RADIANS(Q860))*(I911+N860))</f>
        <v>0</v>
      </c>
      <c r="D912" s="623">
        <f t="shared" si="131"/>
        <v>0</v>
      </c>
      <c r="E912" s="623">
        <f t="shared" si="131"/>
        <v>0</v>
      </c>
      <c r="F912" s="623">
        <f t="shared" si="131"/>
        <v>0</v>
      </c>
      <c r="G912" s="623">
        <f t="shared" si="131"/>
        <v>0</v>
      </c>
      <c r="H912" s="623">
        <f t="shared" si="131"/>
        <v>0</v>
      </c>
      <c r="I912" s="623">
        <f t="shared" si="131"/>
        <v>0</v>
      </c>
      <c r="J912" s="623">
        <f t="shared" si="131"/>
        <v>0</v>
      </c>
      <c r="K912" s="623">
        <f t="shared" si="131"/>
        <v>0</v>
      </c>
      <c r="L912" s="624" t="e">
        <f t="shared" si="121"/>
        <v>#DIV/0!</v>
      </c>
      <c r="M912" s="624" t="e">
        <f t="shared" si="122"/>
        <v>#DIV/0!</v>
      </c>
      <c r="N912" s="191"/>
      <c r="O912" s="609">
        <f t="shared" si="128"/>
        <v>360</v>
      </c>
      <c r="P912" s="232" t="e">
        <f t="shared" si="123"/>
        <v>#DIV/0!</v>
      </c>
      <c r="Q912" s="191" t="e">
        <f t="shared" si="124"/>
        <v>#DIV/0!</v>
      </c>
      <c r="R912" s="191"/>
      <c r="S912" s="323" t="e">
        <f t="shared" si="125"/>
        <v>#DIV/0!</v>
      </c>
      <c r="T912" s="323" t="e">
        <f t="shared" si="130"/>
        <v>#DIV/0!</v>
      </c>
      <c r="U912" s="191"/>
      <c r="V912" s="193"/>
      <c r="W912" s="181"/>
      <c r="X912" s="137"/>
      <c r="Z912" s="183"/>
      <c r="AA912" s="183"/>
    </row>
    <row r="913" spans="1:27" s="182" customFormat="1" ht="15" customHeight="1">
      <c r="A913" s="211"/>
      <c r="B913" s="209" t="s">
        <v>998</v>
      </c>
      <c r="C913" s="294">
        <f>IF(R860="Inclinado",C912+2*SIN(RADIANS(Q860))*(I912+N860),C912+2*TAN(RADIANS(Q860))*(I912+N860))</f>
        <v>0</v>
      </c>
      <c r="D913" s="623">
        <f t="shared" si="131"/>
        <v>0</v>
      </c>
      <c r="E913" s="623">
        <f t="shared" si="131"/>
        <v>0</v>
      </c>
      <c r="F913" s="623">
        <f t="shared" si="131"/>
        <v>0</v>
      </c>
      <c r="G913" s="623">
        <f t="shared" si="131"/>
        <v>0</v>
      </c>
      <c r="H913" s="623">
        <f t="shared" si="131"/>
        <v>0</v>
      </c>
      <c r="I913" s="623">
        <f t="shared" si="131"/>
        <v>0</v>
      </c>
      <c r="J913" s="623">
        <f t="shared" si="131"/>
        <v>0</v>
      </c>
      <c r="K913" s="623">
        <f t="shared" si="131"/>
        <v>0</v>
      </c>
      <c r="L913" s="624" t="e">
        <f t="shared" si="121"/>
        <v>#DIV/0!</v>
      </c>
      <c r="M913" s="624" t="e">
        <f t="shared" si="122"/>
        <v>#DIV/0!</v>
      </c>
      <c r="N913" s="191"/>
      <c r="O913" s="609">
        <f t="shared" si="128"/>
        <v>360</v>
      </c>
      <c r="P913" s="232" t="e">
        <f t="shared" si="123"/>
        <v>#DIV/0!</v>
      </c>
      <c r="Q913" s="191" t="e">
        <f t="shared" si="124"/>
        <v>#DIV/0!</v>
      </c>
      <c r="R913" s="191"/>
      <c r="S913" s="323" t="e">
        <f t="shared" si="125"/>
        <v>#DIV/0!</v>
      </c>
      <c r="T913" s="323" t="e">
        <f t="shared" si="130"/>
        <v>#DIV/0!</v>
      </c>
      <c r="U913" s="191"/>
      <c r="V913" s="193"/>
      <c r="W913" s="181"/>
      <c r="X913" s="137"/>
      <c r="Z913" s="183"/>
      <c r="AA913" s="183"/>
    </row>
    <row r="914" spans="1:27" s="182" customFormat="1" ht="15" customHeight="1">
      <c r="A914" s="211"/>
      <c r="B914" s="209" t="s">
        <v>999</v>
      </c>
      <c r="C914" s="294">
        <f>IF(R860="Inclinado",C913+2*SIN(RADIANS(Q860))*(I913+N860),C913+2*TAN(RADIANS(Q860))*(I913+N860))</f>
        <v>0</v>
      </c>
      <c r="D914" s="623">
        <f t="shared" si="131"/>
        <v>0</v>
      </c>
      <c r="E914" s="623">
        <f t="shared" si="131"/>
        <v>0</v>
      </c>
      <c r="F914" s="623">
        <f t="shared" si="131"/>
        <v>0</v>
      </c>
      <c r="G914" s="623">
        <f t="shared" si="131"/>
        <v>0</v>
      </c>
      <c r="H914" s="623">
        <f t="shared" si="131"/>
        <v>0</v>
      </c>
      <c r="I914" s="623">
        <f t="shared" si="131"/>
        <v>0</v>
      </c>
      <c r="J914" s="623">
        <f t="shared" si="131"/>
        <v>0</v>
      </c>
      <c r="K914" s="623">
        <f t="shared" si="131"/>
        <v>0</v>
      </c>
      <c r="L914" s="624" t="e">
        <f t="shared" si="121"/>
        <v>#DIV/0!</v>
      </c>
      <c r="M914" s="624" t="e">
        <f t="shared" si="122"/>
        <v>#DIV/0!</v>
      </c>
      <c r="N914" s="191"/>
      <c r="O914" s="609">
        <f t="shared" si="128"/>
        <v>360</v>
      </c>
      <c r="P914" s="232" t="e">
        <f t="shared" si="123"/>
        <v>#DIV/0!</v>
      </c>
      <c r="Q914" s="191" t="e">
        <f t="shared" si="124"/>
        <v>#DIV/0!</v>
      </c>
      <c r="R914" s="191"/>
      <c r="S914" s="323" t="e">
        <f t="shared" si="125"/>
        <v>#DIV/0!</v>
      </c>
      <c r="T914" s="323" t="e">
        <f t="shared" si="130"/>
        <v>#DIV/0!</v>
      </c>
      <c r="U914" s="191"/>
      <c r="V914" s="193"/>
      <c r="W914" s="181"/>
      <c r="X914" s="137"/>
      <c r="Z914" s="183"/>
      <c r="AA914" s="183"/>
    </row>
    <row r="915" spans="1:27" s="182" customFormat="1" ht="15" customHeight="1">
      <c r="A915" s="211"/>
      <c r="B915" s="209" t="s">
        <v>1000</v>
      </c>
      <c r="C915" s="294">
        <f>IF(R860="Inclinado",C914+2*SIN(RADIANS(Q860))*(I914+N860),C914+2*TAN(RADIANS(Q860))*(I914+N860))</f>
        <v>0</v>
      </c>
      <c r="D915" s="623">
        <f t="shared" si="131"/>
        <v>0</v>
      </c>
      <c r="E915" s="623">
        <f t="shared" si="131"/>
        <v>0</v>
      </c>
      <c r="F915" s="623">
        <f t="shared" si="131"/>
        <v>0</v>
      </c>
      <c r="G915" s="623">
        <f t="shared" si="131"/>
        <v>0</v>
      </c>
      <c r="H915" s="623">
        <f t="shared" si="131"/>
        <v>0</v>
      </c>
      <c r="I915" s="623">
        <f t="shared" si="131"/>
        <v>0</v>
      </c>
      <c r="J915" s="623">
        <f t="shared" si="131"/>
        <v>0</v>
      </c>
      <c r="K915" s="623">
        <f t="shared" si="131"/>
        <v>0</v>
      </c>
      <c r="L915" s="624" t="e">
        <f t="shared" si="121"/>
        <v>#DIV/0!</v>
      </c>
      <c r="M915" s="624" t="e">
        <f t="shared" si="122"/>
        <v>#DIV/0!</v>
      </c>
      <c r="N915" s="191"/>
      <c r="O915" s="609">
        <f t="shared" si="128"/>
        <v>360</v>
      </c>
      <c r="P915" s="232" t="e">
        <f t="shared" si="123"/>
        <v>#DIV/0!</v>
      </c>
      <c r="Q915" s="191" t="e">
        <f t="shared" si="124"/>
        <v>#DIV/0!</v>
      </c>
      <c r="R915" s="191"/>
      <c r="S915" s="323" t="e">
        <f t="shared" si="125"/>
        <v>#DIV/0!</v>
      </c>
      <c r="T915" s="323" t="e">
        <f t="shared" si="130"/>
        <v>#DIV/0!</v>
      </c>
      <c r="U915" s="191"/>
      <c r="V915" s="193"/>
      <c r="W915" s="181"/>
      <c r="X915" s="137"/>
      <c r="Z915" s="183"/>
      <c r="AA915" s="183"/>
    </row>
    <row r="916" spans="1:27" s="182" customFormat="1" ht="15" customHeight="1">
      <c r="A916" s="211"/>
      <c r="B916" s="209" t="s">
        <v>1001</v>
      </c>
      <c r="C916" s="294">
        <f>IF(R860="Inclinado",C915+2*SIN(RADIANS(Q860))*(I915+N860),C915+2*TAN(RADIANS(Q860))*(I915+N860))</f>
        <v>0</v>
      </c>
      <c r="D916" s="623">
        <f t="shared" si="131"/>
        <v>0</v>
      </c>
      <c r="E916" s="623">
        <f t="shared" si="131"/>
        <v>0</v>
      </c>
      <c r="F916" s="623">
        <f t="shared" si="131"/>
        <v>0</v>
      </c>
      <c r="G916" s="623">
        <f t="shared" si="131"/>
        <v>0</v>
      </c>
      <c r="H916" s="623">
        <f t="shared" si="131"/>
        <v>0</v>
      </c>
      <c r="I916" s="623">
        <f t="shared" si="131"/>
        <v>0</v>
      </c>
      <c r="J916" s="623">
        <f t="shared" si="131"/>
        <v>0</v>
      </c>
      <c r="K916" s="623">
        <f t="shared" si="131"/>
        <v>0</v>
      </c>
      <c r="L916" s="624" t="e">
        <f t="shared" si="121"/>
        <v>#DIV/0!</v>
      </c>
      <c r="M916" s="624" t="e">
        <f t="shared" si="122"/>
        <v>#DIV/0!</v>
      </c>
      <c r="N916" s="191"/>
      <c r="O916" s="609">
        <f t="shared" si="128"/>
        <v>360</v>
      </c>
      <c r="P916" s="232" t="e">
        <f t="shared" si="123"/>
        <v>#DIV/0!</v>
      </c>
      <c r="Q916" s="191" t="e">
        <f t="shared" si="124"/>
        <v>#DIV/0!</v>
      </c>
      <c r="R916" s="191"/>
      <c r="S916" s="323" t="e">
        <f t="shared" si="125"/>
        <v>#DIV/0!</v>
      </c>
      <c r="T916" s="323" t="e">
        <f t="shared" si="130"/>
        <v>#DIV/0!</v>
      </c>
      <c r="U916" s="191"/>
      <c r="V916" s="193"/>
      <c r="W916" s="181"/>
      <c r="X916" s="137"/>
      <c r="Z916" s="183"/>
      <c r="AA916" s="183"/>
    </row>
    <row r="917" spans="1:27" s="182" customFormat="1" ht="15" customHeight="1">
      <c r="A917" s="211"/>
      <c r="B917" s="209" t="s">
        <v>1002</v>
      </c>
      <c r="C917" s="294">
        <f>IF(R860="Inclinado",C916+2*SIN(RADIANS(Q860))*(I916+N860),C916+2*TAN(RADIANS(Q860))*(I916+N860))</f>
        <v>0</v>
      </c>
      <c r="D917" s="623">
        <f t="shared" si="131"/>
        <v>0</v>
      </c>
      <c r="E917" s="623">
        <f t="shared" si="131"/>
        <v>0</v>
      </c>
      <c r="F917" s="623">
        <f t="shared" si="131"/>
        <v>0</v>
      </c>
      <c r="G917" s="623">
        <f t="shared" si="131"/>
        <v>0</v>
      </c>
      <c r="H917" s="623">
        <f t="shared" si="131"/>
        <v>0</v>
      </c>
      <c r="I917" s="623">
        <f t="shared" si="131"/>
        <v>0</v>
      </c>
      <c r="J917" s="623">
        <f t="shared" si="131"/>
        <v>0</v>
      </c>
      <c r="K917" s="623">
        <f t="shared" si="131"/>
        <v>0</v>
      </c>
      <c r="L917" s="624" t="e">
        <f t="shared" si="121"/>
        <v>#DIV/0!</v>
      </c>
      <c r="M917" s="624" t="e">
        <f t="shared" si="122"/>
        <v>#DIV/0!</v>
      </c>
      <c r="N917" s="191"/>
      <c r="O917" s="609">
        <f t="shared" si="128"/>
        <v>360</v>
      </c>
      <c r="P917" s="232" t="e">
        <f t="shared" si="123"/>
        <v>#DIV/0!</v>
      </c>
      <c r="Q917" s="191" t="e">
        <f t="shared" si="124"/>
        <v>#DIV/0!</v>
      </c>
      <c r="R917" s="191"/>
      <c r="S917" s="323" t="e">
        <f t="shared" si="125"/>
        <v>#DIV/0!</v>
      </c>
      <c r="T917" s="323" t="e">
        <f t="shared" si="130"/>
        <v>#DIV/0!</v>
      </c>
      <c r="U917" s="191"/>
      <c r="V917" s="193"/>
      <c r="W917" s="181"/>
      <c r="X917" s="137"/>
      <c r="Z917" s="183"/>
      <c r="AA917" s="183"/>
    </row>
    <row r="918" spans="1:27" s="182" customFormat="1" ht="15" customHeight="1">
      <c r="A918" s="211"/>
      <c r="B918" s="209" t="s">
        <v>1003</v>
      </c>
      <c r="C918" s="294">
        <f>IF(R860="Inclinado",C917+2*SIN(RADIANS(Q860))*(I917+N860),C917+2*TAN(RADIANS(Q860))*(I917+N860))</f>
        <v>0</v>
      </c>
      <c r="D918" s="623">
        <f t="shared" si="131"/>
        <v>0</v>
      </c>
      <c r="E918" s="623">
        <f t="shared" si="131"/>
        <v>0</v>
      </c>
      <c r="F918" s="623">
        <f t="shared" si="131"/>
        <v>0</v>
      </c>
      <c r="G918" s="623">
        <f t="shared" si="131"/>
        <v>0</v>
      </c>
      <c r="H918" s="623">
        <f t="shared" si="131"/>
        <v>0</v>
      </c>
      <c r="I918" s="623">
        <f t="shared" si="131"/>
        <v>0</v>
      </c>
      <c r="J918" s="623">
        <f t="shared" si="131"/>
        <v>0</v>
      </c>
      <c r="K918" s="623">
        <f t="shared" si="131"/>
        <v>0</v>
      </c>
      <c r="L918" s="624" t="e">
        <f t="shared" si="121"/>
        <v>#DIV/0!</v>
      </c>
      <c r="M918" s="624" t="e">
        <f t="shared" si="122"/>
        <v>#DIV/0!</v>
      </c>
      <c r="N918" s="191"/>
      <c r="O918" s="609">
        <f t="shared" si="128"/>
        <v>360</v>
      </c>
      <c r="P918" s="232" t="e">
        <f t="shared" si="123"/>
        <v>#DIV/0!</v>
      </c>
      <c r="Q918" s="191" t="e">
        <f t="shared" si="124"/>
        <v>#DIV/0!</v>
      </c>
      <c r="R918" s="191"/>
      <c r="S918" s="323" t="e">
        <f t="shared" si="125"/>
        <v>#DIV/0!</v>
      </c>
      <c r="T918" s="323" t="e">
        <f t="shared" si="130"/>
        <v>#DIV/0!</v>
      </c>
      <c r="U918" s="191"/>
      <c r="V918" s="193"/>
      <c r="W918" s="181"/>
      <c r="X918" s="137"/>
      <c r="Z918" s="183"/>
      <c r="AA918" s="183"/>
    </row>
    <row r="919" spans="1:27" s="182" customFormat="1" ht="15" customHeight="1">
      <c r="A919" s="211"/>
      <c r="B919" s="209" t="s">
        <v>1004</v>
      </c>
      <c r="C919" s="294">
        <f>IF(R860="Inclinado",C918+2*SIN(RADIANS(Q860))*(I918+N860),C918+2*TAN(RADIANS(Q860))*(I918+N860))</f>
        <v>0</v>
      </c>
      <c r="D919" s="623">
        <f t="shared" si="131"/>
        <v>0</v>
      </c>
      <c r="E919" s="623">
        <f t="shared" si="131"/>
        <v>0</v>
      </c>
      <c r="F919" s="623">
        <f t="shared" si="131"/>
        <v>0</v>
      </c>
      <c r="G919" s="623">
        <f t="shared" si="131"/>
        <v>0</v>
      </c>
      <c r="H919" s="623">
        <f t="shared" si="131"/>
        <v>0</v>
      </c>
      <c r="I919" s="623">
        <f t="shared" si="131"/>
        <v>0</v>
      </c>
      <c r="J919" s="623">
        <f t="shared" si="131"/>
        <v>0</v>
      </c>
      <c r="K919" s="623">
        <f t="shared" si="131"/>
        <v>0</v>
      </c>
      <c r="L919" s="624" t="e">
        <f t="shared" si="121"/>
        <v>#DIV/0!</v>
      </c>
      <c r="M919" s="624" t="e">
        <f t="shared" si="122"/>
        <v>#DIV/0!</v>
      </c>
      <c r="N919" s="191"/>
      <c r="O919" s="609">
        <f t="shared" si="128"/>
        <v>360</v>
      </c>
      <c r="P919" s="232" t="e">
        <f t="shared" si="123"/>
        <v>#DIV/0!</v>
      </c>
      <c r="Q919" s="191" t="e">
        <f t="shared" si="124"/>
        <v>#DIV/0!</v>
      </c>
      <c r="R919" s="191"/>
      <c r="S919" s="323" t="e">
        <f t="shared" si="125"/>
        <v>#DIV/0!</v>
      </c>
      <c r="T919" s="323" t="e">
        <f t="shared" si="130"/>
        <v>#DIV/0!</v>
      </c>
      <c r="U919" s="191"/>
      <c r="V919" s="193"/>
      <c r="W919" s="181"/>
      <c r="X919" s="137"/>
      <c r="Z919" s="183"/>
      <c r="AA919" s="183"/>
    </row>
    <row r="920" spans="1:27" s="182" customFormat="1" ht="15" customHeight="1" thickBot="1">
      <c r="A920" s="211"/>
      <c r="B920" s="209" t="s">
        <v>1005</v>
      </c>
      <c r="C920" s="294">
        <f>IF(R860="Inclinado",C919+2*SIN(RADIANS(Q860))*(I919+N860),C919+2*TAN(RADIANS(Q860))*(I919+N860))</f>
        <v>0</v>
      </c>
      <c r="D920" s="623">
        <f t="shared" ref="D920:K920" si="132">D919</f>
        <v>0</v>
      </c>
      <c r="E920" s="623">
        <f t="shared" si="132"/>
        <v>0</v>
      </c>
      <c r="F920" s="623">
        <f t="shared" si="132"/>
        <v>0</v>
      </c>
      <c r="G920" s="623">
        <f t="shared" si="132"/>
        <v>0</v>
      </c>
      <c r="H920" s="623">
        <f t="shared" si="132"/>
        <v>0</v>
      </c>
      <c r="I920" s="623">
        <f t="shared" si="132"/>
        <v>0</v>
      </c>
      <c r="J920" s="623">
        <f t="shared" si="132"/>
        <v>0</v>
      </c>
      <c r="K920" s="623">
        <f t="shared" si="132"/>
        <v>0</v>
      </c>
      <c r="L920" s="624" t="e">
        <f t="shared" si="121"/>
        <v>#DIV/0!</v>
      </c>
      <c r="M920" s="624" t="e">
        <f t="shared" si="122"/>
        <v>#DIV/0!</v>
      </c>
      <c r="N920" s="191"/>
      <c r="O920" s="610">
        <f t="shared" si="128"/>
        <v>360</v>
      </c>
      <c r="P920" s="232" t="e">
        <f t="shared" si="123"/>
        <v>#DIV/0!</v>
      </c>
      <c r="Q920" s="191" t="e">
        <f t="shared" si="124"/>
        <v>#DIV/0!</v>
      </c>
      <c r="R920" s="191"/>
      <c r="S920" s="323" t="e">
        <f t="shared" si="125"/>
        <v>#DIV/0!</v>
      </c>
      <c r="T920" s="323" t="e">
        <f t="shared" si="130"/>
        <v>#DIV/0!</v>
      </c>
      <c r="U920" s="191"/>
      <c r="V920" s="193"/>
      <c r="W920" s="181"/>
      <c r="X920" s="137"/>
      <c r="Z920" s="183"/>
      <c r="AA920" s="183"/>
    </row>
    <row r="921" spans="1:27" s="182" customFormat="1" ht="15" customHeight="1">
      <c r="A921" s="211"/>
      <c r="B921" s="206"/>
      <c r="C921" s="294"/>
      <c r="D921" s="191"/>
      <c r="E921" s="131"/>
      <c r="F921" s="131"/>
      <c r="G921" s="131"/>
      <c r="H921" s="131"/>
      <c r="I921" s="228"/>
      <c r="J921" s="228"/>
      <c r="K921" s="228"/>
      <c r="L921" s="191"/>
      <c r="M921" s="191"/>
      <c r="N921" s="191"/>
      <c r="O921" s="140"/>
      <c r="P921" s="191"/>
      <c r="Q921" s="191"/>
      <c r="R921" s="191"/>
      <c r="S921" s="191"/>
      <c r="T921" s="191"/>
      <c r="U921" s="191"/>
      <c r="V921" s="193"/>
      <c r="W921" s="181"/>
      <c r="X921" s="137"/>
      <c r="Z921" s="183"/>
      <c r="AA921" s="183"/>
    </row>
    <row r="922" spans="1:27" s="182" customFormat="1" ht="15" customHeight="1" thickBot="1">
      <c r="A922" s="211"/>
      <c r="B922" s="275" t="s">
        <v>1006</v>
      </c>
      <c r="C922" s="276"/>
      <c r="D922" s="277"/>
      <c r="E922" s="277"/>
      <c r="F922" s="277"/>
      <c r="G922" s="277"/>
      <c r="H922" s="277"/>
      <c r="I922" s="277"/>
      <c r="J922" s="278"/>
      <c r="K922" s="278"/>
      <c r="L922" s="279"/>
      <c r="M922" s="277"/>
      <c r="N922" s="277"/>
      <c r="O922" s="277"/>
      <c r="P922" s="277"/>
      <c r="Q922" s="277"/>
      <c r="R922" s="277"/>
      <c r="S922" s="280"/>
      <c r="T922" s="277"/>
      <c r="U922" s="277" t="s">
        <v>674</v>
      </c>
      <c r="V922" s="281" t="s">
        <v>27</v>
      </c>
      <c r="W922" s="282"/>
      <c r="X922" s="283"/>
      <c r="Z922" s="183"/>
      <c r="AA922" s="183"/>
    </row>
    <row r="923" spans="1:27" s="182" customFormat="1" ht="15" customHeight="1" thickBot="1">
      <c r="A923" s="211"/>
      <c r="B923" s="206"/>
      <c r="C923" s="129">
        <f>SUMIF(Densidades!A:A,'Memória TOTAL'!X923,Densidades!B:B)</f>
        <v>0</v>
      </c>
      <c r="D923" s="130">
        <f>SUMIF(Densidades!A:A,'Memória TOTAL'!X923,Densidades!C:C)</f>
        <v>0</v>
      </c>
      <c r="E923" s="130" t="str">
        <f>IF(I923=15,"FIRECLAY MORTAR",IF(I923=16,"ALUMINA MORTAR",IF(I923=17,"BASIC MORTAR",IF(I923=18,"MORTAR","-"))))</f>
        <v>-</v>
      </c>
      <c r="F923" s="130" t="str">
        <f>IF(I923=15,"FIRECLAY MORTAR",IF(I923=16,"ALUMINA MORTAR",IF(I923=17,"BASIC MORTAR",IF(I923=18,"MORTAR","-"))))</f>
        <v>-</v>
      </c>
      <c r="G923" s="130" t="str">
        <f>IF(I923=15,"FIRECLAY MORTAR",IF(I923=16,"ALUMINA MORTAR",IF(I923=17,"BASIC MORTAR",IF(I923=18,"MORTAR","-"))))</f>
        <v>-</v>
      </c>
      <c r="H923" s="130" t="str">
        <f>IF(I923=15,"FIRECLAY MORTAR",IF(I923=16,"ALUMINA MORTAR",IF(I923=17,"BASIC MORTAR",IF(I923=18,"MORTAR","-"))))</f>
        <v>-</v>
      </c>
      <c r="I923" s="130">
        <f>SUMIF(Densidades!A:A,'Memória TOTAL'!X923,Densidades!G:G)</f>
        <v>0</v>
      </c>
      <c r="J923" s="132">
        <f>SUMIF(Formatos!A:A,'Memória TOTAL'!X924,Formatos!G:G)</f>
        <v>0</v>
      </c>
      <c r="K923" s="133">
        <f>SUMIF(Densidades!A:A,'Memória TOTAL'!X923,Densidades!I:I)</f>
        <v>0</v>
      </c>
      <c r="L923" s="184">
        <v>0</v>
      </c>
      <c r="M923" s="185"/>
      <c r="N923" s="185"/>
      <c r="O923" s="185"/>
      <c r="P923" s="185"/>
      <c r="Q923" s="185"/>
      <c r="R923" s="185"/>
      <c r="S923" s="185"/>
      <c r="T923" s="186"/>
      <c r="U923" s="286">
        <v>0.06</v>
      </c>
      <c r="V923" s="188" t="e">
        <f>(W860*J860*C923+W864*J864*C923)*U923</f>
        <v>#VALUE!</v>
      </c>
      <c r="W923" s="189" t="str">
        <f>IF(C923=0,"",ROUNDUP(SUM(V923:V924)*(1+L923),0))</f>
        <v/>
      </c>
      <c r="X923" s="259"/>
      <c r="Z923" s="183"/>
      <c r="AA923" s="183"/>
    </row>
    <row r="924" spans="1:27" s="182" customFormat="1" ht="15" customHeight="1">
      <c r="A924" s="211"/>
      <c r="B924" s="206"/>
      <c r="C924" s="129"/>
      <c r="D924" s="191"/>
      <c r="E924" s="191"/>
      <c r="F924" s="191"/>
      <c r="G924" s="191"/>
      <c r="H924" s="191"/>
      <c r="I924" s="191"/>
      <c r="J924" s="192"/>
      <c r="K924" s="192"/>
      <c r="L924" s="140"/>
      <c r="M924" s="191"/>
      <c r="N924" s="191"/>
      <c r="O924" s="191"/>
      <c r="P924" s="191"/>
      <c r="Q924" s="191"/>
      <c r="R924" s="191"/>
      <c r="S924" s="191"/>
      <c r="T924" s="191"/>
      <c r="U924" s="191"/>
      <c r="V924" s="193"/>
      <c r="W924" s="181"/>
      <c r="X924" s="137" t="str">
        <f>IF(AND(H923="-",G923="-",F923="-"),E923,IF(AND(H923="-",G923="-",E923="-"),F923,IF(AND(H923="-",F923="-",E923="-"),G923,H923)))</f>
        <v>-</v>
      </c>
      <c r="Z924" s="183"/>
      <c r="AA924" s="183"/>
    </row>
    <row r="925" spans="1:27" s="182" customFormat="1" ht="15" customHeight="1">
      <c r="A925" s="211"/>
      <c r="B925" s="209"/>
      <c r="C925" s="129"/>
      <c r="D925" s="191"/>
      <c r="E925" s="191"/>
      <c r="F925" s="191"/>
      <c r="G925" s="191"/>
      <c r="H925" s="191"/>
      <c r="I925" s="191"/>
      <c r="J925" s="192"/>
      <c r="K925" s="192"/>
      <c r="L925" s="140"/>
      <c r="M925" s="191"/>
      <c r="N925" s="191"/>
      <c r="O925" s="191"/>
      <c r="P925" s="191"/>
      <c r="Q925" s="191"/>
      <c r="R925" s="191"/>
      <c r="S925" s="191"/>
      <c r="T925" s="191"/>
      <c r="U925" s="191"/>
      <c r="V925" s="193"/>
      <c r="W925" s="181"/>
      <c r="X925" s="137" t="s">
        <v>2</v>
      </c>
      <c r="Z925" s="183"/>
      <c r="AA925" s="183"/>
    </row>
    <row r="926" spans="1:27" ht="15" customHeight="1">
      <c r="A926" s="211"/>
      <c r="B926" s="127"/>
      <c r="C926" s="165"/>
      <c r="D926" s="166"/>
      <c r="E926" s="166"/>
      <c r="F926" s="166"/>
      <c r="G926" s="166"/>
      <c r="H926" s="166"/>
      <c r="I926" s="166"/>
      <c r="J926" s="167"/>
      <c r="K926" s="167"/>
      <c r="L926" s="168"/>
      <c r="M926" s="166"/>
      <c r="N926" s="166"/>
      <c r="O926" s="166"/>
      <c r="P926" s="166"/>
      <c r="Q926" s="166"/>
      <c r="R926" s="166"/>
      <c r="S926" s="166"/>
      <c r="T926" s="166"/>
      <c r="U926" s="166"/>
      <c r="V926" s="169"/>
      <c r="W926" s="170"/>
      <c r="X926" s="171"/>
    </row>
    <row r="927" spans="1:27" s="182" customFormat="1" ht="15" customHeight="1" thickBot="1">
      <c r="A927" s="211"/>
      <c r="B927" s="275" t="s">
        <v>1007</v>
      </c>
      <c r="C927" s="276"/>
      <c r="D927" s="277"/>
      <c r="E927" s="277"/>
      <c r="F927" s="277"/>
      <c r="G927" s="277"/>
      <c r="H927" s="277"/>
      <c r="I927" s="277"/>
      <c r="J927" s="278"/>
      <c r="K927" s="278"/>
      <c r="L927" s="279"/>
      <c r="M927" s="277"/>
      <c r="N927" s="277"/>
      <c r="O927" s="277"/>
      <c r="P927" s="277"/>
      <c r="Q927" s="277"/>
      <c r="R927" s="277" t="s">
        <v>632</v>
      </c>
      <c r="S927" s="280" t="s">
        <v>633</v>
      </c>
      <c r="T927" s="277" t="s">
        <v>634</v>
      </c>
      <c r="U927" s="277" t="s">
        <v>38</v>
      </c>
      <c r="V927" s="281" t="s">
        <v>27</v>
      </c>
      <c r="W927" s="282"/>
      <c r="X927" s="283"/>
      <c r="Z927" s="183"/>
      <c r="AA927" s="183"/>
    </row>
    <row r="928" spans="1:27" s="182" customFormat="1" ht="15" customHeight="1" thickBot="1">
      <c r="A928" s="211"/>
      <c r="B928" s="206"/>
      <c r="C928" s="129">
        <f>SUMIF(Densidades!A:A,'Memória TOTAL'!X928,Densidades!B:B)</f>
        <v>0</v>
      </c>
      <c r="D928" s="130">
        <f>SUMIF(Densidades!A:A,'Memória TOTAL'!X928,Densidades!C:C)</f>
        <v>0</v>
      </c>
      <c r="E928" s="130" t="str">
        <f>IF(I928=15,"FIRECLAY MORTAR",IF(I928=16,"ALUMINA MORTAR",IF(I928=17,"BASIC MORTAR",IF(I928=18,"MORTAR","-"))))</f>
        <v>-</v>
      </c>
      <c r="F928" s="130" t="str">
        <f>IF(I928=15,"FIRECLAY MORTAR",IF(I928=16,"ALUMINA MORTAR",IF(I928=17,"BASIC MORTAR",IF(I928=18,"MORTAR","-"))))</f>
        <v>-</v>
      </c>
      <c r="G928" s="130" t="str">
        <f>IF(I928=15,"FIRECLAY MORTAR",IF(I928=16,"ALUMINA MORTAR",IF(I928=17,"BASIC MORTAR",IF(I928=18,"MORTAR","-"))))</f>
        <v>-</v>
      </c>
      <c r="H928" s="130" t="str">
        <f>IF(I928=15,"FIRECLAY MORTAR",IF(I928=16,"ALUMINA MORTAR",IF(I928=17,"BASIC MORTAR",IF(I928=18,"MORTAR","-"))))</f>
        <v>-</v>
      </c>
      <c r="I928" s="130">
        <f>SUMIF(Densidades!A:A,'Memória TOTAL'!X928,Densidades!G:G)</f>
        <v>0</v>
      </c>
      <c r="J928" s="132">
        <f>SUMIF(Formatos!A:A,'Memória TOTAL'!X929,Formatos!G:G)</f>
        <v>0</v>
      </c>
      <c r="K928" s="218">
        <f>SUMIF(Densidades!A:A,'Memória TOTAL'!X928,Densidades!I:I)</f>
        <v>0</v>
      </c>
      <c r="L928" s="184">
        <v>0</v>
      </c>
      <c r="M928" s="185"/>
      <c r="N928" s="185"/>
      <c r="O928" s="185"/>
      <c r="P928" s="185"/>
      <c r="Q928" s="185"/>
      <c r="R928" s="186">
        <f>((G860*H860)+(G860*E860)+(H860*E860))/1000000</f>
        <v>0</v>
      </c>
      <c r="S928" s="255">
        <v>2</v>
      </c>
      <c r="T928" s="186">
        <f>R928*S928</f>
        <v>0</v>
      </c>
      <c r="U928" s="187">
        <f>SUM(W860:W865)</f>
        <v>0</v>
      </c>
      <c r="V928" s="188">
        <f>(T928*C928*(1+L928))*U928</f>
        <v>0</v>
      </c>
      <c r="W928" s="189" t="str">
        <f>IF(C928=0,"",ROUNDUP(SUM(V928:V929)*(1+L928),0))</f>
        <v/>
      </c>
      <c r="X928" s="259"/>
      <c r="Z928" s="183"/>
      <c r="AA928" s="183"/>
    </row>
    <row r="929" spans="1:27" s="182" customFormat="1" ht="15" customHeight="1">
      <c r="A929" s="211"/>
      <c r="B929" s="206"/>
      <c r="C929" s="129"/>
      <c r="D929" s="191"/>
      <c r="E929" s="191"/>
      <c r="F929" s="191"/>
      <c r="G929" s="191"/>
      <c r="H929" s="191"/>
      <c r="I929" s="191"/>
      <c r="J929" s="192"/>
      <c r="K929" s="192"/>
      <c r="L929" s="140"/>
      <c r="M929" s="191"/>
      <c r="N929" s="191"/>
      <c r="O929" s="191"/>
      <c r="P929" s="191"/>
      <c r="Q929" s="191"/>
      <c r="R929" s="191"/>
      <c r="S929" s="191"/>
      <c r="T929" s="191"/>
      <c r="U929" s="191"/>
      <c r="V929" s="193"/>
      <c r="W929" s="181"/>
      <c r="X929" s="137" t="str">
        <f>IF(AND(H928="-",G928="-",F928="-"),E928,IF(AND(H928="-",G928="-",E928="-"),F928,IF(AND(H928="-",F928="-",E928="-"),G928,H928)))</f>
        <v>-</v>
      </c>
      <c r="Z929" s="183"/>
      <c r="AA929" s="183"/>
    </row>
    <row r="930" spans="1:27" s="182" customFormat="1" ht="15" customHeight="1">
      <c r="A930" s="211"/>
      <c r="B930" s="209"/>
      <c r="C930" s="129"/>
      <c r="D930" s="191"/>
      <c r="E930" s="191"/>
      <c r="F930" s="191"/>
      <c r="G930" s="191"/>
      <c r="H930" s="191"/>
      <c r="I930" s="191"/>
      <c r="J930" s="192"/>
      <c r="K930" s="192"/>
      <c r="L930" s="140"/>
      <c r="M930" s="191"/>
      <c r="N930" s="191"/>
      <c r="O930" s="191"/>
      <c r="P930" s="191"/>
      <c r="Q930" s="191"/>
      <c r="R930" s="191"/>
      <c r="S930" s="191"/>
      <c r="T930" s="191"/>
      <c r="U930" s="191"/>
      <c r="V930" s="193"/>
      <c r="W930" s="181"/>
      <c r="X930" s="137" t="s">
        <v>2</v>
      </c>
      <c r="Z930" s="183"/>
      <c r="AA930" s="183"/>
    </row>
    <row r="931" spans="1:27" s="182" customFormat="1" ht="15" customHeight="1">
      <c r="A931" s="211"/>
      <c r="B931" s="206"/>
      <c r="C931" s="294"/>
      <c r="D931" s="191"/>
      <c r="E931" s="191"/>
      <c r="F931" s="191"/>
      <c r="G931" s="191"/>
      <c r="H931" s="191"/>
      <c r="I931" s="191"/>
      <c r="J931" s="192"/>
      <c r="K931" s="192"/>
      <c r="L931" s="140"/>
      <c r="M931" s="191"/>
      <c r="N931" s="191"/>
      <c r="O931" s="191"/>
      <c r="P931" s="191"/>
      <c r="Q931" s="191"/>
      <c r="R931" s="191"/>
      <c r="S931" s="191"/>
      <c r="T931" s="191"/>
      <c r="U931" s="191"/>
      <c r="V931" s="193"/>
      <c r="W931" s="181"/>
      <c r="X931" s="137"/>
      <c r="Z931" s="183"/>
      <c r="AA931" s="183"/>
    </row>
    <row r="932" spans="1:27" s="182" customFormat="1" ht="15" customHeight="1" thickBot="1">
      <c r="A932" s="211"/>
      <c r="B932" s="505"/>
      <c r="C932" s="505"/>
      <c r="D932" s="508"/>
      <c r="E932" s="508"/>
      <c r="F932" s="508"/>
      <c r="G932" s="508"/>
      <c r="H932" s="508"/>
      <c r="I932" s="508"/>
      <c r="J932" s="508"/>
      <c r="K932" s="508"/>
      <c r="L932" s="508"/>
      <c r="M932" s="508"/>
      <c r="N932" s="508"/>
      <c r="O932" s="508"/>
      <c r="P932" s="508"/>
      <c r="Q932" s="508"/>
      <c r="R932" s="508"/>
      <c r="S932" s="508"/>
      <c r="T932" s="508"/>
      <c r="U932" s="508"/>
      <c r="V932" s="508"/>
      <c r="W932" s="508"/>
      <c r="X932" s="509"/>
      <c r="Z932" s="183"/>
      <c r="AA932" s="183"/>
    </row>
    <row r="933" spans="1:27" s="182" customFormat="1" ht="15" customHeight="1" thickBot="1">
      <c r="A933" s="211"/>
      <c r="B933" s="510" t="str">
        <f>IF(X934="","TIJOLO / TRONCO DE CONE - 3 TIJOLOS",X934)</f>
        <v>TIJOLO / TRONCO DE CONE - 3 TIJOLOS</v>
      </c>
      <c r="C933" s="511" t="s">
        <v>101</v>
      </c>
      <c r="D933" s="178" t="s">
        <v>102</v>
      </c>
      <c r="E933" s="178" t="s">
        <v>42</v>
      </c>
      <c r="F933" s="178" t="s">
        <v>42</v>
      </c>
      <c r="G933" s="178" t="s">
        <v>43</v>
      </c>
      <c r="H933" s="178" t="s">
        <v>44</v>
      </c>
      <c r="I933" s="178" t="s">
        <v>47</v>
      </c>
      <c r="J933" s="178" t="s">
        <v>103</v>
      </c>
      <c r="K933" s="178" t="s">
        <v>37</v>
      </c>
      <c r="L933" s="178" t="s">
        <v>39</v>
      </c>
      <c r="M933" s="178"/>
      <c r="N933" s="178"/>
      <c r="O933" s="178"/>
      <c r="P933" s="178"/>
      <c r="Q933" s="178"/>
      <c r="R933" s="178"/>
      <c r="S933" s="178"/>
      <c r="T933" s="178"/>
      <c r="U933" s="178"/>
      <c r="V933" s="512" t="s">
        <v>27</v>
      </c>
      <c r="W933" s="513"/>
      <c r="X933" s="514"/>
      <c r="Z933" s="183"/>
      <c r="AA933" s="183"/>
    </row>
    <row r="934" spans="1:27" s="182" customFormat="1" ht="15" customHeight="1" thickBot="1">
      <c r="A934" s="211"/>
      <c r="B934" s="850" t="s">
        <v>1814</v>
      </c>
      <c r="C934" s="129">
        <f>SUMIF(Densidades!A:A,'Memória TOTAL'!X934,Densidades!B:B)</f>
        <v>0</v>
      </c>
      <c r="D934" s="130">
        <f>SUMIF(Densidades!A:A,'Memória TOTAL'!X934,Densidades!C:C)</f>
        <v>0</v>
      </c>
      <c r="E934" s="131">
        <f>SUMIF(Formatos!A:A,'Memória TOTAL'!X935,Formatos!E:E)</f>
        <v>0</v>
      </c>
      <c r="F934" s="131">
        <f>SUMIF(Formatos!A:A,'Memória TOTAL'!X935,Formatos!F:F)</f>
        <v>0</v>
      </c>
      <c r="G934" s="131">
        <f>SUMIF(Formatos!A:A,'Memória TOTAL'!X935,Formatos!C:C)</f>
        <v>0</v>
      </c>
      <c r="H934" s="131">
        <f>SUMIF(Formatos!A:A,'Memória TOTAL'!X935,Formatos!D:D)</f>
        <v>0</v>
      </c>
      <c r="I934" s="131">
        <f>SUMIF(Densidades!A:A,'Memória TOTAL'!X934,Densidades!H:H)</f>
        <v>0</v>
      </c>
      <c r="J934" s="132">
        <f>SUMIF(Formatos!A:A,'Memória TOTAL'!X935,Formatos!G:G)</f>
        <v>0</v>
      </c>
      <c r="K934" s="218">
        <f>SUMIF(Densidades!A:A,'Memória TOTAL'!X934,Densidades!I:I)</f>
        <v>0</v>
      </c>
      <c r="L934" s="219">
        <v>0</v>
      </c>
      <c r="M934" s="191"/>
      <c r="N934" s="191"/>
      <c r="O934" s="191"/>
      <c r="P934" s="191"/>
      <c r="Q934" s="191"/>
      <c r="R934" s="191"/>
      <c r="S934" s="191"/>
      <c r="T934" s="228"/>
      <c r="U934" s="191"/>
      <c r="V934" s="229">
        <f>IF(H975="","-",SUM(H975))</f>
        <v>0</v>
      </c>
      <c r="W934" s="189">
        <f>IF(V934="-","",ROUNDUP(SUM(V934)*(1+L934),0))</f>
        <v>0</v>
      </c>
      <c r="X934" s="259"/>
      <c r="Z934" s="183"/>
      <c r="AA934" s="183"/>
    </row>
    <row r="935" spans="1:27" s="182" customFormat="1" ht="15" customHeight="1" thickBot="1">
      <c r="A935" s="211"/>
      <c r="B935" s="851"/>
      <c r="C935" s="196"/>
      <c r="D935" s="191"/>
      <c r="E935" s="191"/>
      <c r="F935" s="191"/>
      <c r="G935" s="191"/>
      <c r="H935" s="191"/>
      <c r="I935" s="191"/>
      <c r="J935" s="192"/>
      <c r="K935" s="192"/>
      <c r="L935" s="140"/>
      <c r="M935" s="191"/>
      <c r="N935" s="191"/>
      <c r="O935" s="191"/>
      <c r="P935" s="191"/>
      <c r="Q935" s="191"/>
      <c r="R935" s="191"/>
      <c r="S935" s="191"/>
      <c r="T935" s="191"/>
      <c r="U935" s="191"/>
      <c r="V935" s="193"/>
      <c r="W935" s="181"/>
      <c r="X935" s="137" t="str">
        <f>IF(X934="","",G975)</f>
        <v/>
      </c>
      <c r="Z935" s="183"/>
      <c r="AA935" s="183"/>
    </row>
    <row r="936" spans="1:27" s="182" customFormat="1" ht="15" customHeight="1">
      <c r="A936" s="211"/>
      <c r="B936" s="190"/>
      <c r="C936" s="196"/>
      <c r="D936" s="191"/>
      <c r="E936" s="191"/>
      <c r="F936" s="191"/>
      <c r="G936" s="191"/>
      <c r="H936" s="191"/>
      <c r="I936" s="191"/>
      <c r="J936" s="192"/>
      <c r="K936" s="192"/>
      <c r="L936" s="140"/>
      <c r="M936" s="191"/>
      <c r="N936" s="191"/>
      <c r="O936" s="191"/>
      <c r="P936" s="191"/>
      <c r="Q936" s="191"/>
      <c r="R936" s="191"/>
      <c r="S936" s="191"/>
      <c r="T936" s="191"/>
      <c r="U936" s="191"/>
      <c r="V936" s="193"/>
      <c r="W936" s="181"/>
      <c r="X936" s="137" t="s">
        <v>520</v>
      </c>
      <c r="Z936" s="183"/>
      <c r="AA936" s="183"/>
    </row>
    <row r="937" spans="1:27" s="182" customFormat="1" ht="15" customHeight="1">
      <c r="A937" s="211"/>
      <c r="B937" s="190"/>
      <c r="C937" s="196" t="str">
        <f t="shared" ref="C937:L937" si="133">C933</f>
        <v>Dens.</v>
      </c>
      <c r="D937" s="191" t="str">
        <f t="shared" si="133"/>
        <v>Emb.</v>
      </c>
      <c r="E937" s="234" t="str">
        <f t="shared" si="133"/>
        <v>Esp. Tij.</v>
      </c>
      <c r="F937" s="234" t="str">
        <f t="shared" si="133"/>
        <v>Esp. Tij.</v>
      </c>
      <c r="G937" s="234" t="str">
        <f t="shared" si="133"/>
        <v>Comp. Tij.</v>
      </c>
      <c r="H937" s="234" t="str">
        <f t="shared" si="133"/>
        <v>Larg. Tij.</v>
      </c>
      <c r="I937" s="234" t="str">
        <f t="shared" si="133"/>
        <v>Tipo Fator</v>
      </c>
      <c r="J937" s="234" t="str">
        <f t="shared" si="133"/>
        <v>Vol.</v>
      </c>
      <c r="K937" s="234" t="str">
        <f t="shared" si="133"/>
        <v>Class.</v>
      </c>
      <c r="L937" s="191" t="str">
        <f t="shared" si="133"/>
        <v>Coefic. (%)</v>
      </c>
      <c r="M937" s="191"/>
      <c r="N937" s="191"/>
      <c r="O937" s="191"/>
      <c r="P937" s="191"/>
      <c r="Q937" s="191"/>
      <c r="R937" s="191"/>
      <c r="S937" s="191"/>
      <c r="T937" s="191"/>
      <c r="U937" s="191"/>
      <c r="V937" s="193"/>
      <c r="W937" s="181"/>
      <c r="X937" s="137"/>
      <c r="Z937" s="183"/>
      <c r="AA937" s="183"/>
    </row>
    <row r="938" spans="1:27" s="182" customFormat="1" ht="15" customHeight="1">
      <c r="A938" s="211"/>
      <c r="B938" s="190"/>
      <c r="C938" s="129">
        <f>SUMIF(Densidades!A:A,'Memória TOTAL'!X938,Densidades!B:B)</f>
        <v>0</v>
      </c>
      <c r="D938" s="130">
        <f>SUMIF(Densidades!A:A,'Memória TOTAL'!X938,Densidades!C:C)</f>
        <v>620</v>
      </c>
      <c r="E938" s="131">
        <f>SUMIF(Formatos!A:A,'Memória TOTAL'!X939,Formatos!E:E)</f>
        <v>0</v>
      </c>
      <c r="F938" s="131">
        <f>SUMIF(Formatos!A:A,'Memória TOTAL'!X939,Formatos!F:F)</f>
        <v>0</v>
      </c>
      <c r="G938" s="131">
        <f>SUMIF(Formatos!A:A,'Memória TOTAL'!X939,Formatos!C:C)</f>
        <v>0</v>
      </c>
      <c r="H938" s="131">
        <f>SUMIF(Formatos!A:A,'Memória TOTAL'!X939,Formatos!D:D)</f>
        <v>0</v>
      </c>
      <c r="I938" s="131">
        <f>SUMIF(Densidades!A:A,'Memória TOTAL'!X938,Densidades!H:H)</f>
        <v>0</v>
      </c>
      <c r="J938" s="132">
        <f>SUMIF(Formatos!A:A,'Memória TOTAL'!X939,Formatos!G:G)</f>
        <v>0</v>
      </c>
      <c r="K938" s="218">
        <f>SUMIF(Densidades!A:A,'Memória TOTAL'!X938,Densidades!I:I)</f>
        <v>177</v>
      </c>
      <c r="L938" s="219">
        <v>0</v>
      </c>
      <c r="M938" s="191"/>
      <c r="N938" s="191"/>
      <c r="O938" s="191"/>
      <c r="P938" s="191"/>
      <c r="Q938" s="191"/>
      <c r="R938" s="191"/>
      <c r="S938" s="191"/>
      <c r="T938" s="228"/>
      <c r="U938" s="191"/>
      <c r="V938" s="229">
        <f>IF(H976="","-",SUM(H976))</f>
        <v>0</v>
      </c>
      <c r="W938" s="189">
        <f>IF(V938="-","",ROUNDUP(SUM(V938)*(1+L938),0))</f>
        <v>0</v>
      </c>
      <c r="X938" s="137" t="str">
        <f>IF(X934="","",X934)</f>
        <v/>
      </c>
      <c r="Z938" s="183"/>
      <c r="AA938" s="183"/>
    </row>
    <row r="939" spans="1:27" s="182" customFormat="1" ht="15" customHeight="1">
      <c r="A939" s="211"/>
      <c r="B939" s="190"/>
      <c r="C939" s="196"/>
      <c r="D939" s="191"/>
      <c r="E939" s="191"/>
      <c r="F939" s="191"/>
      <c r="G939" s="191"/>
      <c r="H939" s="191"/>
      <c r="I939" s="191"/>
      <c r="J939" s="192"/>
      <c r="K939" s="192"/>
      <c r="L939" s="140"/>
      <c r="M939" s="191"/>
      <c r="N939" s="191"/>
      <c r="O939" s="191"/>
      <c r="P939" s="191"/>
      <c r="Q939" s="191"/>
      <c r="R939" s="191"/>
      <c r="S939" s="191"/>
      <c r="T939" s="191"/>
      <c r="U939" s="191"/>
      <c r="V939" s="193"/>
      <c r="W939" s="181"/>
      <c r="X939" s="137" t="str">
        <f>IF(X938="","",G976)</f>
        <v/>
      </c>
      <c r="Z939" s="183"/>
      <c r="AA939" s="183"/>
    </row>
    <row r="940" spans="1:27" s="182" customFormat="1" ht="15" customHeight="1">
      <c r="A940" s="211"/>
      <c r="B940" s="190"/>
      <c r="C940" s="196"/>
      <c r="D940" s="191"/>
      <c r="E940" s="191"/>
      <c r="F940" s="191"/>
      <c r="G940" s="191"/>
      <c r="H940" s="191"/>
      <c r="I940" s="191"/>
      <c r="J940" s="192"/>
      <c r="K940" s="192"/>
      <c r="L940" s="140"/>
      <c r="M940" s="191"/>
      <c r="N940" s="191"/>
      <c r="O940" s="191"/>
      <c r="P940" s="191"/>
      <c r="Q940" s="191"/>
      <c r="R940" s="191"/>
      <c r="S940" s="191"/>
      <c r="T940" s="191"/>
      <c r="U940" s="191"/>
      <c r="V940" s="193"/>
      <c r="W940" s="181"/>
      <c r="X940" s="137" t="s">
        <v>520</v>
      </c>
      <c r="Z940" s="183"/>
      <c r="AA940" s="183"/>
    </row>
    <row r="941" spans="1:27" s="182" customFormat="1" ht="15" customHeight="1">
      <c r="A941" s="211"/>
      <c r="B941" s="190"/>
      <c r="C941" s="196" t="str">
        <f t="shared" ref="C941:L941" si="134">C937</f>
        <v>Dens.</v>
      </c>
      <c r="D941" s="191" t="str">
        <f t="shared" si="134"/>
        <v>Emb.</v>
      </c>
      <c r="E941" s="234" t="str">
        <f t="shared" si="134"/>
        <v>Esp. Tij.</v>
      </c>
      <c r="F941" s="234" t="str">
        <f t="shared" si="134"/>
        <v>Esp. Tij.</v>
      </c>
      <c r="G941" s="234" t="str">
        <f t="shared" si="134"/>
        <v>Comp. Tij.</v>
      </c>
      <c r="H941" s="234" t="str">
        <f t="shared" si="134"/>
        <v>Larg. Tij.</v>
      </c>
      <c r="I941" s="234" t="str">
        <f t="shared" si="134"/>
        <v>Tipo Fator</v>
      </c>
      <c r="J941" s="234" t="str">
        <f t="shared" si="134"/>
        <v>Vol.</v>
      </c>
      <c r="K941" s="234" t="str">
        <f t="shared" si="134"/>
        <v>Class.</v>
      </c>
      <c r="L941" s="191" t="str">
        <f t="shared" si="134"/>
        <v>Coefic. (%)</v>
      </c>
      <c r="M941" s="191"/>
      <c r="N941" s="191"/>
      <c r="O941" s="191"/>
      <c r="P941" s="191"/>
      <c r="Q941" s="191"/>
      <c r="R941" s="191"/>
      <c r="S941" s="191"/>
      <c r="T941" s="191"/>
      <c r="U941" s="191"/>
      <c r="V941" s="193"/>
      <c r="W941" s="181"/>
      <c r="X941" s="137"/>
      <c r="Z941" s="183"/>
      <c r="AA941" s="183"/>
    </row>
    <row r="942" spans="1:27" s="182" customFormat="1" ht="15" customHeight="1">
      <c r="A942" s="211"/>
      <c r="B942" s="190"/>
      <c r="C942" s="129">
        <f>SUMIF(Densidades!A:A,'Memória TOTAL'!X942,Densidades!B:B)</f>
        <v>0</v>
      </c>
      <c r="D942" s="130">
        <f>SUMIF(Densidades!A:A,'Memória TOTAL'!X942,Densidades!C:C)</f>
        <v>620</v>
      </c>
      <c r="E942" s="131">
        <f>SUMIF(Formatos!A:A,'Memória TOTAL'!X943,Formatos!E:E)</f>
        <v>0</v>
      </c>
      <c r="F942" s="131">
        <f>SUMIF(Formatos!A:A,'Memória TOTAL'!X943,Formatos!F:F)</f>
        <v>0</v>
      </c>
      <c r="G942" s="131">
        <f>SUMIF(Formatos!A:A,'Memória TOTAL'!X943,Formatos!C:C)</f>
        <v>0</v>
      </c>
      <c r="H942" s="131">
        <f>SUMIF(Formatos!A:A,'Memória TOTAL'!X943,Formatos!D:D)</f>
        <v>0</v>
      </c>
      <c r="I942" s="131">
        <f>SUMIF(Densidades!A:A,'Memória TOTAL'!X942,Densidades!H:H)</f>
        <v>0</v>
      </c>
      <c r="J942" s="132">
        <f>SUMIF(Formatos!A:A,'Memória TOTAL'!X943,Formatos!G:G)</f>
        <v>0</v>
      </c>
      <c r="K942" s="218">
        <f>SUMIF(Densidades!A:A,'Memória TOTAL'!X942,Densidades!I:I)</f>
        <v>177</v>
      </c>
      <c r="L942" s="219">
        <v>0</v>
      </c>
      <c r="M942" s="191"/>
      <c r="N942" s="191"/>
      <c r="O942" s="191"/>
      <c r="P942" s="191"/>
      <c r="Q942" s="191"/>
      <c r="R942" s="191"/>
      <c r="S942" s="191"/>
      <c r="T942" s="228"/>
      <c r="U942" s="191"/>
      <c r="V942" s="229" t="e">
        <f>IF(H977="","-",SUM(H977))</f>
        <v>#N/A</v>
      </c>
      <c r="W942" s="189" t="e">
        <f>IF(V942="-","",ROUNDUP(SUM(V942)*(1+L942),0))</f>
        <v>#N/A</v>
      </c>
      <c r="X942" s="137" t="str">
        <f>X938</f>
        <v/>
      </c>
      <c r="Z942" s="183"/>
      <c r="AA942" s="183"/>
    </row>
    <row r="943" spans="1:27" s="182" customFormat="1" ht="15" customHeight="1">
      <c r="A943" s="211"/>
      <c r="B943" s="190"/>
      <c r="C943" s="196"/>
      <c r="D943" s="191"/>
      <c r="E943" s="191"/>
      <c r="F943" s="191"/>
      <c r="G943" s="191"/>
      <c r="H943" s="191"/>
      <c r="I943" s="191"/>
      <c r="J943" s="192"/>
      <c r="K943" s="192"/>
      <c r="L943" s="140"/>
      <c r="M943" s="191"/>
      <c r="N943" s="191"/>
      <c r="O943" s="191"/>
      <c r="P943" s="191"/>
      <c r="Q943" s="191"/>
      <c r="R943" s="191"/>
      <c r="S943" s="191"/>
      <c r="T943" s="191"/>
      <c r="U943" s="191"/>
      <c r="V943" s="193"/>
      <c r="W943" s="181"/>
      <c r="X943" s="137" t="str">
        <f>IF(X942="","",G977)</f>
        <v/>
      </c>
      <c r="Z943" s="183"/>
      <c r="AA943" s="183"/>
    </row>
    <row r="944" spans="1:27" s="182" customFormat="1" ht="15" customHeight="1">
      <c r="A944" s="211"/>
      <c r="B944" s="190"/>
      <c r="C944" s="196"/>
      <c r="D944" s="191"/>
      <c r="E944" s="191"/>
      <c r="F944" s="191"/>
      <c r="G944" s="191"/>
      <c r="H944" s="191"/>
      <c r="I944" s="191"/>
      <c r="J944" s="192"/>
      <c r="K944" s="192"/>
      <c r="L944" s="140"/>
      <c r="M944" s="191"/>
      <c r="N944" s="191"/>
      <c r="O944" s="191"/>
      <c r="P944" s="191"/>
      <c r="Q944" s="191"/>
      <c r="R944" s="191"/>
      <c r="S944" s="191"/>
      <c r="T944" s="191"/>
      <c r="U944" s="191"/>
      <c r="V944" s="193"/>
      <c r="W944" s="181"/>
      <c r="X944" s="137" t="s">
        <v>520</v>
      </c>
      <c r="Z944" s="183"/>
      <c r="AA944" s="183"/>
    </row>
    <row r="945" spans="1:27" s="182" customFormat="1" ht="15" customHeight="1">
      <c r="A945" s="211"/>
      <c r="B945" s="190"/>
      <c r="C945" s="196" t="str">
        <f t="shared" ref="C945:L945" si="135">C941</f>
        <v>Dens.</v>
      </c>
      <c r="D945" s="191" t="str">
        <f t="shared" si="135"/>
        <v>Emb.</v>
      </c>
      <c r="E945" s="234" t="str">
        <f t="shared" si="135"/>
        <v>Esp. Tij.</v>
      </c>
      <c r="F945" s="234" t="str">
        <f t="shared" si="135"/>
        <v>Esp. Tij.</v>
      </c>
      <c r="G945" s="234" t="str">
        <f t="shared" si="135"/>
        <v>Comp. Tij.</v>
      </c>
      <c r="H945" s="234" t="str">
        <f t="shared" si="135"/>
        <v>Larg. Tij.</v>
      </c>
      <c r="I945" s="234" t="str">
        <f t="shared" si="135"/>
        <v>Tipo Fator</v>
      </c>
      <c r="J945" s="234" t="str">
        <f t="shared" si="135"/>
        <v>Vol.</v>
      </c>
      <c r="K945" s="234" t="str">
        <f t="shared" si="135"/>
        <v>Class.</v>
      </c>
      <c r="L945" s="191" t="str">
        <f t="shared" si="135"/>
        <v>Coefic. (%)</v>
      </c>
      <c r="M945" s="191"/>
      <c r="N945" s="191"/>
      <c r="O945" s="191"/>
      <c r="P945" s="191"/>
      <c r="Q945" s="191"/>
      <c r="R945" s="191"/>
      <c r="S945" s="191"/>
      <c r="T945" s="191"/>
      <c r="U945" s="191"/>
      <c r="V945" s="193"/>
      <c r="W945" s="181"/>
      <c r="X945" s="137"/>
      <c r="Z945" s="183"/>
      <c r="AA945" s="183"/>
    </row>
    <row r="946" spans="1:27" s="182" customFormat="1" ht="15" customHeight="1">
      <c r="A946" s="211"/>
      <c r="B946" s="190"/>
      <c r="C946" s="129">
        <f>SUMIF(Densidades!A:A,'Memória TOTAL'!X946,Densidades!B:B)</f>
        <v>0</v>
      </c>
      <c r="D946" s="130">
        <f>SUMIF(Densidades!A:A,'Memória TOTAL'!X946,Densidades!C:C)</f>
        <v>620</v>
      </c>
      <c r="E946" s="131">
        <f>SUMIF(Formatos!A:A,'Memória TOTAL'!X947,Formatos!E:E)</f>
        <v>0</v>
      </c>
      <c r="F946" s="131">
        <f>SUMIF(Formatos!A:A,'Memória TOTAL'!X947,Formatos!F:F)</f>
        <v>0</v>
      </c>
      <c r="G946" s="131">
        <f>SUMIF(Formatos!A:A,'Memória TOTAL'!X947,Formatos!C:C)</f>
        <v>0</v>
      </c>
      <c r="H946" s="131">
        <f>SUMIF(Formatos!A:A,'Memória TOTAL'!X947,Formatos!D:D)</f>
        <v>0</v>
      </c>
      <c r="I946" s="131">
        <f>SUMIF(Densidades!A:A,'Memória TOTAL'!X946,Densidades!H:H)</f>
        <v>0</v>
      </c>
      <c r="J946" s="132">
        <f>SUMIF(Formatos!A:A,'Memória TOTAL'!X947,Formatos!G:G)</f>
        <v>0</v>
      </c>
      <c r="K946" s="218">
        <f>SUMIF(Densidades!A:A,'Memória TOTAL'!X946,Densidades!I:I)</f>
        <v>177</v>
      </c>
      <c r="L946" s="219">
        <v>0</v>
      </c>
      <c r="M946" s="191"/>
      <c r="N946" s="191"/>
      <c r="O946" s="191"/>
      <c r="P946" s="191"/>
      <c r="Q946" s="191"/>
      <c r="R946" s="191"/>
      <c r="S946" s="191"/>
      <c r="T946" s="228"/>
      <c r="U946" s="191"/>
      <c r="V946" s="229">
        <f>IF(H978="","-",SUM(H978))</f>
        <v>0</v>
      </c>
      <c r="W946" s="189">
        <f>IF(V946="-","",ROUNDUP(SUM(V946)*(1+L946),0))</f>
        <v>0</v>
      </c>
      <c r="X946" s="137" t="str">
        <f>X942</f>
        <v/>
      </c>
      <c r="Z946" s="183"/>
      <c r="AA946" s="183"/>
    </row>
    <row r="947" spans="1:27" s="182" customFormat="1" ht="15" customHeight="1">
      <c r="A947" s="211"/>
      <c r="B947" s="190"/>
      <c r="C947" s="196"/>
      <c r="D947" s="191"/>
      <c r="E947" s="191"/>
      <c r="F947" s="191"/>
      <c r="G947" s="191"/>
      <c r="H947" s="191"/>
      <c r="I947" s="191"/>
      <c r="J947" s="192"/>
      <c r="K947" s="192"/>
      <c r="L947" s="140"/>
      <c r="M947" s="191"/>
      <c r="N947" s="191"/>
      <c r="O947" s="191"/>
      <c r="P947" s="191"/>
      <c r="Q947" s="191"/>
      <c r="R947" s="191"/>
      <c r="S947" s="191"/>
      <c r="T947" s="191"/>
      <c r="U947" s="191"/>
      <c r="V947" s="193"/>
      <c r="W947" s="181"/>
      <c r="X947" s="137" t="str">
        <f>IF(X946="","",G978)</f>
        <v/>
      </c>
      <c r="Z947" s="183"/>
      <c r="AA947" s="183"/>
    </row>
    <row r="948" spans="1:27" s="182" customFormat="1" ht="15" customHeight="1">
      <c r="A948" s="211"/>
      <c r="B948" s="190"/>
      <c r="C948" s="196"/>
      <c r="D948" s="191"/>
      <c r="E948" s="191"/>
      <c r="F948" s="191"/>
      <c r="G948" s="191"/>
      <c r="H948" s="191"/>
      <c r="I948" s="191"/>
      <c r="J948" s="192"/>
      <c r="K948" s="192"/>
      <c r="L948" s="140"/>
      <c r="M948" s="191"/>
      <c r="N948" s="191"/>
      <c r="O948" s="191"/>
      <c r="P948" s="191"/>
      <c r="Q948" s="191"/>
      <c r="R948" s="191"/>
      <c r="S948" s="191"/>
      <c r="T948" s="191"/>
      <c r="U948" s="191"/>
      <c r="V948" s="193"/>
      <c r="W948" s="181"/>
      <c r="X948" s="137" t="s">
        <v>520</v>
      </c>
      <c r="Z948" s="183"/>
      <c r="AA948" s="183"/>
    </row>
    <row r="949" spans="1:27" s="182" customFormat="1" ht="15" customHeight="1">
      <c r="A949" s="211"/>
      <c r="B949" s="190"/>
      <c r="C949" s="196" t="str">
        <f t="shared" ref="C949:L949" si="136">C945</f>
        <v>Dens.</v>
      </c>
      <c r="D949" s="191" t="str">
        <f t="shared" si="136"/>
        <v>Emb.</v>
      </c>
      <c r="E949" s="234" t="str">
        <f t="shared" si="136"/>
        <v>Esp. Tij.</v>
      </c>
      <c r="F949" s="234" t="str">
        <f t="shared" si="136"/>
        <v>Esp. Tij.</v>
      </c>
      <c r="G949" s="234" t="str">
        <f t="shared" si="136"/>
        <v>Comp. Tij.</v>
      </c>
      <c r="H949" s="234" t="str">
        <f t="shared" si="136"/>
        <v>Larg. Tij.</v>
      </c>
      <c r="I949" s="234" t="str">
        <f t="shared" si="136"/>
        <v>Tipo Fator</v>
      </c>
      <c r="J949" s="234" t="str">
        <f t="shared" si="136"/>
        <v>Vol.</v>
      </c>
      <c r="K949" s="234" t="str">
        <f t="shared" si="136"/>
        <v>Class.</v>
      </c>
      <c r="L949" s="191" t="str">
        <f t="shared" si="136"/>
        <v>Coefic. (%)</v>
      </c>
      <c r="M949" s="191"/>
      <c r="N949" s="191"/>
      <c r="O949" s="191"/>
      <c r="P949" s="191"/>
      <c r="Q949" s="191"/>
      <c r="R949" s="191"/>
      <c r="S949" s="191"/>
      <c r="T949" s="191"/>
      <c r="U949" s="191"/>
      <c r="V949" s="193"/>
      <c r="W949" s="181"/>
      <c r="X949" s="137"/>
      <c r="Z949" s="183"/>
      <c r="AA949" s="183"/>
    </row>
    <row r="950" spans="1:27" s="182" customFormat="1" ht="15" customHeight="1">
      <c r="A950" s="211"/>
      <c r="B950" s="190"/>
      <c r="C950" s="129">
        <f>SUMIF(Densidades!A:A,'Memória TOTAL'!X950,Densidades!B:B)</f>
        <v>0</v>
      </c>
      <c r="D950" s="130">
        <f>SUMIF(Densidades!A:A,'Memória TOTAL'!X950,Densidades!C:C)</f>
        <v>620</v>
      </c>
      <c r="E950" s="131">
        <f>SUMIF(Formatos!A:A,'Memória TOTAL'!X951,Formatos!E:E)</f>
        <v>0</v>
      </c>
      <c r="F950" s="131">
        <f>SUMIF(Formatos!A:A,'Memória TOTAL'!X951,Formatos!F:F)</f>
        <v>0</v>
      </c>
      <c r="G950" s="131">
        <f>SUMIF(Formatos!A:A,'Memória TOTAL'!X951,Formatos!C:C)</f>
        <v>0</v>
      </c>
      <c r="H950" s="131">
        <f>SUMIF(Formatos!A:A,'Memória TOTAL'!X951,Formatos!D:D)</f>
        <v>0</v>
      </c>
      <c r="I950" s="131">
        <f>SUMIF(Densidades!A:A,'Memória TOTAL'!X950,Densidades!H:H)</f>
        <v>0</v>
      </c>
      <c r="J950" s="132">
        <f>SUMIF(Formatos!A:A,'Memória TOTAL'!X951,Formatos!G:G)</f>
        <v>0</v>
      </c>
      <c r="K950" s="218">
        <f>SUMIF(Densidades!A:A,'Memória TOTAL'!X950,Densidades!I:I)</f>
        <v>177</v>
      </c>
      <c r="L950" s="219">
        <v>0</v>
      </c>
      <c r="M950" s="191"/>
      <c r="N950" s="191"/>
      <c r="O950" s="191"/>
      <c r="P950" s="191"/>
      <c r="Q950" s="191"/>
      <c r="R950" s="191"/>
      <c r="S950" s="191"/>
      <c r="T950" s="228"/>
      <c r="U950" s="191"/>
      <c r="V950" s="229">
        <f>IF(H979="","-",SUM(H979))</f>
        <v>0</v>
      </c>
      <c r="W950" s="189">
        <f>IF(V950="-","",ROUNDUP(SUM(V950)*(1+L950),0))</f>
        <v>0</v>
      </c>
      <c r="X950" s="137" t="str">
        <f>X946</f>
        <v/>
      </c>
      <c r="Z950" s="183"/>
      <c r="AA950" s="183"/>
    </row>
    <row r="951" spans="1:27" s="182" customFormat="1" ht="15" customHeight="1">
      <c r="A951" s="211"/>
      <c r="B951" s="190"/>
      <c r="C951" s="196"/>
      <c r="D951" s="191"/>
      <c r="E951" s="191"/>
      <c r="F951" s="191"/>
      <c r="G951" s="191"/>
      <c r="H951" s="191"/>
      <c r="I951" s="191"/>
      <c r="J951" s="192"/>
      <c r="K951" s="192"/>
      <c r="L951" s="140"/>
      <c r="M951" s="191"/>
      <c r="N951" s="191"/>
      <c r="O951" s="191"/>
      <c r="P951" s="191"/>
      <c r="Q951" s="191"/>
      <c r="R951" s="191"/>
      <c r="S951" s="191"/>
      <c r="T951" s="191"/>
      <c r="U951" s="191"/>
      <c r="V951" s="193"/>
      <c r="W951" s="181"/>
      <c r="X951" s="137" t="str">
        <f>IF(X950="","",G979)</f>
        <v/>
      </c>
      <c r="Z951" s="183"/>
      <c r="AA951" s="183"/>
    </row>
    <row r="952" spans="1:27" s="182" customFormat="1" ht="15" customHeight="1">
      <c r="A952" s="211"/>
      <c r="B952" s="190"/>
      <c r="C952" s="196"/>
      <c r="D952" s="191"/>
      <c r="E952" s="191"/>
      <c r="F952" s="191"/>
      <c r="G952" s="191"/>
      <c r="H952" s="191"/>
      <c r="I952" s="191"/>
      <c r="J952" s="192"/>
      <c r="K952" s="192"/>
      <c r="L952" s="140"/>
      <c r="M952" s="191"/>
      <c r="N952" s="191"/>
      <c r="O952" s="191"/>
      <c r="P952" s="191"/>
      <c r="Q952" s="191"/>
      <c r="R952" s="191"/>
      <c r="S952" s="191"/>
      <c r="T952" s="191"/>
      <c r="U952" s="191"/>
      <c r="V952" s="193"/>
      <c r="W952" s="181"/>
      <c r="X952" s="137" t="s">
        <v>520</v>
      </c>
      <c r="Z952" s="183"/>
      <c r="AA952" s="183"/>
    </row>
    <row r="953" spans="1:27" s="182" customFormat="1" ht="15" customHeight="1">
      <c r="A953" s="211"/>
      <c r="B953" s="190"/>
      <c r="C953" s="196" t="str">
        <f t="shared" ref="C953:L953" si="137">C949</f>
        <v>Dens.</v>
      </c>
      <c r="D953" s="191" t="str">
        <f t="shared" si="137"/>
        <v>Emb.</v>
      </c>
      <c r="E953" s="234" t="str">
        <f t="shared" si="137"/>
        <v>Esp. Tij.</v>
      </c>
      <c r="F953" s="234" t="str">
        <f t="shared" si="137"/>
        <v>Esp. Tij.</v>
      </c>
      <c r="G953" s="234" t="str">
        <f t="shared" si="137"/>
        <v>Comp. Tij.</v>
      </c>
      <c r="H953" s="234" t="str">
        <f t="shared" si="137"/>
        <v>Larg. Tij.</v>
      </c>
      <c r="I953" s="234" t="str">
        <f t="shared" si="137"/>
        <v>Tipo Fator</v>
      </c>
      <c r="J953" s="234" t="str">
        <f t="shared" si="137"/>
        <v>Vol.</v>
      </c>
      <c r="K953" s="234" t="str">
        <f t="shared" si="137"/>
        <v>Class.</v>
      </c>
      <c r="L953" s="191" t="str">
        <f t="shared" si="137"/>
        <v>Coefic. (%)</v>
      </c>
      <c r="M953" s="191"/>
      <c r="N953" s="191"/>
      <c r="O953" s="191"/>
      <c r="P953" s="191"/>
      <c r="Q953" s="191"/>
      <c r="R953" s="191"/>
      <c r="S953" s="191"/>
      <c r="T953" s="191"/>
      <c r="U953" s="191"/>
      <c r="V953" s="193"/>
      <c r="W953" s="181"/>
      <c r="X953" s="137"/>
      <c r="Z953" s="183"/>
      <c r="AA953" s="183"/>
    </row>
    <row r="954" spans="1:27" s="182" customFormat="1" ht="15" customHeight="1">
      <c r="A954" s="211"/>
      <c r="B954" s="190"/>
      <c r="C954" s="129">
        <f>SUMIF(Densidades!A:A,'Memória TOTAL'!X954,Densidades!B:B)</f>
        <v>0</v>
      </c>
      <c r="D954" s="130">
        <f>SUMIF(Densidades!A:A,'Memória TOTAL'!X954,Densidades!C:C)</f>
        <v>620</v>
      </c>
      <c r="E954" s="131">
        <f>SUMIF(Formatos!A:A,'Memória TOTAL'!X955,Formatos!E:E)</f>
        <v>0</v>
      </c>
      <c r="F954" s="131">
        <f>SUMIF(Formatos!A:A,'Memória TOTAL'!X955,Formatos!F:F)</f>
        <v>0</v>
      </c>
      <c r="G954" s="131">
        <f>SUMIF(Formatos!A:A,'Memória TOTAL'!X955,Formatos!C:C)</f>
        <v>0</v>
      </c>
      <c r="H954" s="131">
        <f>SUMIF(Formatos!A:A,'Memória TOTAL'!X955,Formatos!D:D)</f>
        <v>0</v>
      </c>
      <c r="I954" s="131">
        <f>SUMIF(Densidades!A:A,'Memória TOTAL'!X954,Densidades!H:H)</f>
        <v>0</v>
      </c>
      <c r="J954" s="132">
        <f>SUMIF(Formatos!A:A,'Memória TOTAL'!X955,Formatos!G:G)</f>
        <v>0</v>
      </c>
      <c r="K954" s="218">
        <f>SUMIF(Densidades!A:A,'Memória TOTAL'!X954,Densidades!I:I)</f>
        <v>177</v>
      </c>
      <c r="L954" s="219">
        <v>0</v>
      </c>
      <c r="M954" s="191"/>
      <c r="N954" s="191"/>
      <c r="O954" s="191"/>
      <c r="P954" s="191"/>
      <c r="Q954" s="191"/>
      <c r="R954" s="191"/>
      <c r="S954" s="191"/>
      <c r="T954" s="228"/>
      <c r="U954" s="191"/>
      <c r="V954" s="229">
        <f>IF(H980="","-",SUM(H980))</f>
        <v>0</v>
      </c>
      <c r="W954" s="189">
        <f>IF(V954="-","",ROUNDUP(SUM(V954)*(1+L954),0))</f>
        <v>0</v>
      </c>
      <c r="X954" s="137" t="str">
        <f>X950</f>
        <v/>
      </c>
      <c r="Z954" s="183"/>
      <c r="AA954" s="183"/>
    </row>
    <row r="955" spans="1:27" s="182" customFormat="1" ht="15" customHeight="1">
      <c r="A955" s="211"/>
      <c r="B955" s="190"/>
      <c r="C955" s="196"/>
      <c r="D955" s="191"/>
      <c r="E955" s="191"/>
      <c r="F955" s="191"/>
      <c r="G955" s="191"/>
      <c r="H955" s="191"/>
      <c r="I955" s="191"/>
      <c r="J955" s="192"/>
      <c r="K955" s="192"/>
      <c r="L955" s="140"/>
      <c r="M955" s="191"/>
      <c r="N955" s="191"/>
      <c r="O955" s="191"/>
      <c r="P955" s="191"/>
      <c r="Q955" s="191"/>
      <c r="R955" s="191"/>
      <c r="S955" s="191"/>
      <c r="T955" s="191"/>
      <c r="U955" s="191"/>
      <c r="V955" s="193"/>
      <c r="W955" s="181"/>
      <c r="X955" s="137" t="str">
        <f>IF(X954="","",G980)</f>
        <v/>
      </c>
      <c r="Z955" s="183"/>
      <c r="AA955" s="183"/>
    </row>
    <row r="956" spans="1:27" s="182" customFormat="1" ht="15" customHeight="1">
      <c r="A956" s="211"/>
      <c r="B956" s="190"/>
      <c r="C956" s="196"/>
      <c r="D956" s="191"/>
      <c r="E956" s="191"/>
      <c r="F956" s="191"/>
      <c r="G956" s="191"/>
      <c r="H956" s="191"/>
      <c r="I956" s="191"/>
      <c r="J956" s="192"/>
      <c r="K956" s="192"/>
      <c r="L956" s="140"/>
      <c r="M956" s="191"/>
      <c r="N956" s="191"/>
      <c r="O956" s="191"/>
      <c r="P956" s="191"/>
      <c r="Q956" s="191"/>
      <c r="R956" s="191"/>
      <c r="S956" s="191"/>
      <c r="T956" s="191"/>
      <c r="U956" s="191"/>
      <c r="V956" s="193"/>
      <c r="W956" s="181"/>
      <c r="X956" s="137" t="s">
        <v>520</v>
      </c>
      <c r="Z956" s="183"/>
      <c r="AA956" s="183"/>
    </row>
    <row r="957" spans="1:27" s="182" customFormat="1" ht="15" customHeight="1">
      <c r="A957" s="211"/>
      <c r="B957" s="190"/>
      <c r="C957" s="196" t="str">
        <f t="shared" ref="C957:L957" si="138">C953</f>
        <v>Dens.</v>
      </c>
      <c r="D957" s="191" t="str">
        <f t="shared" si="138"/>
        <v>Emb.</v>
      </c>
      <c r="E957" s="234" t="str">
        <f t="shared" si="138"/>
        <v>Esp. Tij.</v>
      </c>
      <c r="F957" s="234" t="str">
        <f t="shared" si="138"/>
        <v>Esp. Tij.</v>
      </c>
      <c r="G957" s="234" t="str">
        <f t="shared" si="138"/>
        <v>Comp. Tij.</v>
      </c>
      <c r="H957" s="234" t="str">
        <f t="shared" si="138"/>
        <v>Larg. Tij.</v>
      </c>
      <c r="I957" s="234" t="str">
        <f t="shared" si="138"/>
        <v>Tipo Fator</v>
      </c>
      <c r="J957" s="234" t="str">
        <f t="shared" si="138"/>
        <v>Vol.</v>
      </c>
      <c r="K957" s="234" t="str">
        <f t="shared" si="138"/>
        <v>Class.</v>
      </c>
      <c r="L957" s="191" t="str">
        <f t="shared" si="138"/>
        <v>Coefic. (%)</v>
      </c>
      <c r="M957" s="191"/>
      <c r="N957" s="191"/>
      <c r="O957" s="191"/>
      <c r="P957" s="191"/>
      <c r="Q957" s="191"/>
      <c r="R957" s="191"/>
      <c r="S957" s="191"/>
      <c r="T957" s="191"/>
      <c r="U957" s="191"/>
      <c r="V957" s="193"/>
      <c r="W957" s="181"/>
      <c r="X957" s="137"/>
      <c r="Z957" s="183"/>
      <c r="AA957" s="183"/>
    </row>
    <row r="958" spans="1:27" s="182" customFormat="1" ht="15" customHeight="1">
      <c r="A958" s="211"/>
      <c r="B958" s="190"/>
      <c r="C958" s="129">
        <f>SUMIF(Densidades!A:A,'Memória TOTAL'!X958,Densidades!B:B)</f>
        <v>0</v>
      </c>
      <c r="D958" s="130">
        <f>SUMIF(Densidades!A:A,'Memória TOTAL'!X958,Densidades!C:C)</f>
        <v>620</v>
      </c>
      <c r="E958" s="131">
        <f>SUMIF(Formatos!A:A,'Memória TOTAL'!X959,Formatos!E:E)</f>
        <v>0</v>
      </c>
      <c r="F958" s="131">
        <f>SUMIF(Formatos!A:A,'Memória TOTAL'!X959,Formatos!F:F)</f>
        <v>0</v>
      </c>
      <c r="G958" s="131">
        <f>SUMIF(Formatos!A:A,'Memória TOTAL'!X959,Formatos!C:C)</f>
        <v>0</v>
      </c>
      <c r="H958" s="131">
        <f>SUMIF(Formatos!A:A,'Memória TOTAL'!X959,Formatos!D:D)</f>
        <v>0</v>
      </c>
      <c r="I958" s="131">
        <f>SUMIF(Densidades!A:A,'Memória TOTAL'!X958,Densidades!H:H)</f>
        <v>0</v>
      </c>
      <c r="J958" s="132">
        <f>SUMIF(Formatos!A:A,'Memória TOTAL'!X959,Formatos!G:G)</f>
        <v>0</v>
      </c>
      <c r="K958" s="218">
        <f>SUMIF(Densidades!A:A,'Memória TOTAL'!X958,Densidades!I:I)</f>
        <v>177</v>
      </c>
      <c r="L958" s="219">
        <v>0</v>
      </c>
      <c r="M958" s="191"/>
      <c r="N958" s="191"/>
      <c r="O958" s="191"/>
      <c r="P958" s="191"/>
      <c r="Q958" s="191"/>
      <c r="R958" s="191"/>
      <c r="S958" s="191"/>
      <c r="T958" s="228"/>
      <c r="U958" s="191"/>
      <c r="V958" s="229">
        <f>IF(H981="","-",SUM(H981))</f>
        <v>0</v>
      </c>
      <c r="W958" s="189">
        <f>IF(V958="-","",ROUNDUP(SUM(V958)*(1+L958),0))</f>
        <v>0</v>
      </c>
      <c r="X958" s="137" t="str">
        <f>X954</f>
        <v/>
      </c>
      <c r="Z958" s="183"/>
      <c r="AA958" s="183"/>
    </row>
    <row r="959" spans="1:27" s="182" customFormat="1" ht="15" customHeight="1">
      <c r="A959" s="211"/>
      <c r="B959" s="190"/>
      <c r="C959" s="196"/>
      <c r="D959" s="191"/>
      <c r="E959" s="191"/>
      <c r="F959" s="191"/>
      <c r="G959" s="191"/>
      <c r="H959" s="191"/>
      <c r="I959" s="191"/>
      <c r="J959" s="192"/>
      <c r="K959" s="192"/>
      <c r="L959" s="140"/>
      <c r="M959" s="191"/>
      <c r="N959" s="191"/>
      <c r="O959" s="191"/>
      <c r="P959" s="191"/>
      <c r="Q959" s="191"/>
      <c r="R959" s="191"/>
      <c r="S959" s="191"/>
      <c r="T959" s="191"/>
      <c r="U959" s="191"/>
      <c r="V959" s="193"/>
      <c r="W959" s="181"/>
      <c r="X959" s="137" t="str">
        <f>IF(X958="","",G981)</f>
        <v/>
      </c>
      <c r="Z959" s="183"/>
      <c r="AA959" s="183"/>
    </row>
    <row r="960" spans="1:27" s="182" customFormat="1" ht="15" customHeight="1">
      <c r="A960" s="211"/>
      <c r="B960" s="190"/>
      <c r="C960" s="196"/>
      <c r="D960" s="191"/>
      <c r="E960" s="191"/>
      <c r="F960" s="191"/>
      <c r="G960" s="191"/>
      <c r="H960" s="191"/>
      <c r="I960" s="191"/>
      <c r="J960" s="192"/>
      <c r="K960" s="192"/>
      <c r="L960" s="140"/>
      <c r="M960" s="191"/>
      <c r="N960" s="191"/>
      <c r="O960" s="191"/>
      <c r="P960" s="191"/>
      <c r="Q960" s="191"/>
      <c r="R960" s="191"/>
      <c r="S960" s="191"/>
      <c r="T960" s="191"/>
      <c r="U960" s="191"/>
      <c r="V960" s="193"/>
      <c r="W960" s="181"/>
      <c r="X960" s="137" t="s">
        <v>520</v>
      </c>
      <c r="Z960" s="183"/>
      <c r="AA960" s="183"/>
    </row>
    <row r="961" spans="1:27" s="182" customFormat="1" ht="15" customHeight="1">
      <c r="A961" s="211"/>
      <c r="B961" s="190"/>
      <c r="C961" s="196" t="str">
        <f t="shared" ref="C961:L961" si="139">C957</f>
        <v>Dens.</v>
      </c>
      <c r="D961" s="191" t="str">
        <f t="shared" si="139"/>
        <v>Emb.</v>
      </c>
      <c r="E961" s="234" t="str">
        <f t="shared" si="139"/>
        <v>Esp. Tij.</v>
      </c>
      <c r="F961" s="234" t="str">
        <f t="shared" si="139"/>
        <v>Esp. Tij.</v>
      </c>
      <c r="G961" s="234" t="str">
        <f t="shared" si="139"/>
        <v>Comp. Tij.</v>
      </c>
      <c r="H961" s="234" t="str">
        <f t="shared" si="139"/>
        <v>Larg. Tij.</v>
      </c>
      <c r="I961" s="234" t="str">
        <f t="shared" si="139"/>
        <v>Tipo Fator</v>
      </c>
      <c r="J961" s="234" t="str">
        <f t="shared" si="139"/>
        <v>Vol.</v>
      </c>
      <c r="K961" s="234" t="str">
        <f t="shared" si="139"/>
        <v>Class.</v>
      </c>
      <c r="L961" s="191" t="str">
        <f t="shared" si="139"/>
        <v>Coefic. (%)</v>
      </c>
      <c r="M961" s="191"/>
      <c r="N961" s="191" t="s">
        <v>1090</v>
      </c>
      <c r="O961" s="191"/>
      <c r="P961" s="191"/>
      <c r="Q961" s="191"/>
      <c r="R961" s="191"/>
      <c r="S961" s="191"/>
      <c r="T961" s="191"/>
      <c r="U961" s="191"/>
      <c r="V961" s="193"/>
      <c r="W961" s="181"/>
      <c r="X961" s="137"/>
      <c r="Z961" s="183"/>
      <c r="AA961" s="183"/>
    </row>
    <row r="962" spans="1:27" s="182" customFormat="1" ht="15" customHeight="1">
      <c r="A962" s="211"/>
      <c r="B962" s="190"/>
      <c r="C962" s="129">
        <f>SUMIF(Densidades!A:A,'Memória TOTAL'!X962,Densidades!B:B)</f>
        <v>0</v>
      </c>
      <c r="D962" s="130">
        <f>SUMIF(Densidades!A:A,'Memória TOTAL'!X962,Densidades!C:C)</f>
        <v>620</v>
      </c>
      <c r="E962" s="131">
        <f>SUMIF(Formatos!A:A,'Memória TOTAL'!X963,Formatos!E:E)</f>
        <v>0</v>
      </c>
      <c r="F962" s="131">
        <f>SUMIF(Formatos!A:A,'Memória TOTAL'!X963,Formatos!F:F)</f>
        <v>0</v>
      </c>
      <c r="G962" s="131">
        <f>SUMIF(Formatos!A:A,'Memória TOTAL'!X963,Formatos!C:C)</f>
        <v>0</v>
      </c>
      <c r="H962" s="131">
        <f>SUMIF(Formatos!A:A,'Memória TOTAL'!X963,Formatos!D:D)</f>
        <v>0</v>
      </c>
      <c r="I962" s="131">
        <f>SUMIF(Densidades!A:A,'Memória TOTAL'!X962,Densidades!H:H)</f>
        <v>0</v>
      </c>
      <c r="J962" s="132">
        <f>SUMIF(Formatos!A:A,'Memória TOTAL'!X963,Formatos!G:G)</f>
        <v>0</v>
      </c>
      <c r="K962" s="218">
        <f>SUMIF(Densidades!A:A,'Memória TOTAL'!X962,Densidades!I:I)</f>
        <v>177</v>
      </c>
      <c r="L962" s="219">
        <v>0</v>
      </c>
      <c r="M962" s="191"/>
      <c r="N962" s="191"/>
      <c r="O962" s="191"/>
      <c r="P962" s="191"/>
      <c r="Q962" s="191"/>
      <c r="R962" s="191"/>
      <c r="S962" s="191"/>
      <c r="T962" s="228"/>
      <c r="U962" s="191"/>
      <c r="V962" s="229">
        <f>IF(H982="","-",SUM(H982))</f>
        <v>0</v>
      </c>
      <c r="W962" s="189">
        <f>IF(V962="-","",ROUNDUP(SUM(V962)*(1+L962),0))</f>
        <v>0</v>
      </c>
      <c r="X962" s="137" t="str">
        <f>X958</f>
        <v/>
      </c>
      <c r="Z962" s="183"/>
      <c r="AA962" s="183"/>
    </row>
    <row r="963" spans="1:27" s="182" customFormat="1" ht="15" customHeight="1">
      <c r="A963" s="211"/>
      <c r="B963" s="190"/>
      <c r="C963" s="196"/>
      <c r="D963" s="191"/>
      <c r="E963" s="191"/>
      <c r="F963" s="191"/>
      <c r="G963" s="191"/>
      <c r="H963" s="191"/>
      <c r="I963" s="191"/>
      <c r="J963" s="192"/>
      <c r="K963" s="192"/>
      <c r="L963" s="140"/>
      <c r="M963" s="191"/>
      <c r="N963" s="237"/>
      <c r="O963" s="237"/>
      <c r="P963" s="237"/>
      <c r="Q963" s="237"/>
      <c r="R963" s="237"/>
      <c r="S963" s="237"/>
      <c r="T963" s="237"/>
      <c r="U963" s="237"/>
      <c r="V963" s="193"/>
      <c r="W963" s="181"/>
      <c r="X963" s="137" t="str">
        <f>IF(X962="","",G982)</f>
        <v/>
      </c>
      <c r="Z963" s="183"/>
      <c r="AA963" s="183"/>
    </row>
    <row r="964" spans="1:27" s="182" customFormat="1" ht="15" customHeight="1">
      <c r="A964" s="211"/>
      <c r="B964" s="190"/>
      <c r="C964" s="196"/>
      <c r="D964" s="191"/>
      <c r="E964" s="191"/>
      <c r="F964" s="191"/>
      <c r="G964" s="191"/>
      <c r="H964" s="191"/>
      <c r="I964" s="191"/>
      <c r="J964" s="192"/>
      <c r="K964" s="192"/>
      <c r="L964" s="140"/>
      <c r="M964" s="231"/>
      <c r="N964" s="330" t="s">
        <v>1078</v>
      </c>
      <c r="O964" s="331"/>
      <c r="P964" s="331"/>
      <c r="Q964" s="331"/>
      <c r="R964" s="331"/>
      <c r="S964" s="331"/>
      <c r="T964" s="331"/>
      <c r="U964" s="331"/>
      <c r="V964" s="329"/>
      <c r="W964" s="181"/>
      <c r="X964" s="137" t="s">
        <v>520</v>
      </c>
      <c r="Z964" s="183"/>
      <c r="AA964" s="183"/>
    </row>
    <row r="965" spans="1:27" s="182" customFormat="1" ht="15" customHeight="1">
      <c r="A965" s="211"/>
      <c r="B965" s="190"/>
      <c r="C965" s="196" t="str">
        <f t="shared" ref="C965:L965" si="140">C961</f>
        <v>Dens.</v>
      </c>
      <c r="D965" s="191" t="str">
        <f t="shared" si="140"/>
        <v>Emb.</v>
      </c>
      <c r="E965" s="234" t="str">
        <f t="shared" si="140"/>
        <v>Esp. Tij.</v>
      </c>
      <c r="F965" s="234" t="str">
        <f t="shared" si="140"/>
        <v>Esp. Tij.</v>
      </c>
      <c r="G965" s="234" t="str">
        <f t="shared" si="140"/>
        <v>Comp. Tij.</v>
      </c>
      <c r="H965" s="234" t="str">
        <f t="shared" si="140"/>
        <v>Larg. Tij.</v>
      </c>
      <c r="I965" s="234" t="str">
        <f t="shared" si="140"/>
        <v>Tipo Fator</v>
      </c>
      <c r="J965" s="234" t="str">
        <f t="shared" si="140"/>
        <v>Vol.</v>
      </c>
      <c r="K965" s="234" t="str">
        <f t="shared" si="140"/>
        <v>Class.</v>
      </c>
      <c r="L965" s="191" t="str">
        <f t="shared" si="140"/>
        <v>Coefic. (%)</v>
      </c>
      <c r="M965" s="231"/>
      <c r="N965" s="330" t="s">
        <v>2167</v>
      </c>
      <c r="O965" s="331"/>
      <c r="P965" s="331"/>
      <c r="Q965" s="331"/>
      <c r="R965" s="331"/>
      <c r="S965" s="331"/>
      <c r="T965" s="331"/>
      <c r="U965" s="331"/>
      <c r="V965" s="329"/>
      <c r="W965" s="181"/>
      <c r="X965" s="137"/>
      <c r="Z965" s="183"/>
      <c r="AA965" s="183"/>
    </row>
    <row r="966" spans="1:27" s="182" customFormat="1" ht="15" customHeight="1">
      <c r="A966" s="211"/>
      <c r="B966" s="190"/>
      <c r="C966" s="129">
        <f>SUMIF(Densidades!A:A,'Memória TOTAL'!X966,Densidades!B:B)</f>
        <v>0</v>
      </c>
      <c r="D966" s="130">
        <f>SUMIF(Densidades!A:A,'Memória TOTAL'!X966,Densidades!C:C)</f>
        <v>620</v>
      </c>
      <c r="E966" s="131">
        <f>SUMIF(Formatos!A:A,'Memória TOTAL'!X967,Formatos!E:E)</f>
        <v>0</v>
      </c>
      <c r="F966" s="131">
        <f>SUMIF(Formatos!A:A,'Memória TOTAL'!X967,Formatos!F:F)</f>
        <v>0</v>
      </c>
      <c r="G966" s="131">
        <f>SUMIF(Formatos!A:A,'Memória TOTAL'!X967,Formatos!C:C)</f>
        <v>0</v>
      </c>
      <c r="H966" s="131">
        <f>SUMIF(Formatos!A:A,'Memória TOTAL'!X967,Formatos!D:D)</f>
        <v>0</v>
      </c>
      <c r="I966" s="131">
        <f>SUMIF(Densidades!A:A,'Memória TOTAL'!X966,Densidades!H:H)</f>
        <v>0</v>
      </c>
      <c r="J966" s="132">
        <f>SUMIF(Formatos!A:A,'Memória TOTAL'!X967,Formatos!G:G)</f>
        <v>0</v>
      </c>
      <c r="K966" s="218">
        <f>SUMIF(Densidades!A:A,'Memória TOTAL'!X966,Densidades!I:I)</f>
        <v>177</v>
      </c>
      <c r="L966" s="219">
        <v>0</v>
      </c>
      <c r="M966" s="231"/>
      <c r="N966" s="330" t="s">
        <v>2161</v>
      </c>
      <c r="O966" s="331"/>
      <c r="P966" s="331"/>
      <c r="Q966" s="331"/>
      <c r="R966" s="331"/>
      <c r="S966" s="331"/>
      <c r="T966" s="332"/>
      <c r="U966" s="331"/>
      <c r="V966" s="265">
        <f>IF(H983="","-",SUM(H983))</f>
        <v>0</v>
      </c>
      <c r="W966" s="189">
        <f>IF(V966="-","",ROUNDUP(SUM(V966)*(1+L966),0))</f>
        <v>0</v>
      </c>
      <c r="X966" s="137" t="str">
        <f>X962</f>
        <v/>
      </c>
      <c r="Z966" s="183"/>
      <c r="AA966" s="183"/>
    </row>
    <row r="967" spans="1:27" s="182" customFormat="1" ht="15" customHeight="1">
      <c r="A967" s="211"/>
      <c r="B967" s="190"/>
      <c r="C967" s="196"/>
      <c r="D967" s="191"/>
      <c r="E967" s="191"/>
      <c r="F967" s="191"/>
      <c r="G967" s="191"/>
      <c r="H967" s="191"/>
      <c r="I967" s="191"/>
      <c r="J967" s="192"/>
      <c r="K967" s="192"/>
      <c r="L967" s="140"/>
      <c r="M967" s="231"/>
      <c r="N967" s="330" t="s">
        <v>2162</v>
      </c>
      <c r="O967" s="331"/>
      <c r="P967" s="331"/>
      <c r="Q967" s="331"/>
      <c r="R967" s="331"/>
      <c r="S967" s="331"/>
      <c r="T967" s="331"/>
      <c r="U967" s="331"/>
      <c r="V967" s="329"/>
      <c r="W967" s="181"/>
      <c r="X967" s="137" t="str">
        <f>IF(X966="","",G983)</f>
        <v/>
      </c>
      <c r="Z967" s="183"/>
      <c r="AA967" s="183"/>
    </row>
    <row r="968" spans="1:27" s="182" customFormat="1" ht="15" customHeight="1">
      <c r="A968" s="211"/>
      <c r="B968" s="190"/>
      <c r="C968" s="196"/>
      <c r="D968" s="191"/>
      <c r="E968" s="191"/>
      <c r="F968" s="191"/>
      <c r="G968" s="191"/>
      <c r="H968" s="191"/>
      <c r="I968" s="191"/>
      <c r="J968" s="192"/>
      <c r="K968" s="192"/>
      <c r="L968" s="140"/>
      <c r="M968" s="231"/>
      <c r="N968" s="330" t="s">
        <v>2163</v>
      </c>
      <c r="O968" s="331"/>
      <c r="P968" s="331"/>
      <c r="Q968" s="331"/>
      <c r="R968" s="331"/>
      <c r="S968" s="331"/>
      <c r="T968" s="331"/>
      <c r="U968" s="331"/>
      <c r="V968" s="329"/>
      <c r="W968" s="181"/>
      <c r="X968" s="137" t="s">
        <v>520</v>
      </c>
      <c r="Z968" s="183"/>
      <c r="AA968" s="183"/>
    </row>
    <row r="969" spans="1:27" s="182" customFormat="1" ht="15" customHeight="1">
      <c r="A969" s="211"/>
      <c r="B969" s="190"/>
      <c r="C969" s="196" t="str">
        <f t="shared" ref="C969:L969" si="141">C965</f>
        <v>Dens.</v>
      </c>
      <c r="D969" s="191" t="str">
        <f t="shared" si="141"/>
        <v>Emb.</v>
      </c>
      <c r="E969" s="234" t="str">
        <f t="shared" si="141"/>
        <v>Esp. Tij.</v>
      </c>
      <c r="F969" s="234" t="str">
        <f t="shared" si="141"/>
        <v>Esp. Tij.</v>
      </c>
      <c r="G969" s="234" t="str">
        <f t="shared" si="141"/>
        <v>Comp. Tij.</v>
      </c>
      <c r="H969" s="234" t="str">
        <f t="shared" si="141"/>
        <v>Larg. Tij.</v>
      </c>
      <c r="I969" s="234" t="str">
        <f t="shared" si="141"/>
        <v>Tipo Fator</v>
      </c>
      <c r="J969" s="234" t="str">
        <f t="shared" si="141"/>
        <v>Vol.</v>
      </c>
      <c r="K969" s="234" t="str">
        <f t="shared" si="141"/>
        <v>Class.</v>
      </c>
      <c r="L969" s="191" t="str">
        <f t="shared" si="141"/>
        <v>Coefic. (%)</v>
      </c>
      <c r="M969" s="231"/>
      <c r="N969" s="330" t="s">
        <v>2164</v>
      </c>
      <c r="O969" s="331"/>
      <c r="P969" s="331"/>
      <c r="Q969" s="331"/>
      <c r="R969" s="331"/>
      <c r="S969" s="331"/>
      <c r="T969" s="331"/>
      <c r="U969" s="331"/>
      <c r="V969" s="329"/>
      <c r="W969" s="181"/>
      <c r="X969" s="137"/>
      <c r="Z969" s="183"/>
      <c r="AA969" s="183"/>
    </row>
    <row r="970" spans="1:27" s="182" customFormat="1" ht="15" customHeight="1">
      <c r="A970" s="211"/>
      <c r="B970" s="190"/>
      <c r="C970" s="129">
        <f>SUMIF(Densidades!A:A,'Memória TOTAL'!X970,Densidades!B:B)</f>
        <v>0</v>
      </c>
      <c r="D970" s="130">
        <f>SUMIF(Densidades!A:A,'Memória TOTAL'!X970,Densidades!C:C)</f>
        <v>620</v>
      </c>
      <c r="E970" s="131">
        <f>SUMIF(Formatos!A:A,'Memória TOTAL'!X971,Formatos!E:E)</f>
        <v>0</v>
      </c>
      <c r="F970" s="131">
        <f>SUMIF(Formatos!A:A,'Memória TOTAL'!X971,Formatos!F:F)</f>
        <v>0</v>
      </c>
      <c r="G970" s="131">
        <f>SUMIF(Formatos!A:A,'Memória TOTAL'!X971,Formatos!C:C)</f>
        <v>0</v>
      </c>
      <c r="H970" s="131">
        <f>SUMIF(Formatos!A:A,'Memória TOTAL'!X971,Formatos!D:D)</f>
        <v>0</v>
      </c>
      <c r="I970" s="131">
        <f>SUMIF(Densidades!A:A,'Memória TOTAL'!X970,Densidades!H:H)</f>
        <v>0</v>
      </c>
      <c r="J970" s="132">
        <f>SUMIF(Formatos!A:A,'Memória TOTAL'!X971,Formatos!G:G)</f>
        <v>0</v>
      </c>
      <c r="K970" s="218">
        <f>SUMIF(Densidades!A:A,'Memória TOTAL'!X970,Densidades!I:I)</f>
        <v>177</v>
      </c>
      <c r="L970" s="219">
        <v>0</v>
      </c>
      <c r="M970" s="231"/>
      <c r="N970" s="330" t="s">
        <v>2165</v>
      </c>
      <c r="O970" s="331"/>
      <c r="P970" s="331"/>
      <c r="Q970" s="331"/>
      <c r="R970" s="331"/>
      <c r="S970" s="331"/>
      <c r="T970" s="332"/>
      <c r="U970" s="331"/>
      <c r="V970" s="265">
        <f>IF(H984="","-",SUM(H984))</f>
        <v>0</v>
      </c>
      <c r="W970" s="189">
        <f>IF(V970="-","",ROUNDUP(SUM(V970)*(1+L970),0))</f>
        <v>0</v>
      </c>
      <c r="X970" s="137" t="str">
        <f>X966</f>
        <v/>
      </c>
      <c r="Z970" s="183"/>
      <c r="AA970" s="183"/>
    </row>
    <row r="971" spans="1:27" s="182" customFormat="1" ht="15" customHeight="1">
      <c r="A971" s="211"/>
      <c r="B971" s="190"/>
      <c r="C971" s="196"/>
      <c r="D971" s="191"/>
      <c r="E971" s="191"/>
      <c r="F971" s="191"/>
      <c r="G971" s="191"/>
      <c r="H971" s="191"/>
      <c r="I971" s="191"/>
      <c r="J971" s="192"/>
      <c r="K971" s="192"/>
      <c r="L971" s="140"/>
      <c r="M971" s="191"/>
      <c r="N971" s="330" t="s">
        <v>2166</v>
      </c>
      <c r="O971" s="191"/>
      <c r="P971" s="191"/>
      <c r="Q971" s="191"/>
      <c r="R971" s="191"/>
      <c r="S971" s="191"/>
      <c r="T971" s="191"/>
      <c r="U971" s="191"/>
      <c r="V971" s="193"/>
      <c r="W971" s="181"/>
      <c r="X971" s="137" t="str">
        <f>IF(X970="","",G984)</f>
        <v/>
      </c>
      <c r="Z971" s="183"/>
      <c r="AA971" s="183"/>
    </row>
    <row r="972" spans="1:27" s="182" customFormat="1" ht="15" customHeight="1">
      <c r="A972" s="211"/>
      <c r="B972" s="190"/>
      <c r="C972" s="196"/>
      <c r="D972" s="191"/>
      <c r="E972" s="191"/>
      <c r="F972" s="191"/>
      <c r="G972" s="191"/>
      <c r="H972" s="191"/>
      <c r="I972" s="191"/>
      <c r="J972" s="192"/>
      <c r="K972" s="192"/>
      <c r="L972" s="140"/>
      <c r="M972" s="191"/>
      <c r="N972" s="191"/>
      <c r="O972" s="191"/>
      <c r="P972" s="191"/>
      <c r="Q972" s="191"/>
      <c r="R972" s="191"/>
      <c r="S972" s="191"/>
      <c r="T972" s="191"/>
      <c r="U972" s="191"/>
      <c r="V972" s="193"/>
      <c r="W972" s="181"/>
      <c r="X972" s="137" t="s">
        <v>520</v>
      </c>
      <c r="Z972" s="183"/>
      <c r="AA972" s="183"/>
    </row>
    <row r="973" spans="1:27" s="182" customFormat="1" ht="15" customHeight="1" thickBot="1">
      <c r="A973" s="211"/>
      <c r="B973" s="190"/>
      <c r="C973" s="196"/>
      <c r="D973" s="191"/>
      <c r="E973" s="191"/>
      <c r="F973" s="191"/>
      <c r="G973" s="237"/>
      <c r="H973" s="237"/>
      <c r="I973" s="191"/>
      <c r="J973" s="192"/>
      <c r="K973" s="192"/>
      <c r="L973" s="140"/>
      <c r="M973" s="191"/>
      <c r="N973" s="191"/>
      <c r="O973" s="191"/>
      <c r="P973" s="191"/>
      <c r="Q973" s="191"/>
      <c r="R973" s="191"/>
      <c r="S973" s="191"/>
      <c r="T973" s="191"/>
      <c r="U973" s="191"/>
      <c r="V973" s="193"/>
      <c r="W973" s="181"/>
      <c r="X973" s="137"/>
      <c r="Z973" s="183"/>
      <c r="AA973" s="183"/>
    </row>
    <row r="974" spans="1:27" s="182" customFormat="1" ht="15" customHeight="1" thickBot="1">
      <c r="A974" s="211"/>
      <c r="B974" s="190"/>
      <c r="C974" s="196"/>
      <c r="D974" s="191"/>
      <c r="E974" s="191"/>
      <c r="F974" s="231"/>
      <c r="G974" s="844" t="s">
        <v>1019</v>
      </c>
      <c r="H974" s="844"/>
      <c r="I974" s="232"/>
      <c r="J974" s="192"/>
      <c r="K974" s="192"/>
      <c r="L974" s="192"/>
      <c r="M974" s="845" t="s">
        <v>1011</v>
      </c>
      <c r="N974" s="846"/>
      <c r="O974" s="846"/>
      <c r="P974" s="846"/>
      <c r="Q974" s="847"/>
      <c r="R974" s="845" t="s">
        <v>1012</v>
      </c>
      <c r="S974" s="846"/>
      <c r="T974" s="846"/>
      <c r="U974" s="846"/>
      <c r="V974" s="847"/>
      <c r="W974" s="181"/>
      <c r="X974" s="137"/>
      <c r="Z974" s="183"/>
      <c r="AA974" s="183"/>
    </row>
    <row r="975" spans="1:27" s="182" customFormat="1" ht="15" customHeight="1" thickBot="1">
      <c r="A975" s="211"/>
      <c r="B975" s="190"/>
      <c r="C975" s="293" t="s">
        <v>985</v>
      </c>
      <c r="D975" s="191"/>
      <c r="E975" s="191"/>
      <c r="F975" s="231"/>
      <c r="G975" s="322" t="str">
        <f>M976</f>
        <v>S9X41/2X3</v>
      </c>
      <c r="H975" s="322">
        <f>IF(I975=1,SUMIF(M988:M1037,G975,T988:T1037)+SUMIF(O988:O1037,G975,U988:U1037)+SUMIF(Q988:Q1037,G975,V988:V1037),0)</f>
        <v>0</v>
      </c>
      <c r="I975" s="232">
        <f>COUNTIF(G975,G975)</f>
        <v>1</v>
      </c>
      <c r="J975" s="192"/>
      <c r="K975" s="192"/>
      <c r="L975" s="324" t="s">
        <v>1074</v>
      </c>
      <c r="M975" s="313" t="s">
        <v>104</v>
      </c>
      <c r="N975" s="314" t="s">
        <v>1071</v>
      </c>
      <c r="O975" s="314" t="s">
        <v>65</v>
      </c>
      <c r="P975" s="314" t="s">
        <v>7</v>
      </c>
      <c r="Q975" s="314" t="s">
        <v>15</v>
      </c>
      <c r="R975" s="313" t="s">
        <v>104</v>
      </c>
      <c r="S975" s="314" t="s">
        <v>1071</v>
      </c>
      <c r="T975" s="314" t="s">
        <v>65</v>
      </c>
      <c r="U975" s="314" t="s">
        <v>535</v>
      </c>
      <c r="V975" s="315" t="s">
        <v>536</v>
      </c>
      <c r="W975" s="181"/>
      <c r="X975" s="137"/>
      <c r="Z975" s="183"/>
      <c r="AA975" s="183"/>
    </row>
    <row r="976" spans="1:27" s="182" customFormat="1" ht="15" customHeight="1" thickBot="1">
      <c r="A976" s="211"/>
      <c r="B976" s="190"/>
      <c r="C976" s="252"/>
      <c r="D976" s="191"/>
      <c r="E976" s="191"/>
      <c r="F976" s="231"/>
      <c r="G976" s="322" t="str">
        <f>M977</f>
        <v>A9X41/2X3-23/4</v>
      </c>
      <c r="H976" s="322">
        <f>IF(I976=1,SUMIF(M988:M1037,G976,T988:T1037)+SUMIF(O988:O1037,G976,U988:U1037)+SUMIF(Q988:Q1037,G976,V988:V1037),0)</f>
        <v>0</v>
      </c>
      <c r="I976" s="232">
        <f>COUNTIF(G975:G976,G976)</f>
        <v>1</v>
      </c>
      <c r="J976" s="192"/>
      <c r="K976" s="192"/>
      <c r="L976" s="325" t="e">
        <f>IF(M976="","",((O976*Q976)/(P976-Q976)+O976)*2)</f>
        <v>#DIV/0!</v>
      </c>
      <c r="M976" s="259" t="s">
        <v>1313</v>
      </c>
      <c r="N976" s="316">
        <f>IF(M976="","",IF(VLOOKUP(M976,Formatos!A:F,2,FALSE)="S",IF(VLOOKUP(M977,Formatos!A:F,2,FALSE)="W",VLOOKUP(M977,Formatos!A:F,4,FALSE),VLOOKUP(M977,Formatos!A:F,3,FALSE)),IF(VLOOKUP(M976,Formatos!A:F,2,FALSE)="W",VLOOKUP(M976,Formatos!A:F,4,FALSE),VLOOKUP(M976,Formatos!A:F,3,FALSE))))</f>
        <v>228.6</v>
      </c>
      <c r="O976" s="316">
        <f>IF(M976="","",IF(VLOOKUP(M976,Formatos!A:F,2,FALSE)="S",IF(VLOOKUP(M977,Formatos!A:F,2,FALSE)="W",VLOOKUP(M977,Formatos!A:F,3,FALSE),VLOOKUP(M977,Formatos!A:F,4,FALSE)),IF(VLOOKUP(M976,Formatos!A:F,2,FALSE)="W",VLOOKUP(M976,Formatos!A:F,3,FALSE),VLOOKUP(M976,Formatos!A:F,4,FALSE))))</f>
        <v>114.3</v>
      </c>
      <c r="P976" s="316">
        <f>IF(M976="","",IF(VLOOKUP(M976,Formatos!A:F,5,FALSE)=O976,VLOOKUP(M976,Formatos!A:F,4,FALSE),VLOOKUP(M976,Formatos!A:F,5,FALSE)))</f>
        <v>76.2</v>
      </c>
      <c r="Q976" s="316">
        <f>IF(M976="","",IF(VLOOKUP(M976,Formatos!A:F,6,FALSE)=O976,VLOOKUP(M976,Formatos!A:F,4,FALSE),VLOOKUP(M976,Formatos!A:F,6,FALSE)))</f>
        <v>76.2</v>
      </c>
      <c r="R976" s="259" t="s">
        <v>1521</v>
      </c>
      <c r="S976" s="316">
        <f>IF(R976="","",IF(VLOOKUP(R976,Formatos!A:F,3,FALSE)=N976,VLOOKUP(R976,Formatos!A:F,3,FALSE),VLOOKUP(R976,Formatos!A:F,4,FALSE)))</f>
        <v>228.6</v>
      </c>
      <c r="T976" s="316">
        <f>IF(R976="","",IF(VLOOKUP(R976,Formatos!A:F,4,FALSE)=O976,VLOOKUP(R976,Formatos!A:F,4,FALSE),VLOOKUP(R976,Formatos!A:F,3,FALSE)))</f>
        <v>114.3</v>
      </c>
      <c r="U976" s="316">
        <f>IF(R976="","",VLOOKUP(R976,Formatos!A:F,5,FALSE))</f>
        <v>76.2</v>
      </c>
      <c r="V976" s="316">
        <f>IF(R976="","",VLOOKUP(R976,Formatos!A:F,6,FALSE))</f>
        <v>50.8</v>
      </c>
      <c r="W976" s="181"/>
      <c r="X976" s="137"/>
      <c r="Z976" s="183"/>
      <c r="AA976" s="183"/>
    </row>
    <row r="977" spans="1:27" s="182" customFormat="1" ht="15" customHeight="1" thickBot="1">
      <c r="A977" s="211"/>
      <c r="B977" s="190"/>
      <c r="C977" s="196"/>
      <c r="D977" s="191"/>
      <c r="E977" s="191"/>
      <c r="F977" s="231"/>
      <c r="G977" s="322">
        <f>M978</f>
        <v>0</v>
      </c>
      <c r="H977" s="322" t="e">
        <f>IF(I977=1,SUMIF(M988:M1037,G977,T988:T1037)+SUMIF(O988:O1037,G977,U988:U1037)+SUMIF(Q988:Q1037,G977,V988:V1037),0)</f>
        <v>#N/A</v>
      </c>
      <c r="I977" s="232">
        <f>COUNTIF(G975:G977,G977)</f>
        <v>1</v>
      </c>
      <c r="J977" s="192"/>
      <c r="K977" s="192"/>
      <c r="L977" s="325">
        <f>IF(M977="","",((O977*Q977)/(P977-Q977)+O977)*2)</f>
        <v>2764.9714285714299</v>
      </c>
      <c r="M977" s="259" t="s">
        <v>1122</v>
      </c>
      <c r="N977" s="316">
        <f>IF(M977="","",IF(VLOOKUP(M977,Formatos!A:F,2,FALSE)="S",IF(VLOOKUP(M978,Formatos!A:F,2,FALSE)="W",VLOOKUP(M978,Formatos!A:F,4,FALSE),VLOOKUP(M978,Formatos!A:F,3,FALSE)),IF(VLOOKUP(M977,Formatos!A:F,2,FALSE)="W",VLOOKUP(M977,Formatos!A:F,4,FALSE),VLOOKUP(M977,Formatos!A:F,3,FALSE))))</f>
        <v>228.6</v>
      </c>
      <c r="O977" s="316">
        <f>IF(M977="","",IF(VLOOKUP(M977,Formatos!A:F,2,FALSE)="S",IF(VLOOKUP(M978,Formatos!A:F,2,FALSE)="W",VLOOKUP(M978,Formatos!A:F,3,FALSE),VLOOKUP(M978,Formatos!A:F,4,FALSE)),IF(VLOOKUP(M977,Formatos!A:F,2,FALSE)="W",VLOOKUP(M977,Formatos!A:F,3,FALSE),VLOOKUP(M977,Formatos!A:F,4,FALSE))))</f>
        <v>114.3</v>
      </c>
      <c r="P977" s="316">
        <f>IF(M977="","",IF(VLOOKUP(M977,Formatos!A:F,5,FALSE)=O977,VLOOKUP(M977,Formatos!A:F,4,FALSE),VLOOKUP(M977,Formatos!A:F,5,FALSE)))</f>
        <v>76.2</v>
      </c>
      <c r="Q977" s="316">
        <f>IF(M977="","",IF(VLOOKUP(M977,Formatos!A:F,6,FALSE)=O977,VLOOKUP(M977,Formatos!A:F,4,FALSE),VLOOKUP(M977,Formatos!A:F,6,FALSE)))</f>
        <v>69.900000000000006</v>
      </c>
      <c r="R977" s="259"/>
      <c r="S977" s="316" t="str">
        <f>IF(R977="","",IF(VLOOKUP(R977,Formatos!A:F,3,FALSE)=N976,VLOOKUP(R977,Formatos!A:F,3,FALSE),VLOOKUP(R977,Formatos!A:F,4,FALSE)))</f>
        <v/>
      </c>
      <c r="T977" s="316" t="str">
        <f>IF(R977="","",IF(VLOOKUP(R977,Formatos!A:F,4,FALSE)=O976,VLOOKUP(R977,Formatos!A:F,4,FALSE),VLOOKUP(R977,Formatos!A:F,3,FALSE)))</f>
        <v/>
      </c>
      <c r="U977" s="316" t="str">
        <f>IF(R977="","",VLOOKUP(R977,Formatos!A:F,5,FALSE))</f>
        <v/>
      </c>
      <c r="V977" s="316" t="str">
        <f>IF(R977="","",VLOOKUP(R977,Formatos!A:F,6,FALSE))</f>
        <v/>
      </c>
      <c r="W977" s="181"/>
      <c r="X977" s="137"/>
      <c r="Z977" s="183"/>
      <c r="AA977" s="183"/>
    </row>
    <row r="978" spans="1:27" s="182" customFormat="1" ht="15" customHeight="1" thickBot="1">
      <c r="A978" s="211"/>
      <c r="B978" s="190"/>
      <c r="C978" s="293" t="s">
        <v>46</v>
      </c>
      <c r="D978" s="191"/>
      <c r="E978" s="191"/>
      <c r="F978" s="231"/>
      <c r="G978" s="322">
        <f>M979</f>
        <v>0</v>
      </c>
      <c r="H978" s="322">
        <f>IF(I978=1,SUMIF(M988:M1037,G978,T988:T1037)+SUMIF(O988:O1037,G978,U988:U1037)+SUMIF(Q988:Q1037,G978,V988:V1037),0)</f>
        <v>0</v>
      </c>
      <c r="I978" s="232">
        <f>COUNTIF(G975:G978,G978)</f>
        <v>2</v>
      </c>
      <c r="J978" s="192"/>
      <c r="K978" s="192"/>
      <c r="L978" s="325" t="str">
        <f>IF(M978="","",((O978*Q978)/(P978-Q978)+O978)*2)</f>
        <v/>
      </c>
      <c r="M978" s="259"/>
      <c r="N978" s="316" t="str">
        <f>IF(M978="","",IF(VLOOKUP(M978,Formatos!A:F,2,FALSE)="S",IF(VLOOKUP(M979,Formatos!A:F,2,FALSE)="W",VLOOKUP(M979,Formatos!A:F,4,FALSE),VLOOKUP(M979,Formatos!A:F,3,FALSE)),IF(VLOOKUP(M978,Formatos!A:F,2,FALSE)="W",VLOOKUP(M978,Formatos!A:F,4,FALSE),VLOOKUP(M978,Formatos!A:F,3,FALSE))))</f>
        <v/>
      </c>
      <c r="O978" s="316" t="str">
        <f>IF(M978="","",IF(VLOOKUP(M978,Formatos!A:F,2,FALSE)="S",IF(VLOOKUP(M979,Formatos!A:F,2,FALSE)="W",VLOOKUP(M979,Formatos!A:F,3,FALSE),VLOOKUP(M979,Formatos!A:F,4,FALSE)),IF(VLOOKUP(M978,Formatos!A:F,2,FALSE)="W",VLOOKUP(M978,Formatos!A:F,3,FALSE),VLOOKUP(M978,Formatos!A:F,4,FALSE))))</f>
        <v/>
      </c>
      <c r="P978" s="316" t="str">
        <f>IF(M978="","",IF(VLOOKUP(M978,Formatos!A:F,5,FALSE)=O978,VLOOKUP(M978,Formatos!A:F,4,FALSE),VLOOKUP(M978,Formatos!A:F,5,FALSE)))</f>
        <v/>
      </c>
      <c r="Q978" s="316" t="str">
        <f>IF(M978="","",IF(VLOOKUP(M978,Formatos!A:F,6,FALSE)=O978,VLOOKUP(M978,Formatos!A:F,4,FALSE),VLOOKUP(M978,Formatos!A:F,6,FALSE)))</f>
        <v/>
      </c>
      <c r="R978" s="259"/>
      <c r="S978" s="316" t="str">
        <f>IF(R978="","",IF(VLOOKUP(R978,Formatos!A:F,3,FALSE)=N976,VLOOKUP(R978,Formatos!A:F,3,FALSE),VLOOKUP(R978,Formatos!A:F,4,FALSE)))</f>
        <v/>
      </c>
      <c r="T978" s="316" t="str">
        <f>IF(R978="","",IF(VLOOKUP(R978,Formatos!A:F,4,FALSE)=O976,VLOOKUP(R978,Formatos!A:F,4,FALSE),VLOOKUP(R978,Formatos!A:F,3,FALSE)))</f>
        <v/>
      </c>
      <c r="U978" s="316" t="str">
        <f>IF(R978="","",VLOOKUP(R978,Formatos!A:F,5,FALSE))</f>
        <v/>
      </c>
      <c r="V978" s="316" t="str">
        <f>IF(R978="","",VLOOKUP(R978,Formatos!A:F,6,FALSE))</f>
        <v/>
      </c>
      <c r="W978" s="181"/>
      <c r="X978" s="137"/>
      <c r="Z978" s="183"/>
      <c r="AA978" s="183"/>
    </row>
    <row r="979" spans="1:27" s="182" customFormat="1" ht="15" customHeight="1" thickBot="1">
      <c r="A979" s="211"/>
      <c r="B979" s="190"/>
      <c r="C979" s="602"/>
      <c r="D979" s="191"/>
      <c r="E979" s="191"/>
      <c r="F979" s="231"/>
      <c r="G979" s="322">
        <f>M980</f>
        <v>0</v>
      </c>
      <c r="H979" s="322">
        <f>IF(I979=1,SUMIF(M988:M1037,G979,T988:T1037)+SUMIF(O988:O1037,G979,U988:U1037)+SUMIF(Q988:Q1037,G979,V988:V1037),0)</f>
        <v>0</v>
      </c>
      <c r="I979" s="232">
        <f>COUNTIF(G975:G979,G979)</f>
        <v>3</v>
      </c>
      <c r="J979" s="192"/>
      <c r="K979" s="192"/>
      <c r="L979" s="192" t="str">
        <f>IF(M979="","",((O979*Q979)/(P979-Q979)+O979)*2)</f>
        <v/>
      </c>
      <c r="M979" s="259"/>
      <c r="N979" s="316" t="str">
        <f>IF(M979="","",IF(VLOOKUP(M979,Formatos!A:F,2,FALSE)="S",IF(VLOOKUP(M980,Formatos!A:F,2,FALSE)="W",VLOOKUP(M980,Formatos!A:F,4,FALSE),VLOOKUP(M980,Formatos!A:F,3,FALSE)),IF(VLOOKUP(M979,Formatos!A:F,2,FALSE)="W",VLOOKUP(M979,Formatos!A:F,4,FALSE),VLOOKUP(M979,Formatos!A:F,3,FALSE))))</f>
        <v/>
      </c>
      <c r="O979" s="316" t="str">
        <f>IF(M979="","",IF(VLOOKUP(M979,Formatos!A:F,2,FALSE)="S",IF(VLOOKUP(M980,Formatos!A:F,2,FALSE)="W",VLOOKUP(M980,Formatos!A:F,3,FALSE),VLOOKUP(M980,Formatos!A:F,4,FALSE)),IF(VLOOKUP(M979,Formatos!A:F,2,FALSE)="W",VLOOKUP(M979,Formatos!A:F,3,FALSE),VLOOKUP(M979,Formatos!A:F,4,FALSE))))</f>
        <v/>
      </c>
      <c r="P979" s="316" t="str">
        <f>IF(M979="","",IF(VLOOKUP(M979,Formatos!A:F,5,FALSE)=O979,VLOOKUP(M979,Formatos!A:F,4,FALSE),VLOOKUP(M979,Formatos!A:F,5,FALSE)))</f>
        <v/>
      </c>
      <c r="Q979" s="316" t="str">
        <f>IF(M979="","",IF(VLOOKUP(M979,Formatos!A:F,6,FALSE)=O979,VLOOKUP(M979,Formatos!A:F,4,FALSE),VLOOKUP(M979,Formatos!A:F,6,FALSE)))</f>
        <v/>
      </c>
      <c r="R979" s="259"/>
      <c r="S979" s="316" t="str">
        <f>IF(R979="","",IF(VLOOKUP(R979,Formatos!A:F,3,FALSE)=N976,VLOOKUP(R979,Formatos!A:F,3,FALSE),VLOOKUP(R979,Formatos!A:F,4,FALSE)))</f>
        <v/>
      </c>
      <c r="T979" s="316" t="str">
        <f>IF(R979="","",IF(VLOOKUP(R979,Formatos!A:F,4,FALSE)=O976,VLOOKUP(R979,Formatos!A:F,4,FALSE),VLOOKUP(R979,Formatos!A:F,3,FALSE)))</f>
        <v/>
      </c>
      <c r="U979" s="316" t="str">
        <f>IF(R979="","",VLOOKUP(R979,Formatos!A:F,5,FALSE))</f>
        <v/>
      </c>
      <c r="V979" s="316" t="str">
        <f>IF(R979="","",VLOOKUP(R979,Formatos!A:F,6,FALSE))</f>
        <v/>
      </c>
      <c r="W979" s="181"/>
      <c r="X979" s="137"/>
      <c r="Z979" s="183"/>
      <c r="AA979" s="183"/>
    </row>
    <row r="980" spans="1:27" s="182" customFormat="1" ht="15" customHeight="1" thickBot="1">
      <c r="A980" s="211"/>
      <c r="B980" s="190"/>
      <c r="C980" s="196"/>
      <c r="D980" s="191"/>
      <c r="E980" s="191"/>
      <c r="F980" s="231"/>
      <c r="G980" s="322" t="str">
        <f>R976</f>
        <v>W9X41/2X3-2</v>
      </c>
      <c r="H980" s="322">
        <f>IF(I980=1,SUMIF(M988:M1037,G980,T988:T1037)+SUMIF(O988:O1037,G980,U988:U1037)+SUMIF(Q988:Q1037,G980,V988:V1037),0)</f>
        <v>0</v>
      </c>
      <c r="I980" s="232">
        <f>COUNTIF(G975:G980,G980)</f>
        <v>1</v>
      </c>
      <c r="J980" s="192"/>
      <c r="K980" s="192"/>
      <c r="L980" s="192" t="str">
        <f>IF(M980="","",((O980*Q980)/(P980-Q980)+O980)*2)</f>
        <v/>
      </c>
      <c r="M980" s="259"/>
      <c r="N980" s="316" t="str">
        <f>IF(M980="","",IF(VLOOKUP(M980,Formatos!A:F,2,FALSE)="S",IF(VLOOKUP(M981,Formatos!A:F,2,FALSE)="W",VLOOKUP(M981,Formatos!A:F,4,FALSE),VLOOKUP(M981,Formatos!A:F,3,FALSE)),IF(VLOOKUP(M980,Formatos!A:F,2,FALSE)="W",VLOOKUP(M980,Formatos!A:F,4,FALSE),VLOOKUP(M980,Formatos!A:F,3,FALSE))))</f>
        <v/>
      </c>
      <c r="O980" s="316" t="str">
        <f>IF(M980="","",IF(VLOOKUP(M980,Formatos!A:F,2,FALSE)="S",IF(VLOOKUP(M981,Formatos!A:F,2,FALSE)="W",VLOOKUP(M981,Formatos!A:F,3,FALSE),VLOOKUP(M981,Formatos!A:F,4,FALSE)),IF(VLOOKUP(M980,Formatos!A:F,2,FALSE)="W",VLOOKUP(M980,Formatos!A:F,3,FALSE),VLOOKUP(M980,Formatos!A:F,4,FALSE))))</f>
        <v/>
      </c>
      <c r="P980" s="316" t="str">
        <f>IF(M980="","",IF(VLOOKUP(M980,Formatos!A:F,5,FALSE)=O980,VLOOKUP(M980,Formatos!A:F,4,FALSE),VLOOKUP(M980,Formatos!A:F,5,FALSE)))</f>
        <v/>
      </c>
      <c r="Q980" s="316" t="str">
        <f>IF(M980="","",IF(VLOOKUP(M980,Formatos!A:F,6,FALSE)=O980,VLOOKUP(M980,Formatos!A:F,4,FALSE),VLOOKUP(M980,Formatos!A:F,6,FALSE)))</f>
        <v/>
      </c>
      <c r="R980" s="259"/>
      <c r="S980" s="316" t="str">
        <f>IF(R980="","",IF(VLOOKUP(R980,Formatos!A:F,3,FALSE)=N976,VLOOKUP(R980,Formatos!A:F,3,FALSE),VLOOKUP(R980,Formatos!A:F,4,FALSE)))</f>
        <v/>
      </c>
      <c r="T980" s="316" t="str">
        <f>IF(R980="","",IF(VLOOKUP(R980,Formatos!A:F,4,FALSE)=O976,VLOOKUP(R980,Formatos!A:F,4,FALSE),VLOOKUP(R980,Formatos!A:F,3,FALSE)))</f>
        <v/>
      </c>
      <c r="U980" s="316" t="str">
        <f>IF(R980="","",VLOOKUP(R980,Formatos!A:F,5,FALSE))</f>
        <v/>
      </c>
      <c r="V980" s="316" t="str">
        <f>IF(R980="","",VLOOKUP(R980,Formatos!A:F,6,FALSE))</f>
        <v/>
      </c>
      <c r="W980" s="181"/>
      <c r="X980" s="137"/>
      <c r="Z980" s="183"/>
      <c r="AA980" s="183"/>
    </row>
    <row r="981" spans="1:27" s="182" customFormat="1" ht="15" customHeight="1" thickBot="1">
      <c r="A981" s="211"/>
      <c r="B981" s="190"/>
      <c r="C981" s="293" t="s">
        <v>53</v>
      </c>
      <c r="D981" s="191"/>
      <c r="E981" s="191"/>
      <c r="F981" s="231"/>
      <c r="G981" s="322">
        <f>R977</f>
        <v>0</v>
      </c>
      <c r="H981" s="322">
        <f>IF(I981=1,SUMIF(M988:M1037,G981,T988:T1037)+SUMIF(O988:O1037,G981,U988:U1037)+SUMIF(Q988:Q1037,G981,V988:V1037),0)</f>
        <v>0</v>
      </c>
      <c r="I981" s="232">
        <f>COUNTIF(G975:G981,G981)</f>
        <v>4</v>
      </c>
      <c r="J981" s="192"/>
      <c r="K981" s="192"/>
      <c r="L981" s="192"/>
      <c r="S981" s="191"/>
      <c r="T981" s="191"/>
      <c r="U981" s="191"/>
      <c r="V981" s="193"/>
      <c r="W981" s="181"/>
      <c r="X981" s="137"/>
      <c r="Z981" s="183"/>
      <c r="AA981" s="183"/>
    </row>
    <row r="982" spans="1:27" s="182" customFormat="1" ht="15" customHeight="1" thickBot="1">
      <c r="A982" s="211"/>
      <c r="B982" s="190"/>
      <c r="C982" s="252"/>
      <c r="D982" s="191"/>
      <c r="E982" s="191"/>
      <c r="F982" s="231"/>
      <c r="G982" s="322">
        <f>R978</f>
        <v>0</v>
      </c>
      <c r="H982" s="322">
        <f>IF(I982=1,SUMIF(M988:M1037,G982,T988:T1037)+SUMIF(O988:O1037,G982,U988:U1037)+SUMIF(Q988:Q1037,G982,V988:V1037),0)</f>
        <v>0</v>
      </c>
      <c r="I982" s="232">
        <f>COUNTIF(G975:G982,G982)</f>
        <v>5</v>
      </c>
      <c r="J982" s="192"/>
      <c r="K982" s="192"/>
      <c r="L982" s="192"/>
      <c r="M982" s="317" t="s">
        <v>1010</v>
      </c>
      <c r="N982" s="317" t="str">
        <f>IF(R976="","CN1",R976)</f>
        <v>W9X41/2X3-2</v>
      </c>
      <c r="O982" s="317" t="str">
        <f>IF(R977="","CN2",R977)</f>
        <v>CN2</v>
      </c>
      <c r="P982" s="317" t="str">
        <f>IF(R978="","CN3",R978)</f>
        <v>CN3</v>
      </c>
      <c r="Q982" s="317" t="str">
        <f>IF(R979="","CN4",R979)</f>
        <v>CN4</v>
      </c>
      <c r="R982" s="317" t="str">
        <f>IF(R980="","CN5",R980)</f>
        <v>CN5</v>
      </c>
      <c r="S982" s="191"/>
      <c r="T982" s="191"/>
      <c r="U982" s="191"/>
      <c r="V982" s="193"/>
      <c r="W982" s="181"/>
      <c r="X982" s="137"/>
      <c r="Z982" s="183"/>
      <c r="AA982" s="183"/>
    </row>
    <row r="983" spans="1:27" s="182" customFormat="1" ht="15" customHeight="1" thickBot="1">
      <c r="A983" s="211"/>
      <c r="B983" s="190"/>
      <c r="C983" s="196"/>
      <c r="D983" s="191"/>
      <c r="E983" s="191"/>
      <c r="F983" s="231"/>
      <c r="G983" s="322">
        <f>R979</f>
        <v>0</v>
      </c>
      <c r="H983" s="322">
        <f>IF(I983=1,SUMIF(M988:M1037,G983,T988:T1037)+SUMIF(O988:O1037,G983,U988:U1037)+SUMIF(Q988:Q1037,G983,V988:V1037),0)</f>
        <v>0</v>
      </c>
      <c r="I983" s="232">
        <f>COUNTIF(G974:G983,G983)</f>
        <v>6</v>
      </c>
      <c r="J983" s="192"/>
      <c r="K983" s="192"/>
      <c r="L983" s="192"/>
      <c r="M983" s="572">
        <f>C982</f>
        <v>0</v>
      </c>
      <c r="N983" s="318">
        <f>IF(R976="","",SIN(RADIANS(M983))*S976*2*PI()/(U976-V976))</f>
        <v>0</v>
      </c>
      <c r="O983" s="318" t="str">
        <f>IF(R977="","",SIN(RADIANS(M983))*S977*2*PI()/(U977-V977))</f>
        <v/>
      </c>
      <c r="P983" s="318" t="str">
        <f>IF(R978="","",SIN(RADIANS(M983))*S978*2*PI()/(U978-V978))</f>
        <v/>
      </c>
      <c r="Q983" s="318" t="str">
        <f>IF(R979="","",SIN(RADIANS(M983))*S979*2*PI()/(U979-V979))</f>
        <v/>
      </c>
      <c r="R983" s="318" t="str">
        <f>IF(R980="","",SIN(RADIANS(M983))*S980*2*PI()/(U980-V980))</f>
        <v/>
      </c>
      <c r="S983" s="191"/>
      <c r="T983" s="191"/>
      <c r="U983" s="191"/>
      <c r="V983" s="193"/>
      <c r="W983" s="181"/>
      <c r="X983" s="137"/>
      <c r="Z983" s="183"/>
      <c r="AA983" s="183"/>
    </row>
    <row r="984" spans="1:27" s="182" customFormat="1" ht="15" customHeight="1">
      <c r="A984" s="211"/>
      <c r="B984" s="190"/>
      <c r="C984" s="196"/>
      <c r="D984" s="191"/>
      <c r="E984" s="191"/>
      <c r="F984" s="231"/>
      <c r="G984" s="322">
        <f>R980</f>
        <v>0</v>
      </c>
      <c r="H984" s="322">
        <f>IF(I984=1,SUMIF(M988:M1037,G984,T988:T1037)+SUMIF(O988:O1037,G984,U988:U1037)+SUMIF(Q988:Q1037,G984,V988:V1037),0)</f>
        <v>0</v>
      </c>
      <c r="I984" s="232">
        <f>COUNTIF(G975:G984,G984)</f>
        <v>7</v>
      </c>
      <c r="J984" s="192"/>
      <c r="K984" s="192"/>
      <c r="L984" s="192"/>
      <c r="M984" s="191"/>
      <c r="N984" s="191"/>
      <c r="O984" s="191"/>
      <c r="P984" s="191"/>
      <c r="Q984" s="191"/>
      <c r="R984" s="191"/>
      <c r="S984" s="191"/>
      <c r="T984" s="191"/>
      <c r="U984" s="191"/>
      <c r="V984" s="193"/>
      <c r="W984" s="227"/>
      <c r="X984" s="137"/>
      <c r="Z984" s="183"/>
      <c r="AA984" s="183"/>
    </row>
    <row r="985" spans="1:27" s="182" customFormat="1" ht="15" customHeight="1">
      <c r="A985" s="211"/>
      <c r="B985" s="190"/>
      <c r="C985" s="196"/>
      <c r="D985" s="191"/>
      <c r="E985" s="191"/>
      <c r="F985" s="191"/>
      <c r="G985" s="191"/>
      <c r="H985" s="191"/>
      <c r="I985" s="191"/>
      <c r="J985" s="192"/>
      <c r="K985" s="192"/>
      <c r="L985" s="192"/>
      <c r="M985" s="191"/>
      <c r="N985" s="191"/>
      <c r="O985" s="191"/>
      <c r="P985" s="191"/>
      <c r="Q985" s="191"/>
      <c r="R985" s="191"/>
      <c r="S985" s="191"/>
      <c r="T985" s="191"/>
      <c r="U985" s="191"/>
      <c r="V985" s="193"/>
      <c r="W985" s="181"/>
      <c r="X985" s="137"/>
      <c r="Z985" s="183"/>
      <c r="AA985" s="183"/>
    </row>
    <row r="986" spans="1:27" s="182" customFormat="1" ht="15" customHeight="1">
      <c r="A986" s="211"/>
      <c r="B986" s="190"/>
      <c r="C986" s="196"/>
      <c r="D986" s="191"/>
      <c r="E986" s="191"/>
      <c r="F986" s="191"/>
      <c r="G986" s="191"/>
      <c r="H986" s="191"/>
      <c r="I986" s="191"/>
      <c r="J986" s="192"/>
      <c r="K986" s="192"/>
      <c r="L986" s="140"/>
      <c r="M986" s="191"/>
      <c r="N986" s="191"/>
      <c r="O986" s="191"/>
      <c r="P986" s="191"/>
      <c r="Q986" s="191"/>
      <c r="R986" s="191"/>
      <c r="S986" s="191"/>
      <c r="T986" s="191"/>
      <c r="U986" s="191"/>
      <c r="V986" s="193"/>
      <c r="W986" s="181"/>
      <c r="X986" s="137"/>
      <c r="Z986" s="183"/>
      <c r="AA986" s="183"/>
    </row>
    <row r="987" spans="1:27" s="182" customFormat="1" ht="15" customHeight="1" thickBot="1">
      <c r="A987" s="211"/>
      <c r="B987" s="190"/>
      <c r="C987" s="293" t="s">
        <v>985</v>
      </c>
      <c r="D987" s="312" t="s">
        <v>1013</v>
      </c>
      <c r="E987" s="311" t="s">
        <v>1014</v>
      </c>
      <c r="F987" s="311" t="s">
        <v>1015</v>
      </c>
      <c r="G987" s="320" t="s">
        <v>1017</v>
      </c>
      <c r="H987" s="320" t="s">
        <v>7</v>
      </c>
      <c r="I987" s="320" t="s">
        <v>15</v>
      </c>
      <c r="J987" s="320" t="s">
        <v>535</v>
      </c>
      <c r="K987" s="320" t="s">
        <v>536</v>
      </c>
      <c r="L987" s="311" t="s">
        <v>1016</v>
      </c>
      <c r="M987" s="168"/>
      <c r="N987" s="191" t="s">
        <v>57</v>
      </c>
      <c r="O987" s="237"/>
      <c r="P987" s="191" t="s">
        <v>54</v>
      </c>
      <c r="Q987" s="237"/>
      <c r="R987" s="191" t="s">
        <v>55</v>
      </c>
      <c r="S987" s="237" t="s">
        <v>1018</v>
      </c>
      <c r="T987" s="191" t="s">
        <v>57</v>
      </c>
      <c r="U987" s="191" t="s">
        <v>54</v>
      </c>
      <c r="V987" s="193" t="s">
        <v>55</v>
      </c>
      <c r="W987" s="181"/>
      <c r="X987" s="137"/>
      <c r="Z987" s="183"/>
      <c r="AA987" s="183"/>
    </row>
    <row r="988" spans="1:27" s="182" customFormat="1" ht="15" customHeight="1">
      <c r="A988" s="211"/>
      <c r="B988" s="164" t="s">
        <v>1020</v>
      </c>
      <c r="C988" s="293">
        <f>C976</f>
        <v>0</v>
      </c>
      <c r="D988" s="319">
        <f>(C988-(SIN(RADIANS(M983))*N976)-(COS(RADIANS(M983))*O976))*PI()/MEDIAN(U976:V980,P976:Q980)</f>
        <v>-4.7123889803846897</v>
      </c>
      <c r="E988" s="319" t="e">
        <f>(C988*PI()-N988*(G988+C979))/PI()</f>
        <v>#N/A</v>
      </c>
      <c r="F988" s="319" t="e">
        <f>E988-2*O976*COS(RADIANS(M983))</f>
        <v>#N/A</v>
      </c>
      <c r="G988" s="321" t="e">
        <f>ROUND(VLOOKUP(M988,R976:V980,4,FALSE),)</f>
        <v>#N/A</v>
      </c>
      <c r="H988" s="321" t="e">
        <f>ROUND(VLOOKUP(O988,M976:Q980,4,FALSE),)</f>
        <v>#N/A</v>
      </c>
      <c r="I988" s="321" t="e">
        <f>ROUND(VLOOKUP(O988,M976:Q980,5,FALSE),)</f>
        <v>#N/A</v>
      </c>
      <c r="J988" s="321" t="e">
        <f>ROUND(VLOOKUP(Q988,M976:Q980,4,FALSE),)</f>
        <v>#N/A</v>
      </c>
      <c r="K988" s="321" t="e">
        <f>ROUND(VLOOKUP(Q988,M976:Q980,5,FALSE),)</f>
        <v>#N/A</v>
      </c>
      <c r="L988" s="614">
        <f t="shared" ref="L988:L1037" si="142">D988/3</f>
        <v>-1.5707963267948966</v>
      </c>
      <c r="M988" s="284"/>
      <c r="N988" s="615" t="e">
        <f>ROUND(HLOOKUP(M988,N982:R983,2,FALSE),)</f>
        <v>#N/A</v>
      </c>
      <c r="O988" s="284"/>
      <c r="P988" s="616" t="e">
        <f>PI()*(F988*(J988+C979)-E988*(K988+C979))/(((J988+C979)*(I988+C979))-((H988+C979)*(K988+C979)))</f>
        <v>#N/A</v>
      </c>
      <c r="Q988" s="284"/>
      <c r="R988" s="616" t="e">
        <f>(E988*PI()-P988*(H988+C979))/(J988+C979)</f>
        <v>#N/A</v>
      </c>
      <c r="S988" s="618">
        <v>360</v>
      </c>
      <c r="T988" s="232" t="e">
        <f t="shared" ref="T988:T1037" si="143">ROUND(N988/360*S988,)</f>
        <v>#N/A</v>
      </c>
      <c r="U988" s="191" t="e">
        <f t="shared" ref="U988:U1037" si="144">ROUND(P988/360*S988,)</f>
        <v>#N/A</v>
      </c>
      <c r="V988" s="191" t="e">
        <f t="shared" ref="V988:V1037" si="145">ROUND(R988/360*S988,)</f>
        <v>#N/A</v>
      </c>
      <c r="W988" s="181"/>
      <c r="X988" s="137"/>
      <c r="Z988" s="183"/>
      <c r="AA988" s="183"/>
    </row>
    <row r="989" spans="1:27" s="182" customFormat="1" ht="15" customHeight="1">
      <c r="A989" s="211"/>
      <c r="B989" s="164" t="s">
        <v>1021</v>
      </c>
      <c r="C989" s="294">
        <f>C988+2*SIN(RADIANS(M983))*(N976+C979)</f>
        <v>0</v>
      </c>
      <c r="D989" s="319">
        <f>(C989-(SIN(RADIANS(M983))*N976)-(COS(RADIANS(M983))*O976))*PI()/MEDIAN(U976:V980,P976:Q980)</f>
        <v>-4.7123889803846897</v>
      </c>
      <c r="E989" s="319" t="e">
        <f>(C989*PI()-N989*(G989+C979))/PI()</f>
        <v>#N/A</v>
      </c>
      <c r="F989" s="319" t="e">
        <f>E989-2*O976*COS(RADIANS(M983))</f>
        <v>#N/A</v>
      </c>
      <c r="G989" s="321" t="e">
        <f>ROUND(VLOOKUP(M989,R976:V980,4,FALSE),)</f>
        <v>#N/A</v>
      </c>
      <c r="H989" s="321" t="e">
        <f>ROUND(VLOOKUP(O989,M976:Q980,4,FALSE),)</f>
        <v>#N/A</v>
      </c>
      <c r="I989" s="321" t="e">
        <f>ROUND(VLOOKUP(O989,M976:Q980,5,FALSE),)</f>
        <v>#N/A</v>
      </c>
      <c r="J989" s="321" t="e">
        <f>ROUND(VLOOKUP(Q989,M976:Q980,4,FALSE),)</f>
        <v>#N/A</v>
      </c>
      <c r="K989" s="321" t="e">
        <f>ROUND(VLOOKUP(Q989,M976:Q980,5,FALSE),)</f>
        <v>#N/A</v>
      </c>
      <c r="L989" s="614">
        <f t="shared" si="142"/>
        <v>-1.5707963267948966</v>
      </c>
      <c r="M989" s="617">
        <f t="shared" ref="M989:M1037" si="146">M988</f>
        <v>0</v>
      </c>
      <c r="N989" s="615" t="e">
        <f>ROUND(HLOOKUP(M989,N982:R983,2,FALSE),)</f>
        <v>#N/A</v>
      </c>
      <c r="O989" s="617">
        <f t="shared" ref="O989:O1037" si="147">O988</f>
        <v>0</v>
      </c>
      <c r="P989" s="616" t="e">
        <f>PI()*(F989*(J989+C979)-E989*(K989+C979))/(((J989+C979)*(I989+C979))-((H989+C979)*(K989+C979)))</f>
        <v>#N/A</v>
      </c>
      <c r="Q989" s="617">
        <f t="shared" ref="Q989:Q1037" si="148">Q988</f>
        <v>0</v>
      </c>
      <c r="R989" s="616" t="e">
        <f>(E989*PI()-P989*(H989+C979))/(J989+C979)</f>
        <v>#N/A</v>
      </c>
      <c r="S989" s="619">
        <f>S988</f>
        <v>360</v>
      </c>
      <c r="T989" s="232" t="e">
        <f t="shared" si="143"/>
        <v>#N/A</v>
      </c>
      <c r="U989" s="191" t="e">
        <f t="shared" si="144"/>
        <v>#N/A</v>
      </c>
      <c r="V989" s="191" t="e">
        <f t="shared" si="145"/>
        <v>#N/A</v>
      </c>
      <c r="W989" s="181"/>
      <c r="X989" s="137"/>
      <c r="Z989" s="183"/>
      <c r="AA989" s="183"/>
    </row>
    <row r="990" spans="1:27" s="182" customFormat="1" ht="15" customHeight="1">
      <c r="A990" s="211"/>
      <c r="B990" s="164" t="s">
        <v>1022</v>
      </c>
      <c r="C990" s="294">
        <f>C989+2*SIN(RADIANS(M983))*(N976+C979)</f>
        <v>0</v>
      </c>
      <c r="D990" s="319">
        <f>(C990-(SIN(RADIANS(M983))*N976)-(COS(RADIANS(M983))*O976))*PI()/MEDIAN(U976:V980,P976:Q980)</f>
        <v>-4.7123889803846897</v>
      </c>
      <c r="E990" s="319" t="e">
        <f>(C990*PI()-N990*(G990+C979))/PI()</f>
        <v>#N/A</v>
      </c>
      <c r="F990" s="319" t="e">
        <f>E990-2*O976*COS(RADIANS(M983))</f>
        <v>#N/A</v>
      </c>
      <c r="G990" s="321" t="e">
        <f>ROUND(VLOOKUP(M990,R976:V980,4,FALSE),)</f>
        <v>#N/A</v>
      </c>
      <c r="H990" s="321" t="e">
        <f>ROUND(VLOOKUP(O990,M976:Q980,4,FALSE),)</f>
        <v>#N/A</v>
      </c>
      <c r="I990" s="321" t="e">
        <f>ROUND(VLOOKUP(O990,M976:Q980,5,FALSE),)</f>
        <v>#N/A</v>
      </c>
      <c r="J990" s="321" t="e">
        <f>ROUND(VLOOKUP(Q990,M976:Q980,4,FALSE),)</f>
        <v>#N/A</v>
      </c>
      <c r="K990" s="321" t="e">
        <f>ROUND(VLOOKUP(Q990,M976:Q980,5,FALSE),)</f>
        <v>#N/A</v>
      </c>
      <c r="L990" s="614">
        <f t="shared" si="142"/>
        <v>-1.5707963267948966</v>
      </c>
      <c r="M990" s="617">
        <f t="shared" si="146"/>
        <v>0</v>
      </c>
      <c r="N990" s="615" t="e">
        <f>ROUND(HLOOKUP(M990,N982:R983,2,FALSE),)</f>
        <v>#N/A</v>
      </c>
      <c r="O990" s="617">
        <f t="shared" si="147"/>
        <v>0</v>
      </c>
      <c r="P990" s="616" t="e">
        <f>PI()*(F990*(J990+C979)-E990*(K990+C979))/(((J990+C979)*(I990+C979))-((H990+C979)*(K990+C979)))</f>
        <v>#N/A</v>
      </c>
      <c r="Q990" s="617">
        <f t="shared" si="148"/>
        <v>0</v>
      </c>
      <c r="R990" s="616" t="e">
        <f>(E990*PI()-P990*(H990+C979))/(J990+C979)</f>
        <v>#N/A</v>
      </c>
      <c r="S990" s="619">
        <f t="shared" ref="S990:S1037" si="149">S989</f>
        <v>360</v>
      </c>
      <c r="T990" s="232" t="e">
        <f t="shared" si="143"/>
        <v>#N/A</v>
      </c>
      <c r="U990" s="191" t="e">
        <f t="shared" si="144"/>
        <v>#N/A</v>
      </c>
      <c r="V990" s="191" t="e">
        <f t="shared" si="145"/>
        <v>#N/A</v>
      </c>
      <c r="W990" s="181"/>
      <c r="X990" s="137"/>
      <c r="Z990" s="183"/>
      <c r="AA990" s="183"/>
    </row>
    <row r="991" spans="1:27" s="182" customFormat="1" ht="15" customHeight="1">
      <c r="A991" s="211"/>
      <c r="B991" s="164" t="s">
        <v>1023</v>
      </c>
      <c r="C991" s="294">
        <f>C990+2*SIN(RADIANS(M983))*(N976+C979)</f>
        <v>0</v>
      </c>
      <c r="D991" s="319">
        <f>(C991-(SIN(RADIANS(M983))*N976)-(COS(RADIANS(M983))*O976))*PI()/MEDIAN(U976:V980,P976:Q980)</f>
        <v>-4.7123889803846897</v>
      </c>
      <c r="E991" s="319" t="e">
        <f>(C991*PI()-N991*(G991+C979))/PI()</f>
        <v>#N/A</v>
      </c>
      <c r="F991" s="319" t="e">
        <f>E991-2*O976*COS(RADIANS(M983))</f>
        <v>#N/A</v>
      </c>
      <c r="G991" s="321" t="e">
        <f>ROUND(VLOOKUP(M991,R976:V980,4,FALSE),)</f>
        <v>#N/A</v>
      </c>
      <c r="H991" s="321" t="e">
        <f>ROUND(VLOOKUP(O991,M976:Q980,4,FALSE),)</f>
        <v>#N/A</v>
      </c>
      <c r="I991" s="321" t="e">
        <f>ROUND(VLOOKUP(O991,M976:Q980,5,FALSE),)</f>
        <v>#N/A</v>
      </c>
      <c r="J991" s="321" t="e">
        <f>ROUND(VLOOKUP(Q991,M976:Q980,4,FALSE),)</f>
        <v>#N/A</v>
      </c>
      <c r="K991" s="321" t="e">
        <f>ROUND(VLOOKUP(Q991,M976:Q980,5,FALSE),)</f>
        <v>#N/A</v>
      </c>
      <c r="L991" s="614">
        <f t="shared" si="142"/>
        <v>-1.5707963267948966</v>
      </c>
      <c r="M991" s="617">
        <f t="shared" si="146"/>
        <v>0</v>
      </c>
      <c r="N991" s="615" t="e">
        <f>ROUND(HLOOKUP(M991,N982:R983,2,FALSE),)</f>
        <v>#N/A</v>
      </c>
      <c r="O991" s="617">
        <f t="shared" si="147"/>
        <v>0</v>
      </c>
      <c r="P991" s="616" t="e">
        <f>PI()*(F991*(J991+C979)-E991*(K991+C979))/(((J991+C979)*(I991+C979))-((H991+C979)*(K991+C979)))</f>
        <v>#N/A</v>
      </c>
      <c r="Q991" s="617">
        <f t="shared" si="148"/>
        <v>0</v>
      </c>
      <c r="R991" s="616" t="e">
        <f>(E991*PI()-P991*(H991+C979))/(J991+C979)</f>
        <v>#N/A</v>
      </c>
      <c r="S991" s="619">
        <f t="shared" si="149"/>
        <v>360</v>
      </c>
      <c r="T991" s="232" t="e">
        <f t="shared" si="143"/>
        <v>#N/A</v>
      </c>
      <c r="U991" s="191" t="e">
        <f t="shared" si="144"/>
        <v>#N/A</v>
      </c>
      <c r="V991" s="191" t="e">
        <f t="shared" si="145"/>
        <v>#N/A</v>
      </c>
      <c r="W991" s="181"/>
      <c r="X991" s="137"/>
      <c r="Z991" s="183"/>
      <c r="AA991" s="183"/>
    </row>
    <row r="992" spans="1:27" s="182" customFormat="1" ht="15" customHeight="1">
      <c r="A992" s="211"/>
      <c r="B992" s="164" t="s">
        <v>1024</v>
      </c>
      <c r="C992" s="294">
        <f>C991+2*SIN(RADIANS(M983))*(N976+C979)</f>
        <v>0</v>
      </c>
      <c r="D992" s="319">
        <f>(C992-(SIN(RADIANS(M983))*N976)-(COS(RADIANS(M983))*O976))*PI()/MEDIAN(U976:V980,P976:Q980)</f>
        <v>-4.7123889803846897</v>
      </c>
      <c r="E992" s="319" t="e">
        <f>(C992*PI()-N992*(G992+C979))/PI()</f>
        <v>#N/A</v>
      </c>
      <c r="F992" s="319" t="e">
        <f>E992-2*O976*COS(RADIANS(M983))</f>
        <v>#N/A</v>
      </c>
      <c r="G992" s="321" t="e">
        <f>ROUND(VLOOKUP(M992,R976:V980,4,FALSE),)</f>
        <v>#N/A</v>
      </c>
      <c r="H992" s="321" t="e">
        <f>ROUND(VLOOKUP(O992,M976:Q980,4,FALSE),)</f>
        <v>#N/A</v>
      </c>
      <c r="I992" s="321" t="e">
        <f>ROUND(VLOOKUP(O992,M976:Q980,5,FALSE),)</f>
        <v>#N/A</v>
      </c>
      <c r="J992" s="321" t="e">
        <f>ROUND(VLOOKUP(Q992,M976:Q980,4,FALSE),)</f>
        <v>#N/A</v>
      </c>
      <c r="K992" s="321" t="e">
        <f>ROUND(VLOOKUP(Q992,M976:Q980,5,FALSE),)</f>
        <v>#N/A</v>
      </c>
      <c r="L992" s="614">
        <f t="shared" si="142"/>
        <v>-1.5707963267948966</v>
      </c>
      <c r="M992" s="617">
        <f t="shared" si="146"/>
        <v>0</v>
      </c>
      <c r="N992" s="615" t="e">
        <f>ROUND(HLOOKUP(M992,N982:R983,2,FALSE),)</f>
        <v>#N/A</v>
      </c>
      <c r="O992" s="617">
        <f t="shared" si="147"/>
        <v>0</v>
      </c>
      <c r="P992" s="616" t="e">
        <f>PI()*(F992*(J992+C979)-E992*(K992+C979))/(((J992+C979)*(I992+C979))-((H992+C979)*(K992+C979)))</f>
        <v>#N/A</v>
      </c>
      <c r="Q992" s="617">
        <f t="shared" si="148"/>
        <v>0</v>
      </c>
      <c r="R992" s="616" t="e">
        <f>(E992*PI()-P992*(H992+C979))/(J992+C979)</f>
        <v>#N/A</v>
      </c>
      <c r="S992" s="619">
        <f t="shared" si="149"/>
        <v>360</v>
      </c>
      <c r="T992" s="232" t="e">
        <f t="shared" si="143"/>
        <v>#N/A</v>
      </c>
      <c r="U992" s="191" t="e">
        <f t="shared" si="144"/>
        <v>#N/A</v>
      </c>
      <c r="V992" s="191" t="e">
        <f t="shared" si="145"/>
        <v>#N/A</v>
      </c>
      <c r="W992" s="181"/>
      <c r="X992" s="137"/>
      <c r="Z992" s="183"/>
      <c r="AA992" s="183"/>
    </row>
    <row r="993" spans="1:27" s="182" customFormat="1" ht="15" customHeight="1">
      <c r="A993" s="211"/>
      <c r="B993" s="164" t="s">
        <v>1025</v>
      </c>
      <c r="C993" s="294">
        <f>C992+2*SIN(RADIANS(M983))*(N976+C979)</f>
        <v>0</v>
      </c>
      <c r="D993" s="319">
        <f>(C993-(SIN(RADIANS(M983))*N976)-(COS(RADIANS(M983))*O976))*PI()/MEDIAN(U976:V980,P976:Q980)</f>
        <v>-4.7123889803846897</v>
      </c>
      <c r="E993" s="319" t="e">
        <f>(C993*PI()-N993*(G993+C979))/PI()</f>
        <v>#N/A</v>
      </c>
      <c r="F993" s="319" t="e">
        <f>E993-2*O976*COS(RADIANS(M983))</f>
        <v>#N/A</v>
      </c>
      <c r="G993" s="321" t="e">
        <f>ROUND(VLOOKUP(M993,R976:V980,4,FALSE),)</f>
        <v>#N/A</v>
      </c>
      <c r="H993" s="321" t="e">
        <f>ROUND(VLOOKUP(O993,M976:Q980,4,FALSE),)</f>
        <v>#N/A</v>
      </c>
      <c r="I993" s="321" t="e">
        <f>ROUND(VLOOKUP(O993,M976:Q980,5,FALSE),)</f>
        <v>#N/A</v>
      </c>
      <c r="J993" s="321" t="e">
        <f>ROUND(VLOOKUP(Q993,M976:Q980,4,FALSE),)</f>
        <v>#N/A</v>
      </c>
      <c r="K993" s="321" t="e">
        <f>ROUND(VLOOKUP(Q993,M976:Q980,5,FALSE),)</f>
        <v>#N/A</v>
      </c>
      <c r="L993" s="614">
        <f t="shared" si="142"/>
        <v>-1.5707963267948966</v>
      </c>
      <c r="M993" s="617">
        <f>M992</f>
        <v>0</v>
      </c>
      <c r="N993" s="615" t="e">
        <f>ROUND(HLOOKUP(M993,N982:R983,2,FALSE),)</f>
        <v>#N/A</v>
      </c>
      <c r="O993" s="617">
        <f>O992</f>
        <v>0</v>
      </c>
      <c r="P993" s="616" t="e">
        <f>PI()*(F993*(J993+C979)-E993*(K993+C979))/(((J993+C979)*(I993+C979))-((H993+C979)*(K993+C979)))</f>
        <v>#N/A</v>
      </c>
      <c r="Q993" s="617">
        <f>Q992</f>
        <v>0</v>
      </c>
      <c r="R993" s="616" t="e">
        <f>(E993*PI()-P993*(H993+C979))/(J993+C979)</f>
        <v>#N/A</v>
      </c>
      <c r="S993" s="619">
        <f t="shared" si="149"/>
        <v>360</v>
      </c>
      <c r="T993" s="232" t="e">
        <f t="shared" si="143"/>
        <v>#N/A</v>
      </c>
      <c r="U993" s="191" t="e">
        <f t="shared" si="144"/>
        <v>#N/A</v>
      </c>
      <c r="V993" s="191" t="e">
        <f t="shared" si="145"/>
        <v>#N/A</v>
      </c>
      <c r="W993" s="181"/>
      <c r="X993" s="137"/>
      <c r="Z993" s="183"/>
      <c r="AA993" s="183"/>
    </row>
    <row r="994" spans="1:27" s="182" customFormat="1" ht="15" customHeight="1">
      <c r="A994" s="211"/>
      <c r="B994" s="164" t="s">
        <v>1026</v>
      </c>
      <c r="C994" s="294">
        <f>C993+2*SIN(RADIANS(M983))*(N976+C979)</f>
        <v>0</v>
      </c>
      <c r="D994" s="319">
        <f>(C994-(SIN(RADIANS(M983))*N976)-(COS(RADIANS(M983))*O976))*PI()/MEDIAN(U976:V980,P976:Q980)</f>
        <v>-4.7123889803846897</v>
      </c>
      <c r="E994" s="319" t="e">
        <f>(C994*PI()-N994*(G994+C979))/PI()</f>
        <v>#N/A</v>
      </c>
      <c r="F994" s="319" t="e">
        <f>E994-2*O976*COS(RADIANS(M983))</f>
        <v>#N/A</v>
      </c>
      <c r="G994" s="321" t="e">
        <f>ROUND(VLOOKUP(M994,R976:V980,4,FALSE),)</f>
        <v>#N/A</v>
      </c>
      <c r="H994" s="321" t="e">
        <f>ROUND(VLOOKUP(O994,M976:Q980,4,FALSE),)</f>
        <v>#N/A</v>
      </c>
      <c r="I994" s="321" t="e">
        <f>ROUND(VLOOKUP(O994,M976:Q980,5,FALSE),)</f>
        <v>#N/A</v>
      </c>
      <c r="J994" s="321" t="e">
        <f>ROUND(VLOOKUP(Q994,M976:Q980,4,FALSE),)</f>
        <v>#N/A</v>
      </c>
      <c r="K994" s="321" t="e">
        <f>ROUND(VLOOKUP(Q994,M976:Q980,5,FALSE),)</f>
        <v>#N/A</v>
      </c>
      <c r="L994" s="614">
        <f t="shared" si="142"/>
        <v>-1.5707963267948966</v>
      </c>
      <c r="M994" s="617">
        <f t="shared" si="146"/>
        <v>0</v>
      </c>
      <c r="N994" s="615" t="e">
        <f>ROUND(HLOOKUP(M994,N982:R983,2,FALSE),)</f>
        <v>#N/A</v>
      </c>
      <c r="O994" s="617">
        <f t="shared" si="147"/>
        <v>0</v>
      </c>
      <c r="P994" s="616" t="e">
        <f>PI()*(F994*(J994+C979)-E994*(K994+C979))/(((J994+C979)*(I994+C979))-((H994+C979)*(K994+C979)))</f>
        <v>#N/A</v>
      </c>
      <c r="Q994" s="617">
        <f t="shared" si="148"/>
        <v>0</v>
      </c>
      <c r="R994" s="616" t="e">
        <f>(E994*PI()-P994*(H994+C979))/(J994+C979)</f>
        <v>#N/A</v>
      </c>
      <c r="S994" s="619">
        <f t="shared" si="149"/>
        <v>360</v>
      </c>
      <c r="T994" s="232" t="e">
        <f t="shared" si="143"/>
        <v>#N/A</v>
      </c>
      <c r="U994" s="191" t="e">
        <f t="shared" si="144"/>
        <v>#N/A</v>
      </c>
      <c r="V994" s="191" t="e">
        <f t="shared" si="145"/>
        <v>#N/A</v>
      </c>
      <c r="W994" s="181"/>
      <c r="X994" s="137"/>
      <c r="Z994" s="183"/>
      <c r="AA994" s="183"/>
    </row>
    <row r="995" spans="1:27" s="182" customFormat="1" ht="15" customHeight="1">
      <c r="A995" s="211"/>
      <c r="B995" s="164" t="s">
        <v>1027</v>
      </c>
      <c r="C995" s="294">
        <f>C994+2*SIN(RADIANS(M983))*(N976+C979)</f>
        <v>0</v>
      </c>
      <c r="D995" s="319">
        <f>(C995-(SIN(RADIANS(M983))*N976)-(COS(RADIANS(M983))*O976))*PI()/MEDIAN(U976:V980,P976:Q980)</f>
        <v>-4.7123889803846897</v>
      </c>
      <c r="E995" s="319" t="e">
        <f>(C995*PI()-N995*(G995+C979))/PI()</f>
        <v>#N/A</v>
      </c>
      <c r="F995" s="319" t="e">
        <f>E995-2*O976*COS(RADIANS(M983))</f>
        <v>#N/A</v>
      </c>
      <c r="G995" s="321" t="e">
        <f>ROUND(VLOOKUP(M995,R976:V980,4,FALSE),)</f>
        <v>#N/A</v>
      </c>
      <c r="H995" s="321" t="e">
        <f>ROUND(VLOOKUP(O995,M976:Q980,4,FALSE),)</f>
        <v>#N/A</v>
      </c>
      <c r="I995" s="321" t="e">
        <f>ROUND(VLOOKUP(O995,M976:Q980,5,FALSE),)</f>
        <v>#N/A</v>
      </c>
      <c r="J995" s="321" t="e">
        <f>ROUND(VLOOKUP(Q995,M976:Q980,4,FALSE),)</f>
        <v>#N/A</v>
      </c>
      <c r="K995" s="321" t="e">
        <f>ROUND(VLOOKUP(Q995,M976:Q980,5,FALSE),)</f>
        <v>#N/A</v>
      </c>
      <c r="L995" s="614">
        <f t="shared" si="142"/>
        <v>-1.5707963267948966</v>
      </c>
      <c r="M995" s="617">
        <f t="shared" si="146"/>
        <v>0</v>
      </c>
      <c r="N995" s="615" t="e">
        <f>ROUND(HLOOKUP(M995,N982:R983,2,FALSE),)</f>
        <v>#N/A</v>
      </c>
      <c r="O995" s="617">
        <f t="shared" si="147"/>
        <v>0</v>
      </c>
      <c r="P995" s="616" t="e">
        <f>PI()*(F995*(J995+C979)-E995*(K995+C979))/(((J995+C979)*(I995+C979))-((H995+C979)*(K995+C979)))</f>
        <v>#N/A</v>
      </c>
      <c r="Q995" s="617">
        <f t="shared" si="148"/>
        <v>0</v>
      </c>
      <c r="R995" s="616" t="e">
        <f>(E995*PI()-P995*(H995+C979))/(J995+C979)</f>
        <v>#N/A</v>
      </c>
      <c r="S995" s="619">
        <f t="shared" si="149"/>
        <v>360</v>
      </c>
      <c r="T995" s="232" t="e">
        <f t="shared" si="143"/>
        <v>#N/A</v>
      </c>
      <c r="U995" s="191" t="e">
        <f t="shared" si="144"/>
        <v>#N/A</v>
      </c>
      <c r="V995" s="191" t="e">
        <f t="shared" si="145"/>
        <v>#N/A</v>
      </c>
      <c r="W995" s="181"/>
      <c r="X995" s="137"/>
      <c r="Z995" s="183"/>
      <c r="AA995" s="183"/>
    </row>
    <row r="996" spans="1:27" s="182" customFormat="1" ht="15" customHeight="1">
      <c r="A996" s="211"/>
      <c r="B996" s="164" t="s">
        <v>1028</v>
      </c>
      <c r="C996" s="294">
        <f>C995+2*SIN(RADIANS(M983))*(N976+C979)</f>
        <v>0</v>
      </c>
      <c r="D996" s="319">
        <f>(C996-(SIN(RADIANS(M983))*N976)-(COS(RADIANS(M983))*O976))*PI()/MEDIAN(U976:V980,P976:Q980)</f>
        <v>-4.7123889803846897</v>
      </c>
      <c r="E996" s="319" t="e">
        <f>(C996*PI()-N996*(G996+C979))/PI()</f>
        <v>#N/A</v>
      </c>
      <c r="F996" s="319" t="e">
        <f>E996-2*O976*COS(RADIANS(M983))</f>
        <v>#N/A</v>
      </c>
      <c r="G996" s="321" t="e">
        <f>ROUND(VLOOKUP(M996,R976:V980,4,FALSE),)</f>
        <v>#N/A</v>
      </c>
      <c r="H996" s="321" t="e">
        <f>ROUND(VLOOKUP(O996,M976:Q980,4,FALSE),)</f>
        <v>#N/A</v>
      </c>
      <c r="I996" s="321" t="e">
        <f>ROUND(VLOOKUP(O996,M976:Q980,5,FALSE),)</f>
        <v>#N/A</v>
      </c>
      <c r="J996" s="321" t="e">
        <f>ROUND(VLOOKUP(Q996,M976:Q980,4,FALSE),)</f>
        <v>#N/A</v>
      </c>
      <c r="K996" s="321" t="e">
        <f>ROUND(VLOOKUP(Q996,M976:Q980,5,FALSE),)</f>
        <v>#N/A</v>
      </c>
      <c r="L996" s="614">
        <f t="shared" si="142"/>
        <v>-1.5707963267948966</v>
      </c>
      <c r="M996" s="617">
        <f t="shared" si="146"/>
        <v>0</v>
      </c>
      <c r="N996" s="615" t="e">
        <f>ROUND(HLOOKUP(M996,N982:R983,2,FALSE),)</f>
        <v>#N/A</v>
      </c>
      <c r="O996" s="617">
        <f t="shared" si="147"/>
        <v>0</v>
      </c>
      <c r="P996" s="616" t="e">
        <f>PI()*(F996*(J996+C979)-E996*(K996+C979))/(((J996+C979)*(I996+C979))-((H996+C979)*(K996+C979)))</f>
        <v>#N/A</v>
      </c>
      <c r="Q996" s="617">
        <f t="shared" si="148"/>
        <v>0</v>
      </c>
      <c r="R996" s="616" t="e">
        <f>(E996*PI()-P996*(H996+C979))/(J996+C979)</f>
        <v>#N/A</v>
      </c>
      <c r="S996" s="619">
        <f t="shared" si="149"/>
        <v>360</v>
      </c>
      <c r="T996" s="232" t="e">
        <f t="shared" si="143"/>
        <v>#N/A</v>
      </c>
      <c r="U996" s="191" t="e">
        <f t="shared" si="144"/>
        <v>#N/A</v>
      </c>
      <c r="V996" s="191" t="e">
        <f t="shared" si="145"/>
        <v>#N/A</v>
      </c>
      <c r="W996" s="181"/>
      <c r="X996" s="137"/>
      <c r="Z996" s="183"/>
      <c r="AA996" s="183"/>
    </row>
    <row r="997" spans="1:27" s="182" customFormat="1" ht="15" customHeight="1">
      <c r="A997" s="211"/>
      <c r="B997" s="164" t="s">
        <v>1029</v>
      </c>
      <c r="C997" s="294">
        <f>C996+2*SIN(RADIANS(M983))*(N976+C979)</f>
        <v>0</v>
      </c>
      <c r="D997" s="319">
        <f>(C997-(SIN(RADIANS(M983))*N976)-(COS(RADIANS(M983))*O976))*PI()/MEDIAN(U976:V980,P976:Q980)</f>
        <v>-4.7123889803846897</v>
      </c>
      <c r="E997" s="319" t="e">
        <f>(C997*PI()-N997*(G997+C979))/PI()</f>
        <v>#N/A</v>
      </c>
      <c r="F997" s="319" t="e">
        <f>E997-2*O976*COS(RADIANS(M983))</f>
        <v>#N/A</v>
      </c>
      <c r="G997" s="321" t="e">
        <f>ROUND(VLOOKUP(M997,R976:V980,4,FALSE),)</f>
        <v>#N/A</v>
      </c>
      <c r="H997" s="321" t="e">
        <f>ROUND(VLOOKUP(O997,M976:Q980,4,FALSE),)</f>
        <v>#N/A</v>
      </c>
      <c r="I997" s="321" t="e">
        <f>ROUND(VLOOKUP(O997,M976:Q980,5,FALSE),)</f>
        <v>#N/A</v>
      </c>
      <c r="J997" s="321" t="e">
        <f>ROUND(VLOOKUP(Q997,M976:Q980,4,FALSE),)</f>
        <v>#N/A</v>
      </c>
      <c r="K997" s="321" t="e">
        <f>ROUND(VLOOKUP(Q997,M976:Q980,5,FALSE),)</f>
        <v>#N/A</v>
      </c>
      <c r="L997" s="614">
        <f t="shared" si="142"/>
        <v>-1.5707963267948966</v>
      </c>
      <c r="M997" s="617">
        <f t="shared" si="146"/>
        <v>0</v>
      </c>
      <c r="N997" s="615" t="e">
        <f>ROUND(HLOOKUP(M997,N982:R983,2,FALSE),)</f>
        <v>#N/A</v>
      </c>
      <c r="O997" s="617">
        <f t="shared" si="147"/>
        <v>0</v>
      </c>
      <c r="P997" s="616" t="e">
        <f>PI()*(F997*(J997+C979)-E997*(K997+C979))/(((J997+C979)*(I997+C979))-((H997+C979)*(K997+C979)))</f>
        <v>#N/A</v>
      </c>
      <c r="Q997" s="617">
        <f t="shared" si="148"/>
        <v>0</v>
      </c>
      <c r="R997" s="616" t="e">
        <f>(E997*PI()-P997*(H997+C979))/(J997+C979)</f>
        <v>#N/A</v>
      </c>
      <c r="S997" s="619">
        <f t="shared" si="149"/>
        <v>360</v>
      </c>
      <c r="T997" s="232" t="e">
        <f t="shared" si="143"/>
        <v>#N/A</v>
      </c>
      <c r="U997" s="191" t="e">
        <f t="shared" si="144"/>
        <v>#N/A</v>
      </c>
      <c r="V997" s="191" t="e">
        <f t="shared" si="145"/>
        <v>#N/A</v>
      </c>
      <c r="W997" s="181"/>
      <c r="X997" s="137"/>
      <c r="Z997" s="183"/>
      <c r="AA997" s="183"/>
    </row>
    <row r="998" spans="1:27" s="182" customFormat="1" ht="15" customHeight="1">
      <c r="A998" s="211"/>
      <c r="B998" s="164" t="s">
        <v>1030</v>
      </c>
      <c r="C998" s="294">
        <f>C997+2*SIN(RADIANS(M983))*(N976+C979)</f>
        <v>0</v>
      </c>
      <c r="D998" s="319">
        <f>(C998-(SIN(RADIANS(M983))*N976)-(COS(RADIANS(M983))*O976))*PI()/MEDIAN(U976:V980,P976:Q980)</f>
        <v>-4.7123889803846897</v>
      </c>
      <c r="E998" s="319" t="e">
        <f>(C998*PI()-N998*(G998+C979))/PI()</f>
        <v>#N/A</v>
      </c>
      <c r="F998" s="319" t="e">
        <f>E998-2*O976*COS(RADIANS(M983))</f>
        <v>#N/A</v>
      </c>
      <c r="G998" s="321" t="e">
        <f>ROUND(VLOOKUP(M998,R976:V980,4,FALSE),)</f>
        <v>#N/A</v>
      </c>
      <c r="H998" s="321" t="e">
        <f>ROUND(VLOOKUP(O998,M976:Q980,4,FALSE),)</f>
        <v>#N/A</v>
      </c>
      <c r="I998" s="321" t="e">
        <f>ROUND(VLOOKUP(O998,M976:Q980,5,FALSE),)</f>
        <v>#N/A</v>
      </c>
      <c r="J998" s="321" t="e">
        <f>ROUND(VLOOKUP(Q998,M976:Q980,4,FALSE),)</f>
        <v>#N/A</v>
      </c>
      <c r="K998" s="321" t="e">
        <f>ROUND(VLOOKUP(Q998,M976:Q980,5,FALSE),)</f>
        <v>#N/A</v>
      </c>
      <c r="L998" s="614">
        <f t="shared" si="142"/>
        <v>-1.5707963267948966</v>
      </c>
      <c r="M998" s="617">
        <f t="shared" si="146"/>
        <v>0</v>
      </c>
      <c r="N998" s="615" t="e">
        <f>ROUND(HLOOKUP(M998,N982:R983,2,FALSE),)</f>
        <v>#N/A</v>
      </c>
      <c r="O998" s="617">
        <f t="shared" si="147"/>
        <v>0</v>
      </c>
      <c r="P998" s="616" t="e">
        <f>PI()*(F998*(J998+C979)-E998*(K998+C979))/(((J998+C979)*(I998+C979))-((H998+C979)*(K998+C979)))</f>
        <v>#N/A</v>
      </c>
      <c r="Q998" s="617">
        <f t="shared" si="148"/>
        <v>0</v>
      </c>
      <c r="R998" s="616" t="e">
        <f>(E998*PI()-P998*(H998+C979))/(J998+C979)</f>
        <v>#N/A</v>
      </c>
      <c r="S998" s="619">
        <f t="shared" si="149"/>
        <v>360</v>
      </c>
      <c r="T998" s="232" t="e">
        <f t="shared" si="143"/>
        <v>#N/A</v>
      </c>
      <c r="U998" s="191" t="e">
        <f t="shared" si="144"/>
        <v>#N/A</v>
      </c>
      <c r="V998" s="191" t="e">
        <f t="shared" si="145"/>
        <v>#N/A</v>
      </c>
      <c r="W998" s="181"/>
      <c r="X998" s="137"/>
      <c r="Z998" s="183"/>
      <c r="AA998" s="183"/>
    </row>
    <row r="999" spans="1:27" s="182" customFormat="1" ht="15" customHeight="1">
      <c r="A999" s="211"/>
      <c r="B999" s="164" t="s">
        <v>1031</v>
      </c>
      <c r="C999" s="294">
        <f>C998+2*SIN(RADIANS(M983))*(N976+C979)</f>
        <v>0</v>
      </c>
      <c r="D999" s="319">
        <f>(C999-(SIN(RADIANS(M983))*N976)-(COS(RADIANS(M983))*O976))*PI()/MEDIAN(U976:V980,P976:Q980)</f>
        <v>-4.7123889803846897</v>
      </c>
      <c r="E999" s="319" t="e">
        <f>(C999*PI()-N999*(G999+C979))/PI()</f>
        <v>#N/A</v>
      </c>
      <c r="F999" s="319" t="e">
        <f>E999-2*O976*COS(RADIANS(M983))</f>
        <v>#N/A</v>
      </c>
      <c r="G999" s="321" t="e">
        <f>ROUND(VLOOKUP(M999,R976:V980,4,FALSE),)</f>
        <v>#N/A</v>
      </c>
      <c r="H999" s="321" t="e">
        <f>ROUND(VLOOKUP(O999,M976:Q980,4,FALSE),)</f>
        <v>#N/A</v>
      </c>
      <c r="I999" s="321" t="e">
        <f>ROUND(VLOOKUP(O999,M976:Q980,5,FALSE),)</f>
        <v>#N/A</v>
      </c>
      <c r="J999" s="321" t="e">
        <f>ROUND(VLOOKUP(Q999,M976:Q980,4,FALSE),)</f>
        <v>#N/A</v>
      </c>
      <c r="K999" s="321" t="e">
        <f>ROUND(VLOOKUP(Q999,M976:Q980,5,FALSE),)</f>
        <v>#N/A</v>
      </c>
      <c r="L999" s="614">
        <f t="shared" si="142"/>
        <v>-1.5707963267948966</v>
      </c>
      <c r="M999" s="617">
        <f t="shared" si="146"/>
        <v>0</v>
      </c>
      <c r="N999" s="615" t="e">
        <f>ROUND(HLOOKUP(M999,N982:R983,2,FALSE),)</f>
        <v>#N/A</v>
      </c>
      <c r="O999" s="617">
        <f t="shared" si="147"/>
        <v>0</v>
      </c>
      <c r="P999" s="616" t="e">
        <f>PI()*(F999*(J999+C979)-E999*(K999+C979))/(((J999+C979)*(I999+C979))-((H999+C979)*(K999+C979)))</f>
        <v>#N/A</v>
      </c>
      <c r="Q999" s="617">
        <f t="shared" si="148"/>
        <v>0</v>
      </c>
      <c r="R999" s="616" t="e">
        <f>(E999*PI()-P999*(H999+C979))/(J999+C979)</f>
        <v>#N/A</v>
      </c>
      <c r="S999" s="619">
        <f t="shared" si="149"/>
        <v>360</v>
      </c>
      <c r="T999" s="232" t="e">
        <f t="shared" si="143"/>
        <v>#N/A</v>
      </c>
      <c r="U999" s="191" t="e">
        <f t="shared" si="144"/>
        <v>#N/A</v>
      </c>
      <c r="V999" s="191" t="e">
        <f t="shared" si="145"/>
        <v>#N/A</v>
      </c>
      <c r="W999" s="181"/>
      <c r="X999" s="137"/>
      <c r="Z999" s="183"/>
      <c r="AA999" s="183"/>
    </row>
    <row r="1000" spans="1:27" s="182" customFormat="1" ht="15" customHeight="1">
      <c r="A1000" s="211"/>
      <c r="B1000" s="164" t="s">
        <v>1032</v>
      </c>
      <c r="C1000" s="294">
        <f>C999+2*SIN(RADIANS(M983))*(N976+C979)</f>
        <v>0</v>
      </c>
      <c r="D1000" s="319">
        <f>(C1000-(SIN(RADIANS(M983))*N976)-(COS(RADIANS(M983))*O976))*PI()/MEDIAN(U976:V980,P976:Q980)</f>
        <v>-4.7123889803846897</v>
      </c>
      <c r="E1000" s="319" t="e">
        <f>(C1000*PI()-N1000*(G1000+C979))/PI()</f>
        <v>#N/A</v>
      </c>
      <c r="F1000" s="319" t="e">
        <f>E1000-2*O976*COS(RADIANS(M983))</f>
        <v>#N/A</v>
      </c>
      <c r="G1000" s="321" t="e">
        <f>ROUND(VLOOKUP(M1000,R976:V980,4,FALSE),)</f>
        <v>#N/A</v>
      </c>
      <c r="H1000" s="321" t="e">
        <f>ROUND(VLOOKUP(O1000,M976:Q980,4,FALSE),)</f>
        <v>#N/A</v>
      </c>
      <c r="I1000" s="321" t="e">
        <f>ROUND(VLOOKUP(O1000,M976:Q980,5,FALSE),)</f>
        <v>#N/A</v>
      </c>
      <c r="J1000" s="321" t="e">
        <f>ROUND(VLOOKUP(Q1000,M976:Q980,4,FALSE),)</f>
        <v>#N/A</v>
      </c>
      <c r="K1000" s="321" t="e">
        <f>ROUND(VLOOKUP(Q1000,M976:Q980,5,FALSE),)</f>
        <v>#N/A</v>
      </c>
      <c r="L1000" s="614">
        <f t="shared" si="142"/>
        <v>-1.5707963267948966</v>
      </c>
      <c r="M1000" s="617">
        <f t="shared" si="146"/>
        <v>0</v>
      </c>
      <c r="N1000" s="615" t="e">
        <f>ROUND(HLOOKUP(M1000,N982:R983,2,FALSE),)</f>
        <v>#N/A</v>
      </c>
      <c r="O1000" s="617">
        <f t="shared" si="147"/>
        <v>0</v>
      </c>
      <c r="P1000" s="616" t="e">
        <f>PI()*(F1000*(J1000+C979)-E1000*(K1000+C979))/(((J1000+C979)*(I1000+C979))-((H1000+C979)*(K1000+C979)))</f>
        <v>#N/A</v>
      </c>
      <c r="Q1000" s="617">
        <f t="shared" si="148"/>
        <v>0</v>
      </c>
      <c r="R1000" s="616" t="e">
        <f>(E1000*PI()-P1000*(H1000+C979))/(J1000+C979)</f>
        <v>#N/A</v>
      </c>
      <c r="S1000" s="619">
        <f t="shared" si="149"/>
        <v>360</v>
      </c>
      <c r="T1000" s="232" t="e">
        <f t="shared" si="143"/>
        <v>#N/A</v>
      </c>
      <c r="U1000" s="191" t="e">
        <f t="shared" si="144"/>
        <v>#N/A</v>
      </c>
      <c r="V1000" s="191" t="e">
        <f t="shared" si="145"/>
        <v>#N/A</v>
      </c>
      <c r="W1000" s="181"/>
      <c r="X1000" s="137"/>
      <c r="Z1000" s="183"/>
      <c r="AA1000" s="183"/>
    </row>
    <row r="1001" spans="1:27" s="182" customFormat="1" ht="15" customHeight="1">
      <c r="A1001" s="211"/>
      <c r="B1001" s="164" t="s">
        <v>1033</v>
      </c>
      <c r="C1001" s="294">
        <f>C1000+2*SIN(RADIANS(M983))*(N976+C979)</f>
        <v>0</v>
      </c>
      <c r="D1001" s="319">
        <f>(C1001-(SIN(RADIANS(M983))*N976)-(COS(RADIANS(M983))*O976))*PI()/MEDIAN(U976:V980,P976:Q980)</f>
        <v>-4.7123889803846897</v>
      </c>
      <c r="E1001" s="319" t="e">
        <f>(C1001*PI()-N1001*(G1001+C979))/PI()</f>
        <v>#N/A</v>
      </c>
      <c r="F1001" s="319" t="e">
        <f>E1001-2*O976*COS(RADIANS(M983))</f>
        <v>#N/A</v>
      </c>
      <c r="G1001" s="321" t="e">
        <f>ROUND(VLOOKUP(M1001,R976:V980,4,FALSE),)</f>
        <v>#N/A</v>
      </c>
      <c r="H1001" s="321" t="e">
        <f>ROUND(VLOOKUP(O1001,M976:Q980,4,FALSE),)</f>
        <v>#N/A</v>
      </c>
      <c r="I1001" s="321" t="e">
        <f>ROUND(VLOOKUP(O1001,M976:Q980,5,FALSE),)</f>
        <v>#N/A</v>
      </c>
      <c r="J1001" s="321" t="e">
        <f>ROUND(VLOOKUP(Q1001,M976:Q980,4,FALSE),)</f>
        <v>#N/A</v>
      </c>
      <c r="K1001" s="321" t="e">
        <f>ROUND(VLOOKUP(Q1001,M976:Q980,5,FALSE),)</f>
        <v>#N/A</v>
      </c>
      <c r="L1001" s="614">
        <f t="shared" si="142"/>
        <v>-1.5707963267948966</v>
      </c>
      <c r="M1001" s="617">
        <f t="shared" si="146"/>
        <v>0</v>
      </c>
      <c r="N1001" s="615" t="e">
        <f>ROUND(HLOOKUP(M1001,N982:R983,2,FALSE),)</f>
        <v>#N/A</v>
      </c>
      <c r="O1001" s="617">
        <f t="shared" si="147"/>
        <v>0</v>
      </c>
      <c r="P1001" s="616" t="e">
        <f>PI()*(F1001*(J1001+C979)-E1001*(K1001+C979))/(((J1001+C979)*(I1001+C979))-((H1001+C979)*(K1001+C979)))</f>
        <v>#N/A</v>
      </c>
      <c r="Q1001" s="617">
        <f t="shared" si="148"/>
        <v>0</v>
      </c>
      <c r="R1001" s="616" t="e">
        <f>(E1001*PI()-P1001*(H1001+C979))/(J1001+C979)</f>
        <v>#N/A</v>
      </c>
      <c r="S1001" s="619">
        <f t="shared" si="149"/>
        <v>360</v>
      </c>
      <c r="T1001" s="232" t="e">
        <f t="shared" si="143"/>
        <v>#N/A</v>
      </c>
      <c r="U1001" s="191" t="e">
        <f t="shared" si="144"/>
        <v>#N/A</v>
      </c>
      <c r="V1001" s="191" t="e">
        <f t="shared" si="145"/>
        <v>#N/A</v>
      </c>
      <c r="W1001" s="181"/>
      <c r="X1001" s="137"/>
      <c r="Z1001" s="183"/>
      <c r="AA1001" s="183"/>
    </row>
    <row r="1002" spans="1:27" s="182" customFormat="1" ht="15" customHeight="1">
      <c r="A1002" s="211"/>
      <c r="B1002" s="164" t="s">
        <v>1034</v>
      </c>
      <c r="C1002" s="294">
        <f>C1001+2*SIN(RADIANS(M983))*(N976+C979)</f>
        <v>0</v>
      </c>
      <c r="D1002" s="319">
        <f>(C1002-(SIN(RADIANS(M983))*N976)-(COS(RADIANS(M983))*O976))*PI()/MEDIAN(U976:V980,P976:Q980)</f>
        <v>-4.7123889803846897</v>
      </c>
      <c r="E1002" s="319" t="e">
        <f>(C1002*PI()-N1002*(G1002+C979))/PI()</f>
        <v>#N/A</v>
      </c>
      <c r="F1002" s="319" t="e">
        <f>E1002-2*O976*COS(RADIANS(M983))</f>
        <v>#N/A</v>
      </c>
      <c r="G1002" s="321" t="e">
        <f>ROUND(VLOOKUP(M1002,R976:V980,4,FALSE),)</f>
        <v>#N/A</v>
      </c>
      <c r="H1002" s="321" t="e">
        <f>ROUND(VLOOKUP(O1002,M976:Q980,4,FALSE),)</f>
        <v>#N/A</v>
      </c>
      <c r="I1002" s="321" t="e">
        <f>ROUND(VLOOKUP(O1002,M976:Q980,5,FALSE),)</f>
        <v>#N/A</v>
      </c>
      <c r="J1002" s="321" t="e">
        <f>ROUND(VLOOKUP(Q1002,M976:Q980,4,FALSE),)</f>
        <v>#N/A</v>
      </c>
      <c r="K1002" s="321" t="e">
        <f>ROUND(VLOOKUP(Q1002,M976:Q980,5,FALSE),)</f>
        <v>#N/A</v>
      </c>
      <c r="L1002" s="614">
        <f t="shared" si="142"/>
        <v>-1.5707963267948966</v>
      </c>
      <c r="M1002" s="617">
        <f t="shared" si="146"/>
        <v>0</v>
      </c>
      <c r="N1002" s="615" t="e">
        <f>ROUND(HLOOKUP(M1002,N982:R983,2,FALSE),)</f>
        <v>#N/A</v>
      </c>
      <c r="O1002" s="617">
        <f t="shared" si="147"/>
        <v>0</v>
      </c>
      <c r="P1002" s="616" t="e">
        <f>PI()*(F1002*(J1002+C979)-E1002*(K1002+C979))/(((J1002+C979)*(I1002+C979))-((H1002+C979)*(K1002+C979)))</f>
        <v>#N/A</v>
      </c>
      <c r="Q1002" s="617">
        <f t="shared" si="148"/>
        <v>0</v>
      </c>
      <c r="R1002" s="616" t="e">
        <f>(E1002*PI()-P1002*(H1002+C979))/(J1002+C979)</f>
        <v>#N/A</v>
      </c>
      <c r="S1002" s="619">
        <f t="shared" si="149"/>
        <v>360</v>
      </c>
      <c r="T1002" s="232" t="e">
        <f t="shared" si="143"/>
        <v>#N/A</v>
      </c>
      <c r="U1002" s="191" t="e">
        <f t="shared" si="144"/>
        <v>#N/A</v>
      </c>
      <c r="V1002" s="191" t="e">
        <f t="shared" si="145"/>
        <v>#N/A</v>
      </c>
      <c r="W1002" s="181"/>
      <c r="X1002" s="137"/>
      <c r="Z1002" s="183"/>
      <c r="AA1002" s="183"/>
    </row>
    <row r="1003" spans="1:27" s="182" customFormat="1" ht="15" customHeight="1">
      <c r="A1003" s="211"/>
      <c r="B1003" s="164" t="s">
        <v>1035</v>
      </c>
      <c r="C1003" s="294">
        <f>C1002+2*SIN(RADIANS(M983))*(N976+C979)</f>
        <v>0</v>
      </c>
      <c r="D1003" s="319">
        <f>(C1003-(SIN(RADIANS(M983))*N976)-(COS(RADIANS(M983))*O976))*PI()/MEDIAN(U976:V980,P976:Q980)</f>
        <v>-4.7123889803846897</v>
      </c>
      <c r="E1003" s="319" t="e">
        <f>(C1003*PI()-N1003*(G1003+C979))/PI()</f>
        <v>#N/A</v>
      </c>
      <c r="F1003" s="319" t="e">
        <f>E1003-2*O976*COS(RADIANS(M983))</f>
        <v>#N/A</v>
      </c>
      <c r="G1003" s="321" t="e">
        <f>ROUND(VLOOKUP(M1003,R976:V980,4,FALSE),)</f>
        <v>#N/A</v>
      </c>
      <c r="H1003" s="321" t="e">
        <f>ROUND(VLOOKUP(O1003,M976:Q980,4,FALSE),)</f>
        <v>#N/A</v>
      </c>
      <c r="I1003" s="321" t="e">
        <f>ROUND(VLOOKUP(O1003,M976:Q980,5,FALSE),)</f>
        <v>#N/A</v>
      </c>
      <c r="J1003" s="321" t="e">
        <f>ROUND(VLOOKUP(Q1003,M976:Q980,4,FALSE),)</f>
        <v>#N/A</v>
      </c>
      <c r="K1003" s="321" t="e">
        <f>ROUND(VLOOKUP(Q1003,M976:Q980,5,FALSE),)</f>
        <v>#N/A</v>
      </c>
      <c r="L1003" s="614">
        <f t="shared" si="142"/>
        <v>-1.5707963267948966</v>
      </c>
      <c r="M1003" s="617">
        <f t="shared" si="146"/>
        <v>0</v>
      </c>
      <c r="N1003" s="615" t="e">
        <f>ROUND(HLOOKUP(M1003,N982:R983,2,FALSE),)</f>
        <v>#N/A</v>
      </c>
      <c r="O1003" s="617">
        <f t="shared" si="147"/>
        <v>0</v>
      </c>
      <c r="P1003" s="616" t="e">
        <f>PI()*(F1003*(J1003+C979)-E1003*(K1003+C979))/(((J1003+C979)*(I1003+C979))-((H1003+C979)*(K1003+C979)))</f>
        <v>#N/A</v>
      </c>
      <c r="Q1003" s="617">
        <f t="shared" si="148"/>
        <v>0</v>
      </c>
      <c r="R1003" s="616" t="e">
        <f>(E1003*PI()-P1003*(H1003+C979))/(J1003+C979)</f>
        <v>#N/A</v>
      </c>
      <c r="S1003" s="619">
        <f t="shared" si="149"/>
        <v>360</v>
      </c>
      <c r="T1003" s="232" t="e">
        <f t="shared" si="143"/>
        <v>#N/A</v>
      </c>
      <c r="U1003" s="191" t="e">
        <f t="shared" si="144"/>
        <v>#N/A</v>
      </c>
      <c r="V1003" s="191" t="e">
        <f t="shared" si="145"/>
        <v>#N/A</v>
      </c>
      <c r="W1003" s="181"/>
      <c r="X1003" s="137"/>
      <c r="Z1003" s="183"/>
      <c r="AA1003" s="183"/>
    </row>
    <row r="1004" spans="1:27" s="182" customFormat="1" ht="15" customHeight="1">
      <c r="A1004" s="211"/>
      <c r="B1004" s="164" t="s">
        <v>1036</v>
      </c>
      <c r="C1004" s="294">
        <f>C1003+2*SIN(RADIANS(M983))*(N976+C979)</f>
        <v>0</v>
      </c>
      <c r="D1004" s="319">
        <f>(C1004-(SIN(RADIANS(M983))*N976)-(COS(RADIANS(M983))*O976))*PI()/MEDIAN(U976:V980,P976:Q980)</f>
        <v>-4.7123889803846897</v>
      </c>
      <c r="E1004" s="319" t="e">
        <f>(C1004*PI()-N1004*(G1004+C979))/PI()</f>
        <v>#N/A</v>
      </c>
      <c r="F1004" s="319" t="e">
        <f>E1004-2*O976*COS(RADIANS(M983))</f>
        <v>#N/A</v>
      </c>
      <c r="G1004" s="321" t="e">
        <f>ROUND(VLOOKUP(M1004,R976:V980,4,FALSE),)</f>
        <v>#N/A</v>
      </c>
      <c r="H1004" s="321" t="e">
        <f>ROUND(VLOOKUP(O1004,M976:Q980,4,FALSE),)</f>
        <v>#N/A</v>
      </c>
      <c r="I1004" s="321" t="e">
        <f>ROUND(VLOOKUP(O1004,M976:Q980,5,FALSE),)</f>
        <v>#N/A</v>
      </c>
      <c r="J1004" s="321" t="e">
        <f>ROUND(VLOOKUP(Q1004,M976:Q980,4,FALSE),)</f>
        <v>#N/A</v>
      </c>
      <c r="K1004" s="321" t="e">
        <f>ROUND(VLOOKUP(Q1004,M976:Q980,5,FALSE),)</f>
        <v>#N/A</v>
      </c>
      <c r="L1004" s="614">
        <f t="shared" si="142"/>
        <v>-1.5707963267948966</v>
      </c>
      <c r="M1004" s="617">
        <f t="shared" si="146"/>
        <v>0</v>
      </c>
      <c r="N1004" s="615" t="e">
        <f>ROUND(HLOOKUP(M1004,N982:R983,2,FALSE),)</f>
        <v>#N/A</v>
      </c>
      <c r="O1004" s="617">
        <f t="shared" si="147"/>
        <v>0</v>
      </c>
      <c r="P1004" s="616" t="e">
        <f>PI()*(F1004*(J1004+C979)-E1004*(K1004+C979))/(((J1004+C979)*(I1004+C979))-((H1004+C979)*(K1004+C979)))</f>
        <v>#N/A</v>
      </c>
      <c r="Q1004" s="617">
        <f t="shared" si="148"/>
        <v>0</v>
      </c>
      <c r="R1004" s="616" t="e">
        <f>(E1004*PI()-P1004*(H1004+C979))/(J1004+C979)</f>
        <v>#N/A</v>
      </c>
      <c r="S1004" s="619">
        <f t="shared" si="149"/>
        <v>360</v>
      </c>
      <c r="T1004" s="232" t="e">
        <f t="shared" si="143"/>
        <v>#N/A</v>
      </c>
      <c r="U1004" s="191" t="e">
        <f t="shared" si="144"/>
        <v>#N/A</v>
      </c>
      <c r="V1004" s="191" t="e">
        <f t="shared" si="145"/>
        <v>#N/A</v>
      </c>
      <c r="W1004" s="181"/>
      <c r="X1004" s="137"/>
      <c r="Z1004" s="183"/>
      <c r="AA1004" s="183"/>
    </row>
    <row r="1005" spans="1:27" s="182" customFormat="1" ht="15" customHeight="1">
      <c r="A1005" s="211"/>
      <c r="B1005" s="164" t="s">
        <v>1037</v>
      </c>
      <c r="C1005" s="294">
        <f>C1004+2*SIN(RADIANS(M983))*(N976+C979)</f>
        <v>0</v>
      </c>
      <c r="D1005" s="319">
        <f>(C1005-(SIN(RADIANS(M983))*N976)-(COS(RADIANS(M983))*O976))*PI()/MEDIAN(U976:V980,P976:Q980)</f>
        <v>-4.7123889803846897</v>
      </c>
      <c r="E1005" s="319" t="e">
        <f>(C1005*PI()-N1005*(G1005+C979))/PI()</f>
        <v>#N/A</v>
      </c>
      <c r="F1005" s="319" t="e">
        <f>E1005-2*O976*COS(RADIANS(M983))</f>
        <v>#N/A</v>
      </c>
      <c r="G1005" s="321" t="e">
        <f>ROUND(VLOOKUP(M1005,R976:V980,4,FALSE),)</f>
        <v>#N/A</v>
      </c>
      <c r="H1005" s="321" t="e">
        <f>ROUND(VLOOKUP(O1005,M976:Q980,4,FALSE),)</f>
        <v>#N/A</v>
      </c>
      <c r="I1005" s="321" t="e">
        <f>ROUND(VLOOKUP(O1005,M976:Q980,5,FALSE),)</f>
        <v>#N/A</v>
      </c>
      <c r="J1005" s="321" t="e">
        <f>ROUND(VLOOKUP(Q1005,M976:Q980,4,FALSE),)</f>
        <v>#N/A</v>
      </c>
      <c r="K1005" s="321" t="e">
        <f>ROUND(VLOOKUP(Q1005,M976:Q980,5,FALSE),)</f>
        <v>#N/A</v>
      </c>
      <c r="L1005" s="614">
        <f t="shared" si="142"/>
        <v>-1.5707963267948966</v>
      </c>
      <c r="M1005" s="617">
        <f t="shared" si="146"/>
        <v>0</v>
      </c>
      <c r="N1005" s="615" t="e">
        <f>ROUND(HLOOKUP(M1005,N982:R983,2,FALSE),)</f>
        <v>#N/A</v>
      </c>
      <c r="O1005" s="617">
        <f t="shared" si="147"/>
        <v>0</v>
      </c>
      <c r="P1005" s="616" t="e">
        <f>PI()*(F1005*(J1005+C979)-E1005*(K1005+C979))/(((J1005+C979)*(I1005+C979))-((H1005+C979)*(K1005+C979)))</f>
        <v>#N/A</v>
      </c>
      <c r="Q1005" s="617">
        <f t="shared" si="148"/>
        <v>0</v>
      </c>
      <c r="R1005" s="616" t="e">
        <f>(E1005*PI()-P1005*(H1005+C979))/(J1005+C979)</f>
        <v>#N/A</v>
      </c>
      <c r="S1005" s="619">
        <f t="shared" si="149"/>
        <v>360</v>
      </c>
      <c r="T1005" s="232" t="e">
        <f t="shared" si="143"/>
        <v>#N/A</v>
      </c>
      <c r="U1005" s="191" t="e">
        <f t="shared" si="144"/>
        <v>#N/A</v>
      </c>
      <c r="V1005" s="191" t="e">
        <f t="shared" si="145"/>
        <v>#N/A</v>
      </c>
      <c r="W1005" s="181"/>
      <c r="X1005" s="137"/>
      <c r="Z1005" s="183"/>
      <c r="AA1005" s="183"/>
    </row>
    <row r="1006" spans="1:27" s="182" customFormat="1" ht="15" customHeight="1">
      <c r="A1006" s="211"/>
      <c r="B1006" s="164" t="s">
        <v>1038</v>
      </c>
      <c r="C1006" s="294">
        <f>C1005+2*SIN(RADIANS(M983))*(N976+C979)</f>
        <v>0</v>
      </c>
      <c r="D1006" s="319">
        <f>(C1006-(SIN(RADIANS(M983))*N976)-(COS(RADIANS(M983))*O976))*PI()/MEDIAN(U976:V980,P976:Q980)</f>
        <v>-4.7123889803846897</v>
      </c>
      <c r="E1006" s="319" t="e">
        <f>(C1006*PI()-N1006*(G1006+C979))/PI()</f>
        <v>#N/A</v>
      </c>
      <c r="F1006" s="319" t="e">
        <f>E1006-2*O976*COS(RADIANS(M983))</f>
        <v>#N/A</v>
      </c>
      <c r="G1006" s="321" t="e">
        <f>ROUND(VLOOKUP(M1006,R976:V980,4,FALSE),)</f>
        <v>#N/A</v>
      </c>
      <c r="H1006" s="321" t="e">
        <f>ROUND(VLOOKUP(O1006,M976:Q980,4,FALSE),)</f>
        <v>#N/A</v>
      </c>
      <c r="I1006" s="321" t="e">
        <f>ROUND(VLOOKUP(O1006,M976:Q980,5,FALSE),)</f>
        <v>#N/A</v>
      </c>
      <c r="J1006" s="321" t="e">
        <f>ROUND(VLOOKUP(Q1006,M976:Q980,4,FALSE),)</f>
        <v>#N/A</v>
      </c>
      <c r="K1006" s="321" t="e">
        <f>ROUND(VLOOKUP(Q1006,M976:Q980,5,FALSE),)</f>
        <v>#N/A</v>
      </c>
      <c r="L1006" s="614">
        <f t="shared" si="142"/>
        <v>-1.5707963267948966</v>
      </c>
      <c r="M1006" s="617">
        <f t="shared" si="146"/>
        <v>0</v>
      </c>
      <c r="N1006" s="615" t="e">
        <f>ROUND(HLOOKUP(M1006,N982:R983,2,FALSE),)</f>
        <v>#N/A</v>
      </c>
      <c r="O1006" s="617">
        <f t="shared" si="147"/>
        <v>0</v>
      </c>
      <c r="P1006" s="616" t="e">
        <f>PI()*(F1006*(J1006+C979)-E1006*(K1006+C979))/(((J1006+C979)*(I1006+C979))-((H1006+C979)*(K1006+C979)))</f>
        <v>#N/A</v>
      </c>
      <c r="Q1006" s="617">
        <f t="shared" si="148"/>
        <v>0</v>
      </c>
      <c r="R1006" s="616" t="e">
        <f>(E1006*PI()-P1006*(H1006+C979))/(J1006+C979)</f>
        <v>#N/A</v>
      </c>
      <c r="S1006" s="619">
        <f t="shared" si="149"/>
        <v>360</v>
      </c>
      <c r="T1006" s="232" t="e">
        <f t="shared" si="143"/>
        <v>#N/A</v>
      </c>
      <c r="U1006" s="191" t="e">
        <f t="shared" si="144"/>
        <v>#N/A</v>
      </c>
      <c r="V1006" s="191" t="e">
        <f t="shared" si="145"/>
        <v>#N/A</v>
      </c>
      <c r="W1006" s="181"/>
      <c r="X1006" s="137"/>
      <c r="Z1006" s="183"/>
      <c r="AA1006" s="183"/>
    </row>
    <row r="1007" spans="1:27" s="182" customFormat="1" ht="15" customHeight="1">
      <c r="A1007" s="211"/>
      <c r="B1007" s="164" t="s">
        <v>1039</v>
      </c>
      <c r="C1007" s="294">
        <f>C1006+2*SIN(RADIANS(M983))*(N976+C979)</f>
        <v>0</v>
      </c>
      <c r="D1007" s="319">
        <f>(C1007-(SIN(RADIANS(M983))*N976)-(COS(RADIANS(M983))*O976))*PI()/MEDIAN(U976:V980,P976:Q980)</f>
        <v>-4.7123889803846897</v>
      </c>
      <c r="E1007" s="319" t="e">
        <f>(C1007*PI()-N1007*(G1007+C979))/PI()</f>
        <v>#N/A</v>
      </c>
      <c r="F1007" s="319" t="e">
        <f>E1007-2*O976*COS(RADIANS(M983))</f>
        <v>#N/A</v>
      </c>
      <c r="G1007" s="321" t="e">
        <f>ROUND(VLOOKUP(M1007,R976:V980,4,FALSE),)</f>
        <v>#N/A</v>
      </c>
      <c r="H1007" s="321" t="e">
        <f>ROUND(VLOOKUP(O1007,M976:Q980,4,FALSE),)</f>
        <v>#N/A</v>
      </c>
      <c r="I1007" s="321" t="e">
        <f>ROUND(VLOOKUP(O1007,M976:Q980,5,FALSE),)</f>
        <v>#N/A</v>
      </c>
      <c r="J1007" s="321" t="e">
        <f>ROUND(VLOOKUP(Q1007,M976:Q980,4,FALSE),)</f>
        <v>#N/A</v>
      </c>
      <c r="K1007" s="321" t="e">
        <f>ROUND(VLOOKUP(Q1007,M976:Q980,5,FALSE),)</f>
        <v>#N/A</v>
      </c>
      <c r="L1007" s="614">
        <f t="shared" si="142"/>
        <v>-1.5707963267948966</v>
      </c>
      <c r="M1007" s="617">
        <f t="shared" si="146"/>
        <v>0</v>
      </c>
      <c r="N1007" s="615" t="e">
        <f>ROUND(HLOOKUP(M1007,N982:R983,2,FALSE),)</f>
        <v>#N/A</v>
      </c>
      <c r="O1007" s="617">
        <f t="shared" si="147"/>
        <v>0</v>
      </c>
      <c r="P1007" s="616" t="e">
        <f>PI()*(F1007*(J1007+C979)-E1007*(K1007+C979))/(((J1007+C979)*(I1007+C979))-((H1007+C979)*(K1007+C979)))</f>
        <v>#N/A</v>
      </c>
      <c r="Q1007" s="617">
        <f t="shared" si="148"/>
        <v>0</v>
      </c>
      <c r="R1007" s="616" t="e">
        <f>(E1007*PI()-P1007*(H1007+C979))/(J1007+C979)</f>
        <v>#N/A</v>
      </c>
      <c r="S1007" s="619">
        <f t="shared" si="149"/>
        <v>360</v>
      </c>
      <c r="T1007" s="232" t="e">
        <f t="shared" si="143"/>
        <v>#N/A</v>
      </c>
      <c r="U1007" s="191" t="e">
        <f t="shared" si="144"/>
        <v>#N/A</v>
      </c>
      <c r="V1007" s="191" t="e">
        <f t="shared" si="145"/>
        <v>#N/A</v>
      </c>
      <c r="W1007" s="181"/>
      <c r="X1007" s="137"/>
      <c r="Z1007" s="183"/>
      <c r="AA1007" s="183"/>
    </row>
    <row r="1008" spans="1:27" s="182" customFormat="1" ht="15" customHeight="1">
      <c r="A1008" s="211"/>
      <c r="B1008" s="164" t="s">
        <v>1040</v>
      </c>
      <c r="C1008" s="294">
        <f>C1007+2*SIN(RADIANS(M983))*(N976+C979)</f>
        <v>0</v>
      </c>
      <c r="D1008" s="319">
        <f>(C1008-(SIN(RADIANS(M983))*N976)-(COS(RADIANS(M983))*O976))*PI()/MEDIAN(U976:V980,P976:Q980)</f>
        <v>-4.7123889803846897</v>
      </c>
      <c r="E1008" s="319" t="e">
        <f>(C1008*PI()-N1008*(G1008+C979))/PI()</f>
        <v>#N/A</v>
      </c>
      <c r="F1008" s="319" t="e">
        <f>E1008-2*O976*COS(RADIANS(M983))</f>
        <v>#N/A</v>
      </c>
      <c r="G1008" s="321" t="e">
        <f>ROUND(VLOOKUP(M1008,R976:V980,4,FALSE),)</f>
        <v>#N/A</v>
      </c>
      <c r="H1008" s="321" t="e">
        <f>ROUND(VLOOKUP(O1008,M976:Q980,4,FALSE),)</f>
        <v>#N/A</v>
      </c>
      <c r="I1008" s="321" t="e">
        <f>ROUND(VLOOKUP(O1008,M976:Q980,5,FALSE),)</f>
        <v>#N/A</v>
      </c>
      <c r="J1008" s="321" t="e">
        <f>ROUND(VLOOKUP(Q1008,M976:Q980,4,FALSE),)</f>
        <v>#N/A</v>
      </c>
      <c r="K1008" s="321" t="e">
        <f>ROUND(VLOOKUP(Q1008,M976:Q980,5,FALSE),)</f>
        <v>#N/A</v>
      </c>
      <c r="L1008" s="614">
        <f t="shared" si="142"/>
        <v>-1.5707963267948966</v>
      </c>
      <c r="M1008" s="617">
        <f t="shared" si="146"/>
        <v>0</v>
      </c>
      <c r="N1008" s="615" t="e">
        <f>ROUND(HLOOKUP(M1008,N982:R983,2,FALSE),)</f>
        <v>#N/A</v>
      </c>
      <c r="O1008" s="617">
        <f t="shared" si="147"/>
        <v>0</v>
      </c>
      <c r="P1008" s="616" t="e">
        <f>PI()*(F1008*(J1008+C979)-E1008*(K1008+C979))/(((J1008+C979)*(I1008+C979))-((H1008+C979)*(K1008+C979)))</f>
        <v>#N/A</v>
      </c>
      <c r="Q1008" s="617">
        <f t="shared" si="148"/>
        <v>0</v>
      </c>
      <c r="R1008" s="616" t="e">
        <f>(E1008*PI()-P1008*(H1008+C979))/(J1008+C979)</f>
        <v>#N/A</v>
      </c>
      <c r="S1008" s="619">
        <f t="shared" si="149"/>
        <v>360</v>
      </c>
      <c r="T1008" s="232" t="e">
        <f t="shared" si="143"/>
        <v>#N/A</v>
      </c>
      <c r="U1008" s="191" t="e">
        <f t="shared" si="144"/>
        <v>#N/A</v>
      </c>
      <c r="V1008" s="191" t="e">
        <f t="shared" si="145"/>
        <v>#N/A</v>
      </c>
      <c r="W1008" s="181"/>
      <c r="X1008" s="137"/>
      <c r="Z1008" s="183"/>
      <c r="AA1008" s="183"/>
    </row>
    <row r="1009" spans="1:27" s="182" customFormat="1" ht="15" customHeight="1">
      <c r="A1009" s="211"/>
      <c r="B1009" s="164" t="s">
        <v>1041</v>
      </c>
      <c r="C1009" s="294">
        <f>C1008+2*SIN(RADIANS(M983))*(N976+C979)</f>
        <v>0</v>
      </c>
      <c r="D1009" s="319">
        <f>(C1009-(SIN(RADIANS(M983))*N976)-(COS(RADIANS(M983))*O976))*PI()/MEDIAN(U976:V980,P976:Q980)</f>
        <v>-4.7123889803846897</v>
      </c>
      <c r="E1009" s="319" t="e">
        <f>(C1009*PI()-N1009*(G1009+C979))/PI()</f>
        <v>#N/A</v>
      </c>
      <c r="F1009" s="319" t="e">
        <f>E1009-2*O976*COS(RADIANS(M983))</f>
        <v>#N/A</v>
      </c>
      <c r="G1009" s="321" t="e">
        <f>ROUND(VLOOKUP(M1009,R976:V980,4,FALSE),)</f>
        <v>#N/A</v>
      </c>
      <c r="H1009" s="321" t="e">
        <f>ROUND(VLOOKUP(O1009,M976:Q980,4,FALSE),)</f>
        <v>#N/A</v>
      </c>
      <c r="I1009" s="321" t="e">
        <f>ROUND(VLOOKUP(O1009,M976:Q980,5,FALSE),)</f>
        <v>#N/A</v>
      </c>
      <c r="J1009" s="321" t="e">
        <f>ROUND(VLOOKUP(Q1009,M976:Q980,4,FALSE),)</f>
        <v>#N/A</v>
      </c>
      <c r="K1009" s="321" t="e">
        <f>ROUND(VLOOKUP(Q1009,M976:Q980,5,FALSE),)</f>
        <v>#N/A</v>
      </c>
      <c r="L1009" s="614">
        <f t="shared" si="142"/>
        <v>-1.5707963267948966</v>
      </c>
      <c r="M1009" s="617">
        <f t="shared" si="146"/>
        <v>0</v>
      </c>
      <c r="N1009" s="615" t="e">
        <f>ROUND(HLOOKUP(M1009,N982:R983,2,FALSE),)</f>
        <v>#N/A</v>
      </c>
      <c r="O1009" s="617">
        <f t="shared" si="147"/>
        <v>0</v>
      </c>
      <c r="P1009" s="616" t="e">
        <f>PI()*(F1009*(J1009+C979)-E1009*(K1009+C979))/(((J1009+C979)*(I1009+C979))-((H1009+C979)*(K1009+C979)))</f>
        <v>#N/A</v>
      </c>
      <c r="Q1009" s="617">
        <f t="shared" si="148"/>
        <v>0</v>
      </c>
      <c r="R1009" s="616" t="e">
        <f>(E1009*PI()-P1009*(H1009+C979))/(J1009+C979)</f>
        <v>#N/A</v>
      </c>
      <c r="S1009" s="619">
        <f t="shared" si="149"/>
        <v>360</v>
      </c>
      <c r="T1009" s="232" t="e">
        <f t="shared" si="143"/>
        <v>#N/A</v>
      </c>
      <c r="U1009" s="191" t="e">
        <f t="shared" si="144"/>
        <v>#N/A</v>
      </c>
      <c r="V1009" s="191" t="e">
        <f t="shared" si="145"/>
        <v>#N/A</v>
      </c>
      <c r="W1009" s="181"/>
      <c r="X1009" s="137"/>
      <c r="Z1009" s="183"/>
      <c r="AA1009" s="183"/>
    </row>
    <row r="1010" spans="1:27" s="182" customFormat="1" ht="15" customHeight="1">
      <c r="A1010" s="211"/>
      <c r="B1010" s="164" t="s">
        <v>1042</v>
      </c>
      <c r="C1010" s="294">
        <f>C1009+2*SIN(RADIANS(M983))*(N976+C979)</f>
        <v>0</v>
      </c>
      <c r="D1010" s="319">
        <f>(C1010-(SIN(RADIANS(M983))*N976)-(COS(RADIANS(M983))*O976))*PI()/MEDIAN(U976:V980,P976:Q980)</f>
        <v>-4.7123889803846897</v>
      </c>
      <c r="E1010" s="319" t="e">
        <f>(C1010*PI()-N1010*(G1010+C979))/PI()</f>
        <v>#N/A</v>
      </c>
      <c r="F1010" s="319" t="e">
        <f>E1010-2*O976*COS(RADIANS(M983))</f>
        <v>#N/A</v>
      </c>
      <c r="G1010" s="321" t="e">
        <f>ROUND(VLOOKUP(M1010,R976:V980,4,FALSE),)</f>
        <v>#N/A</v>
      </c>
      <c r="H1010" s="321" t="e">
        <f>ROUND(VLOOKUP(O1010,M976:Q980,4,FALSE),)</f>
        <v>#N/A</v>
      </c>
      <c r="I1010" s="321" t="e">
        <f>ROUND(VLOOKUP(O1010,M976:Q980,5,FALSE),)</f>
        <v>#N/A</v>
      </c>
      <c r="J1010" s="321" t="e">
        <f>ROUND(VLOOKUP(Q1010,M976:Q980,4,FALSE),)</f>
        <v>#N/A</v>
      </c>
      <c r="K1010" s="321" t="e">
        <f>ROUND(VLOOKUP(Q1010,M976:Q980,5,FALSE),)</f>
        <v>#N/A</v>
      </c>
      <c r="L1010" s="614">
        <f t="shared" si="142"/>
        <v>-1.5707963267948966</v>
      </c>
      <c r="M1010" s="617">
        <f t="shared" si="146"/>
        <v>0</v>
      </c>
      <c r="N1010" s="615" t="e">
        <f>ROUND(HLOOKUP(M1010,N982:R983,2,FALSE),)</f>
        <v>#N/A</v>
      </c>
      <c r="O1010" s="617">
        <f t="shared" si="147"/>
        <v>0</v>
      </c>
      <c r="P1010" s="616" t="e">
        <f>PI()*(F1010*(J1010+C979)-E1010*(K1010+C979))/(((J1010+C979)*(I1010+C979))-((H1010+C979)*(K1010+C979)))</f>
        <v>#N/A</v>
      </c>
      <c r="Q1010" s="617">
        <f t="shared" si="148"/>
        <v>0</v>
      </c>
      <c r="R1010" s="616" t="e">
        <f>(E1010*PI()-P1010*(H1010+C979))/(J1010+C979)</f>
        <v>#N/A</v>
      </c>
      <c r="S1010" s="619">
        <f t="shared" si="149"/>
        <v>360</v>
      </c>
      <c r="T1010" s="232" t="e">
        <f t="shared" si="143"/>
        <v>#N/A</v>
      </c>
      <c r="U1010" s="191" t="e">
        <f t="shared" si="144"/>
        <v>#N/A</v>
      </c>
      <c r="V1010" s="191" t="e">
        <f t="shared" si="145"/>
        <v>#N/A</v>
      </c>
      <c r="W1010" s="181"/>
      <c r="X1010" s="137"/>
      <c r="Z1010" s="183"/>
      <c r="AA1010" s="183"/>
    </row>
    <row r="1011" spans="1:27" s="182" customFormat="1" ht="15" customHeight="1">
      <c r="A1011" s="211"/>
      <c r="B1011" s="164" t="s">
        <v>1043</v>
      </c>
      <c r="C1011" s="294">
        <f>C1010+2*SIN(RADIANS(M983))*(N976+C979)</f>
        <v>0</v>
      </c>
      <c r="D1011" s="319">
        <f>(C1011-(SIN(RADIANS(M983))*N976)-(COS(RADIANS(M983))*O976))*PI()/MEDIAN(U976:V980,P976:Q980)</f>
        <v>-4.7123889803846897</v>
      </c>
      <c r="E1011" s="319" t="e">
        <f>(C1011*PI()-N1011*(G1011+C979))/PI()</f>
        <v>#N/A</v>
      </c>
      <c r="F1011" s="319" t="e">
        <f>E1011-2*O976*COS(RADIANS(M983))</f>
        <v>#N/A</v>
      </c>
      <c r="G1011" s="321" t="e">
        <f>ROUND(VLOOKUP(M1011,R976:V980,4,FALSE),)</f>
        <v>#N/A</v>
      </c>
      <c r="H1011" s="321" t="e">
        <f>ROUND(VLOOKUP(O1011,M976:Q980,4,FALSE),)</f>
        <v>#N/A</v>
      </c>
      <c r="I1011" s="321" t="e">
        <f>ROUND(VLOOKUP(O1011,M976:Q980,5,FALSE),)</f>
        <v>#N/A</v>
      </c>
      <c r="J1011" s="321" t="e">
        <f>ROUND(VLOOKUP(Q1011,M976:Q980,4,FALSE),)</f>
        <v>#N/A</v>
      </c>
      <c r="K1011" s="321" t="e">
        <f>ROUND(VLOOKUP(Q1011,M976:Q980,5,FALSE),)</f>
        <v>#N/A</v>
      </c>
      <c r="L1011" s="614">
        <f t="shared" si="142"/>
        <v>-1.5707963267948966</v>
      </c>
      <c r="M1011" s="617">
        <f t="shared" si="146"/>
        <v>0</v>
      </c>
      <c r="N1011" s="615" t="e">
        <f>ROUND(HLOOKUP(M1011,N982:R983,2,FALSE),)</f>
        <v>#N/A</v>
      </c>
      <c r="O1011" s="617">
        <f t="shared" si="147"/>
        <v>0</v>
      </c>
      <c r="P1011" s="616" t="e">
        <f>PI()*(F1011*(J1011+C979)-E1011*(K1011+C979))/(((J1011+C979)*(I1011+C979))-((H1011+C979)*(K1011+C979)))</f>
        <v>#N/A</v>
      </c>
      <c r="Q1011" s="617">
        <f t="shared" si="148"/>
        <v>0</v>
      </c>
      <c r="R1011" s="616" t="e">
        <f>(E1011*PI()-P1011*(H1011+C979))/(J1011+C979)</f>
        <v>#N/A</v>
      </c>
      <c r="S1011" s="619">
        <f t="shared" si="149"/>
        <v>360</v>
      </c>
      <c r="T1011" s="232" t="e">
        <f t="shared" si="143"/>
        <v>#N/A</v>
      </c>
      <c r="U1011" s="191" t="e">
        <f t="shared" si="144"/>
        <v>#N/A</v>
      </c>
      <c r="V1011" s="191" t="e">
        <f t="shared" si="145"/>
        <v>#N/A</v>
      </c>
      <c r="W1011" s="181"/>
      <c r="X1011" s="137"/>
      <c r="Z1011" s="183"/>
      <c r="AA1011" s="183"/>
    </row>
    <row r="1012" spans="1:27" s="182" customFormat="1" ht="15" customHeight="1">
      <c r="A1012" s="211"/>
      <c r="B1012" s="164" t="s">
        <v>1044</v>
      </c>
      <c r="C1012" s="294">
        <f>C1011+2*SIN(RADIANS(M983))*(N976+C979)</f>
        <v>0</v>
      </c>
      <c r="D1012" s="319">
        <f>(C1012-(SIN(RADIANS(M983))*N976)-(COS(RADIANS(M983))*O976))*PI()/MEDIAN(U976:V980,P976:Q980)</f>
        <v>-4.7123889803846897</v>
      </c>
      <c r="E1012" s="319" t="e">
        <f>(C1012*PI()-N1012*(G1012+C979))/PI()</f>
        <v>#N/A</v>
      </c>
      <c r="F1012" s="319" t="e">
        <f>E1012-2*O976*COS(RADIANS(M983))</f>
        <v>#N/A</v>
      </c>
      <c r="G1012" s="321" t="e">
        <f>ROUND(VLOOKUP(M1012,R976:V980,4,FALSE),)</f>
        <v>#N/A</v>
      </c>
      <c r="H1012" s="321" t="e">
        <f>ROUND(VLOOKUP(O1012,M976:Q980,4,FALSE),)</f>
        <v>#N/A</v>
      </c>
      <c r="I1012" s="321" t="e">
        <f>ROUND(VLOOKUP(O1012,M976:Q980,5,FALSE),)</f>
        <v>#N/A</v>
      </c>
      <c r="J1012" s="321" t="e">
        <f>ROUND(VLOOKUP(Q1012,M976:Q980,4,FALSE),)</f>
        <v>#N/A</v>
      </c>
      <c r="K1012" s="321" t="e">
        <f>ROUND(VLOOKUP(Q1012,M976:Q980,5,FALSE),)</f>
        <v>#N/A</v>
      </c>
      <c r="L1012" s="614">
        <f t="shared" si="142"/>
        <v>-1.5707963267948966</v>
      </c>
      <c r="M1012" s="617">
        <f t="shared" si="146"/>
        <v>0</v>
      </c>
      <c r="N1012" s="615" t="e">
        <f>ROUND(HLOOKUP(M1012,N982:R983,2,FALSE),)</f>
        <v>#N/A</v>
      </c>
      <c r="O1012" s="617">
        <f t="shared" si="147"/>
        <v>0</v>
      </c>
      <c r="P1012" s="616" t="e">
        <f>PI()*(F1012*(J1012+C979)-E1012*(K1012+C979))/(((J1012+C979)*(I1012+C979))-((H1012+C979)*(K1012+C979)))</f>
        <v>#N/A</v>
      </c>
      <c r="Q1012" s="617">
        <f t="shared" si="148"/>
        <v>0</v>
      </c>
      <c r="R1012" s="616" t="e">
        <f>(E1012*PI()-P1012*(H1012+C979))/(J1012+C979)</f>
        <v>#N/A</v>
      </c>
      <c r="S1012" s="619">
        <f t="shared" si="149"/>
        <v>360</v>
      </c>
      <c r="T1012" s="232" t="e">
        <f t="shared" si="143"/>
        <v>#N/A</v>
      </c>
      <c r="U1012" s="191" t="e">
        <f t="shared" si="144"/>
        <v>#N/A</v>
      </c>
      <c r="V1012" s="191" t="e">
        <f t="shared" si="145"/>
        <v>#N/A</v>
      </c>
      <c r="W1012" s="181"/>
      <c r="X1012" s="137"/>
      <c r="Z1012" s="183"/>
      <c r="AA1012" s="183"/>
    </row>
    <row r="1013" spans="1:27" s="182" customFormat="1" ht="15" customHeight="1">
      <c r="A1013" s="211"/>
      <c r="B1013" s="164" t="s">
        <v>1045</v>
      </c>
      <c r="C1013" s="294">
        <f>C1012+2*SIN(RADIANS(M983))*(N976+C979)</f>
        <v>0</v>
      </c>
      <c r="D1013" s="319">
        <f>(C1013-(SIN(RADIANS(M983))*N976)-(COS(RADIANS(M983))*O976))*PI()/MEDIAN(U976:V980,P976:Q980)</f>
        <v>-4.7123889803846897</v>
      </c>
      <c r="E1013" s="319" t="e">
        <f>(C1013*PI()-N1013*(G1013+C979))/PI()</f>
        <v>#N/A</v>
      </c>
      <c r="F1013" s="319" t="e">
        <f>E1013-2*O976*COS(RADIANS(M983))</f>
        <v>#N/A</v>
      </c>
      <c r="G1013" s="321" t="e">
        <f>ROUND(VLOOKUP(M1013,R976:V980,4,FALSE),)</f>
        <v>#N/A</v>
      </c>
      <c r="H1013" s="321" t="e">
        <f>ROUND(VLOOKUP(O1013,M976:Q980,4,FALSE),)</f>
        <v>#N/A</v>
      </c>
      <c r="I1013" s="321" t="e">
        <f>ROUND(VLOOKUP(O1013,M976:Q980,5,FALSE),)</f>
        <v>#N/A</v>
      </c>
      <c r="J1013" s="321" t="e">
        <f>ROUND(VLOOKUP(Q1013,M976:Q980,4,FALSE),)</f>
        <v>#N/A</v>
      </c>
      <c r="K1013" s="321" t="e">
        <f>ROUND(VLOOKUP(Q1013,M976:Q980,5,FALSE),)</f>
        <v>#N/A</v>
      </c>
      <c r="L1013" s="614">
        <f t="shared" si="142"/>
        <v>-1.5707963267948966</v>
      </c>
      <c r="M1013" s="617">
        <f t="shared" si="146"/>
        <v>0</v>
      </c>
      <c r="N1013" s="615" t="e">
        <f>ROUND(HLOOKUP(M1013,N982:R983,2,FALSE),)</f>
        <v>#N/A</v>
      </c>
      <c r="O1013" s="617">
        <f t="shared" si="147"/>
        <v>0</v>
      </c>
      <c r="P1013" s="616" t="e">
        <f t="shared" ref="P1013" si="150">PI()*(F1013*(J1013+$C$343)-E1013*(K1013+$C$343))/(((J1013+$C$343)*(I1013+$C$343))-((H1013+$C$343)*(K1013+$C$343)))</f>
        <v>#N/A</v>
      </c>
      <c r="Q1013" s="617">
        <f t="shared" si="148"/>
        <v>0</v>
      </c>
      <c r="R1013" s="616" t="e">
        <f>(E1013*PI()-P1013*(H1013+C979))/(J1013+C979)</f>
        <v>#N/A</v>
      </c>
      <c r="S1013" s="619">
        <f t="shared" si="149"/>
        <v>360</v>
      </c>
      <c r="T1013" s="232" t="e">
        <f t="shared" si="143"/>
        <v>#N/A</v>
      </c>
      <c r="U1013" s="191" t="e">
        <f t="shared" si="144"/>
        <v>#N/A</v>
      </c>
      <c r="V1013" s="191" t="e">
        <f t="shared" si="145"/>
        <v>#N/A</v>
      </c>
      <c r="W1013" s="181"/>
      <c r="X1013" s="137"/>
      <c r="Z1013" s="183"/>
      <c r="AA1013" s="183"/>
    </row>
    <row r="1014" spans="1:27" s="182" customFormat="1" ht="15" customHeight="1">
      <c r="A1014" s="211"/>
      <c r="B1014" s="164" t="s">
        <v>1046</v>
      </c>
      <c r="C1014" s="294">
        <f>C1013+2*SIN(RADIANS(M983))*(N976+C979)</f>
        <v>0</v>
      </c>
      <c r="D1014" s="319">
        <f>(C1014-(SIN(RADIANS(M983))*N976)-(COS(RADIANS(M983))*O976))*PI()/MEDIAN(U976:V980,P976:Q980)</f>
        <v>-4.7123889803846897</v>
      </c>
      <c r="E1014" s="319" t="e">
        <f>(C1014*PI()-N1014*(G1014+C979))/PI()</f>
        <v>#N/A</v>
      </c>
      <c r="F1014" s="319" t="e">
        <f>E1014-2*O976*COS(RADIANS(M983))</f>
        <v>#N/A</v>
      </c>
      <c r="G1014" s="321" t="e">
        <f>ROUND(VLOOKUP(M1014,R976:V980,4,FALSE),)</f>
        <v>#N/A</v>
      </c>
      <c r="H1014" s="321" t="e">
        <f>ROUND(VLOOKUP(O1014,M976:Q980,4,FALSE),)</f>
        <v>#N/A</v>
      </c>
      <c r="I1014" s="321" t="e">
        <f>ROUND(VLOOKUP(O1014,M976:Q980,5,FALSE),)</f>
        <v>#N/A</v>
      </c>
      <c r="J1014" s="321" t="e">
        <f>ROUND(VLOOKUP(Q1014,M976:Q980,4,FALSE),)</f>
        <v>#N/A</v>
      </c>
      <c r="K1014" s="321" t="e">
        <f>ROUND(VLOOKUP(Q1014,M976:Q980,5,FALSE),)</f>
        <v>#N/A</v>
      </c>
      <c r="L1014" s="614">
        <f t="shared" si="142"/>
        <v>-1.5707963267948966</v>
      </c>
      <c r="M1014" s="617">
        <f t="shared" si="146"/>
        <v>0</v>
      </c>
      <c r="N1014" s="615" t="e">
        <f>ROUND(HLOOKUP(M1014,N982:R983,2,FALSE),)</f>
        <v>#N/A</v>
      </c>
      <c r="O1014" s="617">
        <f t="shared" si="147"/>
        <v>0</v>
      </c>
      <c r="P1014" s="616" t="e">
        <f>PI()*(F1014*(J1014+C979)-E1014*(K1014+C979))/(((J1014+C979)*(I1014+C979))-((H1014+C979)*(K1014+C979)))</f>
        <v>#N/A</v>
      </c>
      <c r="Q1014" s="617">
        <f t="shared" si="148"/>
        <v>0</v>
      </c>
      <c r="R1014" s="616" t="e">
        <f>(E1014*PI()-P1014*(H1014+C979))/(J1014+C979)</f>
        <v>#N/A</v>
      </c>
      <c r="S1014" s="619">
        <f t="shared" si="149"/>
        <v>360</v>
      </c>
      <c r="T1014" s="232" t="e">
        <f t="shared" si="143"/>
        <v>#N/A</v>
      </c>
      <c r="U1014" s="191" t="e">
        <f t="shared" si="144"/>
        <v>#N/A</v>
      </c>
      <c r="V1014" s="191" t="e">
        <f t="shared" si="145"/>
        <v>#N/A</v>
      </c>
      <c r="W1014" s="181"/>
      <c r="X1014" s="137"/>
      <c r="Z1014" s="183"/>
      <c r="AA1014" s="183"/>
    </row>
    <row r="1015" spans="1:27" s="182" customFormat="1" ht="15" customHeight="1">
      <c r="A1015" s="211"/>
      <c r="B1015" s="164" t="s">
        <v>1047</v>
      </c>
      <c r="C1015" s="294">
        <f>C1014+2*SIN(RADIANS(M983))*(N976+C979)</f>
        <v>0</v>
      </c>
      <c r="D1015" s="319">
        <f>(C1015-(SIN(RADIANS(M983))*N976)-(COS(RADIANS(M983))*O976))*PI()/MEDIAN(U976:V980,P976:Q980)</f>
        <v>-4.7123889803846897</v>
      </c>
      <c r="E1015" s="319" t="e">
        <f>(C1015*PI()-N1015*(G1015+C979))/PI()</f>
        <v>#N/A</v>
      </c>
      <c r="F1015" s="319" t="e">
        <f>E1015-2*O976*COS(RADIANS(M983))</f>
        <v>#N/A</v>
      </c>
      <c r="G1015" s="321" t="e">
        <f>ROUND(VLOOKUP(M1015,R976:V980,4,FALSE),)</f>
        <v>#N/A</v>
      </c>
      <c r="H1015" s="321" t="e">
        <f>ROUND(VLOOKUP(O1015,M976:Q980,4,FALSE),)</f>
        <v>#N/A</v>
      </c>
      <c r="I1015" s="321" t="e">
        <f>ROUND(VLOOKUP(O1015,M976:Q980,5,FALSE),)</f>
        <v>#N/A</v>
      </c>
      <c r="J1015" s="321" t="e">
        <f>ROUND(VLOOKUP(Q1015,M976:Q980,4,FALSE),)</f>
        <v>#N/A</v>
      </c>
      <c r="K1015" s="321" t="e">
        <f>ROUND(VLOOKUP(Q1015,M976:Q980,5,FALSE),)</f>
        <v>#N/A</v>
      </c>
      <c r="L1015" s="614">
        <f t="shared" si="142"/>
        <v>-1.5707963267948966</v>
      </c>
      <c r="M1015" s="617">
        <f t="shared" si="146"/>
        <v>0</v>
      </c>
      <c r="N1015" s="615" t="e">
        <f>ROUND(HLOOKUP(M1015,N982:R983,2,FALSE),)</f>
        <v>#N/A</v>
      </c>
      <c r="O1015" s="617">
        <f t="shared" si="147"/>
        <v>0</v>
      </c>
      <c r="P1015" s="616" t="e">
        <f>PI()*(F1015*(J1015+C979)-E1015*(K1015+C979))/(((J1015+C979)*(I1015+C979))-((H1015+C979)*(K1015+C979)))</f>
        <v>#N/A</v>
      </c>
      <c r="Q1015" s="617">
        <f t="shared" si="148"/>
        <v>0</v>
      </c>
      <c r="R1015" s="616" t="e">
        <f>(E1015*PI()-P1015*(H1015+C979))/(J1015+C979)</f>
        <v>#N/A</v>
      </c>
      <c r="S1015" s="619">
        <f t="shared" si="149"/>
        <v>360</v>
      </c>
      <c r="T1015" s="232" t="e">
        <f t="shared" si="143"/>
        <v>#N/A</v>
      </c>
      <c r="U1015" s="191" t="e">
        <f t="shared" si="144"/>
        <v>#N/A</v>
      </c>
      <c r="V1015" s="191" t="e">
        <f t="shared" si="145"/>
        <v>#N/A</v>
      </c>
      <c r="W1015" s="181"/>
      <c r="X1015" s="137"/>
      <c r="Z1015" s="183"/>
      <c r="AA1015" s="183"/>
    </row>
    <row r="1016" spans="1:27" s="182" customFormat="1" ht="15" customHeight="1">
      <c r="A1016" s="211"/>
      <c r="B1016" s="164" t="s">
        <v>1048</v>
      </c>
      <c r="C1016" s="294">
        <f>C1015+2*SIN(RADIANS(M983))*(N976+C979)</f>
        <v>0</v>
      </c>
      <c r="D1016" s="319">
        <f>(C1016-(SIN(RADIANS(M983))*N976)-(COS(RADIANS(M983))*O976))*PI()/MEDIAN(U976:V980,P976:Q980)</f>
        <v>-4.7123889803846897</v>
      </c>
      <c r="E1016" s="319" t="e">
        <f>(C1016*PI()-N1016*(G1016+C979))/PI()</f>
        <v>#N/A</v>
      </c>
      <c r="F1016" s="319" t="e">
        <f>E1016-2*O976*COS(RADIANS(M983))</f>
        <v>#N/A</v>
      </c>
      <c r="G1016" s="321" t="e">
        <f>ROUND(VLOOKUP(M1016,R976:V980,4,FALSE),)</f>
        <v>#N/A</v>
      </c>
      <c r="H1016" s="321" t="e">
        <f>ROUND(VLOOKUP(O1016,M976:Q980,4,FALSE),)</f>
        <v>#N/A</v>
      </c>
      <c r="I1016" s="321" t="e">
        <f>ROUND(VLOOKUP(O1016,M976:Q980,5,FALSE),)</f>
        <v>#N/A</v>
      </c>
      <c r="J1016" s="321" t="e">
        <f>ROUND(VLOOKUP(Q1016,M976:Q980,4,FALSE),)</f>
        <v>#N/A</v>
      </c>
      <c r="K1016" s="321" t="e">
        <f>ROUND(VLOOKUP(Q1016,M976:Q980,5,FALSE),)</f>
        <v>#N/A</v>
      </c>
      <c r="L1016" s="614">
        <f t="shared" si="142"/>
        <v>-1.5707963267948966</v>
      </c>
      <c r="M1016" s="617">
        <f t="shared" si="146"/>
        <v>0</v>
      </c>
      <c r="N1016" s="615" t="e">
        <f>ROUND(HLOOKUP(M1016,N982:R983,2,FALSE),)</f>
        <v>#N/A</v>
      </c>
      <c r="O1016" s="617">
        <f t="shared" si="147"/>
        <v>0</v>
      </c>
      <c r="P1016" s="616" t="e">
        <f>PI()*(F1016*(J1016+C979)-E1016*(K1016+C979))/(((J1016+C979)*(I1016+C979))-((H1016+C979)*(K1016+C979)))</f>
        <v>#N/A</v>
      </c>
      <c r="Q1016" s="617">
        <f t="shared" si="148"/>
        <v>0</v>
      </c>
      <c r="R1016" s="616" t="e">
        <f>(E1016*PI()-P1016*(H1016+C979))/(J1016+C979)</f>
        <v>#N/A</v>
      </c>
      <c r="S1016" s="619">
        <f t="shared" si="149"/>
        <v>360</v>
      </c>
      <c r="T1016" s="232" t="e">
        <f t="shared" si="143"/>
        <v>#N/A</v>
      </c>
      <c r="U1016" s="191" t="e">
        <f t="shared" si="144"/>
        <v>#N/A</v>
      </c>
      <c r="V1016" s="191" t="e">
        <f t="shared" si="145"/>
        <v>#N/A</v>
      </c>
      <c r="W1016" s="181"/>
      <c r="X1016" s="137"/>
      <c r="Z1016" s="183"/>
      <c r="AA1016" s="183"/>
    </row>
    <row r="1017" spans="1:27" s="182" customFormat="1" ht="15" customHeight="1">
      <c r="A1017" s="211"/>
      <c r="B1017" s="164" t="s">
        <v>1049</v>
      </c>
      <c r="C1017" s="294">
        <f>C1016+2*SIN(RADIANS(M983))*(N976+C979)</f>
        <v>0</v>
      </c>
      <c r="D1017" s="319">
        <f>(C1017-(SIN(RADIANS(M983))*N976)-(COS(RADIANS(M983))*O976))*PI()/MEDIAN(U976:V980,P976:Q980)</f>
        <v>-4.7123889803846897</v>
      </c>
      <c r="E1017" s="319" t="e">
        <f>(C1017*PI()-N1017*(G1017+C979))/PI()</f>
        <v>#N/A</v>
      </c>
      <c r="F1017" s="319" t="e">
        <f>E1017-2*O976*COS(RADIANS(M983))</f>
        <v>#N/A</v>
      </c>
      <c r="G1017" s="321" t="e">
        <f>ROUND(VLOOKUP(M1017,R976:V980,4,FALSE),)</f>
        <v>#N/A</v>
      </c>
      <c r="H1017" s="321" t="e">
        <f>ROUND(VLOOKUP(O1017,M976:Q980,4,FALSE),)</f>
        <v>#N/A</v>
      </c>
      <c r="I1017" s="321" t="e">
        <f>ROUND(VLOOKUP(O1017,M976:Q980,5,FALSE),)</f>
        <v>#N/A</v>
      </c>
      <c r="J1017" s="321" t="e">
        <f>ROUND(VLOOKUP(Q1017,M976:Q980,4,FALSE),)</f>
        <v>#N/A</v>
      </c>
      <c r="K1017" s="321" t="e">
        <f>ROUND(VLOOKUP(Q1017,M976:Q980,5,FALSE),)</f>
        <v>#N/A</v>
      </c>
      <c r="L1017" s="614">
        <f t="shared" si="142"/>
        <v>-1.5707963267948966</v>
      </c>
      <c r="M1017" s="617">
        <f t="shared" si="146"/>
        <v>0</v>
      </c>
      <c r="N1017" s="615" t="e">
        <f>ROUND(HLOOKUP(M1017,N982:R983,2,FALSE),)</f>
        <v>#N/A</v>
      </c>
      <c r="O1017" s="617">
        <f t="shared" si="147"/>
        <v>0</v>
      </c>
      <c r="P1017" s="616" t="e">
        <f>PI()*(F1017*(J1017+C979)-E1017*(K1017+C979))/(((J1017+C979)*(I1017+C979))-((H1017+C979)*(K1017+C979)))</f>
        <v>#N/A</v>
      </c>
      <c r="Q1017" s="617">
        <f t="shared" si="148"/>
        <v>0</v>
      </c>
      <c r="R1017" s="616" t="e">
        <f>(E1017*PI()-P1017*(H1017+C979))/(J1017+C979)</f>
        <v>#N/A</v>
      </c>
      <c r="S1017" s="619">
        <f t="shared" si="149"/>
        <v>360</v>
      </c>
      <c r="T1017" s="232" t="e">
        <f t="shared" si="143"/>
        <v>#N/A</v>
      </c>
      <c r="U1017" s="191" t="e">
        <f t="shared" si="144"/>
        <v>#N/A</v>
      </c>
      <c r="V1017" s="191" t="e">
        <f t="shared" si="145"/>
        <v>#N/A</v>
      </c>
      <c r="W1017" s="181"/>
      <c r="X1017" s="137"/>
      <c r="Z1017" s="183"/>
      <c r="AA1017" s="183"/>
    </row>
    <row r="1018" spans="1:27" s="182" customFormat="1" ht="15" customHeight="1">
      <c r="A1018" s="211"/>
      <c r="B1018" s="164" t="s">
        <v>1050</v>
      </c>
      <c r="C1018" s="294">
        <f>C1017+2*SIN(RADIANS(M983))*(N976+C979)</f>
        <v>0</v>
      </c>
      <c r="D1018" s="319">
        <f>(C1018-(SIN(RADIANS(M983))*N976)-(COS(RADIANS(M983))*O976))*PI()/MEDIAN(U976:V980,P976:Q980)</f>
        <v>-4.7123889803846897</v>
      </c>
      <c r="E1018" s="319" t="e">
        <f>(C1018*PI()-N1018*(G1018+C979))/PI()</f>
        <v>#N/A</v>
      </c>
      <c r="F1018" s="319" t="e">
        <f>E1018-2*O976*COS(RADIANS(M983))</f>
        <v>#N/A</v>
      </c>
      <c r="G1018" s="321" t="e">
        <f>ROUND(VLOOKUP(M1018,R976:V980,4,FALSE),)</f>
        <v>#N/A</v>
      </c>
      <c r="H1018" s="321" t="e">
        <f>ROUND(VLOOKUP(O1018,M976:Q980,4,FALSE),)</f>
        <v>#N/A</v>
      </c>
      <c r="I1018" s="321" t="e">
        <f>ROUND(VLOOKUP(O1018,M976:Q980,5,FALSE),)</f>
        <v>#N/A</v>
      </c>
      <c r="J1018" s="321" t="e">
        <f>ROUND(VLOOKUP(Q1018,M976:Q980,4,FALSE),)</f>
        <v>#N/A</v>
      </c>
      <c r="K1018" s="321" t="e">
        <f>ROUND(VLOOKUP(Q1018,M976:Q980,5,FALSE),)</f>
        <v>#N/A</v>
      </c>
      <c r="L1018" s="614">
        <f t="shared" si="142"/>
        <v>-1.5707963267948966</v>
      </c>
      <c r="M1018" s="617">
        <f t="shared" si="146"/>
        <v>0</v>
      </c>
      <c r="N1018" s="615" t="e">
        <f>ROUND(HLOOKUP(M1018,N982:R983,2,FALSE),)</f>
        <v>#N/A</v>
      </c>
      <c r="O1018" s="617">
        <f t="shared" si="147"/>
        <v>0</v>
      </c>
      <c r="P1018" s="616" t="e">
        <f>PI()*(F1018*(J1018+C979)-E1018*(K1018+C979))/(((J1018+C979)*(I1018+C979))-((H1018+C979)*(K1018+C979)))</f>
        <v>#N/A</v>
      </c>
      <c r="Q1018" s="617">
        <f t="shared" si="148"/>
        <v>0</v>
      </c>
      <c r="R1018" s="616" t="e">
        <f>(E1018*PI()-P1018*(H1018+C979))/(J1018+C979)</f>
        <v>#N/A</v>
      </c>
      <c r="S1018" s="619">
        <f t="shared" si="149"/>
        <v>360</v>
      </c>
      <c r="T1018" s="232" t="e">
        <f t="shared" si="143"/>
        <v>#N/A</v>
      </c>
      <c r="U1018" s="191" t="e">
        <f t="shared" si="144"/>
        <v>#N/A</v>
      </c>
      <c r="V1018" s="191" t="e">
        <f t="shared" si="145"/>
        <v>#N/A</v>
      </c>
      <c r="W1018" s="181"/>
      <c r="X1018" s="137"/>
      <c r="Z1018" s="183"/>
      <c r="AA1018" s="183"/>
    </row>
    <row r="1019" spans="1:27" s="182" customFormat="1" ht="15" customHeight="1">
      <c r="A1019" s="211"/>
      <c r="B1019" s="164" t="s">
        <v>1051</v>
      </c>
      <c r="C1019" s="294">
        <f>C1018+2*SIN(RADIANS(M983))*(N976+C979)</f>
        <v>0</v>
      </c>
      <c r="D1019" s="319">
        <f>(C1019-(SIN(RADIANS(M983))*N976)-(COS(RADIANS(M983))*O976))*PI()/MEDIAN(U976:V980,P976:Q980)</f>
        <v>-4.7123889803846897</v>
      </c>
      <c r="E1019" s="319" t="e">
        <f>(C1019*PI()-N1019*(G1019+C979))/PI()</f>
        <v>#N/A</v>
      </c>
      <c r="F1019" s="319" t="e">
        <f>E1019-2*O976*COS(RADIANS(M983))</f>
        <v>#N/A</v>
      </c>
      <c r="G1019" s="321" t="e">
        <f>ROUND(VLOOKUP(M1019,R976:V980,4,FALSE),)</f>
        <v>#N/A</v>
      </c>
      <c r="H1019" s="321" t="e">
        <f>ROUND(VLOOKUP(O1019,M976:Q980,4,FALSE),)</f>
        <v>#N/A</v>
      </c>
      <c r="I1019" s="321" t="e">
        <f>ROUND(VLOOKUP(O1019,M976:Q980,5,FALSE),)</f>
        <v>#N/A</v>
      </c>
      <c r="J1019" s="321" t="e">
        <f>ROUND(VLOOKUP(Q1019,M976:Q980,4,FALSE),)</f>
        <v>#N/A</v>
      </c>
      <c r="K1019" s="321" t="e">
        <f>ROUND(VLOOKUP(Q1019,M976:Q980,5,FALSE),)</f>
        <v>#N/A</v>
      </c>
      <c r="L1019" s="614">
        <f t="shared" si="142"/>
        <v>-1.5707963267948966</v>
      </c>
      <c r="M1019" s="617">
        <f t="shared" si="146"/>
        <v>0</v>
      </c>
      <c r="N1019" s="615" t="e">
        <f>ROUND(HLOOKUP(M1019,N982:R983,2,FALSE),)</f>
        <v>#N/A</v>
      </c>
      <c r="O1019" s="617">
        <f t="shared" si="147"/>
        <v>0</v>
      </c>
      <c r="P1019" s="616" t="e">
        <f>PI()*(F1019*(J1019+C979)-E1019*(K1019+C979))/(((J1019+C979)*(I1019+C979))-((H1019+C979)*(K1019+C979)))</f>
        <v>#N/A</v>
      </c>
      <c r="Q1019" s="617">
        <f t="shared" si="148"/>
        <v>0</v>
      </c>
      <c r="R1019" s="616" t="e">
        <f>(E1019*PI()-P1019*(H1019+C979))/(J1019+C979)</f>
        <v>#N/A</v>
      </c>
      <c r="S1019" s="619">
        <f t="shared" si="149"/>
        <v>360</v>
      </c>
      <c r="T1019" s="232" t="e">
        <f t="shared" si="143"/>
        <v>#N/A</v>
      </c>
      <c r="U1019" s="191" t="e">
        <f t="shared" si="144"/>
        <v>#N/A</v>
      </c>
      <c r="V1019" s="191" t="e">
        <f t="shared" si="145"/>
        <v>#N/A</v>
      </c>
      <c r="W1019" s="181"/>
      <c r="X1019" s="137"/>
      <c r="Z1019" s="183"/>
      <c r="AA1019" s="183"/>
    </row>
    <row r="1020" spans="1:27" s="182" customFormat="1" ht="15" customHeight="1">
      <c r="A1020" s="211"/>
      <c r="B1020" s="164" t="s">
        <v>1052</v>
      </c>
      <c r="C1020" s="294">
        <f>C1019+2*SIN(RADIANS(M983))*(N976+C979)</f>
        <v>0</v>
      </c>
      <c r="D1020" s="319">
        <f>(C1020-(SIN(RADIANS(M983))*N976)-(COS(RADIANS(M983))*O976))*PI()/MEDIAN(U976:V980,P976:Q980)</f>
        <v>-4.7123889803846897</v>
      </c>
      <c r="E1020" s="319" t="e">
        <f>(C1020*PI()-N1020*(G1020+C979))/PI()</f>
        <v>#N/A</v>
      </c>
      <c r="F1020" s="319" t="e">
        <f>E1020-2*O976*COS(RADIANS(M983))</f>
        <v>#N/A</v>
      </c>
      <c r="G1020" s="321" t="e">
        <f>ROUND(VLOOKUP(M1020,R976:V980,4,FALSE),)</f>
        <v>#N/A</v>
      </c>
      <c r="H1020" s="321" t="e">
        <f>ROUND(VLOOKUP(O1020,M976:Q980,4,FALSE),)</f>
        <v>#N/A</v>
      </c>
      <c r="I1020" s="321" t="e">
        <f>ROUND(VLOOKUP(O1020,M976:Q980,5,FALSE),)</f>
        <v>#N/A</v>
      </c>
      <c r="J1020" s="321" t="e">
        <f>ROUND(VLOOKUP(Q1020,M976:Q980,4,FALSE),)</f>
        <v>#N/A</v>
      </c>
      <c r="K1020" s="321" t="e">
        <f>ROUND(VLOOKUP(Q1020,M976:Q980,5,FALSE),)</f>
        <v>#N/A</v>
      </c>
      <c r="L1020" s="614">
        <f t="shared" si="142"/>
        <v>-1.5707963267948966</v>
      </c>
      <c r="M1020" s="617">
        <f t="shared" si="146"/>
        <v>0</v>
      </c>
      <c r="N1020" s="615" t="e">
        <f>ROUND(HLOOKUP(M1020,N982:R983,2,FALSE),)</f>
        <v>#N/A</v>
      </c>
      <c r="O1020" s="617">
        <f t="shared" si="147"/>
        <v>0</v>
      </c>
      <c r="P1020" s="616" t="e">
        <f>PI()*(F1020*(J1020+C979)-E1020*(K1020+C979))/(((J1020+C979)*(I1020+C979))-((H1020+C979)*(K1020+C979)))</f>
        <v>#N/A</v>
      </c>
      <c r="Q1020" s="617">
        <f t="shared" si="148"/>
        <v>0</v>
      </c>
      <c r="R1020" s="616" t="e">
        <f>(E1020*PI()-P1020*(H1020+C979))/(J1020+C979)</f>
        <v>#N/A</v>
      </c>
      <c r="S1020" s="619">
        <f t="shared" si="149"/>
        <v>360</v>
      </c>
      <c r="T1020" s="232" t="e">
        <f t="shared" si="143"/>
        <v>#N/A</v>
      </c>
      <c r="U1020" s="191" t="e">
        <f t="shared" si="144"/>
        <v>#N/A</v>
      </c>
      <c r="V1020" s="191" t="e">
        <f t="shared" si="145"/>
        <v>#N/A</v>
      </c>
      <c r="W1020" s="181"/>
      <c r="X1020" s="137"/>
      <c r="Z1020" s="183"/>
      <c r="AA1020" s="183"/>
    </row>
    <row r="1021" spans="1:27" s="182" customFormat="1" ht="15" customHeight="1">
      <c r="A1021" s="211"/>
      <c r="B1021" s="164" t="s">
        <v>1053</v>
      </c>
      <c r="C1021" s="294">
        <f>C1020+2*SIN(RADIANS(M983))*(N976+C979)</f>
        <v>0</v>
      </c>
      <c r="D1021" s="319">
        <f>(C1021-(SIN(RADIANS(M983))*N976)-(COS(RADIANS(M983))*O976))*PI()/MEDIAN(U976:V980,P976:Q980)</f>
        <v>-4.7123889803846897</v>
      </c>
      <c r="E1021" s="319" t="e">
        <f>(C1021*PI()-N1021*(G1021+C979))/PI()</f>
        <v>#N/A</v>
      </c>
      <c r="F1021" s="319" t="e">
        <f>E1021-2*O976*COS(RADIANS(M983))</f>
        <v>#N/A</v>
      </c>
      <c r="G1021" s="321" t="e">
        <f>ROUND(VLOOKUP(M1021,R976:V980,4,FALSE),)</f>
        <v>#N/A</v>
      </c>
      <c r="H1021" s="321" t="e">
        <f>ROUND(VLOOKUP(O1021,M976:Q980,4,FALSE),)</f>
        <v>#N/A</v>
      </c>
      <c r="I1021" s="321" t="e">
        <f>ROUND(VLOOKUP(O1021,M976:Q980,5,FALSE),)</f>
        <v>#N/A</v>
      </c>
      <c r="J1021" s="321" t="e">
        <f>ROUND(VLOOKUP(Q1021,M976:Q980,4,FALSE),)</f>
        <v>#N/A</v>
      </c>
      <c r="K1021" s="321" t="e">
        <f>ROUND(VLOOKUP(Q1021,M976:Q980,5,FALSE),)</f>
        <v>#N/A</v>
      </c>
      <c r="L1021" s="614">
        <f t="shared" si="142"/>
        <v>-1.5707963267948966</v>
      </c>
      <c r="M1021" s="617">
        <f t="shared" si="146"/>
        <v>0</v>
      </c>
      <c r="N1021" s="615" t="e">
        <f>ROUND(HLOOKUP(M1021,N982:R983,2,FALSE),)</f>
        <v>#N/A</v>
      </c>
      <c r="O1021" s="617">
        <f t="shared" si="147"/>
        <v>0</v>
      </c>
      <c r="P1021" s="616" t="e">
        <f>PI()*(F1021*(J1021+C979)-E1021*(K1021+C979))/(((J1021+C979)*(I1021+C979))-((H1021+C979)*(K1021+C979)))</f>
        <v>#N/A</v>
      </c>
      <c r="Q1021" s="617">
        <f t="shared" si="148"/>
        <v>0</v>
      </c>
      <c r="R1021" s="616" t="e">
        <f>(E1021*PI()-P1021*(H1021+C979))/(J1021+C979)</f>
        <v>#N/A</v>
      </c>
      <c r="S1021" s="619">
        <f t="shared" si="149"/>
        <v>360</v>
      </c>
      <c r="T1021" s="232" t="e">
        <f t="shared" si="143"/>
        <v>#N/A</v>
      </c>
      <c r="U1021" s="191" t="e">
        <f t="shared" si="144"/>
        <v>#N/A</v>
      </c>
      <c r="V1021" s="191" t="e">
        <f t="shared" si="145"/>
        <v>#N/A</v>
      </c>
      <c r="W1021" s="181"/>
      <c r="X1021" s="137"/>
      <c r="Z1021" s="183"/>
      <c r="AA1021" s="183"/>
    </row>
    <row r="1022" spans="1:27" s="182" customFormat="1" ht="15" customHeight="1">
      <c r="A1022" s="211"/>
      <c r="B1022" s="164" t="s">
        <v>1054</v>
      </c>
      <c r="C1022" s="294">
        <f>C1021+2*SIN(RADIANS(M983))*(N976+C979)</f>
        <v>0</v>
      </c>
      <c r="D1022" s="319">
        <f>(C1022-(SIN(RADIANS(M983))*N976)-(COS(RADIANS(M983))*O976))*PI()/MEDIAN(U976:V980,P976:Q980)</f>
        <v>-4.7123889803846897</v>
      </c>
      <c r="E1022" s="319" t="e">
        <f>(C1022*PI()-N1022*(G1022+C979))/PI()</f>
        <v>#N/A</v>
      </c>
      <c r="F1022" s="319" t="e">
        <f>E1022-2*O976*COS(RADIANS(M983))</f>
        <v>#N/A</v>
      </c>
      <c r="G1022" s="321" t="e">
        <f>ROUND(VLOOKUP(M1022,R976:V980,4,FALSE),)</f>
        <v>#N/A</v>
      </c>
      <c r="H1022" s="321" t="e">
        <f>ROUND(VLOOKUP(O1022,M976:Q980,4,FALSE),)</f>
        <v>#N/A</v>
      </c>
      <c r="I1022" s="321" t="e">
        <f>ROUND(VLOOKUP(O1022,M976:Q980,5,FALSE),)</f>
        <v>#N/A</v>
      </c>
      <c r="J1022" s="321" t="e">
        <f>ROUND(VLOOKUP(Q1022,M976:Q980,4,FALSE),)</f>
        <v>#N/A</v>
      </c>
      <c r="K1022" s="321" t="e">
        <f>ROUND(VLOOKUP(Q1022,M976:Q980,5,FALSE),)</f>
        <v>#N/A</v>
      </c>
      <c r="L1022" s="614">
        <f t="shared" si="142"/>
        <v>-1.5707963267948966</v>
      </c>
      <c r="M1022" s="617">
        <f t="shared" si="146"/>
        <v>0</v>
      </c>
      <c r="N1022" s="615" t="e">
        <f>ROUND(HLOOKUP(M1022,N982:R983,2,FALSE),)</f>
        <v>#N/A</v>
      </c>
      <c r="O1022" s="617">
        <f t="shared" si="147"/>
        <v>0</v>
      </c>
      <c r="P1022" s="616" t="e">
        <f>PI()*(F1022*(J1022+C979)-E1022*(K1022+C979))/(((J1022+C979)*(I1022+C979))-((H1022+C979)*(K1022+C979)))</f>
        <v>#N/A</v>
      </c>
      <c r="Q1022" s="617">
        <f t="shared" si="148"/>
        <v>0</v>
      </c>
      <c r="R1022" s="616" t="e">
        <f>(E1022*PI()-P1022*(H1022+C979))/(J1022+C979)</f>
        <v>#N/A</v>
      </c>
      <c r="S1022" s="619">
        <f t="shared" si="149"/>
        <v>360</v>
      </c>
      <c r="T1022" s="232" t="e">
        <f t="shared" si="143"/>
        <v>#N/A</v>
      </c>
      <c r="U1022" s="191" t="e">
        <f t="shared" si="144"/>
        <v>#N/A</v>
      </c>
      <c r="V1022" s="191" t="e">
        <f t="shared" si="145"/>
        <v>#N/A</v>
      </c>
      <c r="W1022" s="181"/>
      <c r="X1022" s="137"/>
      <c r="Z1022" s="183"/>
      <c r="AA1022" s="183"/>
    </row>
    <row r="1023" spans="1:27" s="182" customFormat="1" ht="15" customHeight="1">
      <c r="A1023" s="211"/>
      <c r="B1023" s="164" t="s">
        <v>1055</v>
      </c>
      <c r="C1023" s="294">
        <f>C1022+2*SIN(RADIANS(M983))*(N976+C979)</f>
        <v>0</v>
      </c>
      <c r="D1023" s="319">
        <f>(C1023-(SIN(RADIANS(M983))*N976)-(COS(RADIANS(M983))*O976))*PI()/MEDIAN(U976:V980,P976:Q980)</f>
        <v>-4.7123889803846897</v>
      </c>
      <c r="E1023" s="319" t="e">
        <f>(C1023*PI()-N1023*(G1023+C979))/PI()</f>
        <v>#N/A</v>
      </c>
      <c r="F1023" s="319" t="e">
        <f>E1023-2*O976*COS(RADIANS(M983))</f>
        <v>#N/A</v>
      </c>
      <c r="G1023" s="321" t="e">
        <f>ROUND(VLOOKUP(M1023,R976:V980,4,FALSE),)</f>
        <v>#N/A</v>
      </c>
      <c r="H1023" s="321" t="e">
        <f>ROUND(VLOOKUP(O1023,M976:Q980,4,FALSE),)</f>
        <v>#N/A</v>
      </c>
      <c r="I1023" s="321" t="e">
        <f>ROUND(VLOOKUP(O1023,M976:Q980,5,FALSE),)</f>
        <v>#N/A</v>
      </c>
      <c r="J1023" s="321" t="e">
        <f>ROUND(VLOOKUP(Q1023,M976:Q980,4,FALSE),)</f>
        <v>#N/A</v>
      </c>
      <c r="K1023" s="321" t="e">
        <f>ROUND(VLOOKUP(Q1023,M976:Q980,5,FALSE),)</f>
        <v>#N/A</v>
      </c>
      <c r="L1023" s="614">
        <f t="shared" si="142"/>
        <v>-1.5707963267948966</v>
      </c>
      <c r="M1023" s="617">
        <f t="shared" si="146"/>
        <v>0</v>
      </c>
      <c r="N1023" s="615" t="e">
        <f>ROUND(HLOOKUP(M1023,N982:R983,2,FALSE),)</f>
        <v>#N/A</v>
      </c>
      <c r="O1023" s="617">
        <f t="shared" si="147"/>
        <v>0</v>
      </c>
      <c r="P1023" s="616" t="e">
        <f>PI()*(F1023*(J1023+C979)-E1023*(K1023+C979))/(((J1023+C979)*(I1023+C979))-((H1023+C979)*(K1023+C979)))</f>
        <v>#N/A</v>
      </c>
      <c r="Q1023" s="617">
        <f t="shared" si="148"/>
        <v>0</v>
      </c>
      <c r="R1023" s="616" t="e">
        <f>(E1023*PI()-P1023*(H1023+C979))/(J1023+C979)</f>
        <v>#N/A</v>
      </c>
      <c r="S1023" s="619">
        <f t="shared" si="149"/>
        <v>360</v>
      </c>
      <c r="T1023" s="232" t="e">
        <f t="shared" si="143"/>
        <v>#N/A</v>
      </c>
      <c r="U1023" s="191" t="e">
        <f t="shared" si="144"/>
        <v>#N/A</v>
      </c>
      <c r="V1023" s="191" t="e">
        <f t="shared" si="145"/>
        <v>#N/A</v>
      </c>
      <c r="W1023" s="181"/>
      <c r="X1023" s="137"/>
      <c r="Z1023" s="183"/>
      <c r="AA1023" s="183"/>
    </row>
    <row r="1024" spans="1:27" s="182" customFormat="1" ht="15" customHeight="1">
      <c r="A1024" s="211"/>
      <c r="B1024" s="164" t="s">
        <v>1056</v>
      </c>
      <c r="C1024" s="294">
        <f>C1023+2*SIN(RADIANS(M983))*(N976+C979)</f>
        <v>0</v>
      </c>
      <c r="D1024" s="319">
        <f>(C1024-(SIN(RADIANS(M983))*N976)-(COS(RADIANS(M983))*O976))*PI()/MEDIAN(U976:V980,P976:Q980)</f>
        <v>-4.7123889803846897</v>
      </c>
      <c r="E1024" s="319" t="e">
        <f>(C1024*PI()-N1024*(G1024+C979))/PI()</f>
        <v>#N/A</v>
      </c>
      <c r="F1024" s="319" t="e">
        <f>E1024-2*O976*COS(RADIANS(M983))</f>
        <v>#N/A</v>
      </c>
      <c r="G1024" s="321" t="e">
        <f>ROUND(VLOOKUP(M1024,R976:V980,4,FALSE),)</f>
        <v>#N/A</v>
      </c>
      <c r="H1024" s="321" t="e">
        <f>ROUND(VLOOKUP(O1024,M976:Q980,4,FALSE),)</f>
        <v>#N/A</v>
      </c>
      <c r="I1024" s="321" t="e">
        <f>ROUND(VLOOKUP(O1024,M976:Q980,5,FALSE),)</f>
        <v>#N/A</v>
      </c>
      <c r="J1024" s="321" t="e">
        <f>ROUND(VLOOKUP(Q1024,M976:Q980,4,FALSE),)</f>
        <v>#N/A</v>
      </c>
      <c r="K1024" s="321" t="e">
        <f>ROUND(VLOOKUP(Q1024,M976:Q980,5,FALSE),)</f>
        <v>#N/A</v>
      </c>
      <c r="L1024" s="614">
        <f t="shared" si="142"/>
        <v>-1.5707963267948966</v>
      </c>
      <c r="M1024" s="617">
        <f t="shared" si="146"/>
        <v>0</v>
      </c>
      <c r="N1024" s="615" t="e">
        <f>ROUND(HLOOKUP(M1024,N982:R983,2,FALSE),)</f>
        <v>#N/A</v>
      </c>
      <c r="O1024" s="617">
        <f t="shared" si="147"/>
        <v>0</v>
      </c>
      <c r="P1024" s="616" t="e">
        <f>PI()*(F1024*(J1024+C979)-E1024*(K1024+C979))/(((J1024+C979)*(I1024+C979))-((H1024+C979)*(K1024+C979)))</f>
        <v>#N/A</v>
      </c>
      <c r="Q1024" s="617">
        <f t="shared" si="148"/>
        <v>0</v>
      </c>
      <c r="R1024" s="616" t="e">
        <f>(E1024*PI()-P1024*(H1024+C979))/(J1024+C979)</f>
        <v>#N/A</v>
      </c>
      <c r="S1024" s="619">
        <f t="shared" si="149"/>
        <v>360</v>
      </c>
      <c r="T1024" s="232" t="e">
        <f t="shared" si="143"/>
        <v>#N/A</v>
      </c>
      <c r="U1024" s="191" t="e">
        <f t="shared" si="144"/>
        <v>#N/A</v>
      </c>
      <c r="V1024" s="191" t="e">
        <f t="shared" si="145"/>
        <v>#N/A</v>
      </c>
      <c r="W1024" s="181"/>
      <c r="X1024" s="137"/>
      <c r="Z1024" s="183"/>
      <c r="AA1024" s="183"/>
    </row>
    <row r="1025" spans="1:27" s="182" customFormat="1" ht="15" customHeight="1">
      <c r="A1025" s="211"/>
      <c r="B1025" s="164" t="s">
        <v>1057</v>
      </c>
      <c r="C1025" s="294">
        <f>C1024+2*SIN(RADIANS(M983))*(N976+C979)</f>
        <v>0</v>
      </c>
      <c r="D1025" s="319">
        <f>(C1025-(SIN(RADIANS(M983))*N976)-(COS(RADIANS(M983))*O976))*PI()/MEDIAN(U976:V980,P976:Q980)</f>
        <v>-4.7123889803846897</v>
      </c>
      <c r="E1025" s="319" t="e">
        <f>(C1025*PI()-N1025*(G1025+C979))/PI()</f>
        <v>#N/A</v>
      </c>
      <c r="F1025" s="319" t="e">
        <f>E1025-2*O976*COS(RADIANS(M983))</f>
        <v>#N/A</v>
      </c>
      <c r="G1025" s="321" t="e">
        <f>ROUND(VLOOKUP(M1025,R976:V980,4,FALSE),)</f>
        <v>#N/A</v>
      </c>
      <c r="H1025" s="321" t="e">
        <f>ROUND(VLOOKUP(O1025,M976:Q980,4,FALSE),)</f>
        <v>#N/A</v>
      </c>
      <c r="I1025" s="321" t="e">
        <f>ROUND(VLOOKUP(O1025,M976:Q980,5,FALSE),)</f>
        <v>#N/A</v>
      </c>
      <c r="J1025" s="321" t="e">
        <f>ROUND(VLOOKUP(Q1025,M976:Q980,4,FALSE),)</f>
        <v>#N/A</v>
      </c>
      <c r="K1025" s="321" t="e">
        <f>ROUND(VLOOKUP(Q1025,M976:Q980,5,FALSE),)</f>
        <v>#N/A</v>
      </c>
      <c r="L1025" s="614">
        <f t="shared" si="142"/>
        <v>-1.5707963267948966</v>
      </c>
      <c r="M1025" s="617">
        <f t="shared" si="146"/>
        <v>0</v>
      </c>
      <c r="N1025" s="615" t="e">
        <f>ROUND(HLOOKUP(M1025,N982:R983,2,FALSE),)</f>
        <v>#N/A</v>
      </c>
      <c r="O1025" s="617">
        <f t="shared" si="147"/>
        <v>0</v>
      </c>
      <c r="P1025" s="616" t="e">
        <f>PI()*(F1025*(J1025+C979)-E1025*(K1025+C979))/(((J1025+C979)*(I1025+C979))-((H1025+C979)*(K1025+C979)))</f>
        <v>#N/A</v>
      </c>
      <c r="Q1025" s="617">
        <f t="shared" si="148"/>
        <v>0</v>
      </c>
      <c r="R1025" s="616" t="e">
        <f>(E1025*PI()-P1025*(H1025+C979))/(J1025+C979)</f>
        <v>#N/A</v>
      </c>
      <c r="S1025" s="619">
        <f t="shared" si="149"/>
        <v>360</v>
      </c>
      <c r="T1025" s="232" t="e">
        <f t="shared" si="143"/>
        <v>#N/A</v>
      </c>
      <c r="U1025" s="191" t="e">
        <f t="shared" si="144"/>
        <v>#N/A</v>
      </c>
      <c r="V1025" s="191" t="e">
        <f t="shared" si="145"/>
        <v>#N/A</v>
      </c>
      <c r="W1025" s="181"/>
      <c r="X1025" s="137"/>
      <c r="Z1025" s="183"/>
      <c r="AA1025" s="183"/>
    </row>
    <row r="1026" spans="1:27" s="182" customFormat="1" ht="15" customHeight="1">
      <c r="A1026" s="211"/>
      <c r="B1026" s="164" t="s">
        <v>1058</v>
      </c>
      <c r="C1026" s="294">
        <f>C1025+2*SIN(RADIANS(M983))*(N976+C979)</f>
        <v>0</v>
      </c>
      <c r="D1026" s="319">
        <f>(C1026-(SIN(RADIANS(M983))*N976)-(COS(RADIANS(M983))*O976))*PI()/MEDIAN(U976:V980,P976:Q980)</f>
        <v>-4.7123889803846897</v>
      </c>
      <c r="E1026" s="319" t="e">
        <f>(C1026*PI()-N1026*(G1026+C979))/PI()</f>
        <v>#N/A</v>
      </c>
      <c r="F1026" s="319" t="e">
        <f>E1026-2*O976*COS(RADIANS(M983))</f>
        <v>#N/A</v>
      </c>
      <c r="G1026" s="321" t="e">
        <f>ROUND(VLOOKUP(M1026,R976:V980,4,FALSE),)</f>
        <v>#N/A</v>
      </c>
      <c r="H1026" s="321" t="e">
        <f>ROUND(VLOOKUP(O1026,M976:Q980,4,FALSE),)</f>
        <v>#N/A</v>
      </c>
      <c r="I1026" s="321" t="e">
        <f>ROUND(VLOOKUP(O1026,M976:Q980,5,FALSE),)</f>
        <v>#N/A</v>
      </c>
      <c r="J1026" s="321" t="e">
        <f>ROUND(VLOOKUP(Q1026,M976:Q980,4,FALSE),)</f>
        <v>#N/A</v>
      </c>
      <c r="K1026" s="321" t="e">
        <f>ROUND(VLOOKUP(Q1026,M976:Q980,5,FALSE),)</f>
        <v>#N/A</v>
      </c>
      <c r="L1026" s="614">
        <f t="shared" si="142"/>
        <v>-1.5707963267948966</v>
      </c>
      <c r="M1026" s="617">
        <f t="shared" si="146"/>
        <v>0</v>
      </c>
      <c r="N1026" s="615" t="e">
        <f>ROUND(HLOOKUP(M1026,N982:R983,2,FALSE),)</f>
        <v>#N/A</v>
      </c>
      <c r="O1026" s="617">
        <f t="shared" si="147"/>
        <v>0</v>
      </c>
      <c r="P1026" s="616" t="e">
        <f>PI()*(F1026*(J1026+C979)-E1026*(K1026+C979))/(((J1026+C979)*(I1026+C979))-((H1026+C979)*(K1026+C979)))</f>
        <v>#N/A</v>
      </c>
      <c r="Q1026" s="617">
        <f t="shared" si="148"/>
        <v>0</v>
      </c>
      <c r="R1026" s="616" t="e">
        <f>(E1026*PI()-P1026*(H1026+C979))/(J1026+C979)</f>
        <v>#N/A</v>
      </c>
      <c r="S1026" s="619">
        <f t="shared" si="149"/>
        <v>360</v>
      </c>
      <c r="T1026" s="232" t="e">
        <f t="shared" si="143"/>
        <v>#N/A</v>
      </c>
      <c r="U1026" s="191" t="e">
        <f t="shared" si="144"/>
        <v>#N/A</v>
      </c>
      <c r="V1026" s="191" t="e">
        <f t="shared" si="145"/>
        <v>#N/A</v>
      </c>
      <c r="W1026" s="181"/>
      <c r="X1026" s="137"/>
      <c r="Z1026" s="183"/>
      <c r="AA1026" s="183"/>
    </row>
    <row r="1027" spans="1:27" s="182" customFormat="1" ht="15" customHeight="1">
      <c r="A1027" s="211"/>
      <c r="B1027" s="164" t="s">
        <v>1059</v>
      </c>
      <c r="C1027" s="294">
        <f>C1026+2*SIN(RADIANS(M983))*(N976+C979)</f>
        <v>0</v>
      </c>
      <c r="D1027" s="319">
        <f>(C1027-(SIN(RADIANS(M983))*N976)-(COS(RADIANS(M983))*O976))*PI()/MEDIAN(U976:V980,P976:Q980)</f>
        <v>-4.7123889803846897</v>
      </c>
      <c r="E1027" s="319" t="e">
        <f>(C1027*PI()-N1027*(G1027+C979))/PI()</f>
        <v>#N/A</v>
      </c>
      <c r="F1027" s="319" t="e">
        <f>E1027-2*O976*COS(RADIANS(M983))</f>
        <v>#N/A</v>
      </c>
      <c r="G1027" s="321" t="e">
        <f>ROUND(VLOOKUP(M1027,R976:V980,4,FALSE),)</f>
        <v>#N/A</v>
      </c>
      <c r="H1027" s="321" t="e">
        <f>ROUND(VLOOKUP(O1027,M976:Q980,4,FALSE),)</f>
        <v>#N/A</v>
      </c>
      <c r="I1027" s="321" t="e">
        <f>ROUND(VLOOKUP(O1027,M976:Q980,5,FALSE),)</f>
        <v>#N/A</v>
      </c>
      <c r="J1027" s="321" t="e">
        <f>ROUND(VLOOKUP(Q1027,M976:Q980,4,FALSE),)</f>
        <v>#N/A</v>
      </c>
      <c r="K1027" s="321" t="e">
        <f>ROUND(VLOOKUP(Q1027,M976:Q980,5,FALSE),)</f>
        <v>#N/A</v>
      </c>
      <c r="L1027" s="614">
        <f t="shared" si="142"/>
        <v>-1.5707963267948966</v>
      </c>
      <c r="M1027" s="617">
        <f t="shared" si="146"/>
        <v>0</v>
      </c>
      <c r="N1027" s="615" t="e">
        <f>ROUND(HLOOKUP(M1027,N982:R983,2,FALSE),)</f>
        <v>#N/A</v>
      </c>
      <c r="O1027" s="617">
        <f t="shared" si="147"/>
        <v>0</v>
      </c>
      <c r="P1027" s="616" t="e">
        <f>PI()*(F1027*(J1027+C979)-E1027*(K1027+C979))/(((J1027+C979)*(I1027+C979))-((H1027+C979)*(K1027+C979)))</f>
        <v>#N/A</v>
      </c>
      <c r="Q1027" s="617">
        <f t="shared" si="148"/>
        <v>0</v>
      </c>
      <c r="R1027" s="616" t="e">
        <f>(E1027*PI()-P1027*(H1027+C979))/(J1027+C979)</f>
        <v>#N/A</v>
      </c>
      <c r="S1027" s="619">
        <f t="shared" si="149"/>
        <v>360</v>
      </c>
      <c r="T1027" s="232" t="e">
        <f t="shared" si="143"/>
        <v>#N/A</v>
      </c>
      <c r="U1027" s="191" t="e">
        <f t="shared" si="144"/>
        <v>#N/A</v>
      </c>
      <c r="V1027" s="191" t="e">
        <f t="shared" si="145"/>
        <v>#N/A</v>
      </c>
      <c r="W1027" s="181"/>
      <c r="X1027" s="137"/>
      <c r="Z1027" s="183"/>
      <c r="AA1027" s="183"/>
    </row>
    <row r="1028" spans="1:27" s="182" customFormat="1" ht="15" customHeight="1">
      <c r="A1028" s="211"/>
      <c r="B1028" s="164" t="s">
        <v>1060</v>
      </c>
      <c r="C1028" s="294">
        <f>C1027+2*SIN(RADIANS(M983))*(N976+C979)</f>
        <v>0</v>
      </c>
      <c r="D1028" s="319">
        <f>(C1028-(SIN(RADIANS(M983))*N976)-(COS(RADIANS(M983))*O976))*PI()/MEDIAN(U976:V980,P976:Q980)</f>
        <v>-4.7123889803846897</v>
      </c>
      <c r="E1028" s="319" t="e">
        <f>(C1028*PI()-N1028*(G1028+C979))/PI()</f>
        <v>#N/A</v>
      </c>
      <c r="F1028" s="319" t="e">
        <f>E1028-2*O976*COS(RADIANS(M983))</f>
        <v>#N/A</v>
      </c>
      <c r="G1028" s="321" t="e">
        <f>ROUND(VLOOKUP(M1028,R976:V980,4,FALSE),)</f>
        <v>#N/A</v>
      </c>
      <c r="H1028" s="321" t="e">
        <f>ROUND(VLOOKUP(O1028,M976:Q980,4,FALSE),)</f>
        <v>#N/A</v>
      </c>
      <c r="I1028" s="321" t="e">
        <f>ROUND(VLOOKUP(O1028,M976:Q980,5,FALSE),)</f>
        <v>#N/A</v>
      </c>
      <c r="J1028" s="321" t="e">
        <f>ROUND(VLOOKUP(Q1028,M976:Q980,4,FALSE),)</f>
        <v>#N/A</v>
      </c>
      <c r="K1028" s="321" t="e">
        <f>ROUND(VLOOKUP(Q1028,M976:Q980,5,FALSE),)</f>
        <v>#N/A</v>
      </c>
      <c r="L1028" s="614">
        <f t="shared" si="142"/>
        <v>-1.5707963267948966</v>
      </c>
      <c r="M1028" s="617">
        <f t="shared" si="146"/>
        <v>0</v>
      </c>
      <c r="N1028" s="615" t="e">
        <f>ROUND(HLOOKUP(M1028,N982:R983,2,FALSE),)</f>
        <v>#N/A</v>
      </c>
      <c r="O1028" s="617">
        <f t="shared" si="147"/>
        <v>0</v>
      </c>
      <c r="P1028" s="616" t="e">
        <f>PI()*(F1028*(J1028+C979)-E1028*(K1028+C979))/(((J1028+C979)*(I1028+C979))-((H1028+C979)*(K1028+C979)))</f>
        <v>#N/A</v>
      </c>
      <c r="Q1028" s="617">
        <f t="shared" si="148"/>
        <v>0</v>
      </c>
      <c r="R1028" s="616" t="e">
        <f>(E1028*PI()-P1028*(H1028+C979))/(J1028+C979)</f>
        <v>#N/A</v>
      </c>
      <c r="S1028" s="619">
        <f t="shared" si="149"/>
        <v>360</v>
      </c>
      <c r="T1028" s="232" t="e">
        <f t="shared" si="143"/>
        <v>#N/A</v>
      </c>
      <c r="U1028" s="191" t="e">
        <f t="shared" si="144"/>
        <v>#N/A</v>
      </c>
      <c r="V1028" s="191" t="e">
        <f t="shared" si="145"/>
        <v>#N/A</v>
      </c>
      <c r="W1028" s="181"/>
      <c r="X1028" s="137"/>
      <c r="Z1028" s="183"/>
      <c r="AA1028" s="183"/>
    </row>
    <row r="1029" spans="1:27" s="182" customFormat="1" ht="15" customHeight="1">
      <c r="A1029" s="211"/>
      <c r="B1029" s="164" t="s">
        <v>1061</v>
      </c>
      <c r="C1029" s="294">
        <f>C1028+2*SIN(RADIANS(M983))*(N976+C979)</f>
        <v>0</v>
      </c>
      <c r="D1029" s="319">
        <f>(C1029-(SIN(RADIANS(M983))*N976)-(COS(RADIANS(M983))*O976))*PI()/MEDIAN(U976:V980,P976:Q980)</f>
        <v>-4.7123889803846897</v>
      </c>
      <c r="E1029" s="319" t="e">
        <f>(C1029*PI()-N1029*(G1029+C979))/PI()</f>
        <v>#N/A</v>
      </c>
      <c r="F1029" s="319" t="e">
        <f>E1029-2*O976*COS(RADIANS(M983))</f>
        <v>#N/A</v>
      </c>
      <c r="G1029" s="321" t="e">
        <f>ROUND(VLOOKUP(M1029,R976:V980,4,FALSE),)</f>
        <v>#N/A</v>
      </c>
      <c r="H1029" s="321" t="e">
        <f>ROUND(VLOOKUP(O1029,M976:Q980,4,FALSE),)</f>
        <v>#N/A</v>
      </c>
      <c r="I1029" s="321" t="e">
        <f>ROUND(VLOOKUP(O1029,M976:Q980,5,FALSE),)</f>
        <v>#N/A</v>
      </c>
      <c r="J1029" s="321" t="e">
        <f>ROUND(VLOOKUP(Q1029,M976:Q980,4,FALSE),)</f>
        <v>#N/A</v>
      </c>
      <c r="K1029" s="321" t="e">
        <f>ROUND(VLOOKUP(Q1029,M976:Q980,5,FALSE),)</f>
        <v>#N/A</v>
      </c>
      <c r="L1029" s="614">
        <f t="shared" si="142"/>
        <v>-1.5707963267948966</v>
      </c>
      <c r="M1029" s="617">
        <f t="shared" si="146"/>
        <v>0</v>
      </c>
      <c r="N1029" s="615" t="e">
        <f>ROUND(HLOOKUP(M1029,N982:R983,2,FALSE),)</f>
        <v>#N/A</v>
      </c>
      <c r="O1029" s="617">
        <f t="shared" si="147"/>
        <v>0</v>
      </c>
      <c r="P1029" s="616" t="e">
        <f>PI()*(F1029*(J1029+C979)-E1029*(K1029+C979))/(((J1029+C979)*(I1029+C979))-((H1029+C979)*(K1029+C979)))</f>
        <v>#N/A</v>
      </c>
      <c r="Q1029" s="617">
        <f t="shared" si="148"/>
        <v>0</v>
      </c>
      <c r="R1029" s="616" t="e">
        <f>(E1029*PI()-P1029*(H1029+C979))/(J1029+C979)</f>
        <v>#N/A</v>
      </c>
      <c r="S1029" s="619">
        <f t="shared" si="149"/>
        <v>360</v>
      </c>
      <c r="T1029" s="232" t="e">
        <f t="shared" si="143"/>
        <v>#N/A</v>
      </c>
      <c r="U1029" s="191" t="e">
        <f t="shared" si="144"/>
        <v>#N/A</v>
      </c>
      <c r="V1029" s="191" t="e">
        <f t="shared" si="145"/>
        <v>#N/A</v>
      </c>
      <c r="W1029" s="181"/>
      <c r="X1029" s="137"/>
      <c r="Z1029" s="183"/>
      <c r="AA1029" s="183"/>
    </row>
    <row r="1030" spans="1:27" s="182" customFormat="1" ht="15" customHeight="1">
      <c r="A1030" s="211"/>
      <c r="B1030" s="164" t="s">
        <v>1062</v>
      </c>
      <c r="C1030" s="294">
        <f>C1029+2*SIN(RADIANS(M983))*(N976+C979)</f>
        <v>0</v>
      </c>
      <c r="D1030" s="319">
        <f>(C1030-(SIN(RADIANS(M983))*N976)-(COS(RADIANS(M983))*O976))*PI()/MEDIAN(U976:V980,P976:Q980)</f>
        <v>-4.7123889803846897</v>
      </c>
      <c r="E1030" s="319" t="e">
        <f>(C1030*PI()-N1030*(G1030+C979))/PI()</f>
        <v>#N/A</v>
      </c>
      <c r="F1030" s="319" t="e">
        <f>E1030-2*O976*COS(RADIANS(M983))</f>
        <v>#N/A</v>
      </c>
      <c r="G1030" s="321" t="e">
        <f>ROUND(VLOOKUP(M1030,R976:V980,4,FALSE),)</f>
        <v>#N/A</v>
      </c>
      <c r="H1030" s="321" t="e">
        <f>ROUND(VLOOKUP(O1030,M976:Q980,4,FALSE),)</f>
        <v>#N/A</v>
      </c>
      <c r="I1030" s="321" t="e">
        <f>ROUND(VLOOKUP(O1030,M976:Q980,5,FALSE),)</f>
        <v>#N/A</v>
      </c>
      <c r="J1030" s="321" t="e">
        <f>ROUND(VLOOKUP(Q1030,M976:Q980,4,FALSE),)</f>
        <v>#N/A</v>
      </c>
      <c r="K1030" s="321" t="e">
        <f>ROUND(VLOOKUP(Q1030,M976:Q980,5,FALSE),)</f>
        <v>#N/A</v>
      </c>
      <c r="L1030" s="614">
        <f t="shared" si="142"/>
        <v>-1.5707963267948966</v>
      </c>
      <c r="M1030" s="617">
        <f t="shared" si="146"/>
        <v>0</v>
      </c>
      <c r="N1030" s="615" t="e">
        <f>ROUND(HLOOKUP(M1030,N982:R983,2,FALSE),)</f>
        <v>#N/A</v>
      </c>
      <c r="O1030" s="617">
        <f t="shared" si="147"/>
        <v>0</v>
      </c>
      <c r="P1030" s="616" t="e">
        <f>PI()*(F1030*(J1030+C979)-E1030*(K1030+C979))/(((J1030+C979)*(I1030+C979))-((H1030+C979)*(K1030+C979)))</f>
        <v>#N/A</v>
      </c>
      <c r="Q1030" s="617">
        <f t="shared" si="148"/>
        <v>0</v>
      </c>
      <c r="R1030" s="616" t="e">
        <f>(E1030*PI()-P1030*(H1030+C979))/(J1030+C979)</f>
        <v>#N/A</v>
      </c>
      <c r="S1030" s="619">
        <f t="shared" si="149"/>
        <v>360</v>
      </c>
      <c r="T1030" s="232" t="e">
        <f t="shared" si="143"/>
        <v>#N/A</v>
      </c>
      <c r="U1030" s="191" t="e">
        <f t="shared" si="144"/>
        <v>#N/A</v>
      </c>
      <c r="V1030" s="191" t="e">
        <f t="shared" si="145"/>
        <v>#N/A</v>
      </c>
      <c r="W1030" s="181"/>
      <c r="X1030" s="137"/>
      <c r="Z1030" s="183"/>
      <c r="AA1030" s="183"/>
    </row>
    <row r="1031" spans="1:27" s="182" customFormat="1" ht="15" customHeight="1">
      <c r="A1031" s="211"/>
      <c r="B1031" s="164" t="s">
        <v>1063</v>
      </c>
      <c r="C1031" s="294">
        <f>C1030+2*SIN(RADIANS(M983))*(N976+C979)</f>
        <v>0</v>
      </c>
      <c r="D1031" s="319">
        <f>(C1031-(SIN(RADIANS(M983))*N976)-(COS(RADIANS(M983))*O976))*PI()/MEDIAN(U976:V980,P976:Q980)</f>
        <v>-4.7123889803846897</v>
      </c>
      <c r="E1031" s="319" t="e">
        <f>(C1031*PI()-N1031*(G1031+C979))/PI()</f>
        <v>#N/A</v>
      </c>
      <c r="F1031" s="319" t="e">
        <f>E1031-2*O976*COS(RADIANS(M983))</f>
        <v>#N/A</v>
      </c>
      <c r="G1031" s="321" t="e">
        <f>ROUND(VLOOKUP(M1031,R976:V980,4,FALSE),)</f>
        <v>#N/A</v>
      </c>
      <c r="H1031" s="321" t="e">
        <f>ROUND(VLOOKUP(O1031,M976:Q980,4,FALSE),)</f>
        <v>#N/A</v>
      </c>
      <c r="I1031" s="321" t="e">
        <f>ROUND(VLOOKUP(O1031,M976:Q980,5,FALSE),)</f>
        <v>#N/A</v>
      </c>
      <c r="J1031" s="321" t="e">
        <f>ROUND(VLOOKUP(Q1031,M976:Q980,4,FALSE),)</f>
        <v>#N/A</v>
      </c>
      <c r="K1031" s="321" t="e">
        <f>ROUND(VLOOKUP(Q1031,M976:Q980,5,FALSE),)</f>
        <v>#N/A</v>
      </c>
      <c r="L1031" s="614">
        <f t="shared" si="142"/>
        <v>-1.5707963267948966</v>
      </c>
      <c r="M1031" s="617">
        <f t="shared" si="146"/>
        <v>0</v>
      </c>
      <c r="N1031" s="615" t="e">
        <f>ROUND(HLOOKUP(M1031,N982:R983,2,FALSE),)</f>
        <v>#N/A</v>
      </c>
      <c r="O1031" s="617">
        <f t="shared" si="147"/>
        <v>0</v>
      </c>
      <c r="P1031" s="616" t="e">
        <f>PI()*(F1031*(J1031+C979)-E1031*(K1031+C979))/(((J1031+C979)*(I1031+C979))-((H1031+C979)*(K1031+C979)))</f>
        <v>#N/A</v>
      </c>
      <c r="Q1031" s="617">
        <f t="shared" si="148"/>
        <v>0</v>
      </c>
      <c r="R1031" s="616" t="e">
        <f>(E1031*PI()-P1031*(H1031+C979))/(J1031+C979)</f>
        <v>#N/A</v>
      </c>
      <c r="S1031" s="619">
        <f t="shared" si="149"/>
        <v>360</v>
      </c>
      <c r="T1031" s="232" t="e">
        <f t="shared" si="143"/>
        <v>#N/A</v>
      </c>
      <c r="U1031" s="191" t="e">
        <f t="shared" si="144"/>
        <v>#N/A</v>
      </c>
      <c r="V1031" s="191" t="e">
        <f t="shared" si="145"/>
        <v>#N/A</v>
      </c>
      <c r="W1031" s="181"/>
      <c r="X1031" s="137"/>
      <c r="Z1031" s="183"/>
      <c r="AA1031" s="183"/>
    </row>
    <row r="1032" spans="1:27" s="182" customFormat="1" ht="15" customHeight="1">
      <c r="A1032" s="211"/>
      <c r="B1032" s="164" t="s">
        <v>1064</v>
      </c>
      <c r="C1032" s="294">
        <f>C1031+2*SIN(RADIANS(M983))*(N976+C979)</f>
        <v>0</v>
      </c>
      <c r="D1032" s="319">
        <f>(C1032-(SIN(RADIANS(M983))*N976)-(COS(RADIANS(M983))*O976))*PI()/MEDIAN(U976:V980,P976:Q980)</f>
        <v>-4.7123889803846897</v>
      </c>
      <c r="E1032" s="319" t="e">
        <f>(C1032*PI()-N1032*(G1032+C979))/PI()</f>
        <v>#N/A</v>
      </c>
      <c r="F1032" s="319" t="e">
        <f>E1032-2*O976*COS(RADIANS(M983))</f>
        <v>#N/A</v>
      </c>
      <c r="G1032" s="321" t="e">
        <f>ROUND(VLOOKUP(M1032,R976:V980,4,FALSE),)</f>
        <v>#N/A</v>
      </c>
      <c r="H1032" s="321" t="e">
        <f>ROUND(VLOOKUP(O1032,M976:Q980,4,FALSE),)</f>
        <v>#N/A</v>
      </c>
      <c r="I1032" s="321" t="e">
        <f>ROUND(VLOOKUP(O1032,M976:Q980,5,FALSE),)</f>
        <v>#N/A</v>
      </c>
      <c r="J1032" s="321" t="e">
        <f>ROUND(VLOOKUP(Q1032,M976:Q980,4,FALSE),)</f>
        <v>#N/A</v>
      </c>
      <c r="K1032" s="321" t="e">
        <f>ROUND(VLOOKUP(Q1032,M976:Q980,5,FALSE),)</f>
        <v>#N/A</v>
      </c>
      <c r="L1032" s="614">
        <f t="shared" si="142"/>
        <v>-1.5707963267948966</v>
      </c>
      <c r="M1032" s="617">
        <f t="shared" si="146"/>
        <v>0</v>
      </c>
      <c r="N1032" s="615" t="e">
        <f>ROUND(HLOOKUP(M1032,N982:R983,2,FALSE),)</f>
        <v>#N/A</v>
      </c>
      <c r="O1032" s="617">
        <f t="shared" si="147"/>
        <v>0</v>
      </c>
      <c r="P1032" s="616" t="e">
        <f>PI()*(F1032*(J1032+C979)-E1032*(K1032+C979))/(((J1032+C979)*(I1032+C979))-((H1032+C979)*(K1032+C979)))</f>
        <v>#N/A</v>
      </c>
      <c r="Q1032" s="617">
        <f t="shared" si="148"/>
        <v>0</v>
      </c>
      <c r="R1032" s="616" t="e">
        <f>(E1032*PI()-P1032*(H1032+C979))/(J1032+C979)</f>
        <v>#N/A</v>
      </c>
      <c r="S1032" s="619">
        <f t="shared" si="149"/>
        <v>360</v>
      </c>
      <c r="T1032" s="232" t="e">
        <f t="shared" si="143"/>
        <v>#N/A</v>
      </c>
      <c r="U1032" s="191" t="e">
        <f t="shared" si="144"/>
        <v>#N/A</v>
      </c>
      <c r="V1032" s="191" t="e">
        <f t="shared" si="145"/>
        <v>#N/A</v>
      </c>
      <c r="W1032" s="181"/>
      <c r="X1032" s="137"/>
      <c r="Z1032" s="183"/>
      <c r="AA1032" s="183"/>
    </row>
    <row r="1033" spans="1:27" s="182" customFormat="1" ht="15" customHeight="1">
      <c r="A1033" s="211"/>
      <c r="B1033" s="164" t="s">
        <v>1065</v>
      </c>
      <c r="C1033" s="294">
        <f>C1032+2*SIN(RADIANS(M983))*(N976+C979)</f>
        <v>0</v>
      </c>
      <c r="D1033" s="319">
        <f>(C1033-(SIN(RADIANS(M983))*N976)-(COS(RADIANS(M983))*O976))*PI()/MEDIAN(U976:V980,P976:Q980)</f>
        <v>-4.7123889803846897</v>
      </c>
      <c r="E1033" s="319" t="e">
        <f>(C1033*PI()-N1033*(G1033+C979))/PI()</f>
        <v>#N/A</v>
      </c>
      <c r="F1033" s="319" t="e">
        <f>E1033-2*O976*COS(RADIANS(M983))</f>
        <v>#N/A</v>
      </c>
      <c r="G1033" s="321" t="e">
        <f>ROUND(VLOOKUP(M1033,R976:V980,4,FALSE),)</f>
        <v>#N/A</v>
      </c>
      <c r="H1033" s="321" t="e">
        <f>ROUND(VLOOKUP(O1033,M976:Q980,4,FALSE),)</f>
        <v>#N/A</v>
      </c>
      <c r="I1033" s="321" t="e">
        <f>ROUND(VLOOKUP(O1033,M976:Q980,5,FALSE),)</f>
        <v>#N/A</v>
      </c>
      <c r="J1033" s="321" t="e">
        <f>ROUND(VLOOKUP(Q1033,M976:Q980,4,FALSE),)</f>
        <v>#N/A</v>
      </c>
      <c r="K1033" s="321" t="e">
        <f>ROUND(VLOOKUP(Q1033,M976:Q980,5,FALSE),)</f>
        <v>#N/A</v>
      </c>
      <c r="L1033" s="614">
        <f t="shared" si="142"/>
        <v>-1.5707963267948966</v>
      </c>
      <c r="M1033" s="617">
        <f t="shared" si="146"/>
        <v>0</v>
      </c>
      <c r="N1033" s="615" t="e">
        <f>ROUND(HLOOKUP(M1033,N982:R983,2,FALSE),)</f>
        <v>#N/A</v>
      </c>
      <c r="O1033" s="617">
        <f t="shared" si="147"/>
        <v>0</v>
      </c>
      <c r="P1033" s="616" t="e">
        <f>PI()*(F1033*(J1033+C979)-E1033*(K1033+C979))/(((J1033+C979)*(I1033+C979))-((H1033+C979)*(K1033+C979)))</f>
        <v>#N/A</v>
      </c>
      <c r="Q1033" s="617">
        <f t="shared" si="148"/>
        <v>0</v>
      </c>
      <c r="R1033" s="616" t="e">
        <f>(E1033*PI()-P1033*(H1033+C979))/(J1033+C979)</f>
        <v>#N/A</v>
      </c>
      <c r="S1033" s="619">
        <f t="shared" si="149"/>
        <v>360</v>
      </c>
      <c r="T1033" s="232" t="e">
        <f t="shared" si="143"/>
        <v>#N/A</v>
      </c>
      <c r="U1033" s="191" t="e">
        <f t="shared" si="144"/>
        <v>#N/A</v>
      </c>
      <c r="V1033" s="191" t="e">
        <f t="shared" si="145"/>
        <v>#N/A</v>
      </c>
      <c r="W1033" s="181"/>
      <c r="X1033" s="137"/>
      <c r="Z1033" s="183"/>
      <c r="AA1033" s="183"/>
    </row>
    <row r="1034" spans="1:27" s="182" customFormat="1" ht="15" customHeight="1">
      <c r="A1034" s="211"/>
      <c r="B1034" s="164" t="s">
        <v>1066</v>
      </c>
      <c r="C1034" s="294">
        <f>C1033+2*SIN(RADIANS(M983))*(N976+C979)</f>
        <v>0</v>
      </c>
      <c r="D1034" s="319">
        <f>(C1034-(SIN(RADIANS(M983))*N976)-(COS(RADIANS(M983))*O976))*PI()/MEDIAN(U976:V980,P976:Q980)</f>
        <v>-4.7123889803846897</v>
      </c>
      <c r="E1034" s="319" t="e">
        <f>(C1034*PI()-N1034*(G1034+C979))/PI()</f>
        <v>#N/A</v>
      </c>
      <c r="F1034" s="319" t="e">
        <f>E1034-2*O976*COS(RADIANS(M983))</f>
        <v>#N/A</v>
      </c>
      <c r="G1034" s="321" t="e">
        <f>ROUND(VLOOKUP(M1034,R976:V980,4,FALSE),)</f>
        <v>#N/A</v>
      </c>
      <c r="H1034" s="321" t="e">
        <f>ROUND(VLOOKUP(O1034,M976:Q980,4,FALSE),)</f>
        <v>#N/A</v>
      </c>
      <c r="I1034" s="321" t="e">
        <f>ROUND(VLOOKUP(O1034,M976:Q980,5,FALSE),)</f>
        <v>#N/A</v>
      </c>
      <c r="J1034" s="321" t="e">
        <f>ROUND(VLOOKUP(Q1034,M976:Q980,4,FALSE),)</f>
        <v>#N/A</v>
      </c>
      <c r="K1034" s="321" t="e">
        <f>ROUND(VLOOKUP(Q1034,M976:Q980,5,FALSE),)</f>
        <v>#N/A</v>
      </c>
      <c r="L1034" s="614">
        <f t="shared" si="142"/>
        <v>-1.5707963267948966</v>
      </c>
      <c r="M1034" s="617">
        <f t="shared" si="146"/>
        <v>0</v>
      </c>
      <c r="N1034" s="615" t="e">
        <f>ROUND(HLOOKUP(M1034,N982:R983,2,FALSE),)</f>
        <v>#N/A</v>
      </c>
      <c r="O1034" s="617">
        <f t="shared" si="147"/>
        <v>0</v>
      </c>
      <c r="P1034" s="616" t="e">
        <f>PI()*(F1034*(J1034+C979)-E1034*(K1034+C979))/(((J1034+C979)*(I1034+C979))-((H1034+C979)*(K1034+C979)))</f>
        <v>#N/A</v>
      </c>
      <c r="Q1034" s="617">
        <f t="shared" si="148"/>
        <v>0</v>
      </c>
      <c r="R1034" s="616" t="e">
        <f>(E1034*PI()-P1034*(H1034+C979))/(J1034+C979)</f>
        <v>#N/A</v>
      </c>
      <c r="S1034" s="619">
        <f t="shared" si="149"/>
        <v>360</v>
      </c>
      <c r="T1034" s="232" t="e">
        <f t="shared" si="143"/>
        <v>#N/A</v>
      </c>
      <c r="U1034" s="191" t="e">
        <f t="shared" si="144"/>
        <v>#N/A</v>
      </c>
      <c r="V1034" s="191" t="e">
        <f t="shared" si="145"/>
        <v>#N/A</v>
      </c>
      <c r="W1034" s="181"/>
      <c r="X1034" s="137"/>
      <c r="Z1034" s="183"/>
      <c r="AA1034" s="183"/>
    </row>
    <row r="1035" spans="1:27" s="182" customFormat="1" ht="15" customHeight="1">
      <c r="A1035" s="211"/>
      <c r="B1035" s="164" t="s">
        <v>1067</v>
      </c>
      <c r="C1035" s="294">
        <f>C1034+2*SIN(RADIANS(M983))*(N976+C979)</f>
        <v>0</v>
      </c>
      <c r="D1035" s="319">
        <f>(C1035-(SIN(RADIANS(M983))*N976)-(COS(RADIANS(M983))*O976))*PI()/MEDIAN(U976:V980,P976:Q980)</f>
        <v>-4.7123889803846897</v>
      </c>
      <c r="E1035" s="319" t="e">
        <f>(C1035*PI()-N1035*(G1035+C979))/PI()</f>
        <v>#N/A</v>
      </c>
      <c r="F1035" s="319" t="e">
        <f>E1035-2*O976*COS(RADIANS(M983))</f>
        <v>#N/A</v>
      </c>
      <c r="G1035" s="321" t="e">
        <f>ROUND(VLOOKUP(M1035,R976:V980,4,FALSE),)</f>
        <v>#N/A</v>
      </c>
      <c r="H1035" s="321" t="e">
        <f>ROUND(VLOOKUP(O1035,M976:Q980,4,FALSE),)</f>
        <v>#N/A</v>
      </c>
      <c r="I1035" s="321" t="e">
        <f>ROUND(VLOOKUP(O1035,M976:Q980,5,FALSE),)</f>
        <v>#N/A</v>
      </c>
      <c r="J1035" s="321" t="e">
        <f>ROUND(VLOOKUP(Q1035,M976:Q980,4,FALSE),)</f>
        <v>#N/A</v>
      </c>
      <c r="K1035" s="321" t="e">
        <f>ROUND(VLOOKUP(Q1035,M976:Q980,5,FALSE),)</f>
        <v>#N/A</v>
      </c>
      <c r="L1035" s="614">
        <f t="shared" si="142"/>
        <v>-1.5707963267948966</v>
      </c>
      <c r="M1035" s="617">
        <f t="shared" si="146"/>
        <v>0</v>
      </c>
      <c r="N1035" s="615" t="e">
        <f>ROUND(HLOOKUP(M1035,N982:R983,2,FALSE),)</f>
        <v>#N/A</v>
      </c>
      <c r="O1035" s="617">
        <f t="shared" si="147"/>
        <v>0</v>
      </c>
      <c r="P1035" s="616" t="e">
        <f>PI()*(F1035*(J1035+C979)-E1035*(K1035+C979))/(((J1035+C979)*(I1035+C979))-((H1035+C979)*(K1035+C979)))</f>
        <v>#N/A</v>
      </c>
      <c r="Q1035" s="617">
        <f t="shared" si="148"/>
        <v>0</v>
      </c>
      <c r="R1035" s="616" t="e">
        <f>(E1035*PI()-P1035*(H1035+C979))/(J1035+C979)</f>
        <v>#N/A</v>
      </c>
      <c r="S1035" s="619">
        <f t="shared" si="149"/>
        <v>360</v>
      </c>
      <c r="T1035" s="232" t="e">
        <f t="shared" si="143"/>
        <v>#N/A</v>
      </c>
      <c r="U1035" s="191" t="e">
        <f t="shared" si="144"/>
        <v>#N/A</v>
      </c>
      <c r="V1035" s="191" t="e">
        <f t="shared" si="145"/>
        <v>#N/A</v>
      </c>
      <c r="W1035" s="181"/>
      <c r="X1035" s="137"/>
      <c r="Z1035" s="183"/>
      <c r="AA1035" s="183"/>
    </row>
    <row r="1036" spans="1:27" s="182" customFormat="1" ht="15" customHeight="1">
      <c r="A1036" s="211"/>
      <c r="B1036" s="164" t="s">
        <v>1068</v>
      </c>
      <c r="C1036" s="294">
        <f>C1035+2*SIN(RADIANS(M983))*(N976+C979)</f>
        <v>0</v>
      </c>
      <c r="D1036" s="319">
        <f>(C1036-(SIN(RADIANS(M983))*N976)-(COS(RADIANS(M983))*O976))*PI()/MEDIAN(U976:V980,P976:Q980)</f>
        <v>-4.7123889803846897</v>
      </c>
      <c r="E1036" s="319" t="e">
        <f>(C1036*PI()-N1036*(G1036+C979))/PI()</f>
        <v>#N/A</v>
      </c>
      <c r="F1036" s="319" t="e">
        <f>E1036-2*O976*COS(RADIANS(M983))</f>
        <v>#N/A</v>
      </c>
      <c r="G1036" s="321" t="e">
        <f>ROUND(VLOOKUP(M1036,R976:V980,4,FALSE),)</f>
        <v>#N/A</v>
      </c>
      <c r="H1036" s="321" t="e">
        <f>ROUND(VLOOKUP(O1036,M976:Q980,4,FALSE),)</f>
        <v>#N/A</v>
      </c>
      <c r="I1036" s="321" t="e">
        <f>ROUND(VLOOKUP(O1036,M976:Q980,5,FALSE),)</f>
        <v>#N/A</v>
      </c>
      <c r="J1036" s="321" t="e">
        <f>ROUND(VLOOKUP(Q1036,M976:Q980,4,FALSE),)</f>
        <v>#N/A</v>
      </c>
      <c r="K1036" s="321" t="e">
        <f>ROUND(VLOOKUP(Q1036,M976:Q980,5,FALSE),)</f>
        <v>#N/A</v>
      </c>
      <c r="L1036" s="614">
        <f t="shared" si="142"/>
        <v>-1.5707963267948966</v>
      </c>
      <c r="M1036" s="617">
        <f t="shared" si="146"/>
        <v>0</v>
      </c>
      <c r="N1036" s="615" t="e">
        <f>ROUND(HLOOKUP(M1036,N982:R983,2,FALSE),)</f>
        <v>#N/A</v>
      </c>
      <c r="O1036" s="617">
        <f t="shared" si="147"/>
        <v>0</v>
      </c>
      <c r="P1036" s="616" t="e">
        <f>PI()*(F1036*(J1036+C979)-E1036*(K1036+C979))/(((J1036+C979)*(I1036+C979))-((H1036+C979)*(K1036+C979)))</f>
        <v>#N/A</v>
      </c>
      <c r="Q1036" s="617">
        <f t="shared" si="148"/>
        <v>0</v>
      </c>
      <c r="R1036" s="616" t="e">
        <f>(E1036*PI()-P1036*(H1036+C979))/(J1036+C979)</f>
        <v>#N/A</v>
      </c>
      <c r="S1036" s="619">
        <f t="shared" si="149"/>
        <v>360</v>
      </c>
      <c r="T1036" s="232" t="e">
        <f t="shared" si="143"/>
        <v>#N/A</v>
      </c>
      <c r="U1036" s="191" t="e">
        <f t="shared" si="144"/>
        <v>#N/A</v>
      </c>
      <c r="V1036" s="191" t="e">
        <f t="shared" si="145"/>
        <v>#N/A</v>
      </c>
      <c r="W1036" s="181"/>
      <c r="X1036" s="137"/>
      <c r="Z1036" s="183"/>
      <c r="AA1036" s="183"/>
    </row>
    <row r="1037" spans="1:27" s="182" customFormat="1" ht="15" customHeight="1" thickBot="1">
      <c r="A1037" s="211"/>
      <c r="B1037" s="164" t="s">
        <v>1069</v>
      </c>
      <c r="C1037" s="294">
        <f>C1036+2*SIN(RADIANS(M983))*(N976+C979)</f>
        <v>0</v>
      </c>
      <c r="D1037" s="319">
        <f>(C1037-(SIN(RADIANS(M983))*N976)-(COS(RADIANS(M983))*O976))*PI()/MEDIAN(U976:V980,P976:Q980)</f>
        <v>-4.7123889803846897</v>
      </c>
      <c r="E1037" s="319" t="e">
        <f>(C1037*PI()-N1037*(G1037+C979))/PI()</f>
        <v>#N/A</v>
      </c>
      <c r="F1037" s="319" t="e">
        <f>E1037-2*O976*COS(RADIANS(M983))</f>
        <v>#N/A</v>
      </c>
      <c r="G1037" s="321" t="e">
        <f>ROUND(VLOOKUP(M1037,R976:V980,4,FALSE),)</f>
        <v>#N/A</v>
      </c>
      <c r="H1037" s="321" t="e">
        <f>ROUND(VLOOKUP(O1037,M976:Q980,4,FALSE),)</f>
        <v>#N/A</v>
      </c>
      <c r="I1037" s="321" t="e">
        <f>ROUND(VLOOKUP(O1037,M976:Q980,5,FALSE),)</f>
        <v>#N/A</v>
      </c>
      <c r="J1037" s="321" t="e">
        <f>ROUND(VLOOKUP(Q1037,M976:Q980,4,FALSE),)</f>
        <v>#N/A</v>
      </c>
      <c r="K1037" s="321" t="e">
        <f>ROUND(VLOOKUP(Q1037,M976:Q980,5,FALSE),)</f>
        <v>#N/A</v>
      </c>
      <c r="L1037" s="614">
        <f t="shared" si="142"/>
        <v>-1.5707963267948966</v>
      </c>
      <c r="M1037" s="285">
        <f t="shared" si="146"/>
        <v>0</v>
      </c>
      <c r="N1037" s="615" t="e">
        <f>ROUND(HLOOKUP(M1037,N982:R983,2,FALSE),)</f>
        <v>#N/A</v>
      </c>
      <c r="O1037" s="285">
        <f t="shared" si="147"/>
        <v>0</v>
      </c>
      <c r="P1037" s="616" t="e">
        <f>PI()*(F1037*(J1037+C979)-E1037*(K1037+C979))/(((J1037+C979)*(I1037+C979))-((H1037+C979)*(K1037+C979)))</f>
        <v>#N/A</v>
      </c>
      <c r="Q1037" s="285">
        <f t="shared" si="148"/>
        <v>0</v>
      </c>
      <c r="R1037" s="616" t="e">
        <f>(E1037*PI()-P1037*(H1037+C979))/(J1037+C979)</f>
        <v>#N/A</v>
      </c>
      <c r="S1037" s="620">
        <f t="shared" si="149"/>
        <v>360</v>
      </c>
      <c r="T1037" s="232" t="e">
        <f t="shared" si="143"/>
        <v>#N/A</v>
      </c>
      <c r="U1037" s="191" t="e">
        <f t="shared" si="144"/>
        <v>#N/A</v>
      </c>
      <c r="V1037" s="191" t="e">
        <f t="shared" si="145"/>
        <v>#N/A</v>
      </c>
      <c r="W1037" s="181"/>
      <c r="X1037" s="137"/>
      <c r="Z1037" s="183"/>
      <c r="AA1037" s="183"/>
    </row>
    <row r="1038" spans="1:27" s="182" customFormat="1" ht="15" customHeight="1">
      <c r="A1038" s="211"/>
      <c r="B1038" s="190"/>
      <c r="C1038" s="196"/>
      <c r="D1038" s="191"/>
      <c r="E1038" s="191"/>
      <c r="F1038" s="191"/>
      <c r="G1038" s="191"/>
      <c r="H1038" s="191"/>
      <c r="I1038" s="191"/>
      <c r="J1038" s="192"/>
      <c r="K1038" s="192"/>
      <c r="L1038" s="140"/>
      <c r="M1038" s="191"/>
      <c r="N1038" s="191"/>
      <c r="O1038" s="191"/>
      <c r="P1038" s="191"/>
      <c r="Q1038" s="191"/>
      <c r="R1038" s="191"/>
      <c r="S1038" s="191"/>
      <c r="T1038" s="191"/>
      <c r="U1038" s="191"/>
      <c r="V1038" s="193"/>
      <c r="W1038" s="181"/>
      <c r="X1038" s="137"/>
      <c r="Z1038" s="183"/>
      <c r="AA1038" s="183"/>
    </row>
    <row r="1039" spans="1:27" s="182" customFormat="1" ht="15" customHeight="1">
      <c r="A1039" s="211"/>
      <c r="B1039" s="190"/>
      <c r="C1039" s="196"/>
      <c r="D1039" s="191"/>
      <c r="E1039" s="191"/>
      <c r="F1039" s="191"/>
      <c r="G1039" s="191"/>
      <c r="H1039" s="191"/>
      <c r="I1039" s="191"/>
      <c r="J1039" s="192"/>
      <c r="K1039" s="192"/>
      <c r="L1039" s="140"/>
      <c r="M1039" s="191"/>
      <c r="N1039" s="191"/>
      <c r="O1039" s="191"/>
      <c r="P1039" s="191"/>
      <c r="Q1039" s="191"/>
      <c r="R1039" s="191"/>
      <c r="S1039" s="191"/>
      <c r="T1039" s="191"/>
      <c r="U1039" s="191"/>
      <c r="V1039" s="193"/>
      <c r="W1039" s="181"/>
      <c r="X1039" s="137"/>
      <c r="Z1039" s="183"/>
      <c r="AA1039" s="183"/>
    </row>
    <row r="1040" spans="1:27" s="182" customFormat="1" ht="15" customHeight="1" thickBot="1">
      <c r="A1040" s="211"/>
      <c r="B1040" s="275" t="s">
        <v>1006</v>
      </c>
      <c r="C1040" s="276"/>
      <c r="D1040" s="277"/>
      <c r="E1040" s="277"/>
      <c r="F1040" s="277"/>
      <c r="G1040" s="277"/>
      <c r="H1040" s="277"/>
      <c r="I1040" s="277"/>
      <c r="J1040" s="278"/>
      <c r="K1040" s="278"/>
      <c r="L1040" s="279"/>
      <c r="M1040" s="277"/>
      <c r="N1040" s="277"/>
      <c r="O1040" s="277"/>
      <c r="P1040" s="277"/>
      <c r="Q1040" s="277"/>
      <c r="R1040" s="277"/>
      <c r="S1040" s="280"/>
      <c r="T1040" s="277"/>
      <c r="U1040" s="277" t="s">
        <v>674</v>
      </c>
      <c r="V1040" s="281" t="s">
        <v>27</v>
      </c>
      <c r="W1040" s="282"/>
      <c r="X1040" s="283"/>
      <c r="Z1040" s="183"/>
      <c r="AA1040" s="183"/>
    </row>
    <row r="1041" spans="1:27" s="182" customFormat="1" ht="15" customHeight="1" thickBot="1">
      <c r="A1041" s="211"/>
      <c r="B1041" s="206"/>
      <c r="C1041" s="129">
        <f>SUMIF(Densidades!A:A,'Memória TOTAL'!X1041,Densidades!B:B)</f>
        <v>0</v>
      </c>
      <c r="D1041" s="130">
        <f>SUMIF(Densidades!A:A,'Memória TOTAL'!X1041,Densidades!C:C)</f>
        <v>0</v>
      </c>
      <c r="E1041" s="130" t="str">
        <f>IF(I1041=15,"FIRECLAY MORTAR",IF(I1041=16,"ALUMINA MORTAR",IF(I1041=17,"BASIC MORTAR",IF(I1041=18,"MORTAR","-"))))</f>
        <v>-</v>
      </c>
      <c r="F1041" s="130" t="str">
        <f>IF(I1041=15,"FIRECLAY MORTAR",IF(I1041=16,"ALUMINA MORTAR",IF(I1041=17,"BASIC MORTAR",IF(I1041=18,"MORTAR","-"))))</f>
        <v>-</v>
      </c>
      <c r="G1041" s="130" t="str">
        <f>IF(I1041=15,"FIRECLAY MORTAR",IF(I1041=16,"ALUMINA MORTAR",IF(I1041=17,"BASIC MORTAR",IF(I1041=18,"MORTAR","-"))))</f>
        <v>-</v>
      </c>
      <c r="H1041" s="130" t="str">
        <f>IF(I1041=15,"FIRECLAY MORTAR",IF(I1041=16,"ALUMINA MORTAR",IF(I1041=17,"BASIC MORTAR",IF(I1041=18,"MORTAR","-"))))</f>
        <v>-</v>
      </c>
      <c r="I1041" s="130">
        <f>SUMIF(Densidades!A:A,'Memória TOTAL'!X1041,Densidades!G:G)</f>
        <v>0</v>
      </c>
      <c r="J1041" s="132">
        <f>SUMIF(Formatos!A:A,'Memória TOTAL'!X1042,Formatos!G:G)</f>
        <v>0</v>
      </c>
      <c r="K1041" s="133">
        <f>SUMIF(Densidades!A:A,'Memória TOTAL'!X1041,Densidades!I:I)</f>
        <v>0</v>
      </c>
      <c r="L1041" s="184">
        <v>0</v>
      </c>
      <c r="M1041" s="185"/>
      <c r="N1041" s="185"/>
      <c r="O1041" s="185"/>
      <c r="P1041" s="185"/>
      <c r="Q1041" s="185"/>
      <c r="R1041" s="185"/>
      <c r="S1041" s="185"/>
      <c r="T1041" s="186"/>
      <c r="U1041" s="286"/>
      <c r="V1041" s="188" t="e">
        <f>(W934*J934*C1041+W938*J938*C1041+W942*J942*C1041+W946*J946*C1041+W950*J950*C1041+W954*J954*C1041+W958*J958*C1041+W962*J962*C1041+W966*J966*C1041+W970*J970*C1041)*U1041</f>
        <v>#N/A</v>
      </c>
      <c r="W1041" s="189" t="str">
        <f>IF(C1041=0,"",ROUNDUP(SUM(V1041:V1042)*(1+L1041),0))</f>
        <v/>
      </c>
      <c r="X1041" s="259"/>
      <c r="Z1041" s="183"/>
      <c r="AA1041" s="183"/>
    </row>
    <row r="1042" spans="1:27" s="182" customFormat="1" ht="15" customHeight="1">
      <c r="A1042" s="211"/>
      <c r="B1042" s="206"/>
      <c r="C1042" s="129"/>
      <c r="D1042" s="191"/>
      <c r="E1042" s="191"/>
      <c r="F1042" s="191"/>
      <c r="G1042" s="191"/>
      <c r="H1042" s="191"/>
      <c r="I1042" s="191"/>
      <c r="J1042" s="192"/>
      <c r="K1042" s="192"/>
      <c r="L1042" s="140"/>
      <c r="M1042" s="191"/>
      <c r="N1042" s="191"/>
      <c r="O1042" s="191"/>
      <c r="P1042" s="191"/>
      <c r="Q1042" s="191"/>
      <c r="R1042" s="191"/>
      <c r="S1042" s="191"/>
      <c r="T1042" s="191"/>
      <c r="U1042" s="191"/>
      <c r="V1042" s="193"/>
      <c r="W1042" s="181"/>
      <c r="X1042" s="137" t="str">
        <f>IF(AND(H1041="-",G1041="-",F1041="-"),E1041,IF(AND(H1041="-",G1041="-",E1041="-"),F1041,IF(AND(H1041="-",F1041="-",E1041="-"),G1041,H1041)))</f>
        <v>-</v>
      </c>
      <c r="Z1042" s="183"/>
      <c r="AA1042" s="183"/>
    </row>
    <row r="1043" spans="1:27" s="182" customFormat="1" ht="15" customHeight="1">
      <c r="A1043" s="211"/>
      <c r="B1043" s="209"/>
      <c r="C1043" s="129"/>
      <c r="D1043" s="191"/>
      <c r="E1043" s="191"/>
      <c r="F1043" s="191"/>
      <c r="G1043" s="191"/>
      <c r="H1043" s="191"/>
      <c r="I1043" s="191"/>
      <c r="J1043" s="192"/>
      <c r="K1043" s="192"/>
      <c r="L1043" s="140"/>
      <c r="M1043" s="191"/>
      <c r="N1043" s="191"/>
      <c r="O1043" s="191"/>
      <c r="P1043" s="191"/>
      <c r="Q1043" s="191"/>
      <c r="R1043" s="191"/>
      <c r="S1043" s="191"/>
      <c r="T1043" s="191"/>
      <c r="U1043" s="191"/>
      <c r="V1043" s="193"/>
      <c r="W1043" s="181"/>
      <c r="X1043" s="137" t="s">
        <v>2</v>
      </c>
      <c r="Z1043" s="183"/>
      <c r="AA1043" s="183"/>
    </row>
    <row r="1044" spans="1:27" ht="15" customHeight="1">
      <c r="A1044" s="211"/>
      <c r="B1044" s="127"/>
      <c r="C1044" s="165"/>
      <c r="D1044" s="166"/>
      <c r="E1044" s="166"/>
      <c r="F1044" s="166"/>
      <c r="G1044" s="166"/>
      <c r="H1044" s="166"/>
      <c r="I1044" s="166"/>
      <c r="J1044" s="167"/>
      <c r="K1044" s="167"/>
      <c r="L1044" s="168"/>
      <c r="M1044" s="166"/>
      <c r="N1044" s="166"/>
      <c r="O1044" s="166"/>
      <c r="P1044" s="166"/>
      <c r="Q1044" s="166"/>
      <c r="R1044" s="166"/>
      <c r="S1044" s="166"/>
      <c r="T1044" s="166"/>
      <c r="U1044" s="166"/>
      <c r="V1044" s="169"/>
      <c r="W1044" s="170"/>
      <c r="X1044" s="171"/>
      <c r="Y1044" s="182"/>
    </row>
    <row r="1045" spans="1:27" s="182" customFormat="1" ht="15" customHeight="1" thickBot="1">
      <c r="A1045" s="211"/>
      <c r="B1045" s="275" t="s">
        <v>1007</v>
      </c>
      <c r="C1045" s="276"/>
      <c r="D1045" s="277"/>
      <c r="E1045" s="277"/>
      <c r="F1045" s="277"/>
      <c r="G1045" s="277"/>
      <c r="H1045" s="277"/>
      <c r="I1045" s="277"/>
      <c r="J1045" s="278"/>
      <c r="K1045" s="278"/>
      <c r="L1045" s="279"/>
      <c r="M1045" s="277"/>
      <c r="N1045" s="277"/>
      <c r="O1045" s="277"/>
      <c r="P1045" s="277"/>
      <c r="Q1045" s="277"/>
      <c r="R1045" s="277" t="s">
        <v>632</v>
      </c>
      <c r="S1045" s="280" t="s">
        <v>633</v>
      </c>
      <c r="T1045" s="277" t="s">
        <v>634</v>
      </c>
      <c r="U1045" s="277" t="s">
        <v>38</v>
      </c>
      <c r="V1045" s="281" t="s">
        <v>27</v>
      </c>
      <c r="W1045" s="282"/>
      <c r="X1045" s="283"/>
      <c r="Z1045" s="183"/>
      <c r="AA1045" s="183"/>
    </row>
    <row r="1046" spans="1:27" s="182" customFormat="1" ht="15" customHeight="1" thickBot="1">
      <c r="A1046" s="211"/>
      <c r="B1046" s="206"/>
      <c r="C1046" s="129">
        <f>SUMIF(Densidades!A:A,'Memória TOTAL'!X1046,Densidades!B:B)</f>
        <v>0</v>
      </c>
      <c r="D1046" s="130">
        <f>SUMIF(Densidades!A:A,'Memória TOTAL'!X1046,Densidades!C:C)</f>
        <v>0</v>
      </c>
      <c r="E1046" s="130" t="str">
        <f>IF(I1046=15,"FIRECLAY MORTAR",IF(I1046=16,"ALUMINA MORTAR",IF(I1046=17,"BASIC MORTAR",IF(I1046=18,"MORTAR","-"))))</f>
        <v>-</v>
      </c>
      <c r="F1046" s="130" t="str">
        <f>IF(I1046=15,"FIRECLAY MORTAR",IF(I1046=16,"ALUMINA MORTAR",IF(I1046=17,"BASIC MORTAR",IF(I1046=18,"MORTAR","-"))))</f>
        <v>-</v>
      </c>
      <c r="G1046" s="130" t="str">
        <f>IF(I1046=15,"FIRECLAY MORTAR",IF(I1046=16,"ALUMINA MORTAR",IF(I1046=17,"BASIC MORTAR",IF(I1046=18,"MORTAR","-"))))</f>
        <v>-</v>
      </c>
      <c r="H1046" s="130" t="str">
        <f>IF(I1046=15,"FIRECLAY MORTAR",IF(I1046=16,"ALUMINA MORTAR",IF(I1046=17,"BASIC MORTAR",IF(I1046=18,"MORTAR","-"))))</f>
        <v>-</v>
      </c>
      <c r="I1046" s="130">
        <f>SUMIF(Densidades!A:A,'Memória TOTAL'!X1046,Densidades!G:G)</f>
        <v>0</v>
      </c>
      <c r="J1046" s="132">
        <f>SUMIF(Formatos!A:A,'Memória TOTAL'!X1047,Formatos!G:G)</f>
        <v>0</v>
      </c>
      <c r="K1046" s="218">
        <f>SUMIF(Densidades!A:A,'Memória TOTAL'!X1046,Densidades!I:I)</f>
        <v>0</v>
      </c>
      <c r="L1046" s="184">
        <v>0</v>
      </c>
      <c r="M1046" s="185"/>
      <c r="N1046" s="185"/>
      <c r="O1046" s="185"/>
      <c r="P1046" s="185"/>
      <c r="Q1046" s="185"/>
      <c r="R1046" s="186">
        <f>((G934*H934)+(G934*E934)+(H934*E934))/1000000</f>
        <v>0</v>
      </c>
      <c r="S1046" s="255">
        <v>2</v>
      </c>
      <c r="T1046" s="186">
        <f>R1046*S1046</f>
        <v>0</v>
      </c>
      <c r="U1046" s="187" t="e">
        <f>SUM(W934:W972)</f>
        <v>#N/A</v>
      </c>
      <c r="V1046" s="188" t="e">
        <f>(T1046*C1046*(1+L1046))*U1046</f>
        <v>#N/A</v>
      </c>
      <c r="W1046" s="189" t="str">
        <f>IF(C1046=0,"",ROUNDUP(SUM(V1046:V1047)*(1+L1046),0))</f>
        <v/>
      </c>
      <c r="X1046" s="259"/>
      <c r="Z1046" s="183"/>
      <c r="AA1046" s="183"/>
    </row>
    <row r="1047" spans="1:27" s="182" customFormat="1" ht="15" customHeight="1">
      <c r="A1047" s="211"/>
      <c r="B1047" s="206"/>
      <c r="C1047" s="129"/>
      <c r="D1047" s="191"/>
      <c r="E1047" s="191"/>
      <c r="F1047" s="191"/>
      <c r="G1047" s="191"/>
      <c r="H1047" s="191"/>
      <c r="I1047" s="191"/>
      <c r="J1047" s="192"/>
      <c r="K1047" s="192"/>
      <c r="L1047" s="140"/>
      <c r="M1047" s="191"/>
      <c r="N1047" s="191"/>
      <c r="O1047" s="191"/>
      <c r="P1047" s="191"/>
      <c r="Q1047" s="191"/>
      <c r="R1047" s="191"/>
      <c r="S1047" s="191"/>
      <c r="T1047" s="191"/>
      <c r="U1047" s="191"/>
      <c r="V1047" s="193"/>
      <c r="W1047" s="181"/>
      <c r="X1047" s="137" t="str">
        <f>IF(AND(H1046="-",G1046="-",F1046="-"),E1046,IF(AND(H1046="-",G1046="-",E1046="-"),F1046,IF(AND(H1046="-",F1046="-",E1046="-"),G1046,H1046)))</f>
        <v>-</v>
      </c>
      <c r="Z1047" s="183"/>
      <c r="AA1047" s="183"/>
    </row>
    <row r="1048" spans="1:27" s="182" customFormat="1" ht="15" customHeight="1">
      <c r="A1048" s="211"/>
      <c r="B1048" s="209"/>
      <c r="C1048" s="129"/>
      <c r="D1048" s="191"/>
      <c r="E1048" s="191"/>
      <c r="F1048" s="191"/>
      <c r="G1048" s="191"/>
      <c r="H1048" s="191"/>
      <c r="I1048" s="191"/>
      <c r="J1048" s="192"/>
      <c r="K1048" s="192"/>
      <c r="L1048" s="140"/>
      <c r="M1048" s="191"/>
      <c r="N1048" s="191"/>
      <c r="O1048" s="191"/>
      <c r="P1048" s="191"/>
      <c r="Q1048" s="191"/>
      <c r="R1048" s="191"/>
      <c r="S1048" s="191"/>
      <c r="T1048" s="191"/>
      <c r="U1048" s="191"/>
      <c r="V1048" s="193"/>
      <c r="W1048" s="181"/>
      <c r="X1048" s="137" t="s">
        <v>2</v>
      </c>
      <c r="Z1048" s="183"/>
      <c r="AA1048" s="183"/>
    </row>
    <row r="1049" spans="1:27" s="182" customFormat="1" ht="15" customHeight="1">
      <c r="A1049" s="210"/>
      <c r="B1049" s="206"/>
      <c r="C1049" s="294"/>
      <c r="D1049" s="191"/>
      <c r="E1049" s="191"/>
      <c r="F1049" s="191"/>
      <c r="G1049" s="191"/>
      <c r="H1049" s="191"/>
      <c r="I1049" s="191"/>
      <c r="J1049" s="192"/>
      <c r="K1049" s="192"/>
      <c r="L1049" s="140"/>
      <c r="M1049" s="191"/>
      <c r="N1049" s="191"/>
      <c r="O1049" s="191"/>
      <c r="P1049" s="191"/>
      <c r="Q1049" s="191"/>
      <c r="R1049" s="191"/>
      <c r="S1049" s="191"/>
      <c r="T1049" s="191"/>
      <c r="U1049" s="191"/>
      <c r="V1049" s="193"/>
      <c r="W1049" s="181"/>
      <c r="X1049" s="137"/>
      <c r="Z1049" s="183"/>
      <c r="AA1049" s="183"/>
    </row>
    <row r="1050" spans="1:27" s="182" customFormat="1" ht="15" customHeight="1" thickBot="1">
      <c r="A1050" s="210"/>
      <c r="B1050" s="505"/>
      <c r="C1050" s="505"/>
      <c r="D1050" s="508"/>
      <c r="E1050" s="508"/>
      <c r="F1050" s="508"/>
      <c r="G1050" s="508"/>
      <c r="H1050" s="508"/>
      <c r="I1050" s="508"/>
      <c r="J1050" s="508"/>
      <c r="K1050" s="508"/>
      <c r="L1050" s="508"/>
      <c r="M1050" s="508"/>
      <c r="N1050" s="508"/>
      <c r="O1050" s="508"/>
      <c r="P1050" s="508"/>
      <c r="Q1050" s="508"/>
      <c r="R1050" s="508"/>
      <c r="S1050" s="508"/>
      <c r="T1050" s="508"/>
      <c r="U1050" s="508"/>
      <c r="V1050" s="508"/>
      <c r="W1050" s="508"/>
      <c r="X1050" s="509"/>
      <c r="Z1050" s="183"/>
      <c r="AA1050" s="183"/>
    </row>
    <row r="1051" spans="1:27" s="182" customFormat="1" ht="15" customHeight="1" thickBot="1">
      <c r="A1051" s="211"/>
      <c r="B1051" s="510" t="str">
        <f>IF(X1052="","TIJOLO / TRONCO DE CONE - 3 TIJOLOS",X1052)</f>
        <v>TIJOLO / TRONCO DE CONE - 3 TIJOLOS</v>
      </c>
      <c r="C1051" s="648" t="s">
        <v>101</v>
      </c>
      <c r="D1051" s="649" t="s">
        <v>102</v>
      </c>
      <c r="E1051" s="649" t="s">
        <v>42</v>
      </c>
      <c r="F1051" s="649" t="s">
        <v>42</v>
      </c>
      <c r="G1051" s="649" t="s">
        <v>43</v>
      </c>
      <c r="H1051" s="649" t="s">
        <v>44</v>
      </c>
      <c r="I1051" s="649" t="s">
        <v>47</v>
      </c>
      <c r="J1051" s="649" t="s">
        <v>103</v>
      </c>
      <c r="K1051" s="649" t="s">
        <v>37</v>
      </c>
      <c r="L1051" s="649" t="s">
        <v>39</v>
      </c>
      <c r="M1051" s="649"/>
      <c r="N1051" s="649" t="s">
        <v>2251</v>
      </c>
      <c r="O1051" s="649" t="s">
        <v>2260</v>
      </c>
      <c r="P1051" s="649" t="s">
        <v>46</v>
      </c>
      <c r="Q1051" s="649" t="s">
        <v>62</v>
      </c>
      <c r="R1051" s="649"/>
      <c r="S1051" s="649"/>
      <c r="T1051" s="649"/>
      <c r="U1051" s="649"/>
      <c r="V1051" s="669" t="s">
        <v>27</v>
      </c>
      <c r="W1051" s="513"/>
      <c r="X1051" s="514"/>
      <c r="Z1051" s="183"/>
      <c r="AA1051" s="183"/>
    </row>
    <row r="1052" spans="1:27" s="182" customFormat="1" ht="15" customHeight="1" thickBot="1">
      <c r="A1052" s="211"/>
      <c r="B1052" s="190"/>
      <c r="C1052" s="129">
        <f>SUMIF(Densidades!A:A,'Memória TOTAL'!X1052,Densidades!B:B)</f>
        <v>0</v>
      </c>
      <c r="D1052" s="130">
        <f>SUMIF(Densidades!A:A,'Memória TOTAL'!X1052,Densidades!C:C)</f>
        <v>0</v>
      </c>
      <c r="E1052" s="131">
        <f>SUMIF(Formatos!A:A,'Memória TOTAL'!X1053,Formatos!E:E)</f>
        <v>0</v>
      </c>
      <c r="F1052" s="131">
        <f>SUMIF(Formatos!A:A,'Memória TOTAL'!X1053,Formatos!F:F)</f>
        <v>0</v>
      </c>
      <c r="G1052" s="131">
        <f>SUMIF(Formatos!A:A,'Memória TOTAL'!X1053,Formatos!C:C)</f>
        <v>0</v>
      </c>
      <c r="H1052" s="131">
        <f>SUMIF(Formatos!A:A,'Memória TOTAL'!X1053,Formatos!D:D)</f>
        <v>0</v>
      </c>
      <c r="I1052" s="131">
        <f>SUMIF(Densidades!A:A,'Memória TOTAL'!X1052,Densidades!H:H)</f>
        <v>0</v>
      </c>
      <c r="J1052" s="132">
        <f>SUMIF(Formatos!A:A,'Memória TOTAL'!X1053,Formatos!G:G)</f>
        <v>0</v>
      </c>
      <c r="K1052" s="218">
        <f>SUMIF(Densidades!A:A,'Memória TOTAL'!X1052,Densidades!I:I)</f>
        <v>0</v>
      </c>
      <c r="L1052" s="219">
        <v>0</v>
      </c>
      <c r="M1052" s="191"/>
      <c r="N1052" s="262"/>
      <c r="O1052" s="727"/>
      <c r="P1052" s="637"/>
      <c r="Q1052" s="727"/>
      <c r="R1052" s="191"/>
      <c r="S1052" s="191"/>
      <c r="T1052" s="228"/>
      <c r="U1052" s="231"/>
      <c r="V1052" s="670" t="str">
        <f>IF(SUM(S1066:S1116)=0,"-",SUM(S1066:S1116))</f>
        <v>-</v>
      </c>
      <c r="W1052" s="189" t="str">
        <f>IF(V1052="-","",ROUNDUP(SUM(V1052)*(1+L1052),0))</f>
        <v/>
      </c>
      <c r="X1052" s="259"/>
      <c r="Z1052" s="183"/>
      <c r="AA1052" s="183"/>
    </row>
    <row r="1053" spans="1:27" s="182" customFormat="1" ht="15" customHeight="1">
      <c r="A1053" s="211"/>
      <c r="B1053" s="190"/>
      <c r="C1053" s="196"/>
      <c r="D1053" s="191"/>
      <c r="E1053" s="191"/>
      <c r="F1053" s="191"/>
      <c r="G1053" s="191"/>
      <c r="H1053" s="191"/>
      <c r="I1053" s="191"/>
      <c r="J1053" s="192"/>
      <c r="K1053" s="192"/>
      <c r="L1053" s="140"/>
      <c r="M1053" s="191"/>
      <c r="N1053" s="191"/>
      <c r="O1053" s="191"/>
      <c r="P1053" s="191"/>
      <c r="Q1053" s="191"/>
      <c r="R1053" s="191"/>
      <c r="S1053" s="191"/>
      <c r="T1053" s="191"/>
      <c r="U1053" s="191"/>
      <c r="V1053" s="193"/>
      <c r="W1053" s="181"/>
      <c r="X1053" s="137" t="str">
        <f>IF(X1052="","",O1058)</f>
        <v/>
      </c>
      <c r="Z1053" s="183"/>
      <c r="AA1053" s="183"/>
    </row>
    <row r="1054" spans="1:27" s="182" customFormat="1" ht="15" customHeight="1">
      <c r="A1054" s="211"/>
      <c r="B1054" s="190"/>
      <c r="C1054" s="650"/>
      <c r="D1054" s="237"/>
      <c r="E1054" s="237"/>
      <c r="F1054" s="237"/>
      <c r="G1054" s="237"/>
      <c r="H1054" s="237"/>
      <c r="I1054" s="237"/>
      <c r="J1054" s="636"/>
      <c r="K1054" s="636"/>
      <c r="L1054" s="168"/>
      <c r="M1054" s="191"/>
      <c r="N1054" s="191"/>
      <c r="O1054" s="191"/>
      <c r="P1054" s="191"/>
      <c r="Q1054" s="191"/>
      <c r="R1054" s="191"/>
      <c r="S1054" s="191"/>
      <c r="T1054" s="191"/>
      <c r="U1054" s="191"/>
      <c r="V1054" s="193"/>
      <c r="W1054" s="181"/>
      <c r="X1054" s="137" t="s">
        <v>520</v>
      </c>
      <c r="Z1054" s="183"/>
      <c r="AA1054" s="183"/>
    </row>
    <row r="1055" spans="1:27" s="182" customFormat="1" ht="15" customHeight="1" thickBot="1">
      <c r="A1055" s="211"/>
      <c r="B1055" s="190"/>
      <c r="C1055" s="215" t="str">
        <f t="shared" ref="C1055:L1055" si="151">C1051</f>
        <v>Dens.</v>
      </c>
      <c r="D1055" s="651" t="str">
        <f t="shared" si="151"/>
        <v>Emb.</v>
      </c>
      <c r="E1055" s="651" t="str">
        <f t="shared" si="151"/>
        <v>Esp. Tij.</v>
      </c>
      <c r="F1055" s="651" t="str">
        <f t="shared" si="151"/>
        <v>Esp. Tij.</v>
      </c>
      <c r="G1055" s="651" t="str">
        <f t="shared" si="151"/>
        <v>Comp. Tij.</v>
      </c>
      <c r="H1055" s="651" t="str">
        <f t="shared" si="151"/>
        <v>Larg. Tij.</v>
      </c>
      <c r="I1055" s="651" t="str">
        <f t="shared" si="151"/>
        <v>Tipo Fator</v>
      </c>
      <c r="J1055" s="651" t="str">
        <f t="shared" si="151"/>
        <v>Vol.</v>
      </c>
      <c r="K1055" s="651" t="str">
        <f t="shared" si="151"/>
        <v>Class.</v>
      </c>
      <c r="L1055" s="651" t="str">
        <f t="shared" si="151"/>
        <v>Coefic. (%)</v>
      </c>
      <c r="M1055" s="191"/>
      <c r="N1055" s="191"/>
      <c r="O1055" s="191"/>
      <c r="P1055" s="191"/>
      <c r="Q1055" s="191"/>
      <c r="R1055" s="191"/>
      <c r="S1055" s="191"/>
      <c r="T1055" s="191"/>
      <c r="U1055" s="191"/>
      <c r="V1055" s="238"/>
      <c r="W1055" s="181"/>
      <c r="X1055" s="137"/>
      <c r="Z1055" s="183"/>
      <c r="AA1055" s="183"/>
    </row>
    <row r="1056" spans="1:27" s="182" customFormat="1" ht="15" customHeight="1" thickBot="1">
      <c r="A1056" s="211"/>
      <c r="B1056" s="190"/>
      <c r="C1056" s="129">
        <f>SUMIF(Densidades!A:A,'Memória TOTAL'!X1056,Densidades!B:B)</f>
        <v>0</v>
      </c>
      <c r="D1056" s="130">
        <f>SUMIF(Densidades!A:A,'Memória TOTAL'!X1056,Densidades!C:C)</f>
        <v>620</v>
      </c>
      <c r="E1056" s="131">
        <f>SUMIF(Formatos!A:A,'Memória TOTAL'!X1057,Formatos!E:E)</f>
        <v>0</v>
      </c>
      <c r="F1056" s="131">
        <f>SUMIF(Formatos!A:A,'Memória TOTAL'!X1057,Formatos!F:F)</f>
        <v>0</v>
      </c>
      <c r="G1056" s="131">
        <f>SUMIF(Formatos!A:A,'Memória TOTAL'!X1057,Formatos!C:C)</f>
        <v>0</v>
      </c>
      <c r="H1056" s="131">
        <f>SUMIF(Formatos!A:A,'Memória TOTAL'!X1057,Formatos!D:D)</f>
        <v>0</v>
      </c>
      <c r="I1056" s="131">
        <f>SUMIF(Densidades!A:A,'Memória TOTAL'!X1056,Densidades!H:H)</f>
        <v>0</v>
      </c>
      <c r="J1056" s="132">
        <f>SUMIF(Formatos!A:A,'Memória TOTAL'!X1057,Formatos!G:G)</f>
        <v>0</v>
      </c>
      <c r="K1056" s="218">
        <f>SUMIF(Densidades!A:A,'Memória TOTAL'!X1056,Densidades!I:I)</f>
        <v>177</v>
      </c>
      <c r="L1056" s="219">
        <v>0</v>
      </c>
      <c r="M1056" s="191"/>
      <c r="N1056" s="191"/>
      <c r="O1056" s="855" t="s">
        <v>1011</v>
      </c>
      <c r="P1056" s="856"/>
      <c r="Q1056" s="856"/>
      <c r="R1056" s="856"/>
      <c r="S1056" s="857"/>
      <c r="T1056" s="228"/>
      <c r="U1056" s="231"/>
      <c r="V1056" s="670" t="str">
        <f>IFERROR(IF(SUM(T1066:T1116)=0,"-",SUM(T1066:T1116)),"-")</f>
        <v>-</v>
      </c>
      <c r="W1056" s="189" t="str">
        <f>IF(V1056="-","",ROUNDUP(SUM(V1056)*(1+L1056),0))</f>
        <v/>
      </c>
      <c r="X1056" s="137" t="str">
        <f>IF(X1052="","",X1052)</f>
        <v/>
      </c>
      <c r="Z1056" s="183"/>
      <c r="AA1056" s="183"/>
    </row>
    <row r="1057" spans="1:27" s="182" customFormat="1" ht="15" customHeight="1" thickBot="1">
      <c r="A1057" s="211"/>
      <c r="B1057" s="190"/>
      <c r="C1057" s="196"/>
      <c r="D1057" s="191"/>
      <c r="E1057" s="191"/>
      <c r="F1057" s="191"/>
      <c r="G1057" s="191"/>
      <c r="H1057" s="191"/>
      <c r="I1057" s="191"/>
      <c r="J1057" s="192"/>
      <c r="K1057" s="192"/>
      <c r="L1057" s="140"/>
      <c r="M1057" s="191"/>
      <c r="N1057" s="636"/>
      <c r="O1057" s="655" t="s">
        <v>2258</v>
      </c>
      <c r="P1057" s="656" t="s">
        <v>1071</v>
      </c>
      <c r="Q1057" s="656" t="s">
        <v>2257</v>
      </c>
      <c r="R1057" s="656" t="s">
        <v>7</v>
      </c>
      <c r="S1057" s="671" t="s">
        <v>15</v>
      </c>
      <c r="T1057" s="191"/>
      <c r="U1057" s="191"/>
      <c r="V1057" s="193"/>
      <c r="W1057" s="181"/>
      <c r="X1057" s="137" t="str">
        <f>IF(X1056="","",O1059)</f>
        <v/>
      </c>
      <c r="Z1057" s="183"/>
      <c r="AA1057" s="183"/>
    </row>
    <row r="1058" spans="1:27" s="182" customFormat="1" ht="15" customHeight="1">
      <c r="A1058" s="211"/>
      <c r="B1058" s="190"/>
      <c r="C1058" s="650"/>
      <c r="D1058" s="237"/>
      <c r="E1058" s="237"/>
      <c r="F1058" s="237"/>
      <c r="G1058" s="237"/>
      <c r="H1058" s="237"/>
      <c r="I1058" s="237"/>
      <c r="J1058" s="636"/>
      <c r="K1058" s="636"/>
      <c r="L1058" s="168"/>
      <c r="M1058" s="191"/>
      <c r="N1058" s="652" t="s">
        <v>2252</v>
      </c>
      <c r="O1058" s="673"/>
      <c r="P1058" s="316" t="str">
        <f>IF(O1058="","",IF(VLOOKUP(O1058,Formatos!A:F,2,FALSE)="S",IF(VLOOKUP(O1059,Formatos!A:F,2,FALSE)="W",VLOOKUP(O1059,Formatos!A:F,4,FALSE),VLOOKUP(O1059,Formatos!A:F,3,FALSE)),IF(VLOOKUP(O1058,Formatos!A:F,2,FALSE)="W",VLOOKUP(O1058,Formatos!A:F,4,FALSE),VLOOKUP(O1058,Formatos!A:F,3,FALSE))))</f>
        <v/>
      </c>
      <c r="Q1058" s="316" t="str">
        <f>IF(O1058="","",IF(VLOOKUP(O1058,Formatos!A:F,2,FALSE)="S",IF(VLOOKUP(O1059,Formatos!A:F,2,FALSE)="W",VLOOKUP(O1059,Formatos!A:F,3,FALSE),VLOOKUP(O1059,Formatos!A:F,4,FALSE)),IF(VLOOKUP(O1058,Formatos!A:F,2,FALSE)="W",VLOOKUP(O1058,Formatos!A:F,3,FALSE),VLOOKUP(O1058,Formatos!A:F,4,FALSE))))</f>
        <v/>
      </c>
      <c r="R1058" s="676" t="str">
        <f>IF(O1058="","",VLOOKUP(O1058,Formatos!A:F,5,FALSE)+P1052)</f>
        <v/>
      </c>
      <c r="S1058" s="677" t="str">
        <f>IF(O1058="","",VLOOKUP(O1058,Formatos!A:F,6,FALSE)+P1052)</f>
        <v/>
      </c>
      <c r="T1058" s="191"/>
      <c r="U1058" s="191"/>
      <c r="V1058" s="193"/>
      <c r="W1058" s="181"/>
      <c r="X1058" s="137" t="s">
        <v>520</v>
      </c>
      <c r="Z1058" s="183"/>
      <c r="AA1058" s="183"/>
    </row>
    <row r="1059" spans="1:27" s="182" customFormat="1" ht="15" customHeight="1" thickBot="1">
      <c r="A1059" s="211"/>
      <c r="B1059" s="190"/>
      <c r="C1059" s="215" t="str">
        <f t="shared" ref="C1059:L1059" si="152">C1055</f>
        <v>Dens.</v>
      </c>
      <c r="D1059" s="651" t="str">
        <f t="shared" si="152"/>
        <v>Emb.</v>
      </c>
      <c r="E1059" s="651" t="str">
        <f t="shared" si="152"/>
        <v>Esp. Tij.</v>
      </c>
      <c r="F1059" s="651" t="str">
        <f t="shared" si="152"/>
        <v>Esp. Tij.</v>
      </c>
      <c r="G1059" s="651" t="str">
        <f t="shared" si="152"/>
        <v>Comp. Tij.</v>
      </c>
      <c r="H1059" s="651" t="str">
        <f t="shared" si="152"/>
        <v>Larg. Tij.</v>
      </c>
      <c r="I1059" s="651" t="str">
        <f t="shared" si="152"/>
        <v>Tipo Fator</v>
      </c>
      <c r="J1059" s="651" t="str">
        <f t="shared" si="152"/>
        <v>Vol.</v>
      </c>
      <c r="K1059" s="651" t="str">
        <f t="shared" si="152"/>
        <v>Class.</v>
      </c>
      <c r="L1059" s="651" t="str">
        <f t="shared" si="152"/>
        <v>Coefic. (%)</v>
      </c>
      <c r="M1059" s="191"/>
      <c r="N1059" s="653" t="s">
        <v>2253</v>
      </c>
      <c r="O1059" s="674"/>
      <c r="P1059" s="316" t="str">
        <f>IF(O1059="","",IF(VLOOKUP(O1059,Formatos!A:F,2,FALSE)="S",IF(VLOOKUP(O1060,Formatos!A:F,2,FALSE)="W",VLOOKUP(O1060,Formatos!A:F,4,FALSE),VLOOKUP(O1060,Formatos!A:F,3,FALSE)),IF(VLOOKUP(O1059,Formatos!A:F,2,FALSE)="W",VLOOKUP(O1059,Formatos!A:F,4,FALSE),VLOOKUP(O1059,Formatos!A:F,3,FALSE))))</f>
        <v/>
      </c>
      <c r="Q1059" s="316" t="str">
        <f>IF(O1059="","",IF(VLOOKUP(O1059,Formatos!A:F,2,FALSE)="S",IF(VLOOKUP(O1060,Formatos!A:F,2,FALSE)="W",VLOOKUP(O1060,Formatos!A:F,3,FALSE),VLOOKUP(O1060,Formatos!A:F,4,FALSE)),IF(VLOOKUP(O1059,Formatos!A:F,2,FALSE)="W",VLOOKUP(O1059,Formatos!A:F,3,FALSE),VLOOKUP(O1059,Formatos!A:F,4,FALSE))))</f>
        <v/>
      </c>
      <c r="R1059" s="676" t="str">
        <f>IF(O1059="","",VLOOKUP(O1059,Formatos!A:F,5,FALSE)+P1052)</f>
        <v/>
      </c>
      <c r="S1059" s="677" t="str">
        <f>IF(O1059="","",VLOOKUP(O1059,Formatos!A:F,6,FALSE)+P1052)</f>
        <v/>
      </c>
      <c r="T1059" s="191"/>
      <c r="U1059" s="191"/>
      <c r="V1059" s="238"/>
      <c r="W1059" s="181"/>
      <c r="X1059" s="137"/>
      <c r="Z1059" s="183"/>
      <c r="AA1059" s="183"/>
    </row>
    <row r="1060" spans="1:27" s="182" customFormat="1" ht="15" customHeight="1" thickBot="1">
      <c r="A1060" s="211"/>
      <c r="B1060" s="190"/>
      <c r="C1060" s="129">
        <f>SUMIF(Densidades!A:A,'Memória TOTAL'!X1060,Densidades!B:B)</f>
        <v>0</v>
      </c>
      <c r="D1060" s="130">
        <f>SUMIF(Densidades!A:A,'Memória TOTAL'!X1060,Densidades!C:C)</f>
        <v>620</v>
      </c>
      <c r="E1060" s="131">
        <f>SUMIF(Formatos!A:A,'Memória TOTAL'!X1061,Formatos!E:E)</f>
        <v>0</v>
      </c>
      <c r="F1060" s="131">
        <f>SUMIF(Formatos!A:A,'Memória TOTAL'!X1061,Formatos!F:F)</f>
        <v>0</v>
      </c>
      <c r="G1060" s="131">
        <f>SUMIF(Formatos!A:A,'Memória TOTAL'!X1061,Formatos!C:C)</f>
        <v>0</v>
      </c>
      <c r="H1060" s="131">
        <f>SUMIF(Formatos!A:A,'Memória TOTAL'!X1061,Formatos!D:D)</f>
        <v>0</v>
      </c>
      <c r="I1060" s="131">
        <f>SUMIF(Densidades!A:A,'Memória TOTAL'!X1060,Densidades!H:H)</f>
        <v>0</v>
      </c>
      <c r="J1060" s="132">
        <f>SUMIF(Formatos!A:A,'Memória TOTAL'!X1061,Formatos!G:G)</f>
        <v>0</v>
      </c>
      <c r="K1060" s="218">
        <f>SUMIF(Densidades!A:A,'Memória TOTAL'!X1060,Densidades!I:I)</f>
        <v>177</v>
      </c>
      <c r="L1060" s="219">
        <v>0</v>
      </c>
      <c r="M1060" s="191"/>
      <c r="N1060" s="654" t="s">
        <v>2254</v>
      </c>
      <c r="O1060" s="675"/>
      <c r="P1060" s="672" t="str">
        <f>IF(O1060="","",IF(VLOOKUP(O1060,Formatos!A:F,2,FALSE)="S",IF(VLOOKUP(#REF!,Formatos!A:F,2,FALSE)="W",VLOOKUP(#REF!,Formatos!A:F,4,FALSE),VLOOKUP(#REF!,Formatos!A:F,3,FALSE)),IF(VLOOKUP(O1060,Formatos!A:F,2,FALSE)="W",VLOOKUP(O1060,Formatos!A:F,4,FALSE),VLOOKUP(O1060,Formatos!A:F,3,FALSE))))</f>
        <v/>
      </c>
      <c r="Q1060" s="672" t="str">
        <f>IF(O1060="","",IF(VLOOKUP(O1060,Formatos!A:F,2,FALSE)="S",IF(VLOOKUP(#REF!,Formatos!A:F,2,FALSE)="W",VLOOKUP(#REF!,Formatos!A:F,3,FALSE),VLOOKUP(#REF!,Formatos!A:F,4,FALSE)),IF(VLOOKUP(O1060,Formatos!A:F,2,FALSE)="W",VLOOKUP(O1060,Formatos!A:F,3,FALSE),VLOOKUP(O1060,Formatos!A:F,4,FALSE))))</f>
        <v/>
      </c>
      <c r="R1060" s="678" t="str">
        <f>IF(O1060="","",VLOOKUP(O1060,Formatos!A:F,5,FALSE)+P1052)</f>
        <v/>
      </c>
      <c r="S1060" s="679" t="str">
        <f>IF(O1060="","",VLOOKUP(O1060,Formatos!A:F,6,FALSE)+P1052)</f>
        <v/>
      </c>
      <c r="T1060" s="228"/>
      <c r="U1060" s="231"/>
      <c r="V1060" s="670" t="str">
        <f>IFERROR(IF(SUM(U1066:U1116)=0,"-",SUM(U1066:U1116)),"-")</f>
        <v>-</v>
      </c>
      <c r="W1060" s="189" t="str">
        <f>IF(V1060="-","",ROUNDUP(SUM(V1060)*(1+L1060),0))</f>
        <v/>
      </c>
      <c r="X1060" s="137" t="str">
        <f>X1056</f>
        <v/>
      </c>
      <c r="Z1060" s="183"/>
      <c r="AA1060" s="183"/>
    </row>
    <row r="1061" spans="1:27" s="182" customFormat="1" ht="15" customHeight="1">
      <c r="A1061" s="211"/>
      <c r="B1061" s="190"/>
      <c r="C1061" s="196"/>
      <c r="D1061" s="191"/>
      <c r="E1061" s="191"/>
      <c r="F1061" s="191"/>
      <c r="G1061" s="191"/>
      <c r="H1061" s="191"/>
      <c r="I1061" s="191"/>
      <c r="J1061" s="192"/>
      <c r="K1061" s="192"/>
      <c r="L1061" s="140"/>
      <c r="M1061" s="191"/>
      <c r="N1061" s="191"/>
      <c r="O1061" s="191"/>
      <c r="P1061" s="191"/>
      <c r="Q1061" s="191"/>
      <c r="R1061" s="191"/>
      <c r="S1061" s="191"/>
      <c r="T1061" s="191"/>
      <c r="U1061" s="191"/>
      <c r="V1061" s="193"/>
      <c r="W1061" s="181"/>
      <c r="X1061" s="137" t="str">
        <f>IF(X1060="","",O1060)</f>
        <v/>
      </c>
      <c r="Z1061" s="183"/>
      <c r="AA1061" s="183"/>
    </row>
    <row r="1062" spans="1:27" s="182" customFormat="1" ht="15" customHeight="1">
      <c r="A1062" s="211"/>
      <c r="B1062" s="190"/>
      <c r="C1062" s="196"/>
      <c r="D1062" s="191"/>
      <c r="E1062" s="191"/>
      <c r="F1062" s="191"/>
      <c r="G1062" s="191"/>
      <c r="H1062" s="191"/>
      <c r="I1062" s="191"/>
      <c r="J1062" s="192"/>
      <c r="K1062" s="192"/>
      <c r="L1062" s="140"/>
      <c r="M1062" s="191"/>
      <c r="N1062" s="191"/>
      <c r="O1062" s="191"/>
      <c r="P1062" s="191"/>
      <c r="Q1062" s="191"/>
      <c r="R1062" s="191"/>
      <c r="S1062" s="191"/>
      <c r="T1062" s="191"/>
      <c r="U1062" s="191"/>
      <c r="V1062" s="193"/>
      <c r="W1062" s="181"/>
      <c r="X1062" s="137" t="s">
        <v>520</v>
      </c>
      <c r="Z1062" s="183"/>
      <c r="AA1062" s="183"/>
    </row>
    <row r="1063" spans="1:27" s="182" customFormat="1" ht="15" customHeight="1" thickBot="1">
      <c r="A1063" s="211"/>
      <c r="B1063" s="190"/>
      <c r="C1063" s="196"/>
      <c r="D1063" s="191"/>
      <c r="E1063" s="191"/>
      <c r="F1063" s="191"/>
      <c r="G1063" s="191"/>
      <c r="H1063" s="191"/>
      <c r="I1063" s="191"/>
      <c r="J1063" s="192"/>
      <c r="K1063" s="192"/>
      <c r="L1063" s="192"/>
      <c r="M1063" s="191"/>
      <c r="N1063" s="191"/>
      <c r="O1063" s="191"/>
      <c r="P1063" s="191"/>
      <c r="Q1063" s="191"/>
      <c r="R1063" s="191"/>
      <c r="S1063" s="237"/>
      <c r="T1063" s="237"/>
      <c r="U1063" s="237"/>
      <c r="V1063" s="193"/>
      <c r="W1063" s="181"/>
      <c r="X1063" s="137"/>
      <c r="Z1063" s="183"/>
      <c r="AA1063" s="183"/>
    </row>
    <row r="1064" spans="1:27" s="182" customFormat="1" ht="15" customHeight="1" thickBot="1">
      <c r="A1064" s="211"/>
      <c r="B1064" s="190"/>
      <c r="C1064" s="650"/>
      <c r="D1064" s="232"/>
      <c r="E1064" s="191"/>
      <c r="F1064" s="191"/>
      <c r="G1064" s="191"/>
      <c r="H1064" s="191"/>
      <c r="I1064" s="191"/>
      <c r="J1064" s="192"/>
      <c r="K1064" s="635"/>
      <c r="L1064" s="636"/>
      <c r="M1064" s="237"/>
      <c r="N1064" s="237"/>
      <c r="O1064" s="237"/>
      <c r="P1064" s="661" t="s">
        <v>2252</v>
      </c>
      <c r="Q1064" s="667" t="s">
        <v>2253</v>
      </c>
      <c r="R1064" s="728" t="s">
        <v>2254</v>
      </c>
      <c r="S1064" s="661" t="s">
        <v>2252</v>
      </c>
      <c r="T1064" s="667" t="s">
        <v>2253</v>
      </c>
      <c r="U1064" s="668" t="s">
        <v>2254</v>
      </c>
      <c r="V1064" s="329"/>
      <c r="W1064" s="181"/>
      <c r="X1064" s="137"/>
      <c r="Z1064" s="183"/>
      <c r="AA1064" s="183"/>
    </row>
    <row r="1065" spans="1:27" s="182" customFormat="1" ht="15" customHeight="1" thickBot="1">
      <c r="A1065" s="211"/>
      <c r="B1065" s="190"/>
      <c r="C1065" s="660" t="s">
        <v>2259</v>
      </c>
      <c r="D1065" s="232"/>
      <c r="E1065" s="191"/>
      <c r="F1065" s="191"/>
      <c r="G1065" s="191"/>
      <c r="H1065" s="191"/>
      <c r="I1065" s="191"/>
      <c r="J1065" s="192"/>
      <c r="K1065" s="635"/>
      <c r="L1065" s="661" t="s">
        <v>2251</v>
      </c>
      <c r="M1065" s="662" t="s">
        <v>2255</v>
      </c>
      <c r="N1065" s="663" t="s">
        <v>2256</v>
      </c>
      <c r="O1065" s="664" t="s">
        <v>1018</v>
      </c>
      <c r="P1065" s="665" t="str">
        <f>IF(O1058="","",O1058)</f>
        <v/>
      </c>
      <c r="Q1065" s="666" t="str">
        <f>IF(O1059="","",O1059)</f>
        <v/>
      </c>
      <c r="R1065" s="729" t="str">
        <f>IF(O1060="","",O1060)</f>
        <v/>
      </c>
      <c r="S1065" s="730" t="str">
        <f>IF(O1058="","",O1058)</f>
        <v/>
      </c>
      <c r="T1065" s="731" t="str">
        <f>IF(O1059="","",O1059)</f>
        <v/>
      </c>
      <c r="U1065" s="732" t="str">
        <f>IF(O1060="","",O1060)</f>
        <v/>
      </c>
      <c r="V1065" s="329"/>
      <c r="W1065" s="181"/>
      <c r="X1065" s="137"/>
      <c r="Z1065" s="183"/>
      <c r="AA1065" s="183"/>
    </row>
    <row r="1066" spans="1:27" s="182" customFormat="1" ht="15" customHeight="1">
      <c r="A1066" s="211"/>
      <c r="B1066" s="164"/>
      <c r="C1066" s="657" t="str">
        <f>IF(Q1052="","",1)</f>
        <v/>
      </c>
      <c r="D1066" s="232"/>
      <c r="E1066" s="191"/>
      <c r="F1066" s="191"/>
      <c r="G1066" s="191"/>
      <c r="H1066" s="191"/>
      <c r="I1066" s="191"/>
      <c r="J1066" s="192"/>
      <c r="K1066" s="635"/>
      <c r="L1066" s="640" t="str">
        <f>IF(C1066="","",N1052)</f>
        <v/>
      </c>
      <c r="M1066" s="684" t="str">
        <f>IF(C1066="","",L1066-Q1059*COS(O1052*PI()/180))</f>
        <v/>
      </c>
      <c r="N1066" s="685" t="str">
        <f>IF(C1066="","",L1066+P1059*SIN(O1052*PI()/180))</f>
        <v/>
      </c>
      <c r="O1066" s="645"/>
      <c r="P1066" s="680" t="str">
        <f>IF(C1066="","",(PI()*O1066/180*(R1060*M1066-N1066*S1060)-Q1066*(S1059*R1060-S1060*R1059))/S1058/(R1060-S1060))</f>
        <v/>
      </c>
      <c r="Q1066" s="681" t="str">
        <f>IF(C1066="","",O1066/180*PI()*(L1066-M1066)/(R1059-S1059))</f>
        <v/>
      </c>
      <c r="R1066" s="733" t="str">
        <f>IF(C1066="","",(O1066/180*PI()*N1066-Q1066*R1059-S1066*S1058)/R1060)</f>
        <v/>
      </c>
      <c r="S1066" s="734" t="str">
        <f>IF(C1066="","",ROUNDUP(P1066,0))</f>
        <v/>
      </c>
      <c r="T1066" s="735" t="str">
        <f>IF(C1066="","",ROUNDUP(Q1066,0))</f>
        <v/>
      </c>
      <c r="U1066" s="736" t="str">
        <f>IF(C1066="","",ROUND((ROUNDUP(MAX($R$429:$R$478),0))*O1066/360,0))</f>
        <v/>
      </c>
      <c r="V1066" s="329"/>
      <c r="W1066" s="181"/>
      <c r="X1066" s="137"/>
      <c r="Z1066" s="183"/>
      <c r="AA1066" s="183"/>
    </row>
    <row r="1067" spans="1:27" s="182" customFormat="1" ht="15" customHeight="1">
      <c r="A1067" s="211"/>
      <c r="B1067" s="164"/>
      <c r="C1067" s="658" t="str">
        <f>IF(Q1052="","",IF(C1066="","",IF(C1066+1&lt;=Q1052,C1066+1,"")))</f>
        <v/>
      </c>
      <c r="D1067" s="232"/>
      <c r="E1067" s="191"/>
      <c r="F1067" s="191"/>
      <c r="G1067" s="191"/>
      <c r="H1067" s="191"/>
      <c r="I1067" s="191"/>
      <c r="J1067" s="192"/>
      <c r="K1067" s="635"/>
      <c r="L1067" s="641" t="str">
        <f>IF(C1067="","",N1066)</f>
        <v/>
      </c>
      <c r="M1067" s="643" t="str">
        <f>IF(C1067="","",L1067-Q1059*COS(O1052*PI()/180))</f>
        <v/>
      </c>
      <c r="N1067" s="644" t="str">
        <f>IF(C1067="","",L1067+P1059*SIN(O1052*PI()/180))</f>
        <v/>
      </c>
      <c r="O1067" s="638"/>
      <c r="P1067" s="646" t="str">
        <f>IF(C1067="","",(PI()*O1067/180*(R1060*M1067-N1067*S1060)-Q1067*(S1059*R1060-S1060*R1059))/S1058/(R1060-S1060))</f>
        <v/>
      </c>
      <c r="Q1067" s="647" t="str">
        <f>IF(C1067="","",O1067/180*PI()*(L1067-M1067)/(R1059-S1059))</f>
        <v/>
      </c>
      <c r="R1067" s="737" t="str">
        <f>IF(C1067="","",(O1067/180*PI()*N1067-Q1067*R1059-S1067*S1058)/R1060)</f>
        <v/>
      </c>
      <c r="S1067" s="734" t="str">
        <f t="shared" ref="S1067:S1115" si="153">IF(C1067="","",ROUNDUP(P1067,0))</f>
        <v/>
      </c>
      <c r="T1067" s="735" t="str">
        <f t="shared" ref="T1067:T1115" si="154">IF(C1067="","",ROUNDUP(Q1067,0))</f>
        <v/>
      </c>
      <c r="U1067" s="736" t="str">
        <f t="shared" ref="U1067:U1115" si="155">IF(C1067="","",ROUND((ROUNDUP(MAX($R$429:$R$478),0))*O1067/360,0))</f>
        <v/>
      </c>
      <c r="V1067" s="329"/>
      <c r="W1067" s="181"/>
      <c r="X1067" s="137"/>
      <c r="Z1067" s="183"/>
      <c r="AA1067" s="183"/>
    </row>
    <row r="1068" spans="1:27" s="182" customFormat="1" ht="15" customHeight="1">
      <c r="A1068" s="211"/>
      <c r="B1068" s="164"/>
      <c r="C1068" s="658" t="str">
        <f>IF(Q1052="","",IF(C1067="","",IF(C1067+1&lt;=Q1052,C1067+1,"")))</f>
        <v/>
      </c>
      <c r="D1068" s="232"/>
      <c r="E1068" s="191"/>
      <c r="F1068" s="191"/>
      <c r="G1068" s="191"/>
      <c r="H1068" s="191"/>
      <c r="I1068" s="191"/>
      <c r="J1068" s="192"/>
      <c r="K1068" s="635"/>
      <c r="L1068" s="641" t="str">
        <f t="shared" ref="L1068:L1115" si="156">IF(C1068="","",N1067)</f>
        <v/>
      </c>
      <c r="M1068" s="643" t="str">
        <f>IF(C1068="","",L1068-Q1059*COS(O1052*PI()/180))</f>
        <v/>
      </c>
      <c r="N1068" s="644" t="str">
        <f>IF(C1068="","",L1068+P1059*SIN(O1052*PI()/180))</f>
        <v/>
      </c>
      <c r="O1068" s="638"/>
      <c r="P1068" s="646" t="str">
        <f>IF(C1068="","",(PI()*O1068/180*(R1060*M1068-N1068*S1060)-Q1068*(S1059*R1060-S1060*R1059))/S1058/(R1060-S1060))</f>
        <v/>
      </c>
      <c r="Q1068" s="647" t="str">
        <f>IF(C1068="","",O1068/180*PI()*(L1068-M1068)/(R1059-S1059))</f>
        <v/>
      </c>
      <c r="R1068" s="737" t="str">
        <f>IF(C1068="","",(O1068/180*PI()*N1068-Q1068*R1059-S1068*S1058)/R1060)</f>
        <v/>
      </c>
      <c r="S1068" s="734" t="str">
        <f t="shared" si="153"/>
        <v/>
      </c>
      <c r="T1068" s="735" t="str">
        <f t="shared" si="154"/>
        <v/>
      </c>
      <c r="U1068" s="736" t="str">
        <f t="shared" si="155"/>
        <v/>
      </c>
      <c r="V1068" s="329"/>
      <c r="W1068" s="181"/>
      <c r="X1068" s="137"/>
      <c r="Z1068" s="183"/>
      <c r="AA1068" s="183"/>
    </row>
    <row r="1069" spans="1:27" s="182" customFormat="1" ht="15" customHeight="1">
      <c r="A1069" s="211"/>
      <c r="B1069" s="164"/>
      <c r="C1069" s="658" t="str">
        <f>IF(Q1052="","",IF(C1068="","",IF(C1068+1&lt;=Q1052,C1068+1,"")))</f>
        <v/>
      </c>
      <c r="D1069" s="232"/>
      <c r="E1069" s="191"/>
      <c r="F1069" s="191"/>
      <c r="G1069" s="191"/>
      <c r="H1069" s="191"/>
      <c r="I1069" s="191"/>
      <c r="J1069" s="192"/>
      <c r="K1069" s="635"/>
      <c r="L1069" s="641" t="str">
        <f t="shared" si="156"/>
        <v/>
      </c>
      <c r="M1069" s="643" t="str">
        <f>IF(C1069="","",L1069-Q1059*COS(O1052*PI()/180))</f>
        <v/>
      </c>
      <c r="N1069" s="644" t="str">
        <f>IF(C1069="","",L1069+P1059*SIN(O1052*PI()/180))</f>
        <v/>
      </c>
      <c r="O1069" s="638"/>
      <c r="P1069" s="646" t="str">
        <f>IF(C1069="","",(PI()*O1069/180*(R1060*M1069-N1069*S1060)-Q1069*(S1059*R1060-S1060*R1059))/S1058/(R1060-S1060))</f>
        <v/>
      </c>
      <c r="Q1069" s="647" t="str">
        <f>IF(C1069="","",O1069/180*PI()*(L1069-M1069)/(R1059-S1059))</f>
        <v/>
      </c>
      <c r="R1069" s="737" t="str">
        <f>IF(C1069="","",(O1069/180*PI()*N1069-Q1069*R1059-S1069*S1058)/R1060)</f>
        <v/>
      </c>
      <c r="S1069" s="734" t="str">
        <f t="shared" si="153"/>
        <v/>
      </c>
      <c r="T1069" s="735" t="str">
        <f t="shared" si="154"/>
        <v/>
      </c>
      <c r="U1069" s="736" t="str">
        <f t="shared" si="155"/>
        <v/>
      </c>
      <c r="V1069" s="329"/>
      <c r="W1069" s="181"/>
      <c r="X1069" s="137"/>
      <c r="Z1069" s="183"/>
      <c r="AA1069" s="183"/>
    </row>
    <row r="1070" spans="1:27" s="182" customFormat="1" ht="15" customHeight="1">
      <c r="A1070" s="211"/>
      <c r="B1070" s="164"/>
      <c r="C1070" s="658" t="str">
        <f>IF(Q1052="","",IF(C1069="","",IF(C1069+1&lt;=Q1052,C1069+1,"")))</f>
        <v/>
      </c>
      <c r="D1070" s="232"/>
      <c r="E1070" s="191"/>
      <c r="F1070" s="191"/>
      <c r="G1070" s="191"/>
      <c r="H1070" s="191"/>
      <c r="I1070" s="191"/>
      <c r="J1070" s="192"/>
      <c r="K1070" s="635"/>
      <c r="L1070" s="641" t="str">
        <f t="shared" si="156"/>
        <v/>
      </c>
      <c r="M1070" s="643" t="str">
        <f>IF(C1070="","",L1070-Q1059*COS(O1052*PI()/180))</f>
        <v/>
      </c>
      <c r="N1070" s="644" t="str">
        <f>IF(C1070="","",L1070+P1059*SIN(O1052*PI()/180))</f>
        <v/>
      </c>
      <c r="O1070" s="638"/>
      <c r="P1070" s="646" t="str">
        <f>IF(C1070="","",(PI()*O1070/180*(R1060*M1070-N1070*S1060)-Q1070*(S1059*R1060-S1060*R1059))/S1058/(R1060-S1060))</f>
        <v/>
      </c>
      <c r="Q1070" s="647" t="str">
        <f>IF(C1070="","",O1070/180*PI()*(L1070-M1070)/(R1059-S1059))</f>
        <v/>
      </c>
      <c r="R1070" s="737" t="str">
        <f>IF(C1070="","",(O1070/180*PI()*N1070-Q1070*R1059-S1070*S1058)/R1060)</f>
        <v/>
      </c>
      <c r="S1070" s="734" t="str">
        <f t="shared" si="153"/>
        <v/>
      </c>
      <c r="T1070" s="735" t="str">
        <f t="shared" si="154"/>
        <v/>
      </c>
      <c r="U1070" s="736" t="str">
        <f t="shared" si="155"/>
        <v/>
      </c>
      <c r="V1070" s="329"/>
      <c r="W1070" s="181"/>
      <c r="X1070" s="137"/>
      <c r="Z1070" s="183"/>
      <c r="AA1070" s="183"/>
    </row>
    <row r="1071" spans="1:27" s="182" customFormat="1" ht="15" customHeight="1">
      <c r="A1071" s="211"/>
      <c r="B1071" s="164"/>
      <c r="C1071" s="658" t="str">
        <f>IF(Q1052="","",IF(C1070="","",IF(C1070+1&lt;=Q1052,C1070+1,"")))</f>
        <v/>
      </c>
      <c r="D1071" s="232"/>
      <c r="E1071" s="191"/>
      <c r="F1071" s="191"/>
      <c r="G1071" s="191"/>
      <c r="H1071" s="191"/>
      <c r="I1071" s="191"/>
      <c r="J1071" s="192"/>
      <c r="K1071" s="635"/>
      <c r="L1071" s="641" t="str">
        <f t="shared" si="156"/>
        <v/>
      </c>
      <c r="M1071" s="643" t="str">
        <f>IF(C1071="","",L1071-Q1059*COS(O1052*PI()/180))</f>
        <v/>
      </c>
      <c r="N1071" s="644" t="str">
        <f>IF(C1071="","",L1071+P1059*SIN(O1052*PI()/180))</f>
        <v/>
      </c>
      <c r="O1071" s="638"/>
      <c r="P1071" s="646" t="str">
        <f>IF(C1071="","",(PI()*O1071/180*(R1060*M1071-N1071*S1060)-Q1071*(S1059*R1060-S1060*R1059))/S1058/(R1060-S1060))</f>
        <v/>
      </c>
      <c r="Q1071" s="647" t="str">
        <f>IF(C1071="","",O1071/180*PI()*(L1071-M1071)/(R1059-S1059))</f>
        <v/>
      </c>
      <c r="R1071" s="737" t="str">
        <f>IF(C1071="","",(O1071/180*PI()*N1071-Q1071*R1059-S1071*S1058)/R1060)</f>
        <v/>
      </c>
      <c r="S1071" s="734" t="str">
        <f t="shared" si="153"/>
        <v/>
      </c>
      <c r="T1071" s="735" t="str">
        <f t="shared" si="154"/>
        <v/>
      </c>
      <c r="U1071" s="736" t="str">
        <f t="shared" si="155"/>
        <v/>
      </c>
      <c r="V1071" s="329"/>
      <c r="W1071" s="181"/>
      <c r="X1071" s="137"/>
      <c r="Z1071" s="183"/>
      <c r="AA1071" s="183"/>
    </row>
    <row r="1072" spans="1:27" s="182" customFormat="1" ht="15" customHeight="1">
      <c r="A1072" s="211"/>
      <c r="B1072" s="164"/>
      <c r="C1072" s="658" t="str">
        <f>IF(Q1052="","",IF(C1071="","",IF(C1071+1&lt;=Q1052,C1071+1,"")))</f>
        <v/>
      </c>
      <c r="D1072" s="232"/>
      <c r="E1072" s="191"/>
      <c r="F1072" s="191"/>
      <c r="G1072" s="191"/>
      <c r="H1072" s="191"/>
      <c r="I1072" s="191"/>
      <c r="J1072" s="192"/>
      <c r="K1072" s="635"/>
      <c r="L1072" s="641" t="str">
        <f t="shared" si="156"/>
        <v/>
      </c>
      <c r="M1072" s="643" t="str">
        <f>IF(C1072="","",L1072-Q1059*COS(O1052*PI()/180))</f>
        <v/>
      </c>
      <c r="N1072" s="644" t="str">
        <f>IF(C1072="","",L1072+P1059*SIN(O1052*PI()/180))</f>
        <v/>
      </c>
      <c r="O1072" s="638"/>
      <c r="P1072" s="646" t="str">
        <f>IF(C1072="","",(PI()*O1072/180*(R1060*M1072-N1072*S1060)-Q1072*(S1059*R1060-S1060*R1059))/S1058/(R1060-S1060))</f>
        <v/>
      </c>
      <c r="Q1072" s="647" t="str">
        <f>IF(C1072="","",O1072/180*PI()*(L1072-M1072)/(R1059-S1059))</f>
        <v/>
      </c>
      <c r="R1072" s="737" t="str">
        <f>IF(C1072="","",(O1072/180*PI()*N1072-Q1072*R1059-S1072*S1058)/R1060)</f>
        <v/>
      </c>
      <c r="S1072" s="734" t="str">
        <f t="shared" si="153"/>
        <v/>
      </c>
      <c r="T1072" s="735" t="str">
        <f t="shared" si="154"/>
        <v/>
      </c>
      <c r="U1072" s="736" t="str">
        <f t="shared" si="155"/>
        <v/>
      </c>
      <c r="V1072" s="329"/>
      <c r="W1072" s="181"/>
      <c r="X1072" s="137"/>
      <c r="Z1072" s="183"/>
      <c r="AA1072" s="183"/>
    </row>
    <row r="1073" spans="1:27" s="182" customFormat="1" ht="15" customHeight="1">
      <c r="A1073" s="211"/>
      <c r="B1073" s="164"/>
      <c r="C1073" s="658" t="str">
        <f>IF(Q1052="","",IF(C1072="","",IF(C1072+1&lt;=Q1052,C1072+1,"")))</f>
        <v/>
      </c>
      <c r="D1073" s="232"/>
      <c r="E1073" s="191"/>
      <c r="F1073" s="191"/>
      <c r="G1073" s="191"/>
      <c r="H1073" s="191"/>
      <c r="I1073" s="191"/>
      <c r="J1073" s="192"/>
      <c r="K1073" s="635"/>
      <c r="L1073" s="641" t="str">
        <f t="shared" si="156"/>
        <v/>
      </c>
      <c r="M1073" s="643" t="str">
        <f>IF(C1073="","",L1073-Q1059*COS(O1052*PI()/180))</f>
        <v/>
      </c>
      <c r="N1073" s="644" t="str">
        <f>IF(C1073="","",L1073+P1059*SIN(O1052*PI()/180))</f>
        <v/>
      </c>
      <c r="O1073" s="638"/>
      <c r="P1073" s="646" t="str">
        <f>IF(C1073="","",(PI()*O1073/180*(R1060*M1073-N1073*S1060)-Q1073*(S1059*R1060-S1060*R1059))/S1058/(R1060-S1060))</f>
        <v/>
      </c>
      <c r="Q1073" s="647" t="str">
        <f>IF(C1073="","",O1073/180*PI()*(L1073-M1073)/(R1059-S1059))</f>
        <v/>
      </c>
      <c r="R1073" s="737" t="str">
        <f>IF(C1073="","",(O1073/180*PI()*N1073-Q1073*R1059-S1073*S1058)/R1060)</f>
        <v/>
      </c>
      <c r="S1073" s="734" t="str">
        <f t="shared" si="153"/>
        <v/>
      </c>
      <c r="T1073" s="735" t="str">
        <f t="shared" si="154"/>
        <v/>
      </c>
      <c r="U1073" s="736" t="str">
        <f t="shared" si="155"/>
        <v/>
      </c>
      <c r="V1073" s="329"/>
      <c r="W1073" s="181"/>
      <c r="X1073" s="137"/>
      <c r="Z1073" s="183"/>
      <c r="AA1073" s="183"/>
    </row>
    <row r="1074" spans="1:27" s="182" customFormat="1" ht="15" customHeight="1">
      <c r="A1074" s="211"/>
      <c r="B1074" s="164"/>
      <c r="C1074" s="658" t="str">
        <f>IF(Q1052="","",IF(C1073="","",IF(C1073+1&lt;=Q1052,C1073+1,"")))</f>
        <v/>
      </c>
      <c r="D1074" s="232"/>
      <c r="E1074" s="191"/>
      <c r="F1074" s="191"/>
      <c r="G1074" s="191"/>
      <c r="H1074" s="191"/>
      <c r="I1074" s="191"/>
      <c r="J1074" s="192"/>
      <c r="K1074" s="635"/>
      <c r="L1074" s="641" t="str">
        <f t="shared" si="156"/>
        <v/>
      </c>
      <c r="M1074" s="643" t="str">
        <f>IF(C1074="","",L1074-Q1059*COS(O1052*PI()/180))</f>
        <v/>
      </c>
      <c r="N1074" s="644" t="str">
        <f>IF(C1074="","",L1074+P1059*SIN(O1052*PI()/180))</f>
        <v/>
      </c>
      <c r="O1074" s="638"/>
      <c r="P1074" s="646" t="str">
        <f>IF(C1074="","",(PI()*O1074/180*(R1060*M1074-N1074*S1060)-Q1074*(S1059*R1060-S1060*R1059))/S1058/(R1060-S1060))</f>
        <v/>
      </c>
      <c r="Q1074" s="647" t="str">
        <f>IF(C1074="","",O1074/180*PI()*(L1074-M1074)/(R1059-S1059))</f>
        <v/>
      </c>
      <c r="R1074" s="737" t="str">
        <f>IF(C1074="","",(O1074/180*PI()*N1074-Q1074*R1059-S1074*S1058)/R1060)</f>
        <v/>
      </c>
      <c r="S1074" s="734" t="str">
        <f t="shared" si="153"/>
        <v/>
      </c>
      <c r="T1074" s="735" t="str">
        <f t="shared" si="154"/>
        <v/>
      </c>
      <c r="U1074" s="736" t="str">
        <f t="shared" si="155"/>
        <v/>
      </c>
      <c r="V1074" s="329"/>
      <c r="W1074" s="181"/>
      <c r="X1074" s="137"/>
      <c r="Z1074" s="183"/>
      <c r="AA1074" s="183"/>
    </row>
    <row r="1075" spans="1:27" s="182" customFormat="1" ht="15" customHeight="1">
      <c r="A1075" s="211"/>
      <c r="B1075" s="164"/>
      <c r="C1075" s="658" t="str">
        <f>IF(Q1052="","",IF(C1074="","",IF(C1074+1&lt;=Q1052,C1074+1,"")))</f>
        <v/>
      </c>
      <c r="D1075" s="232"/>
      <c r="E1075" s="191"/>
      <c r="F1075" s="191"/>
      <c r="G1075" s="191"/>
      <c r="H1075" s="191"/>
      <c r="I1075" s="191"/>
      <c r="J1075" s="192"/>
      <c r="K1075" s="635"/>
      <c r="L1075" s="641" t="str">
        <f t="shared" si="156"/>
        <v/>
      </c>
      <c r="M1075" s="643" t="str">
        <f>IF(C1075="","",L1075-Q1059*COS(O1052*PI()/180))</f>
        <v/>
      </c>
      <c r="N1075" s="644" t="str">
        <f>IF(C1075="","",L1075+P1059*SIN(O1052*PI()/180))</f>
        <v/>
      </c>
      <c r="O1075" s="638"/>
      <c r="P1075" s="646" t="str">
        <f>IF(C1075="","",(PI()*O1075/180*(R1060*M1075-N1075*S1060)-Q1075*(S1059*R1060-S1060*R1059))/S1058/(R1060-S1060))</f>
        <v/>
      </c>
      <c r="Q1075" s="647" t="str">
        <f>IF(C1075="","",O1075/180*PI()*(L1075-M1075)/(R1059-S1059))</f>
        <v/>
      </c>
      <c r="R1075" s="737" t="str">
        <f>IF(C1075="","",(O1075/180*PI()*N1075-Q1075*R1059-S1075*S1058)/R1060)</f>
        <v/>
      </c>
      <c r="S1075" s="734" t="str">
        <f t="shared" si="153"/>
        <v/>
      </c>
      <c r="T1075" s="735" t="str">
        <f t="shared" si="154"/>
        <v/>
      </c>
      <c r="U1075" s="736" t="str">
        <f t="shared" si="155"/>
        <v/>
      </c>
      <c r="V1075" s="329"/>
      <c r="W1075" s="181"/>
      <c r="X1075" s="137"/>
      <c r="Z1075" s="183"/>
      <c r="AA1075" s="183"/>
    </row>
    <row r="1076" spans="1:27" s="182" customFormat="1" ht="15" customHeight="1">
      <c r="A1076" s="211"/>
      <c r="B1076" s="164"/>
      <c r="C1076" s="658" t="str">
        <f>IF(Q1052="","",IF(C1075="","",IF(C1075+1&lt;=Q1052,C1075+1,"")))</f>
        <v/>
      </c>
      <c r="D1076" s="232"/>
      <c r="E1076" s="191"/>
      <c r="F1076" s="191"/>
      <c r="G1076" s="191"/>
      <c r="H1076" s="191"/>
      <c r="I1076" s="191"/>
      <c r="J1076" s="192"/>
      <c r="K1076" s="635"/>
      <c r="L1076" s="641" t="str">
        <f t="shared" si="156"/>
        <v/>
      </c>
      <c r="M1076" s="643" t="str">
        <f>IF(C1076="","",L1076-Q1059*COS(O1052*PI()/180))</f>
        <v/>
      </c>
      <c r="N1076" s="644" t="str">
        <f>IF(C1076="","",L1076+P1059*SIN(O1052*PI()/180))</f>
        <v/>
      </c>
      <c r="O1076" s="638"/>
      <c r="P1076" s="646" t="str">
        <f>IF(C1076="","",(PI()*O1076/180*(R1060*M1076-N1076*S1060)-Q1076*(S1059*R1060-S1060*R1059))/S1058/(R1060-S1060))</f>
        <v/>
      </c>
      <c r="Q1076" s="647" t="str">
        <f>IF(C1076="","",O1076/180*PI()*(L1076-M1076)/(R1059-S1059))</f>
        <v/>
      </c>
      <c r="R1076" s="737" t="str">
        <f>IF(C1076="","",(O1076/180*PI()*N1076-Q1076*R1059-S1076*S1058)/R1060)</f>
        <v/>
      </c>
      <c r="S1076" s="734" t="str">
        <f t="shared" si="153"/>
        <v/>
      </c>
      <c r="T1076" s="735" t="str">
        <f t="shared" si="154"/>
        <v/>
      </c>
      <c r="U1076" s="736" t="str">
        <f t="shared" si="155"/>
        <v/>
      </c>
      <c r="V1076" s="329"/>
      <c r="W1076" s="181"/>
      <c r="X1076" s="137"/>
      <c r="Z1076" s="183"/>
      <c r="AA1076" s="183"/>
    </row>
    <row r="1077" spans="1:27" s="182" customFormat="1" ht="15" customHeight="1">
      <c r="A1077" s="211"/>
      <c r="B1077" s="164"/>
      <c r="C1077" s="658" t="str">
        <f>IF(Q1052="","",IF(C1076="","",IF(C1076+1&lt;=Q1052,C1076+1,"")))</f>
        <v/>
      </c>
      <c r="D1077" s="232"/>
      <c r="E1077" s="191"/>
      <c r="F1077" s="191"/>
      <c r="G1077" s="191"/>
      <c r="H1077" s="191"/>
      <c r="I1077" s="191"/>
      <c r="J1077" s="192"/>
      <c r="K1077" s="635"/>
      <c r="L1077" s="641" t="str">
        <f t="shared" si="156"/>
        <v/>
      </c>
      <c r="M1077" s="643" t="str">
        <f>IF(C1077="","",L1077-Q1059*COS(O1052*PI()/180))</f>
        <v/>
      </c>
      <c r="N1077" s="644" t="str">
        <f>IF(C1077="","",L1077+P1059*SIN(O1052*PI()/180))</f>
        <v/>
      </c>
      <c r="O1077" s="638"/>
      <c r="P1077" s="646" t="str">
        <f>IF(C1077="","",(PI()*O1077/180*(R1060*M1077-N1077*S1060)-Q1077*(S1059*R1060-S1060*R1059))/S1058/(R1060-S1060))</f>
        <v/>
      </c>
      <c r="Q1077" s="647" t="str">
        <f>IF(C1077="","",O1077/180*PI()*(L1077-M1077)/(R1059-S1059))</f>
        <v/>
      </c>
      <c r="R1077" s="737" t="str">
        <f>IF(C1077="","",(O1077/180*PI()*N1077-Q1077*R1059-S1077*S1058)/R1060)</f>
        <v/>
      </c>
      <c r="S1077" s="734" t="str">
        <f t="shared" si="153"/>
        <v/>
      </c>
      <c r="T1077" s="735" t="str">
        <f t="shared" si="154"/>
        <v/>
      </c>
      <c r="U1077" s="736" t="str">
        <f t="shared" si="155"/>
        <v/>
      </c>
      <c r="V1077" s="329"/>
      <c r="W1077" s="181"/>
      <c r="X1077" s="137"/>
      <c r="Z1077" s="183"/>
      <c r="AA1077" s="183"/>
    </row>
    <row r="1078" spans="1:27" s="182" customFormat="1" ht="15" customHeight="1">
      <c r="A1078" s="211"/>
      <c r="B1078" s="164"/>
      <c r="C1078" s="658" t="str">
        <f>IF(Q1052="","",IF(C1077="","",IF(C1077+1&lt;=Q1052,C1077+1,"")))</f>
        <v/>
      </c>
      <c r="D1078" s="232"/>
      <c r="E1078" s="191"/>
      <c r="F1078" s="191"/>
      <c r="G1078" s="191"/>
      <c r="H1078" s="191"/>
      <c r="I1078" s="191"/>
      <c r="J1078" s="192"/>
      <c r="K1078" s="635"/>
      <c r="L1078" s="641" t="str">
        <f t="shared" si="156"/>
        <v/>
      </c>
      <c r="M1078" s="643" t="str">
        <f>IF(C1078="","",L1078-Q1059*COS(O1052*PI()/180))</f>
        <v/>
      </c>
      <c r="N1078" s="644" t="str">
        <f>IF(C1078="","",L1078+P1059*SIN(O1052*PI()/180))</f>
        <v/>
      </c>
      <c r="O1078" s="638"/>
      <c r="P1078" s="646" t="str">
        <f>IF(C1078="","",(PI()*O1078/180*(R1060*M1078-N1078*S1060)-Q1078*(S1059*R1060-S1060*R1059))/S1058/(R1060-S1060))</f>
        <v/>
      </c>
      <c r="Q1078" s="647" t="str">
        <f>IF(C1078="","",O1078/180*PI()*(L1078-M1078)/(R1059-S1059))</f>
        <v/>
      </c>
      <c r="R1078" s="737" t="str">
        <f>IF(C1078="","",(O1078/180*PI()*N1078-Q1078*R1059-S1078*S1058)/R1060)</f>
        <v/>
      </c>
      <c r="S1078" s="734" t="str">
        <f t="shared" si="153"/>
        <v/>
      </c>
      <c r="T1078" s="735" t="str">
        <f t="shared" si="154"/>
        <v/>
      </c>
      <c r="U1078" s="736" t="str">
        <f t="shared" si="155"/>
        <v/>
      </c>
      <c r="V1078" s="329"/>
      <c r="W1078" s="181"/>
      <c r="X1078" s="137"/>
      <c r="Z1078" s="183"/>
      <c r="AA1078" s="183"/>
    </row>
    <row r="1079" spans="1:27" s="182" customFormat="1" ht="15" customHeight="1">
      <c r="A1079" s="211"/>
      <c r="B1079" s="164"/>
      <c r="C1079" s="658" t="str">
        <f>IF(Q1052="","",IF(C1078="","",IF(C1078+1&lt;=Q1052,C1078+1,"")))</f>
        <v/>
      </c>
      <c r="D1079" s="232"/>
      <c r="E1079" s="191"/>
      <c r="F1079" s="191"/>
      <c r="G1079" s="191"/>
      <c r="H1079" s="191"/>
      <c r="I1079" s="191"/>
      <c r="J1079" s="192"/>
      <c r="K1079" s="635"/>
      <c r="L1079" s="641" t="str">
        <f t="shared" si="156"/>
        <v/>
      </c>
      <c r="M1079" s="643" t="str">
        <f>IF(C1079="","",L1079-Q1059*COS(O1052*PI()/180))</f>
        <v/>
      </c>
      <c r="N1079" s="644" t="str">
        <f>IF(C1079="","",L1079+P1059*SIN(O1052*PI()/180))</f>
        <v/>
      </c>
      <c r="O1079" s="638"/>
      <c r="P1079" s="646" t="str">
        <f>IF(C1079="","",(PI()*O1079/180*(R1060*M1079-N1079*S1060)-Q1079*(S1059*R1060-S1060*R1059))/S1058/(R1060-S1060))</f>
        <v/>
      </c>
      <c r="Q1079" s="647" t="str">
        <f>IF(C1079="","",O1079/180*PI()*(L1079-M1079)/(R1059-S1059))</f>
        <v/>
      </c>
      <c r="R1079" s="737" t="str">
        <f>IF(C1079="","",(O1079/180*PI()*N1079-Q1079*R1059-S1079*S1058)/R1060)</f>
        <v/>
      </c>
      <c r="S1079" s="734" t="str">
        <f t="shared" si="153"/>
        <v/>
      </c>
      <c r="T1079" s="735" t="str">
        <f t="shared" si="154"/>
        <v/>
      </c>
      <c r="U1079" s="736" t="str">
        <f t="shared" si="155"/>
        <v/>
      </c>
      <c r="V1079" s="329"/>
      <c r="W1079" s="181"/>
      <c r="X1079" s="137"/>
      <c r="Z1079" s="183"/>
      <c r="AA1079" s="183"/>
    </row>
    <row r="1080" spans="1:27" s="182" customFormat="1" ht="15" customHeight="1">
      <c r="A1080" s="211"/>
      <c r="B1080" s="164"/>
      <c r="C1080" s="658" t="str">
        <f>IF(Q1052="","",IF(C1079="","",IF(C1079+1&lt;=Q1052,C1079+1,"")))</f>
        <v/>
      </c>
      <c r="D1080" s="232"/>
      <c r="E1080" s="191"/>
      <c r="F1080" s="191"/>
      <c r="G1080" s="191"/>
      <c r="H1080" s="191"/>
      <c r="I1080" s="191"/>
      <c r="J1080" s="192"/>
      <c r="K1080" s="635"/>
      <c r="L1080" s="641" t="str">
        <f t="shared" si="156"/>
        <v/>
      </c>
      <c r="M1080" s="643" t="str">
        <f>IF(C1080="","",L1080-Q1059*COS(O1052*PI()/180))</f>
        <v/>
      </c>
      <c r="N1080" s="644" t="str">
        <f>IF(C1080="","",L1080+P1059*SIN(O1052*PI()/180))</f>
        <v/>
      </c>
      <c r="O1080" s="638"/>
      <c r="P1080" s="646" t="str">
        <f>IF(C1080="","",(PI()*O1080/180*(R1060*M1080-N1080*S1060)-Q1080*(S1059*R1060-S1060*R1059))/S1058/(R1060-S1060))</f>
        <v/>
      </c>
      <c r="Q1080" s="647" t="str">
        <f>IF(C1080="","",O1080/180*PI()*(L1080-M1080)/(R1059-S1059))</f>
        <v/>
      </c>
      <c r="R1080" s="737" t="str">
        <f>IF(C1080="","",(O1080/180*PI()*N1080-Q1080*R1059-S1080*S1058)/R1060)</f>
        <v/>
      </c>
      <c r="S1080" s="734" t="str">
        <f t="shared" si="153"/>
        <v/>
      </c>
      <c r="T1080" s="735" t="str">
        <f t="shared" si="154"/>
        <v/>
      </c>
      <c r="U1080" s="736" t="str">
        <f t="shared" si="155"/>
        <v/>
      </c>
      <c r="V1080" s="329"/>
      <c r="W1080" s="181"/>
      <c r="X1080" s="137"/>
      <c r="Z1080" s="183"/>
      <c r="AA1080" s="183"/>
    </row>
    <row r="1081" spans="1:27" s="182" customFormat="1" ht="15" customHeight="1">
      <c r="A1081" s="211"/>
      <c r="B1081" s="164"/>
      <c r="C1081" s="658" t="str">
        <f>IF(Q1052="","",IF(C1080="","",IF(C1080+1&lt;=Q1052,C1080+1,"")))</f>
        <v/>
      </c>
      <c r="D1081" s="232"/>
      <c r="E1081" s="191"/>
      <c r="F1081" s="191"/>
      <c r="G1081" s="191"/>
      <c r="H1081" s="191"/>
      <c r="I1081" s="191"/>
      <c r="J1081" s="192"/>
      <c r="K1081" s="635"/>
      <c r="L1081" s="641" t="str">
        <f t="shared" si="156"/>
        <v/>
      </c>
      <c r="M1081" s="643" t="str">
        <f>IF(C1081="","",L1081-Q1059*COS(O1052*PI()/180))</f>
        <v/>
      </c>
      <c r="N1081" s="644" t="str">
        <f>IF(C1081="","",L1081+P1059*SIN(O1052*PI()/180))</f>
        <v/>
      </c>
      <c r="O1081" s="638"/>
      <c r="P1081" s="646" t="str">
        <f>IF(C1081="","",(PI()*O1081/180*(R1060*M1081-N1081*S1060)-Q1081*(S1059*R1060-S1060*R1059))/S1058/(R1060-S1060))</f>
        <v/>
      </c>
      <c r="Q1081" s="647" t="str">
        <f>IF(C1081="","",O1081/180*PI()*(L1081-M1081)/(R1059-S1059))</f>
        <v/>
      </c>
      <c r="R1081" s="737" t="str">
        <f>IF(C1081="","",(O1081/180*PI()*N1081-Q1081*R1059-S1081*S1058)/R1060)</f>
        <v/>
      </c>
      <c r="S1081" s="734" t="str">
        <f t="shared" si="153"/>
        <v/>
      </c>
      <c r="T1081" s="735" t="str">
        <f t="shared" si="154"/>
        <v/>
      </c>
      <c r="U1081" s="736" t="str">
        <f t="shared" si="155"/>
        <v/>
      </c>
      <c r="V1081" s="329"/>
      <c r="W1081" s="181"/>
      <c r="X1081" s="137"/>
      <c r="Z1081" s="183"/>
      <c r="AA1081" s="183"/>
    </row>
    <row r="1082" spans="1:27" s="182" customFormat="1" ht="15" customHeight="1">
      <c r="A1082" s="211"/>
      <c r="B1082" s="164"/>
      <c r="C1082" s="658" t="str">
        <f>IF(Q1052="","",IF(C1081="","",IF(C1081+1&lt;=Q1052,C1081+1,"")))</f>
        <v/>
      </c>
      <c r="D1082" s="232"/>
      <c r="E1082" s="191"/>
      <c r="F1082" s="191"/>
      <c r="G1082" s="191"/>
      <c r="H1082" s="191"/>
      <c r="I1082" s="191"/>
      <c r="J1082" s="192"/>
      <c r="K1082" s="635"/>
      <c r="L1082" s="641" t="str">
        <f t="shared" si="156"/>
        <v/>
      </c>
      <c r="M1082" s="643" t="str">
        <f>IF(C1082="","",L1082-Q1059*COS(O1052*PI()/180))</f>
        <v/>
      </c>
      <c r="N1082" s="644" t="str">
        <f>IF(C1082="","",L1082+P1059*SIN(O1052*PI()/180))</f>
        <v/>
      </c>
      <c r="O1082" s="638"/>
      <c r="P1082" s="646" t="str">
        <f>IF(C1082="","",(PI()*O1082/180*(R1060*M1082-N1082*S1060)-Q1082*(S1059*R1060-S1060*R1059))/S1058/(R1060-S1060))</f>
        <v/>
      </c>
      <c r="Q1082" s="647" t="str">
        <f>IF(C1082="","",O1082/180*PI()*(L1082-M1082)/(R1059-S1059))</f>
        <v/>
      </c>
      <c r="R1082" s="737" t="str">
        <f>IF(C1082="","",(O1082/180*PI()*N1082-Q1082*R1059-S1082*S1058)/R1060)</f>
        <v/>
      </c>
      <c r="S1082" s="734" t="str">
        <f t="shared" si="153"/>
        <v/>
      </c>
      <c r="T1082" s="735" t="str">
        <f t="shared" si="154"/>
        <v/>
      </c>
      <c r="U1082" s="736" t="str">
        <f t="shared" si="155"/>
        <v/>
      </c>
      <c r="V1082" s="329"/>
      <c r="W1082" s="181"/>
      <c r="X1082" s="137"/>
      <c r="Z1082" s="183"/>
      <c r="AA1082" s="183"/>
    </row>
    <row r="1083" spans="1:27" s="182" customFormat="1" ht="15" customHeight="1">
      <c r="A1083" s="211"/>
      <c r="B1083" s="164"/>
      <c r="C1083" s="658" t="str">
        <f>IF(Q1052="","",IF(C1082="","",IF(C1082+1&lt;=Q1052,C1082+1,"")))</f>
        <v/>
      </c>
      <c r="D1083" s="232"/>
      <c r="E1083" s="191"/>
      <c r="F1083" s="191"/>
      <c r="G1083" s="191"/>
      <c r="H1083" s="191"/>
      <c r="I1083" s="191"/>
      <c r="J1083" s="192"/>
      <c r="K1083" s="635"/>
      <c r="L1083" s="641" t="str">
        <f t="shared" si="156"/>
        <v/>
      </c>
      <c r="M1083" s="643" t="str">
        <f>IF(C1083="","",L1083-Q1059*COS(O1052*PI()/180))</f>
        <v/>
      </c>
      <c r="N1083" s="644" t="str">
        <f>IF(C1083="","",L1083+P1059*SIN(O1052*PI()/180))</f>
        <v/>
      </c>
      <c r="O1083" s="638"/>
      <c r="P1083" s="646" t="str">
        <f>IF(C1083="","",(PI()*O1083/180*(R1060*M1083-N1083*S1060)-Q1083*(S1059*R1060-S1060*R1059))/S1058/(R1060-S1060))</f>
        <v/>
      </c>
      <c r="Q1083" s="647" t="str">
        <f>IF(C1083="","",O1083/180*PI()*(L1083-M1083)/(R1059-S1059))</f>
        <v/>
      </c>
      <c r="R1083" s="737" t="str">
        <f>IF(C1083="","",(O1083/180*PI()*N1083-Q1083*R1059-S1083*S1058)/R1060)</f>
        <v/>
      </c>
      <c r="S1083" s="734" t="str">
        <f t="shared" si="153"/>
        <v/>
      </c>
      <c r="T1083" s="735" t="str">
        <f t="shared" si="154"/>
        <v/>
      </c>
      <c r="U1083" s="736" t="str">
        <f t="shared" si="155"/>
        <v/>
      </c>
      <c r="V1083" s="329"/>
      <c r="W1083" s="181"/>
      <c r="X1083" s="137"/>
      <c r="Z1083" s="183"/>
      <c r="AA1083" s="183"/>
    </row>
    <row r="1084" spans="1:27" s="182" customFormat="1" ht="15" customHeight="1">
      <c r="A1084" s="211"/>
      <c r="B1084" s="164"/>
      <c r="C1084" s="658" t="str">
        <f>IF(Q1052="","",IF(C1083="","",IF(C1083+1&lt;=Q1052,C1083+1,"")))</f>
        <v/>
      </c>
      <c r="D1084" s="232"/>
      <c r="E1084" s="191"/>
      <c r="F1084" s="191"/>
      <c r="G1084" s="191"/>
      <c r="H1084" s="191"/>
      <c r="I1084" s="191"/>
      <c r="J1084" s="192"/>
      <c r="K1084" s="635"/>
      <c r="L1084" s="641" t="str">
        <f t="shared" si="156"/>
        <v/>
      </c>
      <c r="M1084" s="643" t="str">
        <f>IF(C1084="","",L1084-Q1059*COS(O1052*PI()/180))</f>
        <v/>
      </c>
      <c r="N1084" s="644" t="str">
        <f>IF(C1084="","",L1084+P1059*SIN(O1052*PI()/180))</f>
        <v/>
      </c>
      <c r="O1084" s="638"/>
      <c r="P1084" s="646" t="str">
        <f>IF(C1084="","",(PI()*O1084/180*(R1060*M1084-N1084*S1060)-Q1084*(S1059*R1060-S1060*R1059))/S1058/(R1060-S1060))</f>
        <v/>
      </c>
      <c r="Q1084" s="647" t="str">
        <f>IF(C1084="","",O1084/180*PI()*(L1084-M1084)/(R1059-S1059))</f>
        <v/>
      </c>
      <c r="R1084" s="737" t="str">
        <f>IF(C1084="","",(O1084/180*PI()*N1084-Q1084*R1059-S1084*S1058)/R1060)</f>
        <v/>
      </c>
      <c r="S1084" s="734" t="str">
        <f t="shared" si="153"/>
        <v/>
      </c>
      <c r="T1084" s="735" t="str">
        <f t="shared" si="154"/>
        <v/>
      </c>
      <c r="U1084" s="736" t="str">
        <f t="shared" si="155"/>
        <v/>
      </c>
      <c r="V1084" s="329"/>
      <c r="W1084" s="181"/>
      <c r="X1084" s="137"/>
      <c r="Z1084" s="183"/>
      <c r="AA1084" s="183"/>
    </row>
    <row r="1085" spans="1:27" s="182" customFormat="1" ht="15" customHeight="1">
      <c r="A1085" s="211"/>
      <c r="B1085" s="164"/>
      <c r="C1085" s="658" t="str">
        <f>IF(Q1052="","",IF(C1084="","",IF(C1084+1&lt;=Q1052,C1084+1,"")))</f>
        <v/>
      </c>
      <c r="D1085" s="232"/>
      <c r="E1085" s="191"/>
      <c r="F1085" s="191"/>
      <c r="G1085" s="191"/>
      <c r="H1085" s="191"/>
      <c r="I1085" s="191"/>
      <c r="J1085" s="192"/>
      <c r="K1085" s="635"/>
      <c r="L1085" s="641" t="str">
        <f t="shared" si="156"/>
        <v/>
      </c>
      <c r="M1085" s="643" t="str">
        <f>IF(C1085="","",L1085-Q1059*COS(O1052*PI()/180))</f>
        <v/>
      </c>
      <c r="N1085" s="644" t="str">
        <f>IF(C1085="","",L1085+P1059*SIN(O1052*PI()/180))</f>
        <v/>
      </c>
      <c r="O1085" s="638"/>
      <c r="P1085" s="646" t="str">
        <f>IF(C1085="","",(PI()*O1085/180*(R1060*M1085-N1085*S1060)-Q1085*(S1059*R1060-S1060*R1059))/S1058/(R1060-S1060))</f>
        <v/>
      </c>
      <c r="Q1085" s="647" t="str">
        <f>IF(C1085="","",O1085/180*PI()*(L1085-M1085)/(R1059-S1059))</f>
        <v/>
      </c>
      <c r="R1085" s="737" t="str">
        <f>IF(C1085="","",(O1085/180*PI()*N1085-Q1085*R1059-S1085*S1058)/R1060)</f>
        <v/>
      </c>
      <c r="S1085" s="734" t="str">
        <f t="shared" si="153"/>
        <v/>
      </c>
      <c r="T1085" s="735" t="str">
        <f t="shared" si="154"/>
        <v/>
      </c>
      <c r="U1085" s="736" t="str">
        <f t="shared" si="155"/>
        <v/>
      </c>
      <c r="V1085" s="329"/>
      <c r="W1085" s="181"/>
      <c r="X1085" s="137"/>
      <c r="Z1085" s="183"/>
      <c r="AA1085" s="183"/>
    </row>
    <row r="1086" spans="1:27" s="182" customFormat="1" ht="15" customHeight="1">
      <c r="A1086" s="211"/>
      <c r="B1086" s="164"/>
      <c r="C1086" s="658" t="str">
        <f>IF(Q1052="","",IF(C1085="","",IF(C1085+1&lt;=Q1052,C1085+1,"")))</f>
        <v/>
      </c>
      <c r="D1086" s="232"/>
      <c r="E1086" s="191"/>
      <c r="F1086" s="191"/>
      <c r="G1086" s="191"/>
      <c r="H1086" s="191"/>
      <c r="I1086" s="191"/>
      <c r="J1086" s="192"/>
      <c r="K1086" s="635"/>
      <c r="L1086" s="641" t="str">
        <f t="shared" si="156"/>
        <v/>
      </c>
      <c r="M1086" s="643" t="str">
        <f>IF(C1086="","",L1086-Q1059*COS(O1052*PI()/180))</f>
        <v/>
      </c>
      <c r="N1086" s="644" t="str">
        <f>IF(C1086="","",L1086+P1059*SIN(O1052*PI()/180))</f>
        <v/>
      </c>
      <c r="O1086" s="638"/>
      <c r="P1086" s="646" t="str">
        <f>IF(C1086="","",(PI()*O1086/180*(R1060*M1086-N1086*S1060)-Q1086*(S1059*R1060-S1060*R1059))/S1058/(R1060-S1060))</f>
        <v/>
      </c>
      <c r="Q1086" s="647" t="str">
        <f>IF(C1086="","",O1086/180*PI()*(L1086-M1086)/(R1059-S1059))</f>
        <v/>
      </c>
      <c r="R1086" s="737" t="str">
        <f>IF(C1086="","",(O1086/180*PI()*N1086-Q1086*R1059-S1086*S1058)/R1060)</f>
        <v/>
      </c>
      <c r="S1086" s="734" t="str">
        <f t="shared" si="153"/>
        <v/>
      </c>
      <c r="T1086" s="735" t="str">
        <f t="shared" si="154"/>
        <v/>
      </c>
      <c r="U1086" s="736" t="str">
        <f t="shared" si="155"/>
        <v/>
      </c>
      <c r="V1086" s="329"/>
      <c r="W1086" s="181"/>
      <c r="X1086" s="137"/>
      <c r="Z1086" s="183"/>
      <c r="AA1086" s="183"/>
    </row>
    <row r="1087" spans="1:27" s="182" customFormat="1" ht="15" customHeight="1">
      <c r="A1087" s="211"/>
      <c r="B1087" s="164"/>
      <c r="C1087" s="658" t="str">
        <f>IF(Q1052="","",IF(C1086="","",IF(C1086+1&lt;=Q1052,C1086+1,"")))</f>
        <v/>
      </c>
      <c r="D1087" s="232"/>
      <c r="E1087" s="191"/>
      <c r="F1087" s="191"/>
      <c r="G1087" s="191"/>
      <c r="H1087" s="191"/>
      <c r="I1087" s="191"/>
      <c r="J1087" s="192"/>
      <c r="K1087" s="635"/>
      <c r="L1087" s="641" t="str">
        <f t="shared" si="156"/>
        <v/>
      </c>
      <c r="M1087" s="643" t="str">
        <f>IF(C1087="","",L1087-Q1059*COS(O1052*PI()/180))</f>
        <v/>
      </c>
      <c r="N1087" s="644" t="str">
        <f>IF(C1087="","",L1087+P1059*SIN(O1052*PI()/180))</f>
        <v/>
      </c>
      <c r="O1087" s="638"/>
      <c r="P1087" s="646" t="str">
        <f>IF(C1087="","",(PI()*O1087/180*(R1060*M1087-N1087*S1060)-Q1087*(S1059*R1060-S1060*R1059))/S1058/(R1060-S1060))</f>
        <v/>
      </c>
      <c r="Q1087" s="647" t="str">
        <f>IF(C1087="","",O1087/180*PI()*(L1087-M1087)/(R1059-S1059))</f>
        <v/>
      </c>
      <c r="R1087" s="737" t="str">
        <f>IF(C1087="","",(O1087/180*PI()*N1087-Q1087*R1059-S1087*S1058)/R1060)</f>
        <v/>
      </c>
      <c r="S1087" s="734" t="str">
        <f t="shared" si="153"/>
        <v/>
      </c>
      <c r="T1087" s="735" t="str">
        <f t="shared" si="154"/>
        <v/>
      </c>
      <c r="U1087" s="736" t="str">
        <f t="shared" si="155"/>
        <v/>
      </c>
      <c r="V1087" s="329"/>
      <c r="W1087" s="181"/>
      <c r="X1087" s="137"/>
      <c r="Z1087" s="183"/>
      <c r="AA1087" s="183"/>
    </row>
    <row r="1088" spans="1:27" s="182" customFormat="1" ht="15" customHeight="1">
      <c r="A1088" s="211"/>
      <c r="B1088" s="164"/>
      <c r="C1088" s="658" t="str">
        <f>IF(Q1052="","",IF(C1087="","",IF(C1087+1&lt;=Q1052,C1087+1,"")))</f>
        <v/>
      </c>
      <c r="D1088" s="232"/>
      <c r="E1088" s="191"/>
      <c r="F1088" s="191"/>
      <c r="G1088" s="191"/>
      <c r="H1088" s="191"/>
      <c r="I1088" s="191"/>
      <c r="J1088" s="192"/>
      <c r="K1088" s="635"/>
      <c r="L1088" s="641" t="str">
        <f t="shared" si="156"/>
        <v/>
      </c>
      <c r="M1088" s="643" t="str">
        <f>IF(C1088="","",L1088-Q1059*COS(O1052*PI()/180))</f>
        <v/>
      </c>
      <c r="N1088" s="644" t="str">
        <f>IF(C1088="","",L1088+P1059*SIN(O1052*PI()/180))</f>
        <v/>
      </c>
      <c r="O1088" s="638"/>
      <c r="P1088" s="646" t="str">
        <f>IF(C1088="","",(PI()*O1088/180*(R1060*M1088-N1088*S1060)-Q1088*(S1059*R1060-S1060*R1059))/S1058/(R1060-S1060))</f>
        <v/>
      </c>
      <c r="Q1088" s="647" t="str">
        <f>IF(C1088="","",O1088/180*PI()*(L1088-M1088)/(R1059-S1059))</f>
        <v/>
      </c>
      <c r="R1088" s="737" t="str">
        <f>IF(C1088="","",(O1088/180*PI()*N1088-Q1088*R1059-S1088*S1058)/R1060)</f>
        <v/>
      </c>
      <c r="S1088" s="734" t="str">
        <f t="shared" si="153"/>
        <v/>
      </c>
      <c r="T1088" s="735" t="str">
        <f t="shared" si="154"/>
        <v/>
      </c>
      <c r="U1088" s="736" t="str">
        <f t="shared" si="155"/>
        <v/>
      </c>
      <c r="V1088" s="329"/>
      <c r="W1088" s="181"/>
      <c r="X1088" s="137"/>
      <c r="Z1088" s="183"/>
      <c r="AA1088" s="183"/>
    </row>
    <row r="1089" spans="1:27" s="182" customFormat="1" ht="15" customHeight="1">
      <c r="A1089" s="211"/>
      <c r="B1089" s="164"/>
      <c r="C1089" s="658" t="str">
        <f>IF(Q1052="","",IF(C1088="","",IF(C1088+1&lt;=Q1052,C1088+1,"")))</f>
        <v/>
      </c>
      <c r="D1089" s="232"/>
      <c r="E1089" s="191"/>
      <c r="F1089" s="191"/>
      <c r="G1089" s="191"/>
      <c r="H1089" s="191"/>
      <c r="I1089" s="191"/>
      <c r="J1089" s="192"/>
      <c r="K1089" s="635"/>
      <c r="L1089" s="641" t="str">
        <f t="shared" si="156"/>
        <v/>
      </c>
      <c r="M1089" s="643" t="str">
        <f>IF(C1089="","",L1089-Q1059*COS(O1052*PI()/180))</f>
        <v/>
      </c>
      <c r="N1089" s="644" t="str">
        <f>IF(C1089="","",L1089+P1059*SIN(O1052*PI()/180))</f>
        <v/>
      </c>
      <c r="O1089" s="638"/>
      <c r="P1089" s="646" t="str">
        <f>IF(C1089="","",(PI()*O1089/180*(R1060*M1089-N1089*S1060)-Q1089*(S1059*R1060-S1060*R1059))/S1058/(R1060-S1060))</f>
        <v/>
      </c>
      <c r="Q1089" s="647" t="str">
        <f>IF(C1089="","",O1089/180*PI()*(L1089-M1089)/(R1059-S1059))</f>
        <v/>
      </c>
      <c r="R1089" s="737" t="str">
        <f>IF(C1089="","",(O1089/180*PI()*N1089-Q1089*R1059-S1089*S1058)/R1060)</f>
        <v/>
      </c>
      <c r="S1089" s="734" t="str">
        <f t="shared" si="153"/>
        <v/>
      </c>
      <c r="T1089" s="735" t="str">
        <f t="shared" si="154"/>
        <v/>
      </c>
      <c r="U1089" s="736" t="str">
        <f t="shared" si="155"/>
        <v/>
      </c>
      <c r="V1089" s="329"/>
      <c r="W1089" s="181"/>
      <c r="X1089" s="137"/>
      <c r="Z1089" s="183"/>
      <c r="AA1089" s="183"/>
    </row>
    <row r="1090" spans="1:27" s="182" customFormat="1" ht="15" customHeight="1">
      <c r="A1090" s="211"/>
      <c r="B1090" s="164"/>
      <c r="C1090" s="658" t="str">
        <f>IF(Q1052="","",IF(C1089="","",IF(C1089+1&lt;=Q1052,C1089+1,"")))</f>
        <v/>
      </c>
      <c r="D1090" s="232"/>
      <c r="E1090" s="191"/>
      <c r="F1090" s="191"/>
      <c r="G1090" s="191"/>
      <c r="H1090" s="191"/>
      <c r="I1090" s="191"/>
      <c r="J1090" s="192"/>
      <c r="K1090" s="635"/>
      <c r="L1090" s="641" t="str">
        <f t="shared" si="156"/>
        <v/>
      </c>
      <c r="M1090" s="643" t="str">
        <f>IF(C1090="","",L1090-Q1059*COS(O1052*PI()/180))</f>
        <v/>
      </c>
      <c r="N1090" s="644" t="str">
        <f>IF(C1090="","",L1090+P1059*SIN(O1052*PI()/180))</f>
        <v/>
      </c>
      <c r="O1090" s="638"/>
      <c r="P1090" s="646" t="str">
        <f>IF(C1090="","",(PI()*O1090/180*(R1060*M1090-N1090*S1060)-Q1090*(S1059*R1060-S1060*R1059))/S1058/(R1060-S1060))</f>
        <v/>
      </c>
      <c r="Q1090" s="647" t="str">
        <f>IF(C1090="","",O1090/180*PI()*(L1090-M1090)/(R1059-S1059))</f>
        <v/>
      </c>
      <c r="R1090" s="737" t="str">
        <f>IF(C1090="","",(O1090/180*PI()*N1090-Q1090*R1059-S1090*S1058)/R1060)</f>
        <v/>
      </c>
      <c r="S1090" s="734" t="str">
        <f t="shared" si="153"/>
        <v/>
      </c>
      <c r="T1090" s="735" t="str">
        <f t="shared" si="154"/>
        <v/>
      </c>
      <c r="U1090" s="736" t="str">
        <f t="shared" si="155"/>
        <v/>
      </c>
      <c r="V1090" s="329"/>
      <c r="W1090" s="181"/>
      <c r="X1090" s="137"/>
      <c r="Z1090" s="183"/>
      <c r="AA1090" s="183"/>
    </row>
    <row r="1091" spans="1:27" s="182" customFormat="1" ht="15" customHeight="1">
      <c r="A1091" s="211"/>
      <c r="B1091" s="164"/>
      <c r="C1091" s="658" t="str">
        <f>IF(Q1052="","",IF(C1090="","",IF(C1090+1&lt;=Q1052,C1090+1,"")))</f>
        <v/>
      </c>
      <c r="D1091" s="232"/>
      <c r="E1091" s="191"/>
      <c r="F1091" s="191"/>
      <c r="G1091" s="191"/>
      <c r="H1091" s="191"/>
      <c r="I1091" s="191"/>
      <c r="J1091" s="192"/>
      <c r="K1091" s="635"/>
      <c r="L1091" s="641" t="str">
        <f t="shared" si="156"/>
        <v/>
      </c>
      <c r="M1091" s="643" t="str">
        <f>IF(C1091="","",L1091-Q1059*COS(O1052*PI()/180))</f>
        <v/>
      </c>
      <c r="N1091" s="644" t="str">
        <f>IF(C1091="","",L1091+P1059*SIN(O1052*PI()/180))</f>
        <v/>
      </c>
      <c r="O1091" s="638"/>
      <c r="P1091" s="646" t="str">
        <f>IF(C1091="","",(PI()*O1091/180*(R1060*M1091-N1091*S1060)-Q1091*(S1059*R1060-S1060*R1059))/S1058/(R1060-S1060))</f>
        <v/>
      </c>
      <c r="Q1091" s="647" t="str">
        <f>IF(C1091="","",O1091/180*PI()*(L1091-M1091)/(R1059-S1059))</f>
        <v/>
      </c>
      <c r="R1091" s="737" t="str">
        <f>IF(C1091="","",(O1091/180*PI()*N1091-Q1091*R1059-S1091*S1058)/R1060)</f>
        <v/>
      </c>
      <c r="S1091" s="734" t="str">
        <f t="shared" si="153"/>
        <v/>
      </c>
      <c r="T1091" s="735" t="str">
        <f t="shared" si="154"/>
        <v/>
      </c>
      <c r="U1091" s="736" t="str">
        <f t="shared" si="155"/>
        <v/>
      </c>
      <c r="V1091" s="329"/>
      <c r="W1091" s="181"/>
      <c r="X1091" s="137"/>
      <c r="Z1091" s="183"/>
      <c r="AA1091" s="183"/>
    </row>
    <row r="1092" spans="1:27" s="182" customFormat="1" ht="15" customHeight="1">
      <c r="A1092" s="211"/>
      <c r="B1092" s="164"/>
      <c r="C1092" s="658" t="str">
        <f>IF(Q1052="","",IF(C1091="","",IF(C1091+1&lt;=Q1052,C1091+1,"")))</f>
        <v/>
      </c>
      <c r="D1092" s="232"/>
      <c r="E1092" s="191"/>
      <c r="F1092" s="191"/>
      <c r="G1092" s="191"/>
      <c r="H1092" s="191"/>
      <c r="I1092" s="191"/>
      <c r="J1092" s="192"/>
      <c r="K1092" s="635"/>
      <c r="L1092" s="641" t="str">
        <f t="shared" si="156"/>
        <v/>
      </c>
      <c r="M1092" s="643" t="str">
        <f>IF(C1092="","",L1092-Q1059*COS(O1052*PI()/180))</f>
        <v/>
      </c>
      <c r="N1092" s="644" t="str">
        <f>IF(C1092="","",L1092+P1059*SIN(O1052*PI()/180))</f>
        <v/>
      </c>
      <c r="O1092" s="638"/>
      <c r="P1092" s="646" t="str">
        <f>IF(C1092="","",(PI()*O1092/180*(R1060*M1092-N1092*S1060)-Q1092*(S1059*R1060-S1060*R1059))/S1058/(R1060-S1060))</f>
        <v/>
      </c>
      <c r="Q1092" s="647" t="str">
        <f>IF(C1092="","",O1092/180*PI()*(L1092-M1092)/(R1059-S1059))</f>
        <v/>
      </c>
      <c r="R1092" s="737" t="str">
        <f>IF(C1092="","",(O1092/180*PI()*N1092-Q1092*R1059-S1092*S1058)/R1060)</f>
        <v/>
      </c>
      <c r="S1092" s="734" t="str">
        <f t="shared" si="153"/>
        <v/>
      </c>
      <c r="T1092" s="735" t="str">
        <f t="shared" si="154"/>
        <v/>
      </c>
      <c r="U1092" s="736" t="str">
        <f t="shared" si="155"/>
        <v/>
      </c>
      <c r="V1092" s="329"/>
      <c r="W1092" s="181"/>
      <c r="X1092" s="137"/>
      <c r="Z1092" s="183"/>
      <c r="AA1092" s="183"/>
    </row>
    <row r="1093" spans="1:27" s="182" customFormat="1" ht="15" customHeight="1">
      <c r="A1093" s="211"/>
      <c r="B1093" s="164"/>
      <c r="C1093" s="658" t="str">
        <f>IF(Q1052="","",IF(C1092="","",IF(C1092+1&lt;=Q1052,C1092+1,"")))</f>
        <v/>
      </c>
      <c r="D1093" s="232"/>
      <c r="E1093" s="191"/>
      <c r="F1093" s="191"/>
      <c r="G1093" s="191"/>
      <c r="H1093" s="191"/>
      <c r="I1093" s="191"/>
      <c r="J1093" s="192"/>
      <c r="K1093" s="635"/>
      <c r="L1093" s="641" t="str">
        <f t="shared" si="156"/>
        <v/>
      </c>
      <c r="M1093" s="643" t="str">
        <f>IF(C1093="","",L1093-Q1059*COS(O1052*PI()/180))</f>
        <v/>
      </c>
      <c r="N1093" s="644" t="str">
        <f>IF(C1093="","",L1093+P1059*SIN(O1052*PI()/180))</f>
        <v/>
      </c>
      <c r="O1093" s="638"/>
      <c r="P1093" s="646" t="str">
        <f>IF(C1093="","",(PI()*O1093/180*(R1060*M1093-N1093*S1060)-Q1093*(S1059*R1060-S1060*R1059))/S1058/(R1060-S1060))</f>
        <v/>
      </c>
      <c r="Q1093" s="647" t="str">
        <f>IF(C1093="","",O1093/180*PI()*(L1093-M1093)/(R1059-S1059))</f>
        <v/>
      </c>
      <c r="R1093" s="737" t="str">
        <f>IF(C1093="","",(O1093/180*PI()*N1093-Q1093*R1059-S1093*S1058)/R1060)</f>
        <v/>
      </c>
      <c r="S1093" s="734" t="str">
        <f t="shared" si="153"/>
        <v/>
      </c>
      <c r="T1093" s="735" t="str">
        <f t="shared" si="154"/>
        <v/>
      </c>
      <c r="U1093" s="736" t="str">
        <f t="shared" si="155"/>
        <v/>
      </c>
      <c r="V1093" s="329"/>
      <c r="W1093" s="181"/>
      <c r="X1093" s="137"/>
      <c r="Z1093" s="183"/>
      <c r="AA1093" s="183"/>
    </row>
    <row r="1094" spans="1:27" s="182" customFormat="1" ht="15" customHeight="1">
      <c r="A1094" s="211"/>
      <c r="B1094" s="164"/>
      <c r="C1094" s="658" t="str">
        <f>IF(Q1052="","",IF(C1093="","",IF(C1093+1&lt;=Q1052,C1093+1,"")))</f>
        <v/>
      </c>
      <c r="D1094" s="232"/>
      <c r="E1094" s="191"/>
      <c r="F1094" s="191"/>
      <c r="G1094" s="191"/>
      <c r="H1094" s="191"/>
      <c r="I1094" s="191"/>
      <c r="J1094" s="192"/>
      <c r="K1094" s="635"/>
      <c r="L1094" s="641" t="str">
        <f t="shared" si="156"/>
        <v/>
      </c>
      <c r="M1094" s="643" t="str">
        <f>IF(C1094="","",L1094-Q1059*COS(O1052*PI()/180))</f>
        <v/>
      </c>
      <c r="N1094" s="644" t="str">
        <f>IF(C1094="","",L1094+P1059*SIN(O1052*PI()/180))</f>
        <v/>
      </c>
      <c r="O1094" s="638"/>
      <c r="P1094" s="646" t="str">
        <f>IF(C1094="","",(PI()*O1094/180*(R1060*M1094-N1094*S1060)-Q1094*(S1059*R1060-S1060*R1059))/S1058/(R1060-S1060))</f>
        <v/>
      </c>
      <c r="Q1094" s="647" t="str">
        <f>IF(C1094="","",O1094/180*PI()*(L1094-M1094)/(R1059-S1059))</f>
        <v/>
      </c>
      <c r="R1094" s="737" t="str">
        <f>IF(C1094="","",(O1094/180*PI()*N1094-Q1094*R1059-S1094*S1058)/R1060)</f>
        <v/>
      </c>
      <c r="S1094" s="734" t="str">
        <f t="shared" si="153"/>
        <v/>
      </c>
      <c r="T1094" s="735" t="str">
        <f t="shared" si="154"/>
        <v/>
      </c>
      <c r="U1094" s="736" t="str">
        <f t="shared" si="155"/>
        <v/>
      </c>
      <c r="V1094" s="329"/>
      <c r="W1094" s="181"/>
      <c r="X1094" s="137"/>
      <c r="Z1094" s="183"/>
      <c r="AA1094" s="183"/>
    </row>
    <row r="1095" spans="1:27" s="182" customFormat="1" ht="15" customHeight="1">
      <c r="A1095" s="211"/>
      <c r="B1095" s="164"/>
      <c r="C1095" s="658" t="str">
        <f>IF(Q1052="","",IF(C1094="","",IF(C1094+1&lt;=Q1052,C1094+1,"")))</f>
        <v/>
      </c>
      <c r="D1095" s="232"/>
      <c r="E1095" s="191"/>
      <c r="F1095" s="191"/>
      <c r="G1095" s="191"/>
      <c r="H1095" s="191"/>
      <c r="I1095" s="191"/>
      <c r="J1095" s="192"/>
      <c r="K1095" s="635"/>
      <c r="L1095" s="641" t="str">
        <f t="shared" si="156"/>
        <v/>
      </c>
      <c r="M1095" s="643" t="str">
        <f>IF(C1095="","",L1095-Q1059*COS(O1052*PI()/180))</f>
        <v/>
      </c>
      <c r="N1095" s="644" t="str">
        <f>IF(C1095="","",L1095+P1059*SIN(O1052*PI()/180))</f>
        <v/>
      </c>
      <c r="O1095" s="638"/>
      <c r="P1095" s="646" t="str">
        <f>IF(C1095="","",(PI()*O1095/180*(R1060*M1095-N1095*S1060)-Q1095*(S1059*R1060-S1060*R1059))/S1058/(R1060-S1060))</f>
        <v/>
      </c>
      <c r="Q1095" s="647" t="str">
        <f>IF(C1095="","",O1095/180*PI()*(L1095-M1095)/(R1059-S1059))</f>
        <v/>
      </c>
      <c r="R1095" s="737" t="str">
        <f>IF(C1095="","",(O1095/180*PI()*N1095-Q1095*R1059-S1095*S1058)/R1060)</f>
        <v/>
      </c>
      <c r="S1095" s="734" t="str">
        <f t="shared" si="153"/>
        <v/>
      </c>
      <c r="T1095" s="735" t="str">
        <f t="shared" si="154"/>
        <v/>
      </c>
      <c r="U1095" s="736" t="str">
        <f t="shared" si="155"/>
        <v/>
      </c>
      <c r="V1095" s="329"/>
      <c r="W1095" s="181"/>
      <c r="X1095" s="137"/>
      <c r="Z1095" s="183"/>
      <c r="AA1095" s="183"/>
    </row>
    <row r="1096" spans="1:27" s="182" customFormat="1" ht="15" customHeight="1">
      <c r="A1096" s="211"/>
      <c r="B1096" s="164"/>
      <c r="C1096" s="658" t="str">
        <f>IF(Q1052="","",IF(C1095="","",IF(C1095+1&lt;=Q1052,C1095+1,"")))</f>
        <v/>
      </c>
      <c r="D1096" s="232"/>
      <c r="E1096" s="191"/>
      <c r="F1096" s="191"/>
      <c r="G1096" s="191"/>
      <c r="H1096" s="191"/>
      <c r="I1096" s="191"/>
      <c r="J1096" s="192"/>
      <c r="K1096" s="635"/>
      <c r="L1096" s="641" t="str">
        <f t="shared" si="156"/>
        <v/>
      </c>
      <c r="M1096" s="643" t="str">
        <f>IF(C1096="","",L1096-Q1059*COS(O1052*PI()/180))</f>
        <v/>
      </c>
      <c r="N1096" s="644" t="str">
        <f>IF(C1096="","",L1096+P1059*SIN(O1052*PI()/180))</f>
        <v/>
      </c>
      <c r="O1096" s="638"/>
      <c r="P1096" s="646" t="str">
        <f>IF(C1096="","",(PI()*O1096/180*(R1060*M1096-N1096*S1060)-Q1096*(S1059*R1060-S1060*R1059))/S1058/(R1060-S1060))</f>
        <v/>
      </c>
      <c r="Q1096" s="647" t="str">
        <f>IF(C1096="","",O1096/180*PI()*(L1096-M1096)/(R1059-S1059))</f>
        <v/>
      </c>
      <c r="R1096" s="737" t="str">
        <f>IF(C1096="","",(O1096/180*PI()*N1096-Q1096*R1059-S1096*S1058)/R1060)</f>
        <v/>
      </c>
      <c r="S1096" s="734" t="str">
        <f t="shared" si="153"/>
        <v/>
      </c>
      <c r="T1096" s="735" t="str">
        <f t="shared" si="154"/>
        <v/>
      </c>
      <c r="U1096" s="736" t="str">
        <f t="shared" si="155"/>
        <v/>
      </c>
      <c r="V1096" s="329"/>
      <c r="W1096" s="181"/>
      <c r="X1096" s="137"/>
      <c r="Z1096" s="183"/>
      <c r="AA1096" s="183"/>
    </row>
    <row r="1097" spans="1:27" s="182" customFormat="1" ht="15" customHeight="1">
      <c r="A1097" s="211"/>
      <c r="B1097" s="164"/>
      <c r="C1097" s="658" t="str">
        <f>IF(Q1052="","",IF(C1096="","",IF(C1096+1&lt;=Q1052,C1096+1,"")))</f>
        <v/>
      </c>
      <c r="D1097" s="232"/>
      <c r="E1097" s="191"/>
      <c r="F1097" s="191"/>
      <c r="G1097" s="191"/>
      <c r="H1097" s="191"/>
      <c r="I1097" s="191"/>
      <c r="J1097" s="192"/>
      <c r="K1097" s="635"/>
      <c r="L1097" s="641" t="str">
        <f t="shared" si="156"/>
        <v/>
      </c>
      <c r="M1097" s="643" t="str">
        <f>IF(C1097="","",L1097-Q1059*COS(O1052*PI()/180))</f>
        <v/>
      </c>
      <c r="N1097" s="644" t="str">
        <f>IF(C1097="","",L1097+P1059*SIN(O1052*PI()/180))</f>
        <v/>
      </c>
      <c r="O1097" s="638"/>
      <c r="P1097" s="646" t="str">
        <f>IF(C1097="","",(PI()*O1097/180*(R1060*M1097-N1097*S1060)-Q1097*(S1059*R1060-S1060*R1059))/S1058/(R1060-S1060))</f>
        <v/>
      </c>
      <c r="Q1097" s="647" t="str">
        <f>IF(C1097="","",O1097/180*PI()*(L1097-M1097)/(R1059-S1059))</f>
        <v/>
      </c>
      <c r="R1097" s="737" t="str">
        <f>IF(C1097="","",(O1097/180*PI()*N1097-Q1097*R1059-S1097*S1058)/R1060)</f>
        <v/>
      </c>
      <c r="S1097" s="734" t="str">
        <f t="shared" si="153"/>
        <v/>
      </c>
      <c r="T1097" s="735" t="str">
        <f t="shared" si="154"/>
        <v/>
      </c>
      <c r="U1097" s="736" t="str">
        <f t="shared" si="155"/>
        <v/>
      </c>
      <c r="V1097" s="329"/>
      <c r="W1097" s="181"/>
      <c r="X1097" s="137"/>
      <c r="Z1097" s="183"/>
      <c r="AA1097" s="183"/>
    </row>
    <row r="1098" spans="1:27" s="182" customFormat="1" ht="15" customHeight="1">
      <c r="A1098" s="211"/>
      <c r="B1098" s="164"/>
      <c r="C1098" s="658" t="str">
        <f>IF(Q1052="","",IF(C1097="","",IF(C1097+1&lt;=Q1052,C1097+1,"")))</f>
        <v/>
      </c>
      <c r="D1098" s="232"/>
      <c r="E1098" s="191"/>
      <c r="F1098" s="191"/>
      <c r="G1098" s="191"/>
      <c r="H1098" s="191"/>
      <c r="I1098" s="191"/>
      <c r="J1098" s="192"/>
      <c r="K1098" s="635"/>
      <c r="L1098" s="641" t="str">
        <f t="shared" si="156"/>
        <v/>
      </c>
      <c r="M1098" s="643" t="str">
        <f>IF(C1098="","",L1098-Q1059*COS(O1052*PI()/180))</f>
        <v/>
      </c>
      <c r="N1098" s="644" t="str">
        <f>IF(C1098="","",L1098+P1059*SIN(O1052*PI()/180))</f>
        <v/>
      </c>
      <c r="O1098" s="638"/>
      <c r="P1098" s="646" t="str">
        <f>IF(C1098="","",(PI()*O1098/180*(R1060*M1098-N1098*S1060)-Q1098*(S1059*R1060-S1060*R1059))/S1058/(R1060-S1060))</f>
        <v/>
      </c>
      <c r="Q1098" s="647" t="str">
        <f>IF(C1098="","",O1098/180*PI()*(L1098-M1098)/(R1059-S1059))</f>
        <v/>
      </c>
      <c r="R1098" s="737" t="str">
        <f>IF(C1098="","",(O1098/180*PI()*N1098-Q1098*R1059-S1098*S1058)/R1060)</f>
        <v/>
      </c>
      <c r="S1098" s="734" t="str">
        <f t="shared" si="153"/>
        <v/>
      </c>
      <c r="T1098" s="735" t="str">
        <f t="shared" si="154"/>
        <v/>
      </c>
      <c r="U1098" s="736" t="str">
        <f t="shared" si="155"/>
        <v/>
      </c>
      <c r="V1098" s="329"/>
      <c r="W1098" s="181"/>
      <c r="X1098" s="137"/>
      <c r="Z1098" s="183"/>
      <c r="AA1098" s="183"/>
    </row>
    <row r="1099" spans="1:27" s="182" customFormat="1" ht="15" customHeight="1">
      <c r="A1099" s="211"/>
      <c r="B1099" s="164"/>
      <c r="C1099" s="658" t="str">
        <f>IF(Q1052="","",IF(C1098="","",IF(C1098+1&lt;=Q1052,C1098+1,"")))</f>
        <v/>
      </c>
      <c r="D1099" s="232"/>
      <c r="E1099" s="191"/>
      <c r="F1099" s="191"/>
      <c r="G1099" s="191"/>
      <c r="H1099" s="191"/>
      <c r="I1099" s="191"/>
      <c r="J1099" s="192"/>
      <c r="K1099" s="635"/>
      <c r="L1099" s="641" t="str">
        <f t="shared" si="156"/>
        <v/>
      </c>
      <c r="M1099" s="643" t="str">
        <f>IF(C1099="","",L1099-Q1059*COS(O1052*PI()/180))</f>
        <v/>
      </c>
      <c r="N1099" s="644" t="str">
        <f>IF(C1099="","",L1099+P1059*SIN(O1052*PI()/180))</f>
        <v/>
      </c>
      <c r="O1099" s="638"/>
      <c r="P1099" s="646" t="str">
        <f>IF(C1099="","",(PI()*O1099/180*(R1060*M1099-N1099*S1060)-Q1099*(S1059*R1060-S1060*R1059))/S1058/(R1060-S1060))</f>
        <v/>
      </c>
      <c r="Q1099" s="647" t="str">
        <f>IF(C1099="","",O1099/180*PI()*(L1099-M1099)/(R1059-S1059))</f>
        <v/>
      </c>
      <c r="R1099" s="737" t="str">
        <f>IF(C1099="","",(O1099/180*PI()*N1099-Q1099*R1059-S1099*S1058)/R1060)</f>
        <v/>
      </c>
      <c r="S1099" s="734" t="str">
        <f t="shared" si="153"/>
        <v/>
      </c>
      <c r="T1099" s="735" t="str">
        <f t="shared" si="154"/>
        <v/>
      </c>
      <c r="U1099" s="736" t="str">
        <f t="shared" si="155"/>
        <v/>
      </c>
      <c r="V1099" s="329"/>
      <c r="W1099" s="181"/>
      <c r="X1099" s="137"/>
      <c r="Z1099" s="183"/>
      <c r="AA1099" s="183"/>
    </row>
    <row r="1100" spans="1:27" s="182" customFormat="1" ht="15" customHeight="1">
      <c r="A1100" s="211"/>
      <c r="B1100" s="164"/>
      <c r="C1100" s="658" t="str">
        <f>IF(Q1052="","",IF(C1099="","",IF(C1099+1&lt;=Q1052,C1099+1,"")))</f>
        <v/>
      </c>
      <c r="D1100" s="232"/>
      <c r="E1100" s="191"/>
      <c r="F1100" s="191"/>
      <c r="G1100" s="191"/>
      <c r="H1100" s="191"/>
      <c r="I1100" s="191"/>
      <c r="J1100" s="192"/>
      <c r="K1100" s="635"/>
      <c r="L1100" s="641" t="str">
        <f t="shared" si="156"/>
        <v/>
      </c>
      <c r="M1100" s="643" t="str">
        <f>IF(C1100="","",L1100-Q1059*COS(O1052*PI()/180))</f>
        <v/>
      </c>
      <c r="N1100" s="644" t="str">
        <f>IF(C1100="","",L1100+P1059*SIN(O1052*PI()/180))</f>
        <v/>
      </c>
      <c r="O1100" s="638"/>
      <c r="P1100" s="646" t="str">
        <f>IF(C1100="","",(PI()*O1100/180*(R1060*M1100-N1100*S1060)-Q1100*(S1059*R1060-S1060*R1059))/S1058/(R1060-S1060))</f>
        <v/>
      </c>
      <c r="Q1100" s="647" t="str">
        <f>IF(C1100="","",O1100/180*PI()*(L1100-M1100)/(R1059-S1059))</f>
        <v/>
      </c>
      <c r="R1100" s="737" t="str">
        <f>IF(C1100="","",(O1100/180*PI()*N1100-Q1100*R1059-S1100*S1058)/R1060)</f>
        <v/>
      </c>
      <c r="S1100" s="734" t="str">
        <f t="shared" si="153"/>
        <v/>
      </c>
      <c r="T1100" s="735" t="str">
        <f t="shared" si="154"/>
        <v/>
      </c>
      <c r="U1100" s="736" t="str">
        <f t="shared" si="155"/>
        <v/>
      </c>
      <c r="V1100" s="329"/>
      <c r="W1100" s="181"/>
      <c r="X1100" s="137"/>
      <c r="Z1100" s="183"/>
      <c r="AA1100" s="183"/>
    </row>
    <row r="1101" spans="1:27" s="182" customFormat="1" ht="15" customHeight="1">
      <c r="A1101" s="211"/>
      <c r="B1101" s="164"/>
      <c r="C1101" s="658" t="str">
        <f>IF(Q1052="","",IF(C1100="","",IF(C1100+1&lt;=Q1052,C1100+1,"")))</f>
        <v/>
      </c>
      <c r="D1101" s="232"/>
      <c r="E1101" s="191"/>
      <c r="F1101" s="191"/>
      <c r="G1101" s="191"/>
      <c r="H1101" s="191"/>
      <c r="I1101" s="191"/>
      <c r="J1101" s="192"/>
      <c r="K1101" s="635"/>
      <c r="L1101" s="641" t="str">
        <f t="shared" si="156"/>
        <v/>
      </c>
      <c r="M1101" s="643" t="str">
        <f>IF(C1101="","",L1101-Q1059*COS(O1052*PI()/180))</f>
        <v/>
      </c>
      <c r="N1101" s="644" t="str">
        <f>IF(C1101="","",L1101+P1059*SIN(O1052*PI()/180))</f>
        <v/>
      </c>
      <c r="O1101" s="638"/>
      <c r="P1101" s="646" t="str">
        <f>IF(C1101="","",(PI()*O1101/180*(R1060*M1101-N1101*S1060)-Q1101*(S1059*R1060-S1060*R1059))/S1058/(R1060-S1060))</f>
        <v/>
      </c>
      <c r="Q1101" s="647" t="str">
        <f>IF(C1101="","",O1101/180*PI()*(L1101-M1101)/(R1059-S1059))</f>
        <v/>
      </c>
      <c r="R1101" s="737" t="str">
        <f>IF(C1101="","",(O1101/180*PI()*N1101-Q1101*R1059-S1101*S1058)/R1060)</f>
        <v/>
      </c>
      <c r="S1101" s="734" t="str">
        <f t="shared" si="153"/>
        <v/>
      </c>
      <c r="T1101" s="735" t="str">
        <f t="shared" si="154"/>
        <v/>
      </c>
      <c r="U1101" s="736" t="str">
        <f t="shared" si="155"/>
        <v/>
      </c>
      <c r="V1101" s="329"/>
      <c r="W1101" s="181"/>
      <c r="X1101" s="137"/>
      <c r="Z1101" s="183"/>
      <c r="AA1101" s="183"/>
    </row>
    <row r="1102" spans="1:27" s="182" customFormat="1" ht="15" customHeight="1">
      <c r="A1102" s="211"/>
      <c r="B1102" s="164"/>
      <c r="C1102" s="658" t="str">
        <f>IF(Q1052="","",IF(C1101="","",IF(C1101+1&lt;=Q1052,C1101+1,"")))</f>
        <v/>
      </c>
      <c r="D1102" s="232"/>
      <c r="E1102" s="191"/>
      <c r="F1102" s="191"/>
      <c r="G1102" s="191"/>
      <c r="H1102" s="191"/>
      <c r="I1102" s="191"/>
      <c r="J1102" s="192"/>
      <c r="K1102" s="635"/>
      <c r="L1102" s="641" t="str">
        <f t="shared" si="156"/>
        <v/>
      </c>
      <c r="M1102" s="643" t="str">
        <f>IF(C1102="","",L1102-Q1059*COS(O1052*PI()/180))</f>
        <v/>
      </c>
      <c r="N1102" s="644" t="str">
        <f>IF(C1102="","",L1102+P1059*SIN(O1052*PI()/180))</f>
        <v/>
      </c>
      <c r="O1102" s="638"/>
      <c r="P1102" s="646" t="str">
        <f>IF(C1102="","",(PI()*O1102/180*(R1060*M1102-N1102*S1060)-Q1102*(S1059*R1060-S1060*R1059))/S1058/(R1060-S1060))</f>
        <v/>
      </c>
      <c r="Q1102" s="647" t="str">
        <f>IF(C1102="","",O1102/180*PI()*(L1102-M1102)/(R1059-S1059))</f>
        <v/>
      </c>
      <c r="R1102" s="737" t="str">
        <f>IF(C1102="","",(O1102/180*PI()*N1102-Q1102*R1059-S1102*S1058)/R1060)</f>
        <v/>
      </c>
      <c r="S1102" s="734" t="str">
        <f t="shared" si="153"/>
        <v/>
      </c>
      <c r="T1102" s="735" t="str">
        <f t="shared" si="154"/>
        <v/>
      </c>
      <c r="U1102" s="736" t="str">
        <f t="shared" si="155"/>
        <v/>
      </c>
      <c r="V1102" s="329"/>
      <c r="W1102" s="181"/>
      <c r="X1102" s="137"/>
      <c r="Z1102" s="183"/>
      <c r="AA1102" s="183"/>
    </row>
    <row r="1103" spans="1:27" s="182" customFormat="1" ht="15" customHeight="1">
      <c r="A1103" s="211"/>
      <c r="B1103" s="164"/>
      <c r="C1103" s="658" t="str">
        <f>IF(Q1052="","",IF(C1102="","",IF(C1102+1&lt;=Q1052,C1102+1,"")))</f>
        <v/>
      </c>
      <c r="D1103" s="232"/>
      <c r="E1103" s="191"/>
      <c r="F1103" s="191"/>
      <c r="G1103" s="191"/>
      <c r="H1103" s="191"/>
      <c r="I1103" s="191"/>
      <c r="J1103" s="192"/>
      <c r="K1103" s="635"/>
      <c r="L1103" s="641" t="str">
        <f t="shared" si="156"/>
        <v/>
      </c>
      <c r="M1103" s="643" t="str">
        <f>IF(C1103="","",L1103-Q1059*COS(O1052*PI()/180))</f>
        <v/>
      </c>
      <c r="N1103" s="644" t="str">
        <f>IF(C1103="","",L1103+P1059*SIN(O1052*PI()/180))</f>
        <v/>
      </c>
      <c r="O1103" s="638"/>
      <c r="P1103" s="646" t="str">
        <f>IF(C1103="","",(PI()*O1103/180*(R1060*M1103-N1103*S1060)-Q1103*(S1059*R1060-S1060*R1059))/S1058/(R1060-S1060))</f>
        <v/>
      </c>
      <c r="Q1103" s="647" t="str">
        <f>IF(C1103="","",O1103/180*PI()*(L1103-M1103)/(R1059-S1059))</f>
        <v/>
      </c>
      <c r="R1103" s="737" t="str">
        <f>IF(C1103="","",(O1103/180*PI()*N1103-Q1103*R1059-S1103*S1058)/R1060)</f>
        <v/>
      </c>
      <c r="S1103" s="734" t="str">
        <f t="shared" si="153"/>
        <v/>
      </c>
      <c r="T1103" s="735" t="str">
        <f t="shared" si="154"/>
        <v/>
      </c>
      <c r="U1103" s="736" t="str">
        <f t="shared" si="155"/>
        <v/>
      </c>
      <c r="V1103" s="329"/>
      <c r="W1103" s="181"/>
      <c r="X1103" s="137"/>
      <c r="Z1103" s="183"/>
      <c r="AA1103" s="183"/>
    </row>
    <row r="1104" spans="1:27" s="182" customFormat="1" ht="15" customHeight="1">
      <c r="A1104" s="211"/>
      <c r="B1104" s="164"/>
      <c r="C1104" s="658" t="str">
        <f>IF(Q1052="","",IF(C1103="","",IF(C1103+1&lt;=Q1052,C1103+1,"")))</f>
        <v/>
      </c>
      <c r="D1104" s="232"/>
      <c r="E1104" s="191"/>
      <c r="F1104" s="191"/>
      <c r="G1104" s="191"/>
      <c r="H1104" s="191"/>
      <c r="I1104" s="191"/>
      <c r="J1104" s="192"/>
      <c r="K1104" s="635"/>
      <c r="L1104" s="641" t="str">
        <f t="shared" si="156"/>
        <v/>
      </c>
      <c r="M1104" s="643" t="str">
        <f>IF(C1104="","",L1104-Q1059*COS(O1052*PI()/180))</f>
        <v/>
      </c>
      <c r="N1104" s="644" t="str">
        <f>IF(C1104="","",L1104+P1059*SIN(O1052*PI()/180))</f>
        <v/>
      </c>
      <c r="O1104" s="638"/>
      <c r="P1104" s="646" t="str">
        <f>IF(C1104="","",(PI()*O1104/180*(R1060*M1104-N1104*S1060)-Q1104*(S1059*R1060-S1060*R1059))/S1058/(R1060-S1060))</f>
        <v/>
      </c>
      <c r="Q1104" s="647" t="str">
        <f>IF(C1104="","",O1104/180*PI()*(L1104-M1104)/(R1059-S1059))</f>
        <v/>
      </c>
      <c r="R1104" s="737" t="str">
        <f>IF(C1104="","",(O1104/180*PI()*N1104-Q1104*R1059-S1104*S1058)/R1060)</f>
        <v/>
      </c>
      <c r="S1104" s="734" t="str">
        <f t="shared" si="153"/>
        <v/>
      </c>
      <c r="T1104" s="735" t="str">
        <f t="shared" si="154"/>
        <v/>
      </c>
      <c r="U1104" s="736" t="str">
        <f t="shared" si="155"/>
        <v/>
      </c>
      <c r="V1104" s="329"/>
      <c r="W1104" s="181"/>
      <c r="X1104" s="137"/>
      <c r="Z1104" s="183"/>
      <c r="AA1104" s="183"/>
    </row>
    <row r="1105" spans="1:27" s="182" customFormat="1" ht="15" customHeight="1">
      <c r="A1105" s="211"/>
      <c r="B1105" s="164"/>
      <c r="C1105" s="658" t="str">
        <f>IF(Q1052="","",IF(C1104="","",IF(C1104+1&lt;=Q1052,C1104+1,"")))</f>
        <v/>
      </c>
      <c r="D1105" s="232"/>
      <c r="E1105" s="191"/>
      <c r="F1105" s="191"/>
      <c r="G1105" s="191"/>
      <c r="H1105" s="191"/>
      <c r="I1105" s="191"/>
      <c r="J1105" s="192"/>
      <c r="K1105" s="635"/>
      <c r="L1105" s="641" t="str">
        <f t="shared" si="156"/>
        <v/>
      </c>
      <c r="M1105" s="643" t="str">
        <f>IF(C1105="","",L1105-Q1059*COS(O1052*PI()/180))</f>
        <v/>
      </c>
      <c r="N1105" s="644" t="str">
        <f>IF(C1105="","",L1105+P1059*SIN(O1052*PI()/180))</f>
        <v/>
      </c>
      <c r="O1105" s="638"/>
      <c r="P1105" s="646" t="str">
        <f>IF(C1105="","",(PI()*O1105/180*(R1060*M1105-N1105*S1060)-Q1105*(S1059*R1060-S1060*R1059))/S1058/(R1060-S1060))</f>
        <v/>
      </c>
      <c r="Q1105" s="647" t="str">
        <f>IF(C1105="","",O1105/180*PI()*(L1105-M1105)/(R1059-S1059))</f>
        <v/>
      </c>
      <c r="R1105" s="737" t="str">
        <f>IF(C1105="","",(O1105/180*PI()*N1105-Q1105*R1059-S1105*S1058)/R1060)</f>
        <v/>
      </c>
      <c r="S1105" s="734" t="str">
        <f t="shared" si="153"/>
        <v/>
      </c>
      <c r="T1105" s="735" t="str">
        <f t="shared" si="154"/>
        <v/>
      </c>
      <c r="U1105" s="736" t="str">
        <f t="shared" si="155"/>
        <v/>
      </c>
      <c r="V1105" s="329"/>
      <c r="W1105" s="181"/>
      <c r="X1105" s="137"/>
      <c r="Z1105" s="183"/>
      <c r="AA1105" s="183"/>
    </row>
    <row r="1106" spans="1:27" s="182" customFormat="1" ht="15" customHeight="1">
      <c r="A1106" s="211"/>
      <c r="B1106" s="164"/>
      <c r="C1106" s="658" t="str">
        <f>IF(Q1052="","",IF(C1105="","",IF(C1105+1&lt;=Q1052,C1105+1,"")))</f>
        <v/>
      </c>
      <c r="D1106" s="232"/>
      <c r="E1106" s="191"/>
      <c r="F1106" s="191"/>
      <c r="G1106" s="191"/>
      <c r="H1106" s="191"/>
      <c r="I1106" s="191"/>
      <c r="J1106" s="192"/>
      <c r="K1106" s="635"/>
      <c r="L1106" s="641" t="str">
        <f t="shared" si="156"/>
        <v/>
      </c>
      <c r="M1106" s="643" t="str">
        <f>IF(C1106="","",L1106-Q1059*COS(O1052*PI()/180))</f>
        <v/>
      </c>
      <c r="N1106" s="644" t="str">
        <f>IF(C1106="","",L1106+P1059*SIN(O1052*PI()/180))</f>
        <v/>
      </c>
      <c r="O1106" s="638"/>
      <c r="P1106" s="646" t="str">
        <f>IF(C1106="","",(PI()*O1106/180*(R1060*M1106-N1106*S1060)-Q1106*(S1059*R1060-S1060*R1059))/S1058/(R1060-S1060))</f>
        <v/>
      </c>
      <c r="Q1106" s="647" t="str">
        <f>IF(C1106="","",O1106/180*PI()*(L1106-M1106)/(R1059-S1059))</f>
        <v/>
      </c>
      <c r="R1106" s="737" t="str">
        <f>IF(C1106="","",(O1106/180*PI()*N1106-Q1106*R1059-S1106*S1058)/R1060)</f>
        <v/>
      </c>
      <c r="S1106" s="734" t="str">
        <f t="shared" si="153"/>
        <v/>
      </c>
      <c r="T1106" s="735" t="str">
        <f t="shared" si="154"/>
        <v/>
      </c>
      <c r="U1106" s="736" t="str">
        <f t="shared" si="155"/>
        <v/>
      </c>
      <c r="V1106" s="329"/>
      <c r="W1106" s="181"/>
      <c r="X1106" s="137"/>
      <c r="Z1106" s="183"/>
      <c r="AA1106" s="183"/>
    </row>
    <row r="1107" spans="1:27" s="182" customFormat="1" ht="15" customHeight="1">
      <c r="A1107" s="211"/>
      <c r="B1107" s="164"/>
      <c r="C1107" s="658" t="str">
        <f>IF(Q1052="","",IF(C1106="","",IF(C1106+1&lt;=Q1052,C1106+1,"")))</f>
        <v/>
      </c>
      <c r="D1107" s="232"/>
      <c r="E1107" s="191"/>
      <c r="F1107" s="191"/>
      <c r="G1107" s="191"/>
      <c r="H1107" s="191"/>
      <c r="I1107" s="191"/>
      <c r="J1107" s="192"/>
      <c r="K1107" s="635"/>
      <c r="L1107" s="641" t="str">
        <f t="shared" si="156"/>
        <v/>
      </c>
      <c r="M1107" s="643" t="str">
        <f>IF(C1107="","",L1107-Q1059*COS(O1052*PI()/180))</f>
        <v/>
      </c>
      <c r="N1107" s="644" t="str">
        <f>IF(C1107="","",L1107+P1059*SIN(O1052*PI()/180))</f>
        <v/>
      </c>
      <c r="O1107" s="638"/>
      <c r="P1107" s="646" t="str">
        <f>IF(C1107="","",(PI()*O1107/180*(R1060*M1107-N1107*S1060)-Q1107*(S1059*R1060-S1060*R1059))/S1058/(R1060-S1060))</f>
        <v/>
      </c>
      <c r="Q1107" s="647" t="str">
        <f>IF(C1107="","",O1107/180*PI()*(L1107-M1107)/(R1059-S1059))</f>
        <v/>
      </c>
      <c r="R1107" s="737" t="str">
        <f>IF(C1107="","",(O1107/180*PI()*N1107-Q1107*R1059-S1107*S1058)/R1060)</f>
        <v/>
      </c>
      <c r="S1107" s="734" t="str">
        <f t="shared" si="153"/>
        <v/>
      </c>
      <c r="T1107" s="735" t="str">
        <f t="shared" si="154"/>
        <v/>
      </c>
      <c r="U1107" s="736" t="str">
        <f t="shared" si="155"/>
        <v/>
      </c>
      <c r="V1107" s="329"/>
      <c r="W1107" s="181"/>
      <c r="X1107" s="137"/>
      <c r="Z1107" s="183"/>
      <c r="AA1107" s="183"/>
    </row>
    <row r="1108" spans="1:27" s="182" customFormat="1" ht="15" customHeight="1">
      <c r="A1108" s="211"/>
      <c r="B1108" s="164"/>
      <c r="C1108" s="658" t="str">
        <f>IF(Q1052="","",IF(C1107="","",IF(C1107+1&lt;=Q1052,C1107+1,"")))</f>
        <v/>
      </c>
      <c r="D1108" s="232"/>
      <c r="E1108" s="191"/>
      <c r="F1108" s="191"/>
      <c r="G1108" s="191"/>
      <c r="H1108" s="191"/>
      <c r="I1108" s="191"/>
      <c r="J1108" s="192"/>
      <c r="K1108" s="635"/>
      <c r="L1108" s="641" t="str">
        <f t="shared" si="156"/>
        <v/>
      </c>
      <c r="M1108" s="643" t="str">
        <f>IF(C1108="","",L1108-Q1059*COS(O1052*PI()/180))</f>
        <v/>
      </c>
      <c r="N1108" s="644" t="str">
        <f>IF(C1108="","",L1108+P1059*SIN(O1052*PI()/180))</f>
        <v/>
      </c>
      <c r="O1108" s="638"/>
      <c r="P1108" s="646" t="str">
        <f>IF(C1108="","",(PI()*O1108/180*(R1060*M1108-N1108*S1060)-Q1108*(S1059*R1060-S1060*R1059))/S1058/(R1060-S1060))</f>
        <v/>
      </c>
      <c r="Q1108" s="647" t="str">
        <f>IF(C1108="","",O1108/180*PI()*(L1108-M1108)/(R1059-S1059))</f>
        <v/>
      </c>
      <c r="R1108" s="737" t="str">
        <f>IF(C1108="","",(O1108/180*PI()*N1108-Q1108*R1059-S1108*S1058)/R1060)</f>
        <v/>
      </c>
      <c r="S1108" s="734" t="str">
        <f t="shared" si="153"/>
        <v/>
      </c>
      <c r="T1108" s="735" t="str">
        <f t="shared" si="154"/>
        <v/>
      </c>
      <c r="U1108" s="736" t="str">
        <f t="shared" si="155"/>
        <v/>
      </c>
      <c r="V1108" s="329"/>
      <c r="W1108" s="181"/>
      <c r="X1108" s="137"/>
      <c r="Z1108" s="183"/>
      <c r="AA1108" s="183"/>
    </row>
    <row r="1109" spans="1:27" s="182" customFormat="1" ht="15" customHeight="1">
      <c r="A1109" s="211"/>
      <c r="B1109" s="164"/>
      <c r="C1109" s="658" t="str">
        <f>IF(Q1052="","",IF(C1108="","",IF(C1108+1&lt;=Q1052,C1108+1,"")))</f>
        <v/>
      </c>
      <c r="D1109" s="232"/>
      <c r="E1109" s="191"/>
      <c r="F1109" s="191"/>
      <c r="G1109" s="191"/>
      <c r="H1109" s="191"/>
      <c r="I1109" s="191"/>
      <c r="J1109" s="192"/>
      <c r="K1109" s="635"/>
      <c r="L1109" s="641" t="str">
        <f t="shared" si="156"/>
        <v/>
      </c>
      <c r="M1109" s="643" t="str">
        <f>IF(C1109="","",L1109-Q1059*COS(O1052*PI()/180))</f>
        <v/>
      </c>
      <c r="N1109" s="644" t="str">
        <f>IF(C1109="","",L1109+P1059*SIN(O1052*PI()/180))</f>
        <v/>
      </c>
      <c r="O1109" s="638"/>
      <c r="P1109" s="646" t="str">
        <f>IF(C1109="","",(PI()*O1109/180*(R1060*M1109-N1109*S1060)-Q1109*(S1059*R1060-S1060*R1059))/S1058/(R1060-S1060))</f>
        <v/>
      </c>
      <c r="Q1109" s="647" t="str">
        <f>IF(C1109="","",O1109/180*PI()*(L1109-M1109)/(R1059-S1059))</f>
        <v/>
      </c>
      <c r="R1109" s="737" t="str">
        <f>IF(C1109="","",(O1109/180*PI()*N1109-Q1109*R1059-S1109*S1058)/R1060)</f>
        <v/>
      </c>
      <c r="S1109" s="734" t="str">
        <f t="shared" si="153"/>
        <v/>
      </c>
      <c r="T1109" s="735" t="str">
        <f t="shared" si="154"/>
        <v/>
      </c>
      <c r="U1109" s="736" t="str">
        <f t="shared" si="155"/>
        <v/>
      </c>
      <c r="V1109" s="329"/>
      <c r="W1109" s="181"/>
      <c r="X1109" s="137"/>
      <c r="Z1109" s="183"/>
      <c r="AA1109" s="183"/>
    </row>
    <row r="1110" spans="1:27" s="182" customFormat="1" ht="15" customHeight="1">
      <c r="A1110" s="211"/>
      <c r="B1110" s="164"/>
      <c r="C1110" s="658" t="str">
        <f>IF(Q1052="","",IF(C1109="","",IF(C1109+1&lt;=Q1052,C1109+1,"")))</f>
        <v/>
      </c>
      <c r="D1110" s="232"/>
      <c r="E1110" s="191"/>
      <c r="F1110" s="191"/>
      <c r="G1110" s="191"/>
      <c r="H1110" s="191"/>
      <c r="I1110" s="191"/>
      <c r="J1110" s="192"/>
      <c r="K1110" s="635"/>
      <c r="L1110" s="641" t="str">
        <f t="shared" si="156"/>
        <v/>
      </c>
      <c r="M1110" s="643" t="str">
        <f>IF(C1110="","",L1110-Q1059*COS(O1052*PI()/180))</f>
        <v/>
      </c>
      <c r="N1110" s="644" t="str">
        <f>IF(C1110="","",L1110+P1059*SIN(O1052*PI()/180))</f>
        <v/>
      </c>
      <c r="O1110" s="638"/>
      <c r="P1110" s="646" t="str">
        <f>IF(C1110="","",(PI()*O1110/180*(R1060*M1110-N1110*S1060)-Q1110*(S1059*R1060-S1060*R1059))/S1058/(R1060-S1060))</f>
        <v/>
      </c>
      <c r="Q1110" s="647" t="str">
        <f>IF(C1110="","",O1110/180*PI()*(L1110-M1110)/(R1059-S1059))</f>
        <v/>
      </c>
      <c r="R1110" s="737" t="str">
        <f>IF(C1110="","",(O1110/180*PI()*N1110-Q1110*R1059-S1110*S1058)/R1060)</f>
        <v/>
      </c>
      <c r="S1110" s="734" t="str">
        <f t="shared" si="153"/>
        <v/>
      </c>
      <c r="T1110" s="735" t="str">
        <f t="shared" si="154"/>
        <v/>
      </c>
      <c r="U1110" s="736" t="str">
        <f t="shared" si="155"/>
        <v/>
      </c>
      <c r="V1110" s="329"/>
      <c r="W1110" s="181"/>
      <c r="X1110" s="137"/>
      <c r="Z1110" s="183"/>
      <c r="AA1110" s="183"/>
    </row>
    <row r="1111" spans="1:27" s="182" customFormat="1" ht="15" customHeight="1">
      <c r="A1111" s="211"/>
      <c r="B1111" s="164"/>
      <c r="C1111" s="658" t="str">
        <f>IF(Q1052="","",IF(C1110="","",IF(C1110+1&lt;=Q1052,C1110+1,"")))</f>
        <v/>
      </c>
      <c r="D1111" s="232"/>
      <c r="E1111" s="191"/>
      <c r="F1111" s="191"/>
      <c r="G1111" s="191"/>
      <c r="H1111" s="191"/>
      <c r="I1111" s="191"/>
      <c r="J1111" s="192"/>
      <c r="K1111" s="635"/>
      <c r="L1111" s="641" t="str">
        <f t="shared" si="156"/>
        <v/>
      </c>
      <c r="M1111" s="643" t="str">
        <f>IF(C1111="","",L1111-Q1059*COS(O1052*PI()/180))</f>
        <v/>
      </c>
      <c r="N1111" s="644" t="str">
        <f>IF(C1111="","",L1111+P1059*SIN(O1052*PI()/180))</f>
        <v/>
      </c>
      <c r="O1111" s="638"/>
      <c r="P1111" s="646" t="str">
        <f>IF(C1111="","",(PI()*O1111/180*(R1060*M1111-N1111*S1060)-Q1111*(S1059*R1060-S1060*R1059))/S1058/(R1060-S1060))</f>
        <v/>
      </c>
      <c r="Q1111" s="647" t="str">
        <f>IF(C1111="","",O1111/180*PI()*(L1111-M1111)/(R1059-S1059))</f>
        <v/>
      </c>
      <c r="R1111" s="737" t="str">
        <f>IF(C1111="","",(O1111/180*PI()*N1111-Q1111*R1059-S1111*S1058)/R1060)</f>
        <v/>
      </c>
      <c r="S1111" s="734" t="str">
        <f t="shared" si="153"/>
        <v/>
      </c>
      <c r="T1111" s="735" t="str">
        <f t="shared" si="154"/>
        <v/>
      </c>
      <c r="U1111" s="736" t="str">
        <f t="shared" si="155"/>
        <v/>
      </c>
      <c r="V1111" s="329"/>
      <c r="W1111" s="181"/>
      <c r="X1111" s="137"/>
      <c r="Z1111" s="183"/>
      <c r="AA1111" s="183"/>
    </row>
    <row r="1112" spans="1:27" s="182" customFormat="1" ht="15" customHeight="1">
      <c r="A1112" s="211"/>
      <c r="B1112" s="164"/>
      <c r="C1112" s="658" t="str">
        <f>IF(Q1052="","",IF(C1111="","",IF(C1111+1&lt;=Q1052,C1111+1,"")))</f>
        <v/>
      </c>
      <c r="D1112" s="232"/>
      <c r="E1112" s="191"/>
      <c r="F1112" s="191"/>
      <c r="G1112" s="191"/>
      <c r="H1112" s="191"/>
      <c r="I1112" s="191"/>
      <c r="J1112" s="192"/>
      <c r="K1112" s="635"/>
      <c r="L1112" s="641" t="str">
        <f t="shared" si="156"/>
        <v/>
      </c>
      <c r="M1112" s="643" t="str">
        <f>IF(C1112="","",L1112-Q1059*COS(O1052*PI()/180))</f>
        <v/>
      </c>
      <c r="N1112" s="644" t="str">
        <f>IF(C1112="","",L1112+P1059*SIN(O1052*PI()/180))</f>
        <v/>
      </c>
      <c r="O1112" s="638"/>
      <c r="P1112" s="646" t="str">
        <f>IF(C1112="","",(PI()*O1112/180*(R1060*M1112-N1112*S1060)-Q1112*(S1059*R1060-S1060*R1059))/S1058/(R1060-S1060))</f>
        <v/>
      </c>
      <c r="Q1112" s="647" t="str">
        <f>IF(C1112="","",O1112/180*PI()*(L1112-M1112)/(R1059-S1059))</f>
        <v/>
      </c>
      <c r="R1112" s="737" t="str">
        <f>IF(C1112="","",(O1112/180*PI()*N1112-Q1112*R1059-S1112*S1058)/R1060)</f>
        <v/>
      </c>
      <c r="S1112" s="734" t="str">
        <f t="shared" si="153"/>
        <v/>
      </c>
      <c r="T1112" s="735" t="str">
        <f t="shared" si="154"/>
        <v/>
      </c>
      <c r="U1112" s="736" t="str">
        <f t="shared" si="155"/>
        <v/>
      </c>
      <c r="V1112" s="329"/>
      <c r="W1112" s="181"/>
      <c r="X1112" s="137"/>
      <c r="Z1112" s="183"/>
      <c r="AA1112" s="183"/>
    </row>
    <row r="1113" spans="1:27" s="182" customFormat="1" ht="15" customHeight="1">
      <c r="A1113" s="211"/>
      <c r="B1113" s="164"/>
      <c r="C1113" s="658" t="str">
        <f>IF(Q1052="","",IF(C1112="","",IF(C1112+1&lt;=Q1052,C1112+1,"")))</f>
        <v/>
      </c>
      <c r="D1113" s="232"/>
      <c r="E1113" s="191"/>
      <c r="F1113" s="191"/>
      <c r="G1113" s="191"/>
      <c r="H1113" s="191"/>
      <c r="I1113" s="191"/>
      <c r="J1113" s="192"/>
      <c r="K1113" s="635"/>
      <c r="L1113" s="641" t="str">
        <f t="shared" si="156"/>
        <v/>
      </c>
      <c r="M1113" s="643" t="str">
        <f>IF(C1113="","",L1113-Q1059*COS(O1052*PI()/180))</f>
        <v/>
      </c>
      <c r="N1113" s="644" t="str">
        <f>IF(C1113="","",L1113+P1059*SIN(O1052*PI()/180))</f>
        <v/>
      </c>
      <c r="O1113" s="638"/>
      <c r="P1113" s="646" t="str">
        <f>IF(C1113="","",(PI()*O1113/180*(R1060*M1113-N1113*S1060)-Q1113*(S1059*R1060-S1060*R1059))/S1058/(R1060-S1060))</f>
        <v/>
      </c>
      <c r="Q1113" s="647" t="str">
        <f>IF(C1113="","",O1113/180*PI()*(L1113-M1113)/(R1059-S1059))</f>
        <v/>
      </c>
      <c r="R1113" s="737" t="str">
        <f>IF(C1113="","",(O1113/180*PI()*N1113-Q1113*R1059-S1113*S1058)/R1060)</f>
        <v/>
      </c>
      <c r="S1113" s="734" t="str">
        <f t="shared" si="153"/>
        <v/>
      </c>
      <c r="T1113" s="735" t="str">
        <f t="shared" si="154"/>
        <v/>
      </c>
      <c r="U1113" s="736" t="str">
        <f t="shared" si="155"/>
        <v/>
      </c>
      <c r="V1113" s="329"/>
      <c r="W1113" s="181"/>
      <c r="X1113" s="137"/>
      <c r="Z1113" s="183"/>
      <c r="AA1113" s="183"/>
    </row>
    <row r="1114" spans="1:27" s="182" customFormat="1" ht="15" customHeight="1">
      <c r="A1114" s="211"/>
      <c r="B1114" s="164"/>
      <c r="C1114" s="658" t="str">
        <f>IF(Q1052="","",IF(C1113="","",IF(C1113+1&lt;=Q1052,C1113+1,"")))</f>
        <v/>
      </c>
      <c r="D1114" s="232"/>
      <c r="E1114" s="191"/>
      <c r="F1114" s="191"/>
      <c r="G1114" s="191"/>
      <c r="H1114" s="191"/>
      <c r="I1114" s="191"/>
      <c r="J1114" s="192"/>
      <c r="K1114" s="635"/>
      <c r="L1114" s="641" t="str">
        <f t="shared" si="156"/>
        <v/>
      </c>
      <c r="M1114" s="643" t="str">
        <f>IF(C1114="","",L1114-Q1059*COS(O1052*PI()/180))</f>
        <v/>
      </c>
      <c r="N1114" s="644" t="str">
        <f>IF(C1114="","",L1114+P1059*SIN(O1052*PI()/180))</f>
        <v/>
      </c>
      <c r="O1114" s="638"/>
      <c r="P1114" s="646" t="str">
        <f>IF(C1114="","",(PI()*O1114/180*(R1060*M1114-N1114*S1060)-Q1114*(S1059*R1060-S1060*R1059))/S1058/(R1060-S1060))</f>
        <v/>
      </c>
      <c r="Q1114" s="647" t="str">
        <f>IF(C1114="","",O1114/180*PI()*(L1114-M1114)/(R1059-S1059))</f>
        <v/>
      </c>
      <c r="R1114" s="737" t="str">
        <f>IF(C1114="","",(O1114/180*PI()*N1114-Q1114*R1059-S1114*S1058)/R1060)</f>
        <v/>
      </c>
      <c r="S1114" s="734" t="str">
        <f t="shared" si="153"/>
        <v/>
      </c>
      <c r="T1114" s="735" t="str">
        <f t="shared" si="154"/>
        <v/>
      </c>
      <c r="U1114" s="736" t="str">
        <f t="shared" si="155"/>
        <v/>
      </c>
      <c r="V1114" s="329"/>
      <c r="W1114" s="181"/>
      <c r="X1114" s="137"/>
      <c r="Z1114" s="183"/>
      <c r="AA1114" s="183"/>
    </row>
    <row r="1115" spans="1:27" s="182" customFormat="1" ht="15" customHeight="1" thickBot="1">
      <c r="A1115" s="211"/>
      <c r="B1115" s="164"/>
      <c r="C1115" s="659" t="str">
        <f>IF(Q1052="","",IF(C1114="","",IF(C1114+1&lt;=Q1052,C1114+1,"")))</f>
        <v/>
      </c>
      <c r="D1115" s="232"/>
      <c r="E1115" s="191"/>
      <c r="F1115" s="191"/>
      <c r="G1115" s="191"/>
      <c r="H1115" s="191"/>
      <c r="I1115" s="191"/>
      <c r="J1115" s="192"/>
      <c r="K1115" s="635"/>
      <c r="L1115" s="642" t="str">
        <f t="shared" si="156"/>
        <v/>
      </c>
      <c r="M1115" s="686" t="str">
        <f>IF(C1115="","",L1115-Q1059*COS(O1052*PI()/180))</f>
        <v/>
      </c>
      <c r="N1115" s="687" t="str">
        <f>IF(C1115="","",L1115+P1059*SIN(O1052*PI()/180))</f>
        <v/>
      </c>
      <c r="O1115" s="639"/>
      <c r="P1115" s="682" t="str">
        <f>IF(C1115="","",(PI()*O1115/180*(R1060*M1115-N1115*S1060)-Q1115*(S1059*R1060-S1060*R1059))/S1058/(R1060-S1060))</f>
        <v/>
      </c>
      <c r="Q1115" s="683" t="str">
        <f>IF(C1115="","",O1115/180*PI()*(L1115-M1115)/(R1059-S1059))</f>
        <v/>
      </c>
      <c r="R1115" s="738" t="str">
        <f>IF(C1115="","",(O1115/180*PI()*N1115-Q1115*R1059-S1115*S1058)/R1060)</f>
        <v/>
      </c>
      <c r="S1115" s="739" t="str">
        <f t="shared" si="153"/>
        <v/>
      </c>
      <c r="T1115" s="740" t="str">
        <f t="shared" si="154"/>
        <v/>
      </c>
      <c r="U1115" s="741" t="str">
        <f t="shared" si="155"/>
        <v/>
      </c>
      <c r="V1115" s="329"/>
      <c r="W1115" s="181"/>
      <c r="X1115" s="137"/>
      <c r="Z1115" s="183"/>
      <c r="AA1115" s="183"/>
    </row>
    <row r="1116" spans="1:27" s="182" customFormat="1" ht="15" customHeight="1">
      <c r="A1116" s="211"/>
      <c r="B1116" s="190"/>
      <c r="C1116" s="196"/>
      <c r="D1116" s="191"/>
      <c r="E1116" s="191"/>
      <c r="F1116" s="191"/>
      <c r="G1116" s="191"/>
      <c r="H1116" s="191"/>
      <c r="I1116" s="191"/>
      <c r="J1116" s="192"/>
      <c r="K1116" s="192"/>
      <c r="L1116" s="140"/>
      <c r="M1116" s="191"/>
      <c r="N1116" s="191"/>
      <c r="O1116" s="191"/>
      <c r="P1116" s="191"/>
      <c r="Q1116" s="191"/>
      <c r="R1116" s="191"/>
      <c r="S1116" s="191"/>
      <c r="T1116" s="191"/>
      <c r="U1116" s="191"/>
      <c r="V1116" s="193"/>
      <c r="W1116" s="181"/>
      <c r="X1116" s="137"/>
      <c r="Z1116" s="183"/>
      <c r="AA1116" s="183"/>
    </row>
    <row r="1117" spans="1:27" s="182" customFormat="1" ht="15" customHeight="1">
      <c r="A1117" s="211"/>
      <c r="B1117" s="190"/>
      <c r="C1117" s="196"/>
      <c r="D1117" s="191"/>
      <c r="E1117" s="191"/>
      <c r="F1117" s="191"/>
      <c r="G1117" s="191"/>
      <c r="H1117" s="191"/>
      <c r="I1117" s="191"/>
      <c r="J1117" s="192"/>
      <c r="K1117" s="192"/>
      <c r="L1117" s="140"/>
      <c r="M1117" s="191"/>
      <c r="N1117" s="191"/>
      <c r="O1117" s="191"/>
      <c r="P1117" s="191"/>
      <c r="Q1117" s="191"/>
      <c r="R1117" s="191"/>
      <c r="S1117" s="191"/>
      <c r="T1117" s="191"/>
      <c r="U1117" s="191"/>
      <c r="V1117" s="193"/>
      <c r="W1117" s="181"/>
      <c r="X1117" s="137"/>
      <c r="Z1117" s="183"/>
      <c r="AA1117" s="183"/>
    </row>
    <row r="1118" spans="1:27" s="182" customFormat="1" ht="15" customHeight="1" thickBot="1">
      <c r="A1118" s="211"/>
      <c r="B1118" s="275" t="s">
        <v>1006</v>
      </c>
      <c r="C1118" s="276"/>
      <c r="D1118" s="277"/>
      <c r="E1118" s="277"/>
      <c r="F1118" s="277"/>
      <c r="G1118" s="277"/>
      <c r="H1118" s="277"/>
      <c r="I1118" s="277"/>
      <c r="J1118" s="278"/>
      <c r="K1118" s="278"/>
      <c r="L1118" s="279"/>
      <c r="M1118" s="277"/>
      <c r="N1118" s="277"/>
      <c r="O1118" s="277"/>
      <c r="P1118" s="277"/>
      <c r="Q1118" s="277"/>
      <c r="R1118" s="277"/>
      <c r="S1118" s="280"/>
      <c r="T1118" s="277"/>
      <c r="U1118" s="277" t="s">
        <v>674</v>
      </c>
      <c r="V1118" s="281" t="s">
        <v>27</v>
      </c>
      <c r="W1118" s="282"/>
      <c r="X1118" s="283"/>
      <c r="Z1118" s="183"/>
      <c r="AA1118" s="183"/>
    </row>
    <row r="1119" spans="1:27" s="182" customFormat="1" ht="15" customHeight="1" thickBot="1">
      <c r="A1119" s="211"/>
      <c r="B1119" s="206"/>
      <c r="C1119" s="129">
        <f>SUMIF(Densidades!A:A,'Memória TOTAL'!X1119,Densidades!B:B)</f>
        <v>0</v>
      </c>
      <c r="D1119" s="130">
        <f>SUMIF(Densidades!A:A,'Memória TOTAL'!X1119,Densidades!C:C)</f>
        <v>0</v>
      </c>
      <c r="E1119" s="130" t="str">
        <f>IF(I1119=15,"FIRECLAY MORTAR",IF(I1119=16,"ALUMINA MORTAR",IF(I1119=17,"BASIC MORTAR",IF(I1119=18,"MORTAR","-"))))</f>
        <v>-</v>
      </c>
      <c r="F1119" s="130" t="str">
        <f>IF(I1119=15,"FIRECLAY MORTAR",IF(I1119=16,"ALUMINA MORTAR",IF(I1119=17,"BASIC MORTAR",IF(I1119=18,"MORTAR","-"))))</f>
        <v>-</v>
      </c>
      <c r="G1119" s="130" t="str">
        <f>IF(I1119=15,"FIRECLAY MORTAR",IF(I1119=16,"ALUMINA MORTAR",IF(I1119=17,"BASIC MORTAR",IF(I1119=18,"MORTAR","-"))))</f>
        <v>-</v>
      </c>
      <c r="H1119" s="130" t="str">
        <f>IF(I1119=15,"FIRECLAY MORTAR",IF(I1119=16,"ALUMINA MORTAR",IF(I1119=17,"BASIC MORTAR",IF(I1119=18,"MORTAR","-"))))</f>
        <v>-</v>
      </c>
      <c r="I1119" s="130">
        <f>SUMIF(Densidades!A:A,'Memória TOTAL'!X1119,Densidades!G:G)</f>
        <v>0</v>
      </c>
      <c r="J1119" s="132">
        <f>SUMIF(Formatos!A:A,'Memória TOTAL'!X1120,Formatos!G:G)</f>
        <v>0</v>
      </c>
      <c r="K1119" s="133">
        <f>SUMIF(Densidades!A:A,'Memória TOTAL'!X1119,Densidades!I:I)</f>
        <v>0</v>
      </c>
      <c r="L1119" s="184">
        <v>0</v>
      </c>
      <c r="M1119" s="185"/>
      <c r="N1119" s="185"/>
      <c r="O1119" s="185"/>
      <c r="P1119" s="185"/>
      <c r="Q1119" s="185"/>
      <c r="R1119" s="185"/>
      <c r="S1119" s="185"/>
      <c r="T1119" s="186"/>
      <c r="U1119" s="742"/>
      <c r="V1119" s="188" t="e">
        <f>(W1052*J1052*C1119+W1056*J1056*C1119+W1060*J1060*C1119)*U1119</f>
        <v>#VALUE!</v>
      </c>
      <c r="W1119" s="189" t="str">
        <f>IF(C1119=0,"",ROUNDUP(SUM(V1119:V1120)*(1+L1119),0))</f>
        <v/>
      </c>
      <c r="X1119" s="259"/>
      <c r="Z1119" s="183"/>
      <c r="AA1119" s="183"/>
    </row>
    <row r="1120" spans="1:27" s="182" customFormat="1" ht="15" customHeight="1">
      <c r="A1120" s="211"/>
      <c r="B1120" s="206"/>
      <c r="C1120" s="129"/>
      <c r="D1120" s="191"/>
      <c r="E1120" s="191"/>
      <c r="F1120" s="191"/>
      <c r="G1120" s="191"/>
      <c r="H1120" s="191"/>
      <c r="I1120" s="191"/>
      <c r="J1120" s="192"/>
      <c r="K1120" s="192"/>
      <c r="L1120" s="140"/>
      <c r="M1120" s="191"/>
      <c r="N1120" s="191"/>
      <c r="O1120" s="191"/>
      <c r="P1120" s="191"/>
      <c r="Q1120" s="191"/>
      <c r="R1120" s="191"/>
      <c r="S1120" s="191"/>
      <c r="T1120" s="191"/>
      <c r="U1120" s="191"/>
      <c r="V1120" s="193"/>
      <c r="W1120" s="181"/>
      <c r="X1120" s="137" t="str">
        <f>IF(AND(H1119="-",G1119="-",F1119="-"),E1119,IF(AND(H1119="-",G1119="-",E1119="-"),F1119,IF(AND(H1119="-",F1119="-",E1119="-"),G1119,H1119)))</f>
        <v>-</v>
      </c>
      <c r="Z1120" s="183"/>
      <c r="AA1120" s="183"/>
    </row>
    <row r="1121" spans="1:27" s="182" customFormat="1" ht="15" customHeight="1">
      <c r="A1121" s="211"/>
      <c r="B1121" s="209"/>
      <c r="C1121" s="129"/>
      <c r="D1121" s="191"/>
      <c r="E1121" s="191"/>
      <c r="F1121" s="191"/>
      <c r="G1121" s="191"/>
      <c r="H1121" s="191"/>
      <c r="I1121" s="191"/>
      <c r="J1121" s="192"/>
      <c r="K1121" s="192"/>
      <c r="L1121" s="140"/>
      <c r="M1121" s="191"/>
      <c r="N1121" s="191"/>
      <c r="O1121" s="191"/>
      <c r="P1121" s="191"/>
      <c r="Q1121" s="191"/>
      <c r="R1121" s="191"/>
      <c r="S1121" s="191"/>
      <c r="T1121" s="191"/>
      <c r="U1121" s="191"/>
      <c r="V1121" s="193"/>
      <c r="W1121" s="181"/>
      <c r="X1121" s="137" t="s">
        <v>2</v>
      </c>
      <c r="Z1121" s="183"/>
      <c r="AA1121" s="183"/>
    </row>
    <row r="1122" spans="1:27" s="182" customFormat="1" ht="15" customHeight="1">
      <c r="A1122" s="211"/>
      <c r="C1122" s="650"/>
      <c r="D1122" s="237"/>
      <c r="E1122" s="237"/>
      <c r="F1122" s="237"/>
      <c r="G1122" s="237"/>
      <c r="H1122" s="237"/>
      <c r="I1122" s="237"/>
      <c r="J1122" s="636"/>
      <c r="K1122" s="636"/>
      <c r="L1122" s="168"/>
      <c r="M1122" s="237"/>
      <c r="N1122" s="237"/>
      <c r="O1122" s="237"/>
      <c r="P1122" s="237"/>
      <c r="Q1122" s="237"/>
      <c r="R1122" s="237"/>
      <c r="S1122" s="237"/>
      <c r="T1122" s="237"/>
      <c r="U1122" s="237"/>
      <c r="V1122" s="238"/>
      <c r="W1122" s="743"/>
      <c r="X1122" s="744"/>
      <c r="Z1122" s="183"/>
      <c r="AA1122" s="183"/>
    </row>
    <row r="1123" spans="1:27" s="182" customFormat="1" ht="15" customHeight="1" thickBot="1">
      <c r="A1123" s="211"/>
      <c r="B1123" s="275" t="s">
        <v>1007</v>
      </c>
      <c r="C1123" s="276"/>
      <c r="D1123" s="277"/>
      <c r="E1123" s="277"/>
      <c r="F1123" s="277"/>
      <c r="G1123" s="277"/>
      <c r="H1123" s="277"/>
      <c r="I1123" s="277"/>
      <c r="J1123" s="278"/>
      <c r="K1123" s="278"/>
      <c r="L1123" s="279"/>
      <c r="M1123" s="277"/>
      <c r="N1123" s="277"/>
      <c r="O1123" s="277"/>
      <c r="P1123" s="277"/>
      <c r="Q1123" s="277"/>
      <c r="R1123" s="277" t="s">
        <v>632</v>
      </c>
      <c r="S1123" s="280" t="s">
        <v>633</v>
      </c>
      <c r="T1123" s="277" t="s">
        <v>634</v>
      </c>
      <c r="U1123" s="277" t="s">
        <v>38</v>
      </c>
      <c r="V1123" s="281" t="s">
        <v>27</v>
      </c>
      <c r="W1123" s="282"/>
      <c r="X1123" s="283"/>
      <c r="Z1123" s="183"/>
      <c r="AA1123" s="183"/>
    </row>
    <row r="1124" spans="1:27" s="182" customFormat="1" ht="15" customHeight="1" thickBot="1">
      <c r="A1124" s="211"/>
      <c r="B1124" s="206"/>
      <c r="C1124" s="129">
        <f>SUMIF(Densidades!A:A,'Memória TOTAL'!X1124,Densidades!B:B)</f>
        <v>0</v>
      </c>
      <c r="D1124" s="130">
        <f>SUMIF(Densidades!A:A,'Memória TOTAL'!X1124,Densidades!C:C)</f>
        <v>0</v>
      </c>
      <c r="E1124" s="130" t="str">
        <f>IF(I1124=15,"FIRECLAY MORTAR",IF(I1124=16,"ALUMINA MORTAR",IF(I1124=17,"BASIC MORTAR",IF(I1124=18,"MORTAR","-"))))</f>
        <v>-</v>
      </c>
      <c r="F1124" s="130" t="str">
        <f>IF(I1124=15,"FIRECLAY MORTAR",IF(I1124=16,"ALUMINA MORTAR",IF(I1124=17,"BASIC MORTAR",IF(I1124=18,"MORTAR","-"))))</f>
        <v>-</v>
      </c>
      <c r="G1124" s="130" t="str">
        <f>IF(I1124=15,"FIRECLAY MORTAR",IF(I1124=16,"ALUMINA MORTAR",IF(I1124=17,"BASIC MORTAR",IF(I1124=18,"MORTAR","-"))))</f>
        <v>-</v>
      </c>
      <c r="H1124" s="130" t="str">
        <f>IF(I1124=15,"FIRECLAY MORTAR",IF(I1124=16,"ALUMINA MORTAR",IF(I1124=17,"BASIC MORTAR",IF(I1124=18,"MORTAR","-"))))</f>
        <v>-</v>
      </c>
      <c r="I1124" s="130">
        <f>SUMIF(Densidades!A:A,'Memória TOTAL'!X1124,Densidades!G:G)</f>
        <v>0</v>
      </c>
      <c r="J1124" s="132">
        <f>SUMIF(Formatos!A:A,'Memória TOTAL'!X1125,Formatos!G:G)</f>
        <v>0</v>
      </c>
      <c r="K1124" s="218">
        <f>SUMIF(Densidades!A:A,'Memória TOTAL'!X1124,Densidades!I:I)</f>
        <v>0</v>
      </c>
      <c r="L1124" s="184">
        <v>0</v>
      </c>
      <c r="M1124" s="185"/>
      <c r="N1124" s="185"/>
      <c r="O1124" s="185"/>
      <c r="P1124" s="185"/>
      <c r="Q1124" s="185"/>
      <c r="R1124" s="186">
        <f>((G1052*H1052)+(G1052*E1052)+(H1052*E1052))/1000000</f>
        <v>0</v>
      </c>
      <c r="S1124" s="255">
        <v>2</v>
      </c>
      <c r="T1124" s="186">
        <f>R1124*S1124</f>
        <v>0</v>
      </c>
      <c r="U1124" s="187">
        <f>SUM(W1052:W1062)</f>
        <v>0</v>
      </c>
      <c r="V1124" s="188">
        <f>(T1124*C1124*(1+L1124))*U1124</f>
        <v>0</v>
      </c>
      <c r="W1124" s="189" t="str">
        <f>IF(C1124=0,"",ROUNDUP(SUM(V1124:V1125)*(1+L1124),0))</f>
        <v/>
      </c>
      <c r="X1124" s="259"/>
      <c r="Z1124" s="183"/>
      <c r="AA1124" s="183"/>
    </row>
    <row r="1125" spans="1:27" s="182" customFormat="1" ht="15" customHeight="1">
      <c r="A1125" s="211"/>
      <c r="B1125" s="206"/>
      <c r="C1125" s="129"/>
      <c r="D1125" s="191"/>
      <c r="E1125" s="191"/>
      <c r="F1125" s="191"/>
      <c r="G1125" s="191"/>
      <c r="H1125" s="191"/>
      <c r="I1125" s="191"/>
      <c r="J1125" s="192"/>
      <c r="K1125" s="192"/>
      <c r="L1125" s="140"/>
      <c r="M1125" s="191"/>
      <c r="N1125" s="191"/>
      <c r="O1125" s="191"/>
      <c r="P1125" s="191"/>
      <c r="Q1125" s="191"/>
      <c r="R1125" s="191"/>
      <c r="S1125" s="191"/>
      <c r="T1125" s="191"/>
      <c r="U1125" s="191"/>
      <c r="V1125" s="193"/>
      <c r="W1125" s="181"/>
      <c r="X1125" s="137" t="str">
        <f>IF(AND(H1124="-",G1124="-",F1124="-"),E1124,IF(AND(H1124="-",G1124="-",E1124="-"),F1124,IF(AND(H1124="-",F1124="-",E1124="-"),G1124,H1124)))</f>
        <v>-</v>
      </c>
      <c r="Z1125" s="183"/>
      <c r="AA1125" s="183"/>
    </row>
    <row r="1126" spans="1:27" s="182" customFormat="1" ht="15" customHeight="1">
      <c r="A1126" s="211"/>
      <c r="B1126" s="209"/>
      <c r="C1126" s="129"/>
      <c r="D1126" s="191"/>
      <c r="E1126" s="191"/>
      <c r="F1126" s="191"/>
      <c r="G1126" s="191"/>
      <c r="H1126" s="191"/>
      <c r="I1126" s="191"/>
      <c r="J1126" s="192"/>
      <c r="K1126" s="192"/>
      <c r="L1126" s="140"/>
      <c r="M1126" s="191"/>
      <c r="N1126" s="191"/>
      <c r="O1126" s="191"/>
      <c r="P1126" s="191"/>
      <c r="Q1126" s="191"/>
      <c r="R1126" s="191"/>
      <c r="S1126" s="191"/>
      <c r="T1126" s="191"/>
      <c r="U1126" s="191"/>
      <c r="V1126" s="193"/>
      <c r="W1126" s="181"/>
      <c r="X1126" s="137" t="s">
        <v>2</v>
      </c>
      <c r="Z1126" s="183"/>
      <c r="AA1126" s="183"/>
    </row>
    <row r="1127" spans="1:27" s="182" customFormat="1" ht="15" customHeight="1">
      <c r="A1127" s="211"/>
      <c r="B1127" s="206"/>
      <c r="C1127" s="294"/>
      <c r="D1127" s="191"/>
      <c r="E1127" s="191"/>
      <c r="F1127" s="191"/>
      <c r="G1127" s="191"/>
      <c r="H1127" s="191"/>
      <c r="I1127" s="191"/>
      <c r="J1127" s="192"/>
      <c r="K1127" s="192"/>
      <c r="L1127" s="140"/>
      <c r="M1127" s="191"/>
      <c r="N1127" s="191"/>
      <c r="O1127" s="191"/>
      <c r="P1127" s="191"/>
      <c r="Q1127" s="191"/>
      <c r="R1127" s="191"/>
      <c r="S1127" s="191"/>
      <c r="T1127" s="191"/>
      <c r="U1127" s="191"/>
      <c r="V1127" s="193"/>
      <c r="W1127" s="181"/>
      <c r="X1127" s="137"/>
      <c r="Z1127" s="183"/>
      <c r="AA1127" s="183"/>
    </row>
    <row r="1128" spans="1:27" s="182" customFormat="1" ht="15" customHeight="1" thickBot="1">
      <c r="A1128" s="211"/>
      <c r="B1128" s="505"/>
      <c r="C1128" s="506"/>
      <c r="D1128" s="493"/>
      <c r="E1128" s="494"/>
      <c r="F1128" s="494"/>
      <c r="G1128" s="494"/>
      <c r="H1128" s="494"/>
      <c r="I1128" s="495"/>
      <c r="J1128" s="495"/>
      <c r="K1128" s="495"/>
      <c r="L1128" s="508"/>
      <c r="M1128" s="508"/>
      <c r="N1128" s="508"/>
      <c r="O1128" s="508"/>
      <c r="P1128" s="508"/>
      <c r="Q1128" s="508"/>
      <c r="R1128" s="508"/>
      <c r="S1128" s="508"/>
      <c r="T1128" s="508"/>
      <c r="U1128" s="508"/>
      <c r="V1128" s="508"/>
      <c r="W1128" s="508"/>
      <c r="X1128" s="509"/>
      <c r="Z1128" s="183"/>
      <c r="AA1128" s="183"/>
    </row>
    <row r="1129" spans="1:27" ht="15" customHeight="1" thickBot="1">
      <c r="A1129" s="211"/>
      <c r="B1129" s="268" t="str">
        <f>IF(X1130="","TIJOLO COMPOSIÇÃO PERÍMETRO (1 PEÇA)",X1130)</f>
        <v>TIJOLO COMPOSIÇÃO PERÍMETRO (1 PEÇA)</v>
      </c>
      <c r="C1129" s="269" t="s">
        <v>101</v>
      </c>
      <c r="D1129" s="270" t="s">
        <v>102</v>
      </c>
      <c r="E1129" s="270" t="s">
        <v>42</v>
      </c>
      <c r="F1129" s="270" t="s">
        <v>42</v>
      </c>
      <c r="G1129" s="270" t="s">
        <v>43</v>
      </c>
      <c r="H1129" s="270" t="s">
        <v>44</v>
      </c>
      <c r="I1129" s="270" t="s">
        <v>47</v>
      </c>
      <c r="J1129" s="270" t="s">
        <v>103</v>
      </c>
      <c r="K1129" s="270" t="s">
        <v>37</v>
      </c>
      <c r="L1129" s="270" t="s">
        <v>39</v>
      </c>
      <c r="M1129" s="270" t="s">
        <v>45</v>
      </c>
      <c r="N1129" s="270" t="s">
        <v>46</v>
      </c>
      <c r="O1129" s="270" t="s">
        <v>668</v>
      </c>
      <c r="P1129" s="270" t="s">
        <v>51</v>
      </c>
      <c r="Q1129" s="270" t="s">
        <v>52</v>
      </c>
      <c r="R1129" s="270"/>
      <c r="S1129" s="270"/>
      <c r="T1129" s="270" t="s">
        <v>669</v>
      </c>
      <c r="U1129" s="270" t="s">
        <v>673</v>
      </c>
      <c r="V1129" s="271" t="s">
        <v>27</v>
      </c>
      <c r="W1129" s="272"/>
      <c r="X1129" s="273"/>
    </row>
    <row r="1130" spans="1:27" ht="15" customHeight="1" thickBot="1">
      <c r="A1130" s="240"/>
      <c r="B1130" s="242" t="s">
        <v>670</v>
      </c>
      <c r="C1130" s="241">
        <f>SUMIF(Densidades!A:A,'Memória TOTAL'!X1130,Densidades!B:B)</f>
        <v>0</v>
      </c>
      <c r="D1130" s="130">
        <f>SUMIF(Densidades!A:A,'Memória TOTAL'!X1130,Densidades!C:C)</f>
        <v>0</v>
      </c>
      <c r="E1130" s="721">
        <f>SUMIF(Formatos!A:A,'Memória TOTAL'!X1131,Formatos!E:E)</f>
        <v>64</v>
      </c>
      <c r="F1130" s="721">
        <f>SUMIF(Formatos!A:A,'Memória TOTAL'!X1131,Formatos!F:F)</f>
        <v>64</v>
      </c>
      <c r="G1130" s="721">
        <f>SUMIF(Formatos!A:A,'Memória TOTAL'!X1131,Formatos!C:C)</f>
        <v>230</v>
      </c>
      <c r="H1130" s="721">
        <f>SUMIF(Formatos!A:A,'Memória TOTAL'!X1131,Formatos!D:D)</f>
        <v>114</v>
      </c>
      <c r="I1130" s="131">
        <f>SUMIF(Densidades!A:A,'Memória TOTAL'!X1130,Densidades!H:H)</f>
        <v>0</v>
      </c>
      <c r="J1130" s="132">
        <f>SUMIF(Formatos!A:A,'Memória TOTAL'!X1131,Formatos!G:G)</f>
        <v>1.67808</v>
      </c>
      <c r="K1130" s="133">
        <f>SUMIF(Densidades!A:A,'Memória TOTAL'!X1130,Densidades!I:I)</f>
        <v>0</v>
      </c>
      <c r="L1130" s="249">
        <v>0</v>
      </c>
      <c r="M1130" s="602"/>
      <c r="N1130" s="252"/>
      <c r="O1130" s="253"/>
      <c r="P1130" s="251">
        <f>O1130*2</f>
        <v>0</v>
      </c>
      <c r="Q1130" s="135">
        <f>P1130-(2*M1130)</f>
        <v>0</v>
      </c>
      <c r="R1130" s="135"/>
      <c r="S1130" s="256"/>
      <c r="T1130" s="257">
        <f>IF(AND(B1132=0,B1134=0),,IF(AND(B1134=0,B1132&lt;&gt;0),1,IF(OR(B1134-B1132&gt;=0,B1134=0),(B1134-B1132)+1,"ERRO")))</f>
        <v>0</v>
      </c>
      <c r="U1130" s="253"/>
      <c r="V1130" s="252" t="str">
        <f>IF(M1130="","",IF(M1130=H1134,ROUND(P1140,0),"ESP. ERRADA"))</f>
        <v/>
      </c>
      <c r="W1130" s="258" t="str">
        <f>IFERROR(IF(C1130=0,"",ROUNDUP(SUM(V1130)*(1+L1130),0))*T1130*U1130,"")</f>
        <v/>
      </c>
      <c r="X1130" s="259"/>
    </row>
    <row r="1131" spans="1:27" s="182" customFormat="1" ht="15" customHeight="1" thickBot="1">
      <c r="A1131" s="260"/>
      <c r="B1131" s="245" t="s">
        <v>112</v>
      </c>
      <c r="C1131" s="232"/>
      <c r="D1131" s="191"/>
      <c r="E1131" s="191"/>
      <c r="F1131" s="191"/>
      <c r="G1131" s="191"/>
      <c r="H1131" s="191"/>
      <c r="I1131" s="191"/>
      <c r="J1131" s="192"/>
      <c r="K1131" s="192"/>
      <c r="L1131" s="140"/>
      <c r="M1131" s="191"/>
      <c r="N1131" s="191"/>
      <c r="O1131" s="191"/>
      <c r="P1131" s="191"/>
      <c r="Q1131" s="191"/>
      <c r="R1131" s="191"/>
      <c r="S1131" s="191"/>
      <c r="T1131" s="191"/>
      <c r="U1131" s="191"/>
      <c r="V1131" s="193"/>
      <c r="W1131" s="181"/>
      <c r="X1131" s="137">
        <f>IF(B1136="","",B1136)</f>
        <v>1</v>
      </c>
      <c r="Z1131" s="183"/>
      <c r="AA1131" s="183"/>
    </row>
    <row r="1132" spans="1:27" s="182" customFormat="1" ht="15" customHeight="1" thickBot="1">
      <c r="A1132" s="260"/>
      <c r="B1132" s="261"/>
      <c r="C1132" s="232"/>
      <c r="D1132" s="191"/>
      <c r="E1132" s="191"/>
      <c r="F1132" s="191"/>
      <c r="G1132" s="191"/>
      <c r="H1132" s="191"/>
      <c r="I1132" s="191"/>
      <c r="J1132" s="192"/>
      <c r="K1132" s="192"/>
      <c r="L1132" s="140"/>
      <c r="M1132" s="191"/>
      <c r="N1132" s="191"/>
      <c r="O1132" s="191"/>
      <c r="P1132" s="191"/>
      <c r="Q1132" s="191"/>
      <c r="R1132" s="191"/>
      <c r="S1132" s="191"/>
      <c r="T1132" s="191"/>
      <c r="U1132" s="191"/>
      <c r="V1132" s="193"/>
      <c r="W1132" s="181"/>
      <c r="X1132" s="137" t="s">
        <v>520</v>
      </c>
      <c r="Z1132" s="183"/>
      <c r="AA1132" s="183"/>
    </row>
    <row r="1133" spans="1:27" s="182" customFormat="1" ht="15" customHeight="1" thickBot="1">
      <c r="A1133" s="260"/>
      <c r="B1133" s="245" t="s">
        <v>22</v>
      </c>
      <c r="C1133" s="295" t="str">
        <f t="shared" ref="C1133:L1133" si="157">C1129</f>
        <v>Dens.</v>
      </c>
      <c r="D1133" s="178" t="str">
        <f t="shared" si="157"/>
        <v>Emb.</v>
      </c>
      <c r="E1133" s="178" t="str">
        <f t="shared" si="157"/>
        <v>Esp. Tij.</v>
      </c>
      <c r="F1133" s="178" t="str">
        <f t="shared" si="157"/>
        <v>Esp. Tij.</v>
      </c>
      <c r="G1133" s="178" t="str">
        <f t="shared" si="157"/>
        <v>Comp. Tij.</v>
      </c>
      <c r="H1133" s="178" t="str">
        <f t="shared" si="157"/>
        <v>Larg. Tij.</v>
      </c>
      <c r="I1133" s="178" t="str">
        <f t="shared" si="157"/>
        <v>Tipo Fator</v>
      </c>
      <c r="J1133" s="178" t="str">
        <f t="shared" si="157"/>
        <v>Vol.</v>
      </c>
      <c r="K1133" s="178" t="str">
        <f t="shared" si="157"/>
        <v>Class.</v>
      </c>
      <c r="L1133" s="178" t="str">
        <f t="shared" si="157"/>
        <v>Coefic. (%)</v>
      </c>
      <c r="M1133" s="191"/>
      <c r="N1133" s="191"/>
      <c r="O1133" s="191"/>
      <c r="P1133" s="191"/>
      <c r="Q1133" s="191"/>
      <c r="R1133" s="191"/>
      <c r="S1133" s="191"/>
      <c r="T1133" s="191"/>
      <c r="U1133" s="191"/>
      <c r="V1133" s="193"/>
      <c r="W1133" s="181"/>
      <c r="X1133" s="137"/>
      <c r="Z1133" s="183"/>
      <c r="AA1133" s="183"/>
    </row>
    <row r="1134" spans="1:27" s="182" customFormat="1" ht="15" customHeight="1" thickBot="1">
      <c r="A1134" s="260"/>
      <c r="B1134" s="261"/>
      <c r="C1134" s="241">
        <f>SUMIF(Densidades!A:A,'Memória TOTAL'!X1134,Densidades!B:B)</f>
        <v>0</v>
      </c>
      <c r="D1134" s="130">
        <f>SUMIF(Densidades!A:A,'Memória TOTAL'!X1134,Densidades!C:C)</f>
        <v>0</v>
      </c>
      <c r="E1134" s="131">
        <f>IF(M1130=E1130,H1130,E1130)</f>
        <v>64</v>
      </c>
      <c r="F1134" s="131">
        <f>IF(M1130=E1130,H1130,F1130)</f>
        <v>64</v>
      </c>
      <c r="G1134" s="131">
        <f>IF(M1130=G1130,H1130,G1130)</f>
        <v>230</v>
      </c>
      <c r="H1134" s="131">
        <f>IF(M1130=E1130,E1130,IF(M1130=G1130,G1130,H1130))</f>
        <v>114</v>
      </c>
      <c r="I1134" s="131">
        <f>SUMIF(Densidades!A:A,'Memória TOTAL'!X1134,Densidades!H:H)</f>
        <v>0</v>
      </c>
      <c r="J1134" s="132">
        <f>SUMIF(Formatos!A:A,'Memória TOTAL'!X1135,Formatos!G:G)</f>
        <v>0</v>
      </c>
      <c r="K1134" s="218">
        <f>SUMIF(Densidades!A:A,'Memória TOTAL'!X1134,Densidades!I:I)</f>
        <v>0</v>
      </c>
      <c r="L1134" s="219">
        <v>0</v>
      </c>
      <c r="M1134" s="191"/>
      <c r="N1134" s="191"/>
      <c r="O1134" s="191"/>
      <c r="P1134" s="191"/>
      <c r="Q1134" s="191"/>
      <c r="R1134" s="191"/>
      <c r="S1134" s="191"/>
      <c r="T1134" s="228"/>
      <c r="U1134" s="231"/>
      <c r="V1134" s="193"/>
      <c r="W1134" s="181"/>
      <c r="X1134" s="137"/>
      <c r="Z1134" s="183"/>
      <c r="AA1134" s="183"/>
    </row>
    <row r="1135" spans="1:27" s="182" customFormat="1" ht="15" customHeight="1" thickBot="1">
      <c r="A1135" s="260"/>
      <c r="B1135" s="243" t="s">
        <v>671</v>
      </c>
      <c r="C1135" s="232"/>
      <c r="D1135" s="191"/>
      <c r="E1135" s="191"/>
      <c r="F1135" s="191"/>
      <c r="G1135" s="191"/>
      <c r="H1135" s="191"/>
      <c r="I1135" s="191"/>
      <c r="J1135" s="192"/>
      <c r="K1135" s="192"/>
      <c r="L1135" s="140"/>
      <c r="M1135" s="191"/>
      <c r="N1135" s="191"/>
      <c r="O1135" s="191"/>
      <c r="P1135" s="191"/>
      <c r="Q1135" s="191"/>
      <c r="R1135" s="191"/>
      <c r="S1135" s="191"/>
      <c r="T1135" s="191"/>
      <c r="U1135" s="191"/>
      <c r="V1135" s="193"/>
      <c r="W1135" s="181"/>
      <c r="X1135" s="137"/>
      <c r="Z1135" s="183"/>
      <c r="AA1135" s="183"/>
    </row>
    <row r="1136" spans="1:27" s="182" customFormat="1" ht="15" customHeight="1" thickBot="1">
      <c r="A1136" s="260"/>
      <c r="B1136" s="259">
        <v>1</v>
      </c>
      <c r="C1136" s="239" t="s">
        <v>54</v>
      </c>
      <c r="D1136" s="235"/>
      <c r="E1136" s="191"/>
      <c r="F1136" s="234"/>
      <c r="G1136" s="234"/>
      <c r="H1136" s="144" t="s">
        <v>54</v>
      </c>
      <c r="I1136" s="144"/>
      <c r="J1136" s="192"/>
      <c r="K1136" s="192"/>
      <c r="L1136" s="140"/>
      <c r="M1136" s="191"/>
      <c r="N1136" s="191" t="s">
        <v>22</v>
      </c>
      <c r="O1136" s="145" t="s">
        <v>48</v>
      </c>
      <c r="P1136" s="145"/>
      <c r="Q1136" s="146"/>
      <c r="R1136" s="145" t="s">
        <v>54</v>
      </c>
      <c r="S1136" s="145"/>
      <c r="T1136" s="191"/>
      <c r="U1136" s="191"/>
      <c r="V1136" s="193"/>
      <c r="W1136" s="181"/>
      <c r="X1136" s="137"/>
      <c r="Z1136" s="183"/>
      <c r="AA1136" s="183"/>
    </row>
    <row r="1137" spans="1:27" s="182" customFormat="1" ht="15" customHeight="1" thickBot="1">
      <c r="A1137" s="260"/>
      <c r="B1137" s="206"/>
      <c r="C1137" s="239"/>
      <c r="D1137" s="235"/>
      <c r="E1137" s="191"/>
      <c r="F1137" s="191"/>
      <c r="G1137" s="191"/>
      <c r="H1137" s="236">
        <f>P1130*PI()/(E1134+N1130)</f>
        <v>0</v>
      </c>
      <c r="I1137" s="236"/>
      <c r="J1137" s="192"/>
      <c r="K1137" s="192"/>
      <c r="L1137" s="140"/>
      <c r="M1137" s="709" t="s">
        <v>108</v>
      </c>
      <c r="N1137" s="191">
        <f>E1134</f>
        <v>64</v>
      </c>
      <c r="O1137" s="147">
        <f>F1134</f>
        <v>64</v>
      </c>
      <c r="P1137" s="147"/>
      <c r="Q1137" s="153"/>
      <c r="R1137" s="147">
        <f>IF(ROUND(H1137+0.4,0)&gt;=0,ROUND(H1137+0.4,0),"ERRO")</f>
        <v>0</v>
      </c>
      <c r="S1137" s="147"/>
      <c r="T1137" s="191"/>
      <c r="U1137" s="191"/>
      <c r="V1137" s="193"/>
      <c r="W1137" s="227"/>
      <c r="X1137" s="137"/>
      <c r="Z1137" s="183"/>
      <c r="AA1137" s="183"/>
    </row>
    <row r="1138" spans="1:27" s="151" customFormat="1" ht="15" customHeight="1" thickBot="1">
      <c r="A1138" s="244"/>
      <c r="B1138" s="243" t="s">
        <v>672</v>
      </c>
      <c r="C1138" s="232"/>
      <c r="D1138" s="191"/>
      <c r="E1138" s="191"/>
      <c r="F1138" s="191"/>
      <c r="G1138" s="191"/>
      <c r="H1138" s="236"/>
      <c r="I1138" s="191"/>
      <c r="J1138" s="192"/>
      <c r="K1138" s="192"/>
      <c r="L1138" s="191"/>
      <c r="M1138" s="191"/>
      <c r="N1138" s="191"/>
      <c r="O1138" s="191"/>
      <c r="P1138" s="191"/>
      <c r="Q1138" s="191"/>
      <c r="R1138" s="191"/>
      <c r="S1138" s="191"/>
      <c r="T1138" s="842" t="s">
        <v>2168</v>
      </c>
      <c r="U1138" s="843"/>
      <c r="V1138" s="148"/>
      <c r="W1138" s="149"/>
      <c r="X1138" s="150"/>
      <c r="Z1138" s="152"/>
      <c r="AA1138" s="152"/>
    </row>
    <row r="1139" spans="1:27" s="151" customFormat="1" ht="15" customHeight="1" thickBot="1">
      <c r="A1139" s="244"/>
      <c r="B1139" s="246"/>
      <c r="C1139" s="232"/>
      <c r="D1139" s="191"/>
      <c r="E1139" s="191"/>
      <c r="F1139" s="191"/>
      <c r="G1139" s="191"/>
      <c r="H1139" s="236"/>
      <c r="I1139" s="191"/>
      <c r="J1139" s="192"/>
      <c r="K1139" s="192"/>
      <c r="L1139" s="191"/>
      <c r="M1139" s="191"/>
      <c r="N1139" s="191"/>
      <c r="O1139" s="237" t="s">
        <v>53</v>
      </c>
      <c r="P1139" s="191" t="s">
        <v>54</v>
      </c>
      <c r="Q1139" s="191"/>
      <c r="R1139" s="191"/>
      <c r="S1139" s="191"/>
      <c r="T1139" s="293" t="s">
        <v>985</v>
      </c>
      <c r="U1139" s="191" t="s">
        <v>984</v>
      </c>
      <c r="V1139" s="148"/>
      <c r="W1139" s="149"/>
      <c r="X1139" s="150"/>
      <c r="Z1139" s="152"/>
      <c r="AA1139" s="152"/>
    </row>
    <row r="1140" spans="1:27" s="151" customFormat="1" ht="15" customHeight="1" thickBot="1">
      <c r="A1140" s="244"/>
      <c r="B1140" s="247" t="str">
        <f>IF(AND(B1134&lt;&gt;B1132,B1134&lt;&gt;0),"FIADAS "&amp;B1132&amp;" a "&amp;B1134,"FIADA "&amp;B1132)</f>
        <v xml:space="preserve">FIADA </v>
      </c>
      <c r="C1140" s="264"/>
      <c r="D1140" s="197"/>
      <c r="E1140" s="197"/>
      <c r="F1140" s="197"/>
      <c r="G1140" s="197"/>
      <c r="H1140" s="197"/>
      <c r="I1140" s="197"/>
      <c r="J1140" s="230"/>
      <c r="K1140" s="230"/>
      <c r="L1140" s="158"/>
      <c r="M1140" s="197"/>
      <c r="N1140" s="160"/>
      <c r="O1140" s="255">
        <v>360</v>
      </c>
      <c r="P1140" s="254">
        <f>ROUND(R1137/360*O1140,2)</f>
        <v>0</v>
      </c>
      <c r="Q1140" s="248"/>
      <c r="R1140" s="159"/>
      <c r="S1140" s="159"/>
      <c r="T1140" s="323">
        <f>((E1134+N1130)*H1137)-P1130*PI()</f>
        <v>0</v>
      </c>
      <c r="U1140" s="323" t="e">
        <f>(((F1134+N1130)*H1137)-Q1130*PI())/H1137</f>
        <v>#DIV/0!</v>
      </c>
      <c r="V1140" s="160"/>
      <c r="W1140" s="161"/>
      <c r="X1140" s="162"/>
      <c r="Z1140" s="152"/>
      <c r="AA1140" s="152"/>
    </row>
    <row r="1141" spans="1:27" s="182" customFormat="1" ht="15" customHeight="1">
      <c r="A1141" s="211"/>
      <c r="B1141" s="206"/>
      <c r="C1141" s="294"/>
      <c r="D1141" s="191"/>
      <c r="E1141" s="131"/>
      <c r="F1141" s="131"/>
      <c r="G1141" s="131"/>
      <c r="H1141" s="131"/>
      <c r="I1141" s="228"/>
      <c r="J1141" s="228"/>
      <c r="K1141" s="228"/>
      <c r="L1141" s="191"/>
      <c r="M1141" s="191"/>
      <c r="N1141" s="191"/>
      <c r="O1141" s="140"/>
      <c r="P1141" s="191"/>
      <c r="Q1141" s="191"/>
      <c r="R1141" s="191"/>
      <c r="S1141" s="191"/>
      <c r="T1141" s="191"/>
      <c r="U1141" s="191"/>
      <c r="V1141" s="193"/>
      <c r="W1141" s="181"/>
      <c r="X1141" s="137"/>
      <c r="Z1141" s="183"/>
      <c r="AA1141" s="183"/>
    </row>
    <row r="1142" spans="1:27" s="182" customFormat="1" ht="15" customHeight="1">
      <c r="A1142" s="211"/>
      <c r="B1142" s="206"/>
      <c r="C1142" s="294"/>
      <c r="D1142" s="191"/>
      <c r="E1142" s="131"/>
      <c r="F1142" s="131"/>
      <c r="G1142" s="131"/>
      <c r="H1142" s="131"/>
      <c r="I1142" s="228"/>
      <c r="J1142" s="228"/>
      <c r="K1142" s="228"/>
      <c r="L1142" s="191"/>
      <c r="M1142" s="191"/>
      <c r="N1142" s="191"/>
      <c r="O1142" s="140"/>
      <c r="P1142" s="191"/>
      <c r="Q1142" s="191"/>
      <c r="R1142" s="191"/>
      <c r="S1142" s="191"/>
      <c r="T1142" s="191"/>
      <c r="U1142" s="191"/>
      <c r="V1142" s="193"/>
      <c r="W1142" s="181"/>
      <c r="X1142" s="137"/>
      <c r="Z1142" s="183"/>
      <c r="AA1142" s="183"/>
    </row>
    <row r="1143" spans="1:27" s="182" customFormat="1" ht="15" customHeight="1" thickBot="1">
      <c r="A1143" s="211"/>
      <c r="B1143" s="275" t="s">
        <v>1006</v>
      </c>
      <c r="C1143" s="276"/>
      <c r="D1143" s="277"/>
      <c r="E1143" s="277"/>
      <c r="F1143" s="277"/>
      <c r="G1143" s="277"/>
      <c r="H1143" s="277"/>
      <c r="I1143" s="277"/>
      <c r="J1143" s="278"/>
      <c r="K1143" s="278"/>
      <c r="L1143" s="279"/>
      <c r="M1143" s="277"/>
      <c r="N1143" s="277"/>
      <c r="O1143" s="277"/>
      <c r="P1143" s="277"/>
      <c r="Q1143" s="277"/>
      <c r="R1143" s="277"/>
      <c r="S1143" s="280"/>
      <c r="T1143" s="277"/>
      <c r="U1143" s="277" t="s">
        <v>674</v>
      </c>
      <c r="V1143" s="281" t="s">
        <v>27</v>
      </c>
      <c r="W1143" s="282"/>
      <c r="X1143" s="283"/>
      <c r="Z1143" s="183"/>
      <c r="AA1143" s="183"/>
    </row>
    <row r="1144" spans="1:27" s="182" customFormat="1" ht="15" customHeight="1" thickBot="1">
      <c r="A1144" s="211"/>
      <c r="B1144" s="206"/>
      <c r="C1144" s="129">
        <f>SUMIF(Densidades!A:A,'Memória TOTAL'!X1144,Densidades!B:B)</f>
        <v>0</v>
      </c>
      <c r="D1144" s="130">
        <f>SUMIF(Densidades!A:A,'Memória TOTAL'!X1144,Densidades!C:C)</f>
        <v>0</v>
      </c>
      <c r="E1144" s="130" t="str">
        <f>IF(I1144=15,"FIRECLAY MORTAR",IF(I1144=16,"ALUMINA MORTAR",IF(I1144=17,"BASIC MORTAR",IF(I1144=18,"MORTAR","-"))))</f>
        <v>-</v>
      </c>
      <c r="F1144" s="130" t="str">
        <f>IF(I1144=15,"FIRECLAY MORTAR",IF(I1144=16,"ALUMINA MORTAR",IF(I1144=17,"BASIC MORTAR",IF(I1144=18,"MORTAR","-"))))</f>
        <v>-</v>
      </c>
      <c r="G1144" s="130" t="str">
        <f>IF(I1144=15,"FIRECLAY MORTAR",IF(I1144=16,"ALUMINA MORTAR",IF(I1144=17,"BASIC MORTAR",IF(I1144=18,"MORTAR","-"))))</f>
        <v>-</v>
      </c>
      <c r="H1144" s="130" t="str">
        <f>IF(I1144=15,"FIRECLAY MORTAR",IF(I1144=16,"ALUMINA MORTAR",IF(I1144=17,"BASIC MORTAR",IF(I1144=18,"MORTAR","-"))))</f>
        <v>-</v>
      </c>
      <c r="I1144" s="130">
        <f>SUMIF(Densidades!A:A,'Memória TOTAL'!X1144,Densidades!G:G)</f>
        <v>0</v>
      </c>
      <c r="J1144" s="132">
        <f>SUMIF(Formatos!A:A,'Memória TOTAL'!X1145,Formatos!G:G)</f>
        <v>0</v>
      </c>
      <c r="K1144" s="133">
        <f>SUMIF(Densidades!A:A,'Memória TOTAL'!X1144,Densidades!I:I)</f>
        <v>0</v>
      </c>
      <c r="L1144" s="184">
        <v>0</v>
      </c>
      <c r="M1144" s="185"/>
      <c r="N1144" s="185"/>
      <c r="O1144" s="185"/>
      <c r="P1144" s="185"/>
      <c r="Q1144" s="185"/>
      <c r="R1144" s="185"/>
      <c r="S1144" s="185"/>
      <c r="T1144" s="186"/>
      <c r="U1144" s="286">
        <v>0.06</v>
      </c>
      <c r="V1144" s="188" t="e">
        <f>(W1130*J1130*C1144+W1134*J1134*C1144)*U1144</f>
        <v>#VALUE!</v>
      </c>
      <c r="W1144" s="189" t="str">
        <f>IF(C1144=0,"",ROUNDUP(SUM(V1144:V1145)*(1+L1144),0))</f>
        <v/>
      </c>
      <c r="X1144" s="259"/>
      <c r="Z1144" s="183"/>
      <c r="AA1144" s="183"/>
    </row>
    <row r="1145" spans="1:27" s="182" customFormat="1" ht="15" customHeight="1">
      <c r="A1145" s="211"/>
      <c r="B1145" s="206"/>
      <c r="C1145" s="129"/>
      <c r="D1145" s="191"/>
      <c r="E1145" s="191"/>
      <c r="F1145" s="191"/>
      <c r="G1145" s="191"/>
      <c r="H1145" s="191"/>
      <c r="I1145" s="191"/>
      <c r="J1145" s="192"/>
      <c r="K1145" s="192"/>
      <c r="L1145" s="140"/>
      <c r="M1145" s="191"/>
      <c r="N1145" s="191"/>
      <c r="O1145" s="191"/>
      <c r="P1145" s="191"/>
      <c r="Q1145" s="191"/>
      <c r="R1145" s="191"/>
      <c r="S1145" s="191"/>
      <c r="T1145" s="191"/>
      <c r="U1145" s="191"/>
      <c r="V1145" s="193"/>
      <c r="W1145" s="181"/>
      <c r="X1145" s="137" t="str">
        <f>IF(AND(H1144="-",G1144="-",F1144="-"),E1144,IF(AND(H1144="-",G1144="-",E1144="-"),F1144,IF(AND(H1144="-",F1144="-",E1144="-"),G1144,H1144)))</f>
        <v>-</v>
      </c>
      <c r="Z1145" s="183"/>
      <c r="AA1145" s="183"/>
    </row>
    <row r="1146" spans="1:27" s="182" customFormat="1" ht="15" customHeight="1">
      <c r="A1146" s="211"/>
      <c r="B1146" s="209"/>
      <c r="C1146" s="129"/>
      <c r="D1146" s="191"/>
      <c r="E1146" s="191"/>
      <c r="F1146" s="191"/>
      <c r="G1146" s="191"/>
      <c r="H1146" s="191"/>
      <c r="I1146" s="191"/>
      <c r="J1146" s="192"/>
      <c r="K1146" s="192"/>
      <c r="L1146" s="140"/>
      <c r="M1146" s="191"/>
      <c r="N1146" s="191"/>
      <c r="O1146" s="191"/>
      <c r="P1146" s="191"/>
      <c r="Q1146" s="191"/>
      <c r="R1146" s="191"/>
      <c r="S1146" s="191"/>
      <c r="T1146" s="191"/>
      <c r="U1146" s="191"/>
      <c r="V1146" s="193"/>
      <c r="W1146" s="181"/>
      <c r="X1146" s="137" t="s">
        <v>2</v>
      </c>
      <c r="Z1146" s="183"/>
      <c r="AA1146" s="183"/>
    </row>
    <row r="1147" spans="1:27" ht="15" customHeight="1">
      <c r="A1147" s="211"/>
      <c r="B1147" s="127"/>
      <c r="C1147" s="165"/>
      <c r="D1147" s="166"/>
      <c r="E1147" s="166"/>
      <c r="F1147" s="166"/>
      <c r="G1147" s="166"/>
      <c r="H1147" s="166"/>
      <c r="I1147" s="166"/>
      <c r="J1147" s="167"/>
      <c r="K1147" s="167"/>
      <c r="L1147" s="168"/>
      <c r="M1147" s="166"/>
      <c r="N1147" s="166"/>
      <c r="O1147" s="166"/>
      <c r="P1147" s="166"/>
      <c r="Q1147" s="166"/>
      <c r="R1147" s="166"/>
      <c r="S1147" s="166"/>
      <c r="T1147" s="166"/>
      <c r="U1147" s="166"/>
      <c r="V1147" s="169"/>
      <c r="W1147" s="170"/>
      <c r="X1147" s="171"/>
    </row>
    <row r="1148" spans="1:27" s="182" customFormat="1" ht="15" customHeight="1" thickBot="1">
      <c r="A1148" s="211"/>
      <c r="B1148" s="275" t="s">
        <v>1007</v>
      </c>
      <c r="C1148" s="276"/>
      <c r="D1148" s="277"/>
      <c r="E1148" s="277"/>
      <c r="F1148" s="277"/>
      <c r="G1148" s="277"/>
      <c r="H1148" s="277"/>
      <c r="I1148" s="277"/>
      <c r="J1148" s="278"/>
      <c r="K1148" s="278"/>
      <c r="L1148" s="279"/>
      <c r="M1148" s="277"/>
      <c r="N1148" s="277"/>
      <c r="O1148" s="277"/>
      <c r="P1148" s="277"/>
      <c r="Q1148" s="277"/>
      <c r="R1148" s="277" t="s">
        <v>632</v>
      </c>
      <c r="S1148" s="280" t="s">
        <v>633</v>
      </c>
      <c r="T1148" s="277" t="s">
        <v>634</v>
      </c>
      <c r="U1148" s="277" t="s">
        <v>38</v>
      </c>
      <c r="V1148" s="281" t="s">
        <v>27</v>
      </c>
      <c r="W1148" s="282"/>
      <c r="X1148" s="283"/>
      <c r="Z1148" s="183"/>
      <c r="AA1148" s="183"/>
    </row>
    <row r="1149" spans="1:27" s="182" customFormat="1" ht="15" customHeight="1" thickBot="1">
      <c r="A1149" s="211"/>
      <c r="B1149" s="206"/>
      <c r="C1149" s="129">
        <f>SUMIF(Densidades!A:A,'Memória TOTAL'!X1149,Densidades!B:B)</f>
        <v>0</v>
      </c>
      <c r="D1149" s="130">
        <f>SUMIF(Densidades!A:A,'Memória TOTAL'!X1149,Densidades!C:C)</f>
        <v>0</v>
      </c>
      <c r="E1149" s="130" t="str">
        <f>IF(I1149=15,"FIRECLAY MORTAR",IF(I1149=16,"ALUMINA MORTAR",IF(I1149=17,"BASIC MORTAR",IF(I1149=18,"MORTAR","-"))))</f>
        <v>-</v>
      </c>
      <c r="F1149" s="130" t="str">
        <f>IF(I1149=15,"FIRECLAY MORTAR",IF(I1149=16,"ALUMINA MORTAR",IF(I1149=17,"BASIC MORTAR",IF(I1149=18,"MORTAR","-"))))</f>
        <v>-</v>
      </c>
      <c r="G1149" s="130" t="str">
        <f>IF(I1149=15,"FIRECLAY MORTAR",IF(I1149=16,"ALUMINA MORTAR",IF(I1149=17,"BASIC MORTAR",IF(I1149=18,"MORTAR","-"))))</f>
        <v>-</v>
      </c>
      <c r="H1149" s="130" t="str">
        <f>IF(I1149=15,"FIRECLAY MORTAR",IF(I1149=16,"ALUMINA MORTAR",IF(I1149=17,"BASIC MORTAR",IF(I1149=18,"MORTAR","-"))))</f>
        <v>-</v>
      </c>
      <c r="I1149" s="130">
        <f>SUMIF(Densidades!A:A,'Memória TOTAL'!X1149,Densidades!G:G)</f>
        <v>0</v>
      </c>
      <c r="J1149" s="132">
        <f>SUMIF(Formatos!A:A,'Memória TOTAL'!X1150,Formatos!G:G)</f>
        <v>0</v>
      </c>
      <c r="K1149" s="218">
        <f>SUMIF(Densidades!A:A,'Memória TOTAL'!X1149,Densidades!I:I)</f>
        <v>0</v>
      </c>
      <c r="L1149" s="184">
        <v>0</v>
      </c>
      <c r="M1149" s="185"/>
      <c r="N1149" s="185"/>
      <c r="O1149" s="185"/>
      <c r="P1149" s="185"/>
      <c r="Q1149" s="185"/>
      <c r="R1149" s="186">
        <f>((G1130*H1130)+(G1130*E1130)+(H1130*E1130))/1000000</f>
        <v>4.8236000000000001E-2</v>
      </c>
      <c r="S1149" s="255">
        <v>2</v>
      </c>
      <c r="T1149" s="186">
        <f>R1149*S1149</f>
        <v>9.6472000000000002E-2</v>
      </c>
      <c r="U1149" s="187">
        <f>SUM(W1130:W1135)</f>
        <v>0</v>
      </c>
      <c r="V1149" s="188">
        <f>(T1149*C1149*(1+L1149))*U1149</f>
        <v>0</v>
      </c>
      <c r="W1149" s="189" t="str">
        <f>IF(C1149=0,"",ROUNDUP(SUM(V1149:V1150)*(1+L1149),0))</f>
        <v/>
      </c>
      <c r="X1149" s="259"/>
      <c r="Z1149" s="183"/>
      <c r="AA1149" s="183"/>
    </row>
    <row r="1150" spans="1:27" s="182" customFormat="1" ht="15" customHeight="1">
      <c r="A1150" s="211"/>
      <c r="B1150" s="206"/>
      <c r="C1150" s="129"/>
      <c r="D1150" s="191"/>
      <c r="E1150" s="191"/>
      <c r="F1150" s="191"/>
      <c r="G1150" s="191"/>
      <c r="H1150" s="191"/>
      <c r="I1150" s="191"/>
      <c r="J1150" s="192"/>
      <c r="K1150" s="192"/>
      <c r="L1150" s="140"/>
      <c r="M1150" s="191"/>
      <c r="N1150" s="191"/>
      <c r="O1150" s="191"/>
      <c r="P1150" s="191"/>
      <c r="Q1150" s="191"/>
      <c r="R1150" s="191"/>
      <c r="S1150" s="191"/>
      <c r="T1150" s="191"/>
      <c r="U1150" s="191"/>
      <c r="V1150" s="193"/>
      <c r="W1150" s="181"/>
      <c r="X1150" s="137" t="str">
        <f>IF(AND(H1149="-",G1149="-",F1149="-"),E1149,IF(AND(H1149="-",G1149="-",E1149="-"),F1149,IF(AND(H1149="-",F1149="-",E1149="-"),G1149,H1149)))</f>
        <v>-</v>
      </c>
      <c r="Z1150" s="183"/>
      <c r="AA1150" s="183"/>
    </row>
    <row r="1151" spans="1:27" s="182" customFormat="1" ht="15" customHeight="1">
      <c r="A1151" s="211"/>
      <c r="B1151" s="209"/>
      <c r="C1151" s="129"/>
      <c r="D1151" s="191"/>
      <c r="E1151" s="191"/>
      <c r="F1151" s="191"/>
      <c r="G1151" s="191"/>
      <c r="H1151" s="191"/>
      <c r="I1151" s="191"/>
      <c r="J1151" s="192"/>
      <c r="K1151" s="192"/>
      <c r="L1151" s="140"/>
      <c r="M1151" s="191"/>
      <c r="N1151" s="191"/>
      <c r="O1151" s="191"/>
      <c r="P1151" s="191"/>
      <c r="Q1151" s="191"/>
      <c r="R1151" s="191"/>
      <c r="S1151" s="191"/>
      <c r="T1151" s="191"/>
      <c r="U1151" s="191"/>
      <c r="V1151" s="193"/>
      <c r="W1151" s="181"/>
      <c r="X1151" s="137" t="s">
        <v>2</v>
      </c>
      <c r="Z1151" s="183"/>
      <c r="AA1151" s="183"/>
    </row>
    <row r="1152" spans="1:27" s="182" customFormat="1" ht="15" customHeight="1">
      <c r="A1152" s="211"/>
      <c r="B1152" s="209"/>
      <c r="C1152" s="129"/>
      <c r="D1152" s="191"/>
      <c r="E1152" s="191"/>
      <c r="F1152" s="191"/>
      <c r="G1152" s="191"/>
      <c r="H1152" s="191"/>
      <c r="I1152" s="191"/>
      <c r="J1152" s="192"/>
      <c r="K1152" s="192"/>
      <c r="L1152" s="140"/>
      <c r="M1152" s="191"/>
      <c r="N1152" s="191"/>
      <c r="O1152" s="191"/>
      <c r="P1152" s="191"/>
      <c r="Q1152" s="191"/>
      <c r="R1152" s="191"/>
      <c r="S1152" s="191"/>
      <c r="T1152" s="191"/>
      <c r="U1152" s="191"/>
      <c r="V1152" s="193"/>
      <c r="W1152" s="181"/>
      <c r="X1152" s="137"/>
      <c r="Z1152" s="183"/>
      <c r="AA1152" s="183"/>
    </row>
    <row r="1153" spans="1:27" s="182" customFormat="1" ht="15" customHeight="1" thickBot="1">
      <c r="A1153" s="211"/>
      <c r="B1153" s="505"/>
      <c r="C1153" s="505"/>
      <c r="D1153" s="508"/>
      <c r="E1153" s="508"/>
      <c r="F1153" s="508"/>
      <c r="G1153" s="508"/>
      <c r="H1153" s="508"/>
      <c r="I1153" s="508"/>
      <c r="J1153" s="508"/>
      <c r="K1153" s="508"/>
      <c r="L1153" s="508"/>
      <c r="M1153" s="508"/>
      <c r="N1153" s="508"/>
      <c r="O1153" s="508"/>
      <c r="P1153" s="508"/>
      <c r="Q1153" s="508"/>
      <c r="R1153" s="508"/>
      <c r="S1153" s="508"/>
      <c r="T1153" s="508"/>
      <c r="U1153" s="508"/>
      <c r="V1153" s="508"/>
      <c r="W1153" s="508"/>
      <c r="X1153" s="509"/>
      <c r="Z1153" s="183"/>
      <c r="AA1153" s="183"/>
    </row>
    <row r="1154" spans="1:27" ht="15" customHeight="1" thickBot="1">
      <c r="A1154" s="274"/>
      <c r="B1154" s="489" t="str">
        <f>IF(X1155="","COMPOSIÇÃO CONE 1 TIJOLO",X1155)</f>
        <v>COMPOSIÇÃO CONE 1 TIJOLO</v>
      </c>
      <c r="C1154" s="296" t="s">
        <v>101</v>
      </c>
      <c r="D1154" s="270" t="s">
        <v>102</v>
      </c>
      <c r="E1154" s="270" t="s">
        <v>42</v>
      </c>
      <c r="F1154" s="270" t="s">
        <v>42</v>
      </c>
      <c r="G1154" s="270" t="s">
        <v>43</v>
      </c>
      <c r="H1154" s="270" t="s">
        <v>44</v>
      </c>
      <c r="I1154" s="270" t="s">
        <v>47</v>
      </c>
      <c r="J1154" s="270" t="s">
        <v>103</v>
      </c>
      <c r="K1154" s="270" t="s">
        <v>37</v>
      </c>
      <c r="L1154" s="270" t="s">
        <v>39</v>
      </c>
      <c r="M1154" s="270" t="s">
        <v>45</v>
      </c>
      <c r="N1154" s="270" t="s">
        <v>46</v>
      </c>
      <c r="O1154" s="292" t="s">
        <v>106</v>
      </c>
      <c r="P1154" s="270" t="s">
        <v>52</v>
      </c>
      <c r="Q1154" s="292" t="s">
        <v>53</v>
      </c>
      <c r="R1154" s="270"/>
      <c r="S1154" s="270"/>
      <c r="T1154" s="270"/>
      <c r="U1154" s="270" t="s">
        <v>673</v>
      </c>
      <c r="V1154" s="271" t="s">
        <v>27</v>
      </c>
      <c r="W1154" s="272"/>
      <c r="X1154" s="273"/>
    </row>
    <row r="1155" spans="1:27" ht="15" customHeight="1" thickBot="1">
      <c r="A1155" s="211"/>
      <c r="B1155" s="852" t="s">
        <v>1863</v>
      </c>
      <c r="C1155" s="241">
        <f>SUMIF(Densidades!A:A,'Memória TOTAL'!X1155,Densidades!B:B)</f>
        <v>0</v>
      </c>
      <c r="D1155" s="130">
        <f>SUMIF(Densidades!A:A,'Memória TOTAL'!X1155,Densidades!C:C)</f>
        <v>0</v>
      </c>
      <c r="E1155" s="721">
        <f>SUMIF(Formatos!A:A,'Memória TOTAL'!X1156,Formatos!E:E)</f>
        <v>0</v>
      </c>
      <c r="F1155" s="721">
        <f>SUMIF(Formatos!A:A,'Memória TOTAL'!X1156,Formatos!F:F)</f>
        <v>0</v>
      </c>
      <c r="G1155" s="721">
        <f>SUMIF(Formatos!A:A,'Memória TOTAL'!X1156,Formatos!C:C)</f>
        <v>0</v>
      </c>
      <c r="H1155" s="721">
        <f>SUMIF(Formatos!A:A,'Memória TOTAL'!X1156,Formatos!D:D)</f>
        <v>0</v>
      </c>
      <c r="I1155" s="131">
        <f>SUMIF(Densidades!A:A,'Memória TOTAL'!X1155,Densidades!H:H)</f>
        <v>0</v>
      </c>
      <c r="J1155" s="132">
        <f>SUMIF(Formatos!A:A,'Memória TOTAL'!X1156,Formatos!G:G)</f>
        <v>0</v>
      </c>
      <c r="K1155" s="133">
        <f>SUMIF(Densidades!A:A,'Memória TOTAL'!X1155,Densidades!I:I)</f>
        <v>0</v>
      </c>
      <c r="L1155" s="249">
        <v>0</v>
      </c>
      <c r="M1155" s="602"/>
      <c r="N1155" s="252"/>
      <c r="O1155" s="253"/>
      <c r="P1155" s="251">
        <f>O1155-M1155*2</f>
        <v>0</v>
      </c>
      <c r="Q1155" s="253"/>
      <c r="R1155" s="135"/>
      <c r="S1155" s="256"/>
      <c r="T1155" s="256"/>
      <c r="U1155" s="253"/>
      <c r="V1155" s="252" t="str">
        <f>IF(M1155="","",IF(M1155=H1159,ROUND(SUM(P1166:P1216),0),"ESP. ERRADA"))</f>
        <v/>
      </c>
      <c r="W1155" s="258" t="e">
        <f>IF(C1155=0,"",ROUNDUP(SUM(V1155)*(1+L1155),0))*U1155</f>
        <v>#VALUE!</v>
      </c>
      <c r="X1155" s="259"/>
    </row>
    <row r="1156" spans="1:27" s="182" customFormat="1" ht="15" customHeight="1" thickBot="1">
      <c r="A1156" s="211"/>
      <c r="B1156" s="849"/>
      <c r="C1156" s="232"/>
      <c r="D1156" s="191"/>
      <c r="E1156" s="191"/>
      <c r="F1156" s="191"/>
      <c r="G1156" s="191"/>
      <c r="H1156" s="191"/>
      <c r="I1156" s="191"/>
      <c r="J1156" s="192"/>
      <c r="K1156" s="192"/>
      <c r="L1156" s="140"/>
      <c r="M1156" s="191"/>
      <c r="N1156" s="191"/>
      <c r="O1156" s="191"/>
      <c r="P1156" s="191"/>
      <c r="Q1156" s="191"/>
      <c r="R1156" s="191"/>
      <c r="S1156" s="191"/>
      <c r="T1156" s="191"/>
      <c r="U1156" s="191"/>
      <c r="V1156" s="193"/>
      <c r="W1156" s="181"/>
      <c r="X1156" s="137" t="str">
        <f>IF(B1161="","",B1161)</f>
        <v/>
      </c>
      <c r="Z1156" s="183"/>
      <c r="AA1156" s="183"/>
    </row>
    <row r="1157" spans="1:27" s="182" customFormat="1" ht="15" customHeight="1">
      <c r="A1157" s="211"/>
      <c r="B1157" s="297"/>
      <c r="C1157" s="232"/>
      <c r="D1157" s="191"/>
      <c r="E1157" s="191"/>
      <c r="F1157" s="191"/>
      <c r="G1157" s="191"/>
      <c r="H1157" s="191"/>
      <c r="I1157" s="191"/>
      <c r="J1157" s="192"/>
      <c r="K1157" s="192"/>
      <c r="L1157" s="140"/>
      <c r="M1157" s="191"/>
      <c r="N1157" s="191"/>
      <c r="O1157" s="191"/>
      <c r="P1157" s="191"/>
      <c r="Q1157" s="191"/>
      <c r="R1157" s="191"/>
      <c r="S1157" s="191"/>
      <c r="T1157" s="191"/>
      <c r="U1157" s="191"/>
      <c r="V1157" s="193"/>
      <c r="W1157" s="181"/>
      <c r="X1157" s="137" t="s">
        <v>520</v>
      </c>
      <c r="Z1157" s="183"/>
      <c r="AA1157" s="183"/>
    </row>
    <row r="1158" spans="1:27" s="182" customFormat="1" ht="15" customHeight="1">
      <c r="A1158" s="211"/>
      <c r="B1158" s="297"/>
      <c r="C1158" s="295" t="str">
        <f t="shared" ref="C1158:L1158" si="158">C1154</f>
        <v>Dens.</v>
      </c>
      <c r="D1158" s="178" t="str">
        <f t="shared" si="158"/>
        <v>Emb.</v>
      </c>
      <c r="E1158" s="178" t="str">
        <f t="shared" si="158"/>
        <v>Esp. Tij.</v>
      </c>
      <c r="F1158" s="178" t="str">
        <f t="shared" si="158"/>
        <v>Esp. Tij.</v>
      </c>
      <c r="G1158" s="178" t="str">
        <f t="shared" si="158"/>
        <v>Comp. Tij.</v>
      </c>
      <c r="H1158" s="178" t="str">
        <f t="shared" si="158"/>
        <v>Larg. Tij.</v>
      </c>
      <c r="I1158" s="178" t="str">
        <f t="shared" si="158"/>
        <v>Tipo Fator</v>
      </c>
      <c r="J1158" s="178" t="str">
        <f t="shared" si="158"/>
        <v>Vol.</v>
      </c>
      <c r="K1158" s="178" t="str">
        <f t="shared" si="158"/>
        <v>Class.</v>
      </c>
      <c r="L1158" s="178" t="str">
        <f t="shared" si="158"/>
        <v>Coefic. (%)</v>
      </c>
      <c r="M1158" s="191"/>
      <c r="N1158" s="191"/>
      <c r="O1158" s="191"/>
      <c r="P1158" s="191"/>
      <c r="Q1158" s="191"/>
      <c r="R1158" s="191"/>
      <c r="S1158" s="191"/>
      <c r="T1158" s="191"/>
      <c r="U1158" s="191"/>
      <c r="V1158" s="148"/>
      <c r="W1158" s="181"/>
      <c r="X1158" s="137"/>
      <c r="Z1158" s="183"/>
      <c r="AA1158" s="183"/>
    </row>
    <row r="1159" spans="1:27" s="182" customFormat="1" ht="15" customHeight="1" thickBot="1">
      <c r="A1159" s="211"/>
      <c r="B1159" s="298"/>
      <c r="C1159" s="241">
        <f>SUMIF(Densidades!A:A,'Memória TOTAL'!X1159,Densidades!B:B)</f>
        <v>0</v>
      </c>
      <c r="D1159" s="130">
        <f>SUMIF(Densidades!A:A,'Memória TOTAL'!X1159,Densidades!C:C)</f>
        <v>0</v>
      </c>
      <c r="E1159" s="131">
        <f>IF(M1155=E1155,H1155,E1155)</f>
        <v>0</v>
      </c>
      <c r="F1159" s="131">
        <f>IF(M1155=E1155,H1155,F1155)</f>
        <v>0</v>
      </c>
      <c r="G1159" s="131">
        <f>IF(M1155=G1155,H1155,G1155)</f>
        <v>0</v>
      </c>
      <c r="H1159" s="131">
        <f>IF(M1155=E1155,E1155,IF(M1155=G1155,G1155,H1155))</f>
        <v>0</v>
      </c>
      <c r="I1159" s="131">
        <f>SUMIF(Densidades!A:A,'Memória TOTAL'!X1159,Densidades!H:H)</f>
        <v>0</v>
      </c>
      <c r="J1159" s="132">
        <f>SUMIF(Formatos!A:A,'Memória TOTAL'!X1160,Formatos!G:G)</f>
        <v>0</v>
      </c>
      <c r="K1159" s="218">
        <f>SUMIF(Densidades!A:A,'Memória TOTAL'!X1159,Densidades!I:I)</f>
        <v>0</v>
      </c>
      <c r="L1159" s="219">
        <v>0</v>
      </c>
      <c r="M1159" s="191"/>
      <c r="N1159" s="191"/>
      <c r="O1159" s="191"/>
      <c r="P1159" s="191"/>
      <c r="Q1159" s="191"/>
      <c r="R1159" s="191"/>
      <c r="S1159" s="191"/>
      <c r="T1159" s="228"/>
      <c r="U1159" s="231"/>
      <c r="V1159" s="148"/>
      <c r="W1159" s="181"/>
      <c r="X1159" s="137"/>
      <c r="Z1159" s="183"/>
      <c r="AA1159" s="183"/>
    </row>
    <row r="1160" spans="1:27" s="182" customFormat="1" ht="15" customHeight="1" thickBot="1">
      <c r="A1160" s="260"/>
      <c r="B1160" s="243" t="s">
        <v>671</v>
      </c>
      <c r="C1160" s="232"/>
      <c r="D1160" s="191"/>
      <c r="E1160" s="191"/>
      <c r="F1160" s="191"/>
      <c r="G1160" s="191"/>
      <c r="H1160" s="191"/>
      <c r="I1160" s="191"/>
      <c r="J1160" s="192"/>
      <c r="K1160" s="192"/>
      <c r="L1160" s="140"/>
      <c r="M1160" s="191"/>
      <c r="N1160" s="191"/>
      <c r="O1160" s="191"/>
      <c r="P1160" s="191"/>
      <c r="Q1160" s="191"/>
      <c r="R1160" s="191"/>
      <c r="S1160" s="191"/>
      <c r="T1160" s="191"/>
      <c r="U1160" s="191"/>
      <c r="V1160" s="148"/>
      <c r="W1160" s="181"/>
      <c r="X1160" s="137"/>
      <c r="Z1160" s="183"/>
      <c r="AA1160" s="183"/>
    </row>
    <row r="1161" spans="1:27" s="182" customFormat="1" ht="15" customHeight="1" thickBot="1">
      <c r="A1161" s="260"/>
      <c r="B1161" s="259"/>
      <c r="C1161" s="239" t="s">
        <v>54</v>
      </c>
      <c r="D1161" s="235"/>
      <c r="E1161" s="191"/>
      <c r="F1161" s="191"/>
      <c r="G1161" s="191"/>
      <c r="H1161" s="236"/>
      <c r="I1161" s="236"/>
      <c r="J1161" s="192"/>
      <c r="K1161" s="192"/>
      <c r="L1161" s="140"/>
      <c r="M1161" s="191"/>
      <c r="N1161" s="191"/>
      <c r="O1161" s="145"/>
      <c r="P1161" s="145"/>
      <c r="Q1161" s="146"/>
      <c r="R1161" s="145"/>
      <c r="S1161" s="145"/>
      <c r="T1161" s="191"/>
      <c r="U1161" s="191"/>
      <c r="V1161" s="148"/>
      <c r="W1161" s="181"/>
      <c r="X1161" s="137"/>
      <c r="Z1161" s="183"/>
      <c r="AA1161" s="183"/>
    </row>
    <row r="1162" spans="1:27" s="182" customFormat="1" ht="15" customHeight="1" thickBot="1">
      <c r="A1162" s="260"/>
      <c r="B1162" s="298"/>
      <c r="C1162" s="239"/>
      <c r="D1162" s="235"/>
      <c r="E1162" s="191"/>
      <c r="F1162" s="191"/>
      <c r="G1162" s="191"/>
      <c r="H1162" s="236"/>
      <c r="I1162" s="236"/>
      <c r="J1162" s="192"/>
      <c r="K1162" s="192"/>
      <c r="L1162" s="140"/>
      <c r="M1162" s="191"/>
      <c r="N1162" s="191"/>
      <c r="O1162" s="147"/>
      <c r="P1162" s="147"/>
      <c r="Q1162" s="153"/>
      <c r="R1162" s="147"/>
      <c r="S1162" s="147"/>
      <c r="T1162" s="191"/>
      <c r="U1162" s="191"/>
      <c r="V1162" s="148"/>
      <c r="W1162" s="227"/>
      <c r="X1162" s="137"/>
      <c r="Z1162" s="183"/>
      <c r="AA1162" s="183"/>
    </row>
    <row r="1163" spans="1:27" s="151" customFormat="1" ht="15" customHeight="1" thickBot="1">
      <c r="A1163" s="244"/>
      <c r="B1163" s="243" t="s">
        <v>672</v>
      </c>
      <c r="C1163" s="232"/>
      <c r="D1163" s="191"/>
      <c r="E1163" s="191"/>
      <c r="F1163" s="191"/>
      <c r="G1163" s="191"/>
      <c r="H1163" s="191"/>
      <c r="I1163" s="191"/>
      <c r="J1163" s="192"/>
      <c r="K1163" s="192"/>
      <c r="L1163" s="191"/>
      <c r="M1163" s="191"/>
      <c r="N1163" s="191"/>
      <c r="O1163" s="191"/>
      <c r="P1163" s="191"/>
      <c r="Q1163" s="191"/>
      <c r="R1163" s="191"/>
      <c r="S1163" s="191"/>
      <c r="T1163" s="147"/>
      <c r="U1163" s="147"/>
      <c r="V1163" s="148"/>
      <c r="W1163" s="149"/>
      <c r="X1163" s="150"/>
      <c r="Z1163" s="152"/>
      <c r="AA1163" s="152"/>
    </row>
    <row r="1164" spans="1:27" s="151" customFormat="1" ht="15" customHeight="1" thickBot="1">
      <c r="A1164" s="244"/>
      <c r="B1164" s="840"/>
      <c r="C1164" s="232"/>
      <c r="D1164" s="191"/>
      <c r="E1164" s="191"/>
      <c r="F1164" s="191"/>
      <c r="G1164" s="191"/>
      <c r="H1164" s="191"/>
      <c r="I1164" s="191"/>
      <c r="J1164" s="192"/>
      <c r="K1164" s="192"/>
      <c r="L1164" s="191"/>
      <c r="M1164" s="191"/>
      <c r="N1164" s="191"/>
      <c r="O1164" s="191"/>
      <c r="P1164" s="191"/>
      <c r="Q1164" s="191"/>
      <c r="R1164" s="191"/>
      <c r="S1164" s="842" t="s">
        <v>2168</v>
      </c>
      <c r="T1164" s="843"/>
      <c r="U1164" s="147"/>
      <c r="V1164" s="148"/>
      <c r="W1164" s="149"/>
      <c r="X1164" s="150"/>
      <c r="Z1164" s="152"/>
      <c r="AA1164" s="152"/>
    </row>
    <row r="1165" spans="1:27" s="182" customFormat="1" ht="15" customHeight="1" thickBot="1">
      <c r="A1165" s="211"/>
      <c r="B1165" s="841"/>
      <c r="C1165" s="293" t="s">
        <v>985</v>
      </c>
      <c r="D1165" s="192" t="s">
        <v>2171</v>
      </c>
      <c r="E1165" s="191" t="s">
        <v>22</v>
      </c>
      <c r="F1165" s="191" t="s">
        <v>48</v>
      </c>
      <c r="G1165" s="191" t="s">
        <v>981</v>
      </c>
      <c r="H1165" s="191" t="s">
        <v>45</v>
      </c>
      <c r="I1165" s="192" t="s">
        <v>46</v>
      </c>
      <c r="J1165" s="192"/>
      <c r="K1165" s="191" t="s">
        <v>54</v>
      </c>
      <c r="L1165" s="192"/>
      <c r="M1165" s="192"/>
      <c r="N1165" s="191"/>
      <c r="O1165" s="605" t="s">
        <v>53</v>
      </c>
      <c r="P1165" s="191" t="s">
        <v>54</v>
      </c>
      <c r="Q1165" s="191"/>
      <c r="R1165" s="191"/>
      <c r="S1165" s="293" t="s">
        <v>985</v>
      </c>
      <c r="T1165" s="191" t="s">
        <v>984</v>
      </c>
      <c r="U1165" s="191"/>
      <c r="V1165" s="193"/>
      <c r="W1165" s="181"/>
      <c r="X1165" s="137"/>
      <c r="Z1165" s="183"/>
      <c r="AA1165" s="183"/>
    </row>
    <row r="1166" spans="1:27" s="182" customFormat="1" ht="15" customHeight="1">
      <c r="A1166" s="211"/>
      <c r="B1166" s="209" t="s">
        <v>388</v>
      </c>
      <c r="C1166" s="293">
        <f>O1155</f>
        <v>0</v>
      </c>
      <c r="D1166" s="624">
        <f>Q1155</f>
        <v>0</v>
      </c>
      <c r="E1166" s="623">
        <f>E1159</f>
        <v>0</v>
      </c>
      <c r="F1166" s="623">
        <f>F1159</f>
        <v>0</v>
      </c>
      <c r="G1166" s="623">
        <f>IF(M1155=G1159,H1159,IF(M1155=H1159,G1159,"Espessura Errada"))</f>
        <v>0</v>
      </c>
      <c r="H1166" s="623">
        <f>M1155</f>
        <v>0</v>
      </c>
      <c r="I1166" s="624">
        <f>N1155</f>
        <v>0</v>
      </c>
      <c r="J1166" s="192"/>
      <c r="K1166" s="228" t="e">
        <f t="shared" ref="K1166:K1215" si="159">C1166*PI()/(E1166+I1166)</f>
        <v>#DIV/0!</v>
      </c>
      <c r="L1166" s="192"/>
      <c r="M1166" s="192"/>
      <c r="N1166" s="191"/>
      <c r="O1166" s="608">
        <v>360</v>
      </c>
      <c r="P1166" s="191" t="e">
        <f>ROUNDUP(K1166/360*O1166,0)</f>
        <v>#DIV/0!</v>
      </c>
      <c r="Q1166" s="191"/>
      <c r="R1166" s="191"/>
      <c r="S1166" s="323" t="e">
        <f t="shared" ref="S1166:S1215" si="160">((E1166+I1166)*K1166)-C1166*PI()</f>
        <v>#DIV/0!</v>
      </c>
      <c r="T1166" s="323" t="e">
        <f>(((F1166+I1166)*K1166)-(C1166-(H1166*2))*PI())/K1166</f>
        <v>#DIV/0!</v>
      </c>
      <c r="U1166" s="191"/>
      <c r="V1166" s="193"/>
      <c r="W1166" s="181"/>
      <c r="X1166" s="137"/>
      <c r="Z1166" s="183"/>
      <c r="AA1166" s="183"/>
    </row>
    <row r="1167" spans="1:27" s="182" customFormat="1" ht="15" customHeight="1">
      <c r="A1167" s="211"/>
      <c r="B1167" s="209" t="s">
        <v>980</v>
      </c>
      <c r="C1167" s="294">
        <f t="shared" ref="C1167:C1215" si="161">C1166+2*SIN(RADIANS(D1167))*(G1167+I1167)</f>
        <v>0</v>
      </c>
      <c r="D1167" s="624">
        <f t="shared" ref="D1167" si="162">D1166</f>
        <v>0</v>
      </c>
      <c r="E1167" s="623">
        <f>E1166</f>
        <v>0</v>
      </c>
      <c r="F1167" s="623">
        <f>F1166</f>
        <v>0</v>
      </c>
      <c r="G1167" s="623">
        <f>G1166</f>
        <v>0</v>
      </c>
      <c r="H1167" s="623">
        <f>H1166</f>
        <v>0</v>
      </c>
      <c r="I1167" s="624">
        <f t="shared" ref="I1167:I1182" si="163">I1166</f>
        <v>0</v>
      </c>
      <c r="J1167" s="192"/>
      <c r="K1167" s="228" t="e">
        <f t="shared" si="159"/>
        <v>#DIV/0!</v>
      </c>
      <c r="L1167" s="192"/>
      <c r="M1167" s="192"/>
      <c r="N1167" s="191"/>
      <c r="O1167" s="609">
        <f>O1166</f>
        <v>360</v>
      </c>
      <c r="P1167" s="191" t="e">
        <f t="shared" ref="P1167:P1214" si="164">ROUNDUP(K1167/360*O1167,0)</f>
        <v>#DIV/0!</v>
      </c>
      <c r="Q1167" s="191"/>
      <c r="R1167" s="191"/>
      <c r="S1167" s="323" t="e">
        <f t="shared" si="160"/>
        <v>#DIV/0!</v>
      </c>
      <c r="T1167" s="323" t="e">
        <f t="shared" ref="T1167:T1215" si="165">(((F1167+I1167)*K1167)-(C1167-(H1167*2))*PI())/K1167</f>
        <v>#DIV/0!</v>
      </c>
      <c r="U1167" s="191"/>
      <c r="V1167" s="193"/>
      <c r="W1167" s="181"/>
      <c r="X1167" s="137"/>
      <c r="Z1167" s="183"/>
      <c r="AA1167" s="183"/>
    </row>
    <row r="1168" spans="1:27" s="182" customFormat="1" ht="15" customHeight="1">
      <c r="A1168" s="211"/>
      <c r="B1168" s="209" t="s">
        <v>389</v>
      </c>
      <c r="C1168" s="294">
        <f t="shared" si="161"/>
        <v>0</v>
      </c>
      <c r="D1168" s="624">
        <f t="shared" ref="D1168:H1168" si="166">D1167</f>
        <v>0</v>
      </c>
      <c r="E1168" s="623">
        <f t="shared" si="166"/>
        <v>0</v>
      </c>
      <c r="F1168" s="623">
        <f t="shared" si="166"/>
        <v>0</v>
      </c>
      <c r="G1168" s="623">
        <f t="shared" si="166"/>
        <v>0</v>
      </c>
      <c r="H1168" s="623">
        <f t="shared" si="166"/>
        <v>0</v>
      </c>
      <c r="I1168" s="624">
        <f t="shared" si="163"/>
        <v>0</v>
      </c>
      <c r="J1168" s="192"/>
      <c r="K1168" s="228" t="e">
        <f t="shared" si="159"/>
        <v>#DIV/0!</v>
      </c>
      <c r="L1168" s="192"/>
      <c r="M1168" s="192"/>
      <c r="N1168" s="191"/>
      <c r="O1168" s="609">
        <f t="shared" ref="O1168:O1215" si="167">O1167</f>
        <v>360</v>
      </c>
      <c r="P1168" s="191" t="e">
        <f t="shared" si="164"/>
        <v>#DIV/0!</v>
      </c>
      <c r="Q1168" s="191"/>
      <c r="R1168" s="191"/>
      <c r="S1168" s="323" t="e">
        <f t="shared" si="160"/>
        <v>#DIV/0!</v>
      </c>
      <c r="T1168" s="323" t="e">
        <f t="shared" si="165"/>
        <v>#DIV/0!</v>
      </c>
      <c r="U1168" s="191"/>
      <c r="V1168" s="193"/>
      <c r="W1168" s="181"/>
      <c r="X1168" s="137"/>
      <c r="Z1168" s="183"/>
      <c r="AA1168" s="183"/>
    </row>
    <row r="1169" spans="1:27" s="182" customFormat="1" ht="15" customHeight="1">
      <c r="A1169" s="211"/>
      <c r="B1169" s="209" t="s">
        <v>390</v>
      </c>
      <c r="C1169" s="294">
        <f t="shared" si="161"/>
        <v>0</v>
      </c>
      <c r="D1169" s="624">
        <f t="shared" ref="D1169:H1169" si="168">D1168</f>
        <v>0</v>
      </c>
      <c r="E1169" s="623">
        <f t="shared" si="168"/>
        <v>0</v>
      </c>
      <c r="F1169" s="623">
        <f t="shared" si="168"/>
        <v>0</v>
      </c>
      <c r="G1169" s="623">
        <f t="shared" si="168"/>
        <v>0</v>
      </c>
      <c r="H1169" s="623">
        <f t="shared" si="168"/>
        <v>0</v>
      </c>
      <c r="I1169" s="624">
        <f t="shared" si="163"/>
        <v>0</v>
      </c>
      <c r="J1169" s="192"/>
      <c r="K1169" s="228" t="e">
        <f t="shared" si="159"/>
        <v>#DIV/0!</v>
      </c>
      <c r="L1169" s="192"/>
      <c r="M1169" s="192"/>
      <c r="N1169" s="191"/>
      <c r="O1169" s="609">
        <f t="shared" si="167"/>
        <v>360</v>
      </c>
      <c r="P1169" s="191" t="e">
        <f t="shared" si="164"/>
        <v>#DIV/0!</v>
      </c>
      <c r="Q1169" s="191"/>
      <c r="R1169" s="191"/>
      <c r="S1169" s="323" t="e">
        <f t="shared" si="160"/>
        <v>#DIV/0!</v>
      </c>
      <c r="T1169" s="323" t="e">
        <f t="shared" si="165"/>
        <v>#DIV/0!</v>
      </c>
      <c r="U1169" s="191"/>
      <c r="V1169" s="193"/>
      <c r="W1169" s="181"/>
      <c r="X1169" s="137"/>
      <c r="Z1169" s="183"/>
      <c r="AA1169" s="183"/>
    </row>
    <row r="1170" spans="1:27" s="182" customFormat="1" ht="15" customHeight="1">
      <c r="A1170" s="211"/>
      <c r="B1170" s="209" t="s">
        <v>391</v>
      </c>
      <c r="C1170" s="294">
        <f t="shared" si="161"/>
        <v>0</v>
      </c>
      <c r="D1170" s="624">
        <f t="shared" ref="D1170:H1170" si="169">D1169</f>
        <v>0</v>
      </c>
      <c r="E1170" s="623">
        <f t="shared" si="169"/>
        <v>0</v>
      </c>
      <c r="F1170" s="623">
        <f t="shared" si="169"/>
        <v>0</v>
      </c>
      <c r="G1170" s="623">
        <f t="shared" si="169"/>
        <v>0</v>
      </c>
      <c r="H1170" s="623">
        <f t="shared" si="169"/>
        <v>0</v>
      </c>
      <c r="I1170" s="624">
        <f t="shared" si="163"/>
        <v>0</v>
      </c>
      <c r="J1170" s="192"/>
      <c r="K1170" s="228" t="e">
        <f t="shared" si="159"/>
        <v>#DIV/0!</v>
      </c>
      <c r="L1170" s="192"/>
      <c r="M1170" s="192"/>
      <c r="N1170" s="191"/>
      <c r="O1170" s="609">
        <f t="shared" si="167"/>
        <v>360</v>
      </c>
      <c r="P1170" s="191" t="e">
        <f t="shared" si="164"/>
        <v>#DIV/0!</v>
      </c>
      <c r="Q1170" s="191"/>
      <c r="R1170" s="191"/>
      <c r="S1170" s="323" t="e">
        <f t="shared" si="160"/>
        <v>#DIV/0!</v>
      </c>
      <c r="T1170" s="323" t="e">
        <f t="shared" si="165"/>
        <v>#DIV/0!</v>
      </c>
      <c r="U1170" s="191"/>
      <c r="V1170" s="193"/>
      <c r="W1170" s="181"/>
      <c r="X1170" s="137"/>
      <c r="Z1170" s="183"/>
      <c r="AA1170" s="183"/>
    </row>
    <row r="1171" spans="1:27" s="182" customFormat="1" ht="15" customHeight="1">
      <c r="A1171" s="211"/>
      <c r="B1171" s="209" t="s">
        <v>392</v>
      </c>
      <c r="C1171" s="294">
        <f t="shared" si="161"/>
        <v>0</v>
      </c>
      <c r="D1171" s="624">
        <f t="shared" ref="D1171:H1171" si="170">D1170</f>
        <v>0</v>
      </c>
      <c r="E1171" s="623">
        <f t="shared" si="170"/>
        <v>0</v>
      </c>
      <c r="F1171" s="623">
        <f t="shared" si="170"/>
        <v>0</v>
      </c>
      <c r="G1171" s="623">
        <f t="shared" si="170"/>
        <v>0</v>
      </c>
      <c r="H1171" s="623">
        <f t="shared" si="170"/>
        <v>0</v>
      </c>
      <c r="I1171" s="624">
        <f t="shared" si="163"/>
        <v>0</v>
      </c>
      <c r="J1171" s="192"/>
      <c r="K1171" s="228" t="e">
        <f t="shared" si="159"/>
        <v>#DIV/0!</v>
      </c>
      <c r="L1171" s="192"/>
      <c r="M1171" s="192"/>
      <c r="N1171" s="191"/>
      <c r="O1171" s="609">
        <f t="shared" si="167"/>
        <v>360</v>
      </c>
      <c r="P1171" s="191" t="e">
        <f t="shared" si="164"/>
        <v>#DIV/0!</v>
      </c>
      <c r="Q1171" s="191"/>
      <c r="R1171" s="191"/>
      <c r="S1171" s="323" t="e">
        <f t="shared" si="160"/>
        <v>#DIV/0!</v>
      </c>
      <c r="T1171" s="323" t="e">
        <f t="shared" si="165"/>
        <v>#DIV/0!</v>
      </c>
      <c r="U1171" s="191"/>
      <c r="V1171" s="193"/>
      <c r="W1171" s="181"/>
      <c r="X1171" s="137"/>
      <c r="Z1171" s="183"/>
      <c r="AA1171" s="183"/>
    </row>
    <row r="1172" spans="1:27" s="182" customFormat="1" ht="15" customHeight="1">
      <c r="A1172" s="211"/>
      <c r="B1172" s="209" t="s">
        <v>393</v>
      </c>
      <c r="C1172" s="294">
        <f t="shared" si="161"/>
        <v>0</v>
      </c>
      <c r="D1172" s="624">
        <f t="shared" ref="D1172:H1172" si="171">D1171</f>
        <v>0</v>
      </c>
      <c r="E1172" s="623">
        <f t="shared" si="171"/>
        <v>0</v>
      </c>
      <c r="F1172" s="623">
        <f t="shared" si="171"/>
        <v>0</v>
      </c>
      <c r="G1172" s="623">
        <f t="shared" si="171"/>
        <v>0</v>
      </c>
      <c r="H1172" s="623">
        <f t="shared" si="171"/>
        <v>0</v>
      </c>
      <c r="I1172" s="624">
        <f t="shared" si="163"/>
        <v>0</v>
      </c>
      <c r="J1172" s="192"/>
      <c r="K1172" s="228" t="e">
        <f t="shared" si="159"/>
        <v>#DIV/0!</v>
      </c>
      <c r="L1172" s="192"/>
      <c r="M1172" s="192"/>
      <c r="N1172" s="191"/>
      <c r="O1172" s="609">
        <f t="shared" si="167"/>
        <v>360</v>
      </c>
      <c r="P1172" s="191" t="e">
        <f t="shared" si="164"/>
        <v>#DIV/0!</v>
      </c>
      <c r="Q1172" s="191"/>
      <c r="R1172" s="191"/>
      <c r="S1172" s="323" t="e">
        <f t="shared" si="160"/>
        <v>#DIV/0!</v>
      </c>
      <c r="T1172" s="323" t="e">
        <f t="shared" si="165"/>
        <v>#DIV/0!</v>
      </c>
      <c r="U1172" s="191"/>
      <c r="V1172" s="193"/>
      <c r="W1172" s="181"/>
      <c r="X1172" s="137"/>
      <c r="Z1172" s="183"/>
      <c r="AA1172" s="183"/>
    </row>
    <row r="1173" spans="1:27" s="182" customFormat="1" ht="15" customHeight="1">
      <c r="A1173" s="211"/>
      <c r="B1173" s="209" t="s">
        <v>394</v>
      </c>
      <c r="C1173" s="294">
        <f t="shared" si="161"/>
        <v>0</v>
      </c>
      <c r="D1173" s="624">
        <f t="shared" ref="D1173:H1173" si="172">D1172</f>
        <v>0</v>
      </c>
      <c r="E1173" s="623">
        <f t="shared" si="172"/>
        <v>0</v>
      </c>
      <c r="F1173" s="623">
        <f t="shared" si="172"/>
        <v>0</v>
      </c>
      <c r="G1173" s="623">
        <f t="shared" si="172"/>
        <v>0</v>
      </c>
      <c r="H1173" s="623">
        <f t="shared" si="172"/>
        <v>0</v>
      </c>
      <c r="I1173" s="624">
        <f t="shared" si="163"/>
        <v>0</v>
      </c>
      <c r="J1173" s="192"/>
      <c r="K1173" s="228" t="e">
        <f t="shared" si="159"/>
        <v>#DIV/0!</v>
      </c>
      <c r="L1173" s="228"/>
      <c r="M1173" s="228"/>
      <c r="N1173" s="191"/>
      <c r="O1173" s="609">
        <f t="shared" si="167"/>
        <v>360</v>
      </c>
      <c r="P1173" s="191" t="e">
        <f t="shared" si="164"/>
        <v>#DIV/0!</v>
      </c>
      <c r="Q1173" s="191"/>
      <c r="R1173" s="191"/>
      <c r="S1173" s="323" t="e">
        <f t="shared" si="160"/>
        <v>#DIV/0!</v>
      </c>
      <c r="T1173" s="323" t="e">
        <f t="shared" si="165"/>
        <v>#DIV/0!</v>
      </c>
      <c r="U1173" s="191"/>
      <c r="V1173" s="193"/>
      <c r="W1173" s="181"/>
      <c r="X1173" s="137"/>
      <c r="Z1173" s="183"/>
      <c r="AA1173" s="183"/>
    </row>
    <row r="1174" spans="1:27" s="182" customFormat="1" ht="15" customHeight="1">
      <c r="A1174" s="211"/>
      <c r="B1174" s="209" t="s">
        <v>395</v>
      </c>
      <c r="C1174" s="294">
        <f t="shared" si="161"/>
        <v>0</v>
      </c>
      <c r="D1174" s="624">
        <f t="shared" ref="D1174:H1174" si="173">D1173</f>
        <v>0</v>
      </c>
      <c r="E1174" s="623">
        <f t="shared" si="173"/>
        <v>0</v>
      </c>
      <c r="F1174" s="623">
        <f t="shared" si="173"/>
        <v>0</v>
      </c>
      <c r="G1174" s="623">
        <f t="shared" si="173"/>
        <v>0</v>
      </c>
      <c r="H1174" s="623">
        <f t="shared" si="173"/>
        <v>0</v>
      </c>
      <c r="I1174" s="624">
        <f t="shared" si="163"/>
        <v>0</v>
      </c>
      <c r="J1174" s="192"/>
      <c r="K1174" s="228" t="e">
        <f t="shared" si="159"/>
        <v>#DIV/0!</v>
      </c>
      <c r="L1174" s="228"/>
      <c r="M1174" s="228"/>
      <c r="N1174" s="191"/>
      <c r="O1174" s="609">
        <f t="shared" si="167"/>
        <v>360</v>
      </c>
      <c r="P1174" s="191" t="e">
        <f t="shared" si="164"/>
        <v>#DIV/0!</v>
      </c>
      <c r="Q1174" s="191"/>
      <c r="R1174" s="191"/>
      <c r="S1174" s="323" t="e">
        <f t="shared" si="160"/>
        <v>#DIV/0!</v>
      </c>
      <c r="T1174" s="323" t="e">
        <f t="shared" si="165"/>
        <v>#DIV/0!</v>
      </c>
      <c r="U1174" s="191"/>
      <c r="V1174" s="193"/>
      <c r="W1174" s="181"/>
      <c r="X1174" s="137"/>
      <c r="Z1174" s="183"/>
      <c r="AA1174" s="183"/>
    </row>
    <row r="1175" spans="1:27" s="182" customFormat="1" ht="15" customHeight="1">
      <c r="A1175" s="211"/>
      <c r="B1175" s="209" t="s">
        <v>396</v>
      </c>
      <c r="C1175" s="294">
        <f t="shared" si="161"/>
        <v>0</v>
      </c>
      <c r="D1175" s="624">
        <f t="shared" ref="D1175:H1175" si="174">D1174</f>
        <v>0</v>
      </c>
      <c r="E1175" s="623">
        <f t="shared" si="174"/>
        <v>0</v>
      </c>
      <c r="F1175" s="623">
        <f t="shared" si="174"/>
        <v>0</v>
      </c>
      <c r="G1175" s="623">
        <f t="shared" si="174"/>
        <v>0</v>
      </c>
      <c r="H1175" s="623">
        <f t="shared" si="174"/>
        <v>0</v>
      </c>
      <c r="I1175" s="624">
        <f t="shared" si="163"/>
        <v>0</v>
      </c>
      <c r="J1175" s="192"/>
      <c r="K1175" s="228" t="e">
        <f t="shared" si="159"/>
        <v>#DIV/0!</v>
      </c>
      <c r="L1175" s="228"/>
      <c r="M1175" s="228"/>
      <c r="N1175" s="191"/>
      <c r="O1175" s="609">
        <f t="shared" si="167"/>
        <v>360</v>
      </c>
      <c r="P1175" s="191" t="e">
        <f t="shared" si="164"/>
        <v>#DIV/0!</v>
      </c>
      <c r="Q1175" s="191"/>
      <c r="R1175" s="191"/>
      <c r="S1175" s="323" t="e">
        <f t="shared" si="160"/>
        <v>#DIV/0!</v>
      </c>
      <c r="T1175" s="323" t="e">
        <f t="shared" si="165"/>
        <v>#DIV/0!</v>
      </c>
      <c r="U1175" s="191"/>
      <c r="V1175" s="193"/>
      <c r="W1175" s="181"/>
      <c r="X1175" s="137"/>
      <c r="Z1175" s="183"/>
      <c r="AA1175" s="183"/>
    </row>
    <row r="1176" spans="1:27" s="182" customFormat="1" ht="15" customHeight="1">
      <c r="A1176" s="211"/>
      <c r="B1176" s="209" t="s">
        <v>397</v>
      </c>
      <c r="C1176" s="294">
        <f t="shared" si="161"/>
        <v>0</v>
      </c>
      <c r="D1176" s="624">
        <f t="shared" ref="D1176:H1176" si="175">D1175</f>
        <v>0</v>
      </c>
      <c r="E1176" s="623">
        <f t="shared" si="175"/>
        <v>0</v>
      </c>
      <c r="F1176" s="623">
        <f t="shared" si="175"/>
        <v>0</v>
      </c>
      <c r="G1176" s="623">
        <f t="shared" si="175"/>
        <v>0</v>
      </c>
      <c r="H1176" s="623">
        <f t="shared" si="175"/>
        <v>0</v>
      </c>
      <c r="I1176" s="624">
        <f t="shared" si="163"/>
        <v>0</v>
      </c>
      <c r="J1176" s="192"/>
      <c r="K1176" s="228" t="e">
        <f t="shared" si="159"/>
        <v>#DIV/0!</v>
      </c>
      <c r="L1176" s="228"/>
      <c r="M1176" s="228"/>
      <c r="N1176" s="191"/>
      <c r="O1176" s="609">
        <f t="shared" si="167"/>
        <v>360</v>
      </c>
      <c r="P1176" s="191" t="e">
        <f t="shared" si="164"/>
        <v>#DIV/0!</v>
      </c>
      <c r="Q1176" s="191"/>
      <c r="R1176" s="191"/>
      <c r="S1176" s="323" t="e">
        <f t="shared" si="160"/>
        <v>#DIV/0!</v>
      </c>
      <c r="T1176" s="323" t="e">
        <f t="shared" si="165"/>
        <v>#DIV/0!</v>
      </c>
      <c r="U1176" s="191"/>
      <c r="V1176" s="193"/>
      <c r="W1176" s="181"/>
      <c r="X1176" s="137"/>
      <c r="Z1176" s="183"/>
      <c r="AA1176" s="183"/>
    </row>
    <row r="1177" spans="1:27" s="182" customFormat="1" ht="15" customHeight="1">
      <c r="A1177" s="211"/>
      <c r="B1177" s="209" t="s">
        <v>398</v>
      </c>
      <c r="C1177" s="294">
        <f t="shared" si="161"/>
        <v>0</v>
      </c>
      <c r="D1177" s="624">
        <f t="shared" ref="D1177:H1177" si="176">D1176</f>
        <v>0</v>
      </c>
      <c r="E1177" s="623">
        <f t="shared" si="176"/>
        <v>0</v>
      </c>
      <c r="F1177" s="623">
        <f t="shared" si="176"/>
        <v>0</v>
      </c>
      <c r="G1177" s="623">
        <f t="shared" si="176"/>
        <v>0</v>
      </c>
      <c r="H1177" s="623">
        <f t="shared" si="176"/>
        <v>0</v>
      </c>
      <c r="I1177" s="624">
        <f t="shared" si="163"/>
        <v>0</v>
      </c>
      <c r="J1177" s="192"/>
      <c r="K1177" s="228" t="e">
        <f t="shared" si="159"/>
        <v>#DIV/0!</v>
      </c>
      <c r="L1177" s="228"/>
      <c r="M1177" s="228"/>
      <c r="N1177" s="191"/>
      <c r="O1177" s="609">
        <f t="shared" si="167"/>
        <v>360</v>
      </c>
      <c r="P1177" s="191" t="e">
        <f t="shared" si="164"/>
        <v>#DIV/0!</v>
      </c>
      <c r="Q1177" s="191"/>
      <c r="R1177" s="191"/>
      <c r="S1177" s="323" t="e">
        <f t="shared" si="160"/>
        <v>#DIV/0!</v>
      </c>
      <c r="T1177" s="323" t="e">
        <f t="shared" si="165"/>
        <v>#DIV/0!</v>
      </c>
      <c r="U1177" s="191"/>
      <c r="V1177" s="193"/>
      <c r="W1177" s="181"/>
      <c r="X1177" s="137"/>
      <c r="Z1177" s="183"/>
      <c r="AA1177" s="183"/>
    </row>
    <row r="1178" spans="1:27" s="182" customFormat="1" ht="15" customHeight="1">
      <c r="A1178" s="211"/>
      <c r="B1178" s="209" t="s">
        <v>399</v>
      </c>
      <c r="C1178" s="294">
        <f t="shared" si="161"/>
        <v>0</v>
      </c>
      <c r="D1178" s="624">
        <f t="shared" ref="D1178:H1178" si="177">D1177</f>
        <v>0</v>
      </c>
      <c r="E1178" s="623">
        <f t="shared" si="177"/>
        <v>0</v>
      </c>
      <c r="F1178" s="623">
        <f t="shared" si="177"/>
        <v>0</v>
      </c>
      <c r="G1178" s="623">
        <f t="shared" si="177"/>
        <v>0</v>
      </c>
      <c r="H1178" s="623">
        <f t="shared" si="177"/>
        <v>0</v>
      </c>
      <c r="I1178" s="624">
        <f t="shared" si="163"/>
        <v>0</v>
      </c>
      <c r="J1178" s="192"/>
      <c r="K1178" s="228" t="e">
        <f t="shared" si="159"/>
        <v>#DIV/0!</v>
      </c>
      <c r="L1178" s="228"/>
      <c r="M1178" s="228"/>
      <c r="N1178" s="191"/>
      <c r="O1178" s="609">
        <f t="shared" si="167"/>
        <v>360</v>
      </c>
      <c r="P1178" s="191" t="e">
        <f t="shared" si="164"/>
        <v>#DIV/0!</v>
      </c>
      <c r="Q1178" s="191"/>
      <c r="R1178" s="191"/>
      <c r="S1178" s="323" t="e">
        <f t="shared" si="160"/>
        <v>#DIV/0!</v>
      </c>
      <c r="T1178" s="323" t="e">
        <f t="shared" si="165"/>
        <v>#DIV/0!</v>
      </c>
      <c r="U1178" s="191"/>
      <c r="V1178" s="193"/>
      <c r="W1178" s="181"/>
      <c r="X1178" s="137"/>
      <c r="Z1178" s="183"/>
      <c r="AA1178" s="183"/>
    </row>
    <row r="1179" spans="1:27" s="182" customFormat="1" ht="15" customHeight="1">
      <c r="A1179" s="211"/>
      <c r="B1179" s="209" t="s">
        <v>400</v>
      </c>
      <c r="C1179" s="294">
        <f t="shared" si="161"/>
        <v>0</v>
      </c>
      <c r="D1179" s="624">
        <f t="shared" ref="D1179:H1179" si="178">D1178</f>
        <v>0</v>
      </c>
      <c r="E1179" s="623">
        <f t="shared" si="178"/>
        <v>0</v>
      </c>
      <c r="F1179" s="623">
        <f t="shared" si="178"/>
        <v>0</v>
      </c>
      <c r="G1179" s="623">
        <f t="shared" si="178"/>
        <v>0</v>
      </c>
      <c r="H1179" s="623">
        <f t="shared" si="178"/>
        <v>0</v>
      </c>
      <c r="I1179" s="624">
        <f t="shared" si="163"/>
        <v>0</v>
      </c>
      <c r="J1179" s="192"/>
      <c r="K1179" s="228" t="e">
        <f t="shared" si="159"/>
        <v>#DIV/0!</v>
      </c>
      <c r="L1179" s="228"/>
      <c r="M1179" s="228"/>
      <c r="N1179" s="191"/>
      <c r="O1179" s="609">
        <f t="shared" si="167"/>
        <v>360</v>
      </c>
      <c r="P1179" s="191" t="e">
        <f t="shared" si="164"/>
        <v>#DIV/0!</v>
      </c>
      <c r="Q1179" s="191"/>
      <c r="R1179" s="191"/>
      <c r="S1179" s="323" t="e">
        <f t="shared" si="160"/>
        <v>#DIV/0!</v>
      </c>
      <c r="T1179" s="323" t="e">
        <f t="shared" si="165"/>
        <v>#DIV/0!</v>
      </c>
      <c r="U1179" s="191"/>
      <c r="V1179" s="193"/>
      <c r="W1179" s="181"/>
      <c r="X1179" s="137"/>
      <c r="Z1179" s="183"/>
      <c r="AA1179" s="183"/>
    </row>
    <row r="1180" spans="1:27" s="182" customFormat="1" ht="15" customHeight="1">
      <c r="A1180" s="211"/>
      <c r="B1180" s="209" t="s">
        <v>401</v>
      </c>
      <c r="C1180" s="294">
        <f t="shared" si="161"/>
        <v>0</v>
      </c>
      <c r="D1180" s="624">
        <f t="shared" ref="D1180:H1180" si="179">D1179</f>
        <v>0</v>
      </c>
      <c r="E1180" s="623">
        <f t="shared" si="179"/>
        <v>0</v>
      </c>
      <c r="F1180" s="623">
        <f t="shared" si="179"/>
        <v>0</v>
      </c>
      <c r="G1180" s="623">
        <f t="shared" si="179"/>
        <v>0</v>
      </c>
      <c r="H1180" s="623">
        <f t="shared" si="179"/>
        <v>0</v>
      </c>
      <c r="I1180" s="624">
        <f t="shared" si="163"/>
        <v>0</v>
      </c>
      <c r="J1180" s="192"/>
      <c r="K1180" s="228" t="e">
        <f t="shared" si="159"/>
        <v>#DIV/0!</v>
      </c>
      <c r="L1180" s="228"/>
      <c r="M1180" s="228"/>
      <c r="N1180" s="191"/>
      <c r="O1180" s="609">
        <f t="shared" si="167"/>
        <v>360</v>
      </c>
      <c r="P1180" s="191" t="e">
        <f t="shared" si="164"/>
        <v>#DIV/0!</v>
      </c>
      <c r="Q1180" s="191"/>
      <c r="R1180" s="191"/>
      <c r="S1180" s="323" t="e">
        <f t="shared" si="160"/>
        <v>#DIV/0!</v>
      </c>
      <c r="T1180" s="323" t="e">
        <f t="shared" si="165"/>
        <v>#DIV/0!</v>
      </c>
      <c r="U1180" s="191"/>
      <c r="V1180" s="193"/>
      <c r="W1180" s="181"/>
      <c r="X1180" s="137"/>
      <c r="Z1180" s="183"/>
      <c r="AA1180" s="183"/>
    </row>
    <row r="1181" spans="1:27" s="182" customFormat="1" ht="15" customHeight="1">
      <c r="A1181" s="211"/>
      <c r="B1181" s="209" t="s">
        <v>402</v>
      </c>
      <c r="C1181" s="294">
        <f t="shared" si="161"/>
        <v>0</v>
      </c>
      <c r="D1181" s="624">
        <f t="shared" ref="D1181:H1181" si="180">D1180</f>
        <v>0</v>
      </c>
      <c r="E1181" s="623">
        <f t="shared" si="180"/>
        <v>0</v>
      </c>
      <c r="F1181" s="623">
        <f t="shared" si="180"/>
        <v>0</v>
      </c>
      <c r="G1181" s="623">
        <f t="shared" si="180"/>
        <v>0</v>
      </c>
      <c r="H1181" s="623">
        <f t="shared" si="180"/>
        <v>0</v>
      </c>
      <c r="I1181" s="624">
        <f t="shared" si="163"/>
        <v>0</v>
      </c>
      <c r="J1181" s="192"/>
      <c r="K1181" s="228" t="e">
        <f t="shared" si="159"/>
        <v>#DIV/0!</v>
      </c>
      <c r="L1181" s="228"/>
      <c r="M1181" s="228"/>
      <c r="N1181" s="191"/>
      <c r="O1181" s="609">
        <f t="shared" si="167"/>
        <v>360</v>
      </c>
      <c r="P1181" s="191" t="e">
        <f t="shared" si="164"/>
        <v>#DIV/0!</v>
      </c>
      <c r="Q1181" s="191"/>
      <c r="R1181" s="191"/>
      <c r="S1181" s="323" t="e">
        <f t="shared" si="160"/>
        <v>#DIV/0!</v>
      </c>
      <c r="T1181" s="323" t="e">
        <f t="shared" si="165"/>
        <v>#DIV/0!</v>
      </c>
      <c r="U1181" s="191"/>
      <c r="V1181" s="193"/>
      <c r="W1181" s="181"/>
      <c r="X1181" s="137"/>
      <c r="Z1181" s="183"/>
      <c r="AA1181" s="183"/>
    </row>
    <row r="1182" spans="1:27" s="182" customFormat="1" ht="15" customHeight="1">
      <c r="A1182" s="211"/>
      <c r="B1182" s="209" t="s">
        <v>403</v>
      </c>
      <c r="C1182" s="294">
        <f t="shared" si="161"/>
        <v>0</v>
      </c>
      <c r="D1182" s="624">
        <f t="shared" ref="D1182:H1182" si="181">D1181</f>
        <v>0</v>
      </c>
      <c r="E1182" s="623">
        <f t="shared" si="181"/>
        <v>0</v>
      </c>
      <c r="F1182" s="623">
        <f t="shared" si="181"/>
        <v>0</v>
      </c>
      <c r="G1182" s="623">
        <f t="shared" si="181"/>
        <v>0</v>
      </c>
      <c r="H1182" s="623">
        <f t="shared" si="181"/>
        <v>0</v>
      </c>
      <c r="I1182" s="624">
        <f t="shared" si="163"/>
        <v>0</v>
      </c>
      <c r="J1182" s="192"/>
      <c r="K1182" s="228" t="e">
        <f t="shared" si="159"/>
        <v>#DIV/0!</v>
      </c>
      <c r="L1182" s="228"/>
      <c r="M1182" s="228"/>
      <c r="N1182" s="191"/>
      <c r="O1182" s="609">
        <f t="shared" si="167"/>
        <v>360</v>
      </c>
      <c r="P1182" s="191" t="e">
        <f t="shared" si="164"/>
        <v>#DIV/0!</v>
      </c>
      <c r="Q1182" s="191"/>
      <c r="R1182" s="191"/>
      <c r="S1182" s="323" t="e">
        <f t="shared" si="160"/>
        <v>#DIV/0!</v>
      </c>
      <c r="T1182" s="323" t="e">
        <f t="shared" si="165"/>
        <v>#DIV/0!</v>
      </c>
      <c r="U1182" s="191"/>
      <c r="V1182" s="193"/>
      <c r="W1182" s="181"/>
      <c r="X1182" s="137"/>
      <c r="Z1182" s="183"/>
      <c r="AA1182" s="183"/>
    </row>
    <row r="1183" spans="1:27" s="182" customFormat="1" ht="15" customHeight="1">
      <c r="A1183" s="211"/>
      <c r="B1183" s="209" t="s">
        <v>404</v>
      </c>
      <c r="C1183" s="294">
        <f t="shared" si="161"/>
        <v>0</v>
      </c>
      <c r="D1183" s="624">
        <f t="shared" ref="D1183:I1198" si="182">D1182</f>
        <v>0</v>
      </c>
      <c r="E1183" s="623">
        <f t="shared" si="182"/>
        <v>0</v>
      </c>
      <c r="F1183" s="623">
        <f t="shared" si="182"/>
        <v>0</v>
      </c>
      <c r="G1183" s="623">
        <f t="shared" si="182"/>
        <v>0</v>
      </c>
      <c r="H1183" s="623">
        <f t="shared" si="182"/>
        <v>0</v>
      </c>
      <c r="I1183" s="624">
        <f t="shared" si="182"/>
        <v>0</v>
      </c>
      <c r="J1183" s="192"/>
      <c r="K1183" s="228" t="e">
        <f t="shared" si="159"/>
        <v>#DIV/0!</v>
      </c>
      <c r="L1183" s="228"/>
      <c r="M1183" s="228"/>
      <c r="N1183" s="191"/>
      <c r="O1183" s="609">
        <f t="shared" si="167"/>
        <v>360</v>
      </c>
      <c r="P1183" s="191" t="e">
        <f t="shared" si="164"/>
        <v>#DIV/0!</v>
      </c>
      <c r="Q1183" s="191"/>
      <c r="R1183" s="191"/>
      <c r="S1183" s="323" t="e">
        <f t="shared" si="160"/>
        <v>#DIV/0!</v>
      </c>
      <c r="T1183" s="323" t="e">
        <f t="shared" si="165"/>
        <v>#DIV/0!</v>
      </c>
      <c r="U1183" s="191"/>
      <c r="V1183" s="193"/>
      <c r="W1183" s="181"/>
      <c r="X1183" s="137"/>
      <c r="Z1183" s="183"/>
      <c r="AA1183" s="183"/>
    </row>
    <row r="1184" spans="1:27" s="182" customFormat="1" ht="15" customHeight="1">
      <c r="A1184" s="211"/>
      <c r="B1184" s="209" t="s">
        <v>405</v>
      </c>
      <c r="C1184" s="294">
        <f t="shared" si="161"/>
        <v>0</v>
      </c>
      <c r="D1184" s="624">
        <f t="shared" ref="D1184:H1184" si="183">D1183</f>
        <v>0</v>
      </c>
      <c r="E1184" s="623">
        <f t="shared" si="183"/>
        <v>0</v>
      </c>
      <c r="F1184" s="623">
        <f t="shared" si="183"/>
        <v>0</v>
      </c>
      <c r="G1184" s="623">
        <f t="shared" si="183"/>
        <v>0</v>
      </c>
      <c r="H1184" s="623">
        <f t="shared" si="183"/>
        <v>0</v>
      </c>
      <c r="I1184" s="624">
        <f t="shared" si="182"/>
        <v>0</v>
      </c>
      <c r="J1184" s="192"/>
      <c r="K1184" s="228" t="e">
        <f t="shared" si="159"/>
        <v>#DIV/0!</v>
      </c>
      <c r="L1184" s="228"/>
      <c r="M1184" s="228"/>
      <c r="N1184" s="191"/>
      <c r="O1184" s="609">
        <f t="shared" si="167"/>
        <v>360</v>
      </c>
      <c r="P1184" s="191" t="e">
        <f t="shared" si="164"/>
        <v>#DIV/0!</v>
      </c>
      <c r="Q1184" s="191"/>
      <c r="R1184" s="191"/>
      <c r="S1184" s="323" t="e">
        <f t="shared" si="160"/>
        <v>#DIV/0!</v>
      </c>
      <c r="T1184" s="323" t="e">
        <f t="shared" si="165"/>
        <v>#DIV/0!</v>
      </c>
      <c r="U1184" s="191"/>
      <c r="V1184" s="193"/>
      <c r="W1184" s="181"/>
      <c r="X1184" s="137"/>
      <c r="Z1184" s="183"/>
      <c r="AA1184" s="183"/>
    </row>
    <row r="1185" spans="1:27" s="182" customFormat="1" ht="15" customHeight="1">
      <c r="A1185" s="211"/>
      <c r="B1185" s="209" t="s">
        <v>406</v>
      </c>
      <c r="C1185" s="294">
        <f t="shared" si="161"/>
        <v>0</v>
      </c>
      <c r="D1185" s="624">
        <f t="shared" ref="D1185:H1185" si="184">D1184</f>
        <v>0</v>
      </c>
      <c r="E1185" s="623">
        <f t="shared" si="184"/>
        <v>0</v>
      </c>
      <c r="F1185" s="623">
        <f t="shared" si="184"/>
        <v>0</v>
      </c>
      <c r="G1185" s="623">
        <f t="shared" si="184"/>
        <v>0</v>
      </c>
      <c r="H1185" s="623">
        <f t="shared" si="184"/>
        <v>0</v>
      </c>
      <c r="I1185" s="624">
        <f t="shared" si="182"/>
        <v>0</v>
      </c>
      <c r="J1185" s="192"/>
      <c r="K1185" s="228" t="e">
        <f t="shared" si="159"/>
        <v>#DIV/0!</v>
      </c>
      <c r="L1185" s="228"/>
      <c r="M1185" s="228"/>
      <c r="N1185" s="191"/>
      <c r="O1185" s="609">
        <f t="shared" si="167"/>
        <v>360</v>
      </c>
      <c r="P1185" s="191" t="e">
        <f t="shared" si="164"/>
        <v>#DIV/0!</v>
      </c>
      <c r="Q1185" s="191"/>
      <c r="R1185" s="191"/>
      <c r="S1185" s="323" t="e">
        <f t="shared" si="160"/>
        <v>#DIV/0!</v>
      </c>
      <c r="T1185" s="323" t="e">
        <f t="shared" si="165"/>
        <v>#DIV/0!</v>
      </c>
      <c r="U1185" s="191"/>
      <c r="V1185" s="193"/>
      <c r="W1185" s="181"/>
      <c r="X1185" s="137"/>
      <c r="Z1185" s="183"/>
      <c r="AA1185" s="183"/>
    </row>
    <row r="1186" spans="1:27" s="182" customFormat="1" ht="15" customHeight="1">
      <c r="A1186" s="211"/>
      <c r="B1186" s="209" t="s">
        <v>407</v>
      </c>
      <c r="C1186" s="294">
        <f t="shared" si="161"/>
        <v>0</v>
      </c>
      <c r="D1186" s="624">
        <f t="shared" ref="D1186:H1186" si="185">D1185</f>
        <v>0</v>
      </c>
      <c r="E1186" s="623">
        <f t="shared" si="185"/>
        <v>0</v>
      </c>
      <c r="F1186" s="623">
        <f t="shared" si="185"/>
        <v>0</v>
      </c>
      <c r="G1186" s="623">
        <f t="shared" si="185"/>
        <v>0</v>
      </c>
      <c r="H1186" s="623">
        <f t="shared" si="185"/>
        <v>0</v>
      </c>
      <c r="I1186" s="624">
        <f t="shared" si="182"/>
        <v>0</v>
      </c>
      <c r="J1186" s="192"/>
      <c r="K1186" s="228" t="e">
        <f t="shared" si="159"/>
        <v>#DIV/0!</v>
      </c>
      <c r="L1186" s="228"/>
      <c r="M1186" s="228"/>
      <c r="N1186" s="191"/>
      <c r="O1186" s="609">
        <f t="shared" si="167"/>
        <v>360</v>
      </c>
      <c r="P1186" s="191" t="e">
        <f t="shared" si="164"/>
        <v>#DIV/0!</v>
      </c>
      <c r="Q1186" s="191"/>
      <c r="R1186" s="191"/>
      <c r="S1186" s="323" t="e">
        <f t="shared" si="160"/>
        <v>#DIV/0!</v>
      </c>
      <c r="T1186" s="323" t="e">
        <f t="shared" si="165"/>
        <v>#DIV/0!</v>
      </c>
      <c r="U1186" s="191"/>
      <c r="V1186" s="193"/>
      <c r="W1186" s="181"/>
      <c r="X1186" s="137"/>
      <c r="Z1186" s="183"/>
      <c r="AA1186" s="183"/>
    </row>
    <row r="1187" spans="1:27" s="182" customFormat="1" ht="15" customHeight="1">
      <c r="A1187" s="211"/>
      <c r="B1187" s="209" t="s">
        <v>408</v>
      </c>
      <c r="C1187" s="294">
        <f t="shared" si="161"/>
        <v>0</v>
      </c>
      <c r="D1187" s="624">
        <f t="shared" ref="D1187:H1187" si="186">D1186</f>
        <v>0</v>
      </c>
      <c r="E1187" s="623">
        <f t="shared" si="186"/>
        <v>0</v>
      </c>
      <c r="F1187" s="623">
        <f t="shared" si="186"/>
        <v>0</v>
      </c>
      <c r="G1187" s="623">
        <f t="shared" si="186"/>
        <v>0</v>
      </c>
      <c r="H1187" s="623">
        <f t="shared" si="186"/>
        <v>0</v>
      </c>
      <c r="I1187" s="624">
        <f t="shared" si="182"/>
        <v>0</v>
      </c>
      <c r="J1187" s="192"/>
      <c r="K1187" s="228" t="e">
        <f t="shared" si="159"/>
        <v>#DIV/0!</v>
      </c>
      <c r="L1187" s="228"/>
      <c r="M1187" s="228"/>
      <c r="N1187" s="191"/>
      <c r="O1187" s="609">
        <f t="shared" si="167"/>
        <v>360</v>
      </c>
      <c r="P1187" s="191" t="e">
        <f t="shared" si="164"/>
        <v>#DIV/0!</v>
      </c>
      <c r="Q1187" s="191"/>
      <c r="R1187" s="191"/>
      <c r="S1187" s="323" t="e">
        <f t="shared" si="160"/>
        <v>#DIV/0!</v>
      </c>
      <c r="T1187" s="323" t="e">
        <f t="shared" si="165"/>
        <v>#DIV/0!</v>
      </c>
      <c r="U1187" s="191"/>
      <c r="V1187" s="193"/>
      <c r="W1187" s="181"/>
      <c r="X1187" s="137"/>
      <c r="Z1187" s="183"/>
      <c r="AA1187" s="183"/>
    </row>
    <row r="1188" spans="1:27" s="182" customFormat="1" ht="15" customHeight="1">
      <c r="A1188" s="211"/>
      <c r="B1188" s="209" t="s">
        <v>409</v>
      </c>
      <c r="C1188" s="294">
        <f t="shared" si="161"/>
        <v>0</v>
      </c>
      <c r="D1188" s="624">
        <f t="shared" ref="D1188:H1188" si="187">D1187</f>
        <v>0</v>
      </c>
      <c r="E1188" s="623">
        <f t="shared" si="187"/>
        <v>0</v>
      </c>
      <c r="F1188" s="623">
        <f t="shared" si="187"/>
        <v>0</v>
      </c>
      <c r="G1188" s="623">
        <f t="shared" si="187"/>
        <v>0</v>
      </c>
      <c r="H1188" s="623">
        <f t="shared" si="187"/>
        <v>0</v>
      </c>
      <c r="I1188" s="624">
        <f t="shared" si="182"/>
        <v>0</v>
      </c>
      <c r="J1188" s="192"/>
      <c r="K1188" s="228" t="e">
        <f t="shared" si="159"/>
        <v>#DIV/0!</v>
      </c>
      <c r="L1188" s="228"/>
      <c r="M1188" s="228"/>
      <c r="N1188" s="191"/>
      <c r="O1188" s="609">
        <f t="shared" si="167"/>
        <v>360</v>
      </c>
      <c r="P1188" s="191" t="e">
        <f t="shared" si="164"/>
        <v>#DIV/0!</v>
      </c>
      <c r="Q1188" s="191"/>
      <c r="R1188" s="191"/>
      <c r="S1188" s="323" t="e">
        <f t="shared" si="160"/>
        <v>#DIV/0!</v>
      </c>
      <c r="T1188" s="323" t="e">
        <f t="shared" si="165"/>
        <v>#DIV/0!</v>
      </c>
      <c r="U1188" s="191"/>
      <c r="V1188" s="193"/>
      <c r="W1188" s="181"/>
      <c r="X1188" s="137"/>
      <c r="Z1188" s="183"/>
      <c r="AA1188" s="183"/>
    </row>
    <row r="1189" spans="1:27" s="182" customFormat="1" ht="15" customHeight="1">
      <c r="A1189" s="211"/>
      <c r="B1189" s="209" t="s">
        <v>410</v>
      </c>
      <c r="C1189" s="294">
        <f t="shared" si="161"/>
        <v>0</v>
      </c>
      <c r="D1189" s="624">
        <f t="shared" ref="D1189:H1189" si="188">D1188</f>
        <v>0</v>
      </c>
      <c r="E1189" s="623">
        <f t="shared" si="188"/>
        <v>0</v>
      </c>
      <c r="F1189" s="623">
        <f t="shared" si="188"/>
        <v>0</v>
      </c>
      <c r="G1189" s="623">
        <f t="shared" si="188"/>
        <v>0</v>
      </c>
      <c r="H1189" s="623">
        <f t="shared" si="188"/>
        <v>0</v>
      </c>
      <c r="I1189" s="624">
        <f t="shared" si="182"/>
        <v>0</v>
      </c>
      <c r="J1189" s="192"/>
      <c r="K1189" s="228" t="e">
        <f t="shared" si="159"/>
        <v>#DIV/0!</v>
      </c>
      <c r="L1189" s="228"/>
      <c r="M1189" s="228"/>
      <c r="N1189" s="191"/>
      <c r="O1189" s="609">
        <f t="shared" si="167"/>
        <v>360</v>
      </c>
      <c r="P1189" s="191" t="e">
        <f t="shared" si="164"/>
        <v>#DIV/0!</v>
      </c>
      <c r="Q1189" s="191"/>
      <c r="R1189" s="191"/>
      <c r="S1189" s="323" t="e">
        <f t="shared" si="160"/>
        <v>#DIV/0!</v>
      </c>
      <c r="T1189" s="323" t="e">
        <f t="shared" si="165"/>
        <v>#DIV/0!</v>
      </c>
      <c r="U1189" s="191"/>
      <c r="V1189" s="193"/>
      <c r="W1189" s="181"/>
      <c r="X1189" s="137"/>
      <c r="Z1189" s="183"/>
      <c r="AA1189" s="183"/>
    </row>
    <row r="1190" spans="1:27" s="182" customFormat="1" ht="15" customHeight="1">
      <c r="A1190" s="211"/>
      <c r="B1190" s="209" t="s">
        <v>411</v>
      </c>
      <c r="C1190" s="294">
        <f t="shared" si="161"/>
        <v>0</v>
      </c>
      <c r="D1190" s="624">
        <f t="shared" ref="D1190:H1190" si="189">D1189</f>
        <v>0</v>
      </c>
      <c r="E1190" s="623">
        <f t="shared" si="189"/>
        <v>0</v>
      </c>
      <c r="F1190" s="623">
        <f t="shared" si="189"/>
        <v>0</v>
      </c>
      <c r="G1190" s="623">
        <f t="shared" si="189"/>
        <v>0</v>
      </c>
      <c r="H1190" s="623">
        <f t="shared" si="189"/>
        <v>0</v>
      </c>
      <c r="I1190" s="624">
        <f t="shared" si="182"/>
        <v>0</v>
      </c>
      <c r="J1190" s="192"/>
      <c r="K1190" s="228" t="e">
        <f t="shared" si="159"/>
        <v>#DIV/0!</v>
      </c>
      <c r="L1190" s="228"/>
      <c r="M1190" s="228"/>
      <c r="N1190" s="191"/>
      <c r="O1190" s="609">
        <f t="shared" si="167"/>
        <v>360</v>
      </c>
      <c r="P1190" s="191" t="e">
        <f t="shared" si="164"/>
        <v>#DIV/0!</v>
      </c>
      <c r="Q1190" s="191"/>
      <c r="R1190" s="191"/>
      <c r="S1190" s="323" t="e">
        <f t="shared" si="160"/>
        <v>#DIV/0!</v>
      </c>
      <c r="T1190" s="323" t="e">
        <f t="shared" si="165"/>
        <v>#DIV/0!</v>
      </c>
      <c r="U1190" s="191"/>
      <c r="V1190" s="193"/>
      <c r="W1190" s="181"/>
      <c r="X1190" s="137"/>
      <c r="Z1190" s="183"/>
      <c r="AA1190" s="183"/>
    </row>
    <row r="1191" spans="1:27" s="182" customFormat="1" ht="15" customHeight="1">
      <c r="A1191" s="211"/>
      <c r="B1191" s="209" t="s">
        <v>412</v>
      </c>
      <c r="C1191" s="294">
        <f t="shared" si="161"/>
        <v>0</v>
      </c>
      <c r="D1191" s="624">
        <f t="shared" ref="D1191:H1191" si="190">D1190</f>
        <v>0</v>
      </c>
      <c r="E1191" s="623">
        <f t="shared" si="190"/>
        <v>0</v>
      </c>
      <c r="F1191" s="623">
        <f t="shared" si="190"/>
        <v>0</v>
      </c>
      <c r="G1191" s="623">
        <f t="shared" si="190"/>
        <v>0</v>
      </c>
      <c r="H1191" s="623">
        <f t="shared" si="190"/>
        <v>0</v>
      </c>
      <c r="I1191" s="624">
        <f t="shared" si="182"/>
        <v>0</v>
      </c>
      <c r="J1191" s="192"/>
      <c r="K1191" s="228" t="e">
        <f t="shared" si="159"/>
        <v>#DIV/0!</v>
      </c>
      <c r="L1191" s="228"/>
      <c r="M1191" s="228"/>
      <c r="N1191" s="191"/>
      <c r="O1191" s="609">
        <f t="shared" si="167"/>
        <v>360</v>
      </c>
      <c r="P1191" s="191" t="e">
        <f t="shared" si="164"/>
        <v>#DIV/0!</v>
      </c>
      <c r="Q1191" s="191"/>
      <c r="R1191" s="191"/>
      <c r="S1191" s="323" t="e">
        <f t="shared" si="160"/>
        <v>#DIV/0!</v>
      </c>
      <c r="T1191" s="323" t="e">
        <f t="shared" si="165"/>
        <v>#DIV/0!</v>
      </c>
      <c r="U1191" s="191"/>
      <c r="V1191" s="193"/>
      <c r="W1191" s="181"/>
      <c r="X1191" s="137"/>
      <c r="Z1191" s="183"/>
      <c r="AA1191" s="183"/>
    </row>
    <row r="1192" spans="1:27" s="182" customFormat="1" ht="15" customHeight="1">
      <c r="A1192" s="211"/>
      <c r="B1192" s="209" t="s">
        <v>413</v>
      </c>
      <c r="C1192" s="294">
        <f t="shared" si="161"/>
        <v>0</v>
      </c>
      <c r="D1192" s="624">
        <f t="shared" ref="D1192:H1192" si="191">D1191</f>
        <v>0</v>
      </c>
      <c r="E1192" s="623">
        <f t="shared" si="191"/>
        <v>0</v>
      </c>
      <c r="F1192" s="623">
        <f t="shared" si="191"/>
        <v>0</v>
      </c>
      <c r="G1192" s="623">
        <f t="shared" si="191"/>
        <v>0</v>
      </c>
      <c r="H1192" s="623">
        <f t="shared" si="191"/>
        <v>0</v>
      </c>
      <c r="I1192" s="624">
        <f t="shared" si="182"/>
        <v>0</v>
      </c>
      <c r="J1192" s="192"/>
      <c r="K1192" s="228" t="e">
        <f t="shared" si="159"/>
        <v>#DIV/0!</v>
      </c>
      <c r="L1192" s="228"/>
      <c r="M1192" s="228"/>
      <c r="N1192" s="191"/>
      <c r="O1192" s="609">
        <f t="shared" si="167"/>
        <v>360</v>
      </c>
      <c r="P1192" s="191" t="e">
        <f t="shared" si="164"/>
        <v>#DIV/0!</v>
      </c>
      <c r="Q1192" s="191"/>
      <c r="R1192" s="191"/>
      <c r="S1192" s="323" t="e">
        <f t="shared" si="160"/>
        <v>#DIV/0!</v>
      </c>
      <c r="T1192" s="323" t="e">
        <f t="shared" si="165"/>
        <v>#DIV/0!</v>
      </c>
      <c r="U1192" s="191"/>
      <c r="V1192" s="193"/>
      <c r="W1192" s="181"/>
      <c r="X1192" s="137"/>
      <c r="Z1192" s="183"/>
      <c r="AA1192" s="183"/>
    </row>
    <row r="1193" spans="1:27" s="182" customFormat="1" ht="15" customHeight="1">
      <c r="A1193" s="211"/>
      <c r="B1193" s="209" t="s">
        <v>414</v>
      </c>
      <c r="C1193" s="294">
        <f t="shared" si="161"/>
        <v>0</v>
      </c>
      <c r="D1193" s="624">
        <f t="shared" ref="D1193:H1193" si="192">D1192</f>
        <v>0</v>
      </c>
      <c r="E1193" s="623">
        <f t="shared" si="192"/>
        <v>0</v>
      </c>
      <c r="F1193" s="623">
        <f t="shared" si="192"/>
        <v>0</v>
      </c>
      <c r="G1193" s="623">
        <f t="shared" si="192"/>
        <v>0</v>
      </c>
      <c r="H1193" s="623">
        <f t="shared" si="192"/>
        <v>0</v>
      </c>
      <c r="I1193" s="624">
        <f t="shared" si="182"/>
        <v>0</v>
      </c>
      <c r="J1193" s="192"/>
      <c r="K1193" s="228" t="e">
        <f t="shared" si="159"/>
        <v>#DIV/0!</v>
      </c>
      <c r="L1193" s="228"/>
      <c r="M1193" s="228"/>
      <c r="N1193" s="191"/>
      <c r="O1193" s="609">
        <f t="shared" si="167"/>
        <v>360</v>
      </c>
      <c r="P1193" s="191" t="e">
        <f t="shared" si="164"/>
        <v>#DIV/0!</v>
      </c>
      <c r="Q1193" s="191"/>
      <c r="R1193" s="191"/>
      <c r="S1193" s="323" t="e">
        <f t="shared" si="160"/>
        <v>#DIV/0!</v>
      </c>
      <c r="T1193" s="323" t="e">
        <f t="shared" si="165"/>
        <v>#DIV/0!</v>
      </c>
      <c r="U1193" s="191"/>
      <c r="V1193" s="193"/>
      <c r="W1193" s="181"/>
      <c r="X1193" s="137"/>
      <c r="Z1193" s="183"/>
      <c r="AA1193" s="183"/>
    </row>
    <row r="1194" spans="1:27" s="182" customFormat="1" ht="15" customHeight="1">
      <c r="A1194" s="211"/>
      <c r="B1194" s="209" t="s">
        <v>415</v>
      </c>
      <c r="C1194" s="294">
        <f t="shared" si="161"/>
        <v>0</v>
      </c>
      <c r="D1194" s="624">
        <f t="shared" ref="D1194:H1194" si="193">D1193</f>
        <v>0</v>
      </c>
      <c r="E1194" s="623">
        <f t="shared" si="193"/>
        <v>0</v>
      </c>
      <c r="F1194" s="623">
        <f t="shared" si="193"/>
        <v>0</v>
      </c>
      <c r="G1194" s="623">
        <f t="shared" si="193"/>
        <v>0</v>
      </c>
      <c r="H1194" s="623">
        <f t="shared" si="193"/>
        <v>0</v>
      </c>
      <c r="I1194" s="624">
        <f t="shared" si="182"/>
        <v>0</v>
      </c>
      <c r="J1194" s="192"/>
      <c r="K1194" s="228" t="e">
        <f t="shared" si="159"/>
        <v>#DIV/0!</v>
      </c>
      <c r="L1194" s="228"/>
      <c r="M1194" s="228"/>
      <c r="N1194" s="191"/>
      <c r="O1194" s="609">
        <f t="shared" si="167"/>
        <v>360</v>
      </c>
      <c r="P1194" s="191" t="e">
        <f t="shared" si="164"/>
        <v>#DIV/0!</v>
      </c>
      <c r="Q1194" s="191"/>
      <c r="R1194" s="191"/>
      <c r="S1194" s="323" t="e">
        <f t="shared" si="160"/>
        <v>#DIV/0!</v>
      </c>
      <c r="T1194" s="323" t="e">
        <f t="shared" si="165"/>
        <v>#DIV/0!</v>
      </c>
      <c r="U1194" s="191"/>
      <c r="V1194" s="193"/>
      <c r="W1194" s="181"/>
      <c r="X1194" s="137"/>
      <c r="Z1194" s="183"/>
      <c r="AA1194" s="183"/>
    </row>
    <row r="1195" spans="1:27" s="182" customFormat="1" ht="15" customHeight="1">
      <c r="A1195" s="211"/>
      <c r="B1195" s="209" t="s">
        <v>416</v>
      </c>
      <c r="C1195" s="294">
        <f t="shared" si="161"/>
        <v>0</v>
      </c>
      <c r="D1195" s="624">
        <f t="shared" ref="D1195:H1195" si="194">D1194</f>
        <v>0</v>
      </c>
      <c r="E1195" s="623">
        <f t="shared" si="194"/>
        <v>0</v>
      </c>
      <c r="F1195" s="623">
        <f t="shared" si="194"/>
        <v>0</v>
      </c>
      <c r="G1195" s="623">
        <f t="shared" si="194"/>
        <v>0</v>
      </c>
      <c r="H1195" s="623">
        <f t="shared" si="194"/>
        <v>0</v>
      </c>
      <c r="I1195" s="624">
        <f t="shared" si="182"/>
        <v>0</v>
      </c>
      <c r="J1195" s="192"/>
      <c r="K1195" s="228" t="e">
        <f t="shared" si="159"/>
        <v>#DIV/0!</v>
      </c>
      <c r="L1195" s="228"/>
      <c r="M1195" s="228"/>
      <c r="N1195" s="191"/>
      <c r="O1195" s="609">
        <f t="shared" si="167"/>
        <v>360</v>
      </c>
      <c r="P1195" s="191" t="e">
        <f t="shared" si="164"/>
        <v>#DIV/0!</v>
      </c>
      <c r="Q1195" s="191"/>
      <c r="R1195" s="191"/>
      <c r="S1195" s="323" t="e">
        <f t="shared" si="160"/>
        <v>#DIV/0!</v>
      </c>
      <c r="T1195" s="323" t="e">
        <f t="shared" si="165"/>
        <v>#DIV/0!</v>
      </c>
      <c r="U1195" s="191"/>
      <c r="V1195" s="193"/>
      <c r="W1195" s="181"/>
      <c r="X1195" s="137"/>
      <c r="Z1195" s="183"/>
      <c r="AA1195" s="183"/>
    </row>
    <row r="1196" spans="1:27" s="182" customFormat="1" ht="15" customHeight="1">
      <c r="A1196" s="211"/>
      <c r="B1196" s="209" t="s">
        <v>986</v>
      </c>
      <c r="C1196" s="294">
        <f t="shared" si="161"/>
        <v>0</v>
      </c>
      <c r="D1196" s="624">
        <f t="shared" ref="D1196:H1196" si="195">D1195</f>
        <v>0</v>
      </c>
      <c r="E1196" s="623">
        <f t="shared" si="195"/>
        <v>0</v>
      </c>
      <c r="F1196" s="623">
        <f t="shared" si="195"/>
        <v>0</v>
      </c>
      <c r="G1196" s="623">
        <f t="shared" si="195"/>
        <v>0</v>
      </c>
      <c r="H1196" s="623">
        <f t="shared" si="195"/>
        <v>0</v>
      </c>
      <c r="I1196" s="624">
        <f t="shared" si="182"/>
        <v>0</v>
      </c>
      <c r="J1196" s="192"/>
      <c r="K1196" s="228" t="e">
        <f t="shared" si="159"/>
        <v>#DIV/0!</v>
      </c>
      <c r="L1196" s="228"/>
      <c r="M1196" s="228"/>
      <c r="N1196" s="191"/>
      <c r="O1196" s="609">
        <f t="shared" si="167"/>
        <v>360</v>
      </c>
      <c r="P1196" s="191" t="e">
        <f t="shared" si="164"/>
        <v>#DIV/0!</v>
      </c>
      <c r="Q1196" s="191"/>
      <c r="R1196" s="191"/>
      <c r="S1196" s="323" t="e">
        <f t="shared" si="160"/>
        <v>#DIV/0!</v>
      </c>
      <c r="T1196" s="323" t="e">
        <f t="shared" si="165"/>
        <v>#DIV/0!</v>
      </c>
      <c r="U1196" s="191"/>
      <c r="V1196" s="193"/>
      <c r="W1196" s="181"/>
      <c r="X1196" s="137"/>
      <c r="Z1196" s="183"/>
      <c r="AA1196" s="183"/>
    </row>
    <row r="1197" spans="1:27" s="182" customFormat="1" ht="15" customHeight="1">
      <c r="A1197" s="211"/>
      <c r="B1197" s="209" t="s">
        <v>987</v>
      </c>
      <c r="C1197" s="294">
        <f t="shared" si="161"/>
        <v>0</v>
      </c>
      <c r="D1197" s="624">
        <f t="shared" ref="D1197:H1197" si="196">D1196</f>
        <v>0</v>
      </c>
      <c r="E1197" s="623">
        <f t="shared" si="196"/>
        <v>0</v>
      </c>
      <c r="F1197" s="623">
        <f t="shared" si="196"/>
        <v>0</v>
      </c>
      <c r="G1197" s="623">
        <f t="shared" si="196"/>
        <v>0</v>
      </c>
      <c r="H1197" s="623">
        <f t="shared" si="196"/>
        <v>0</v>
      </c>
      <c r="I1197" s="624">
        <f t="shared" si="182"/>
        <v>0</v>
      </c>
      <c r="J1197" s="192"/>
      <c r="K1197" s="228" t="e">
        <f t="shared" si="159"/>
        <v>#DIV/0!</v>
      </c>
      <c r="L1197" s="228"/>
      <c r="M1197" s="228"/>
      <c r="N1197" s="191"/>
      <c r="O1197" s="609">
        <f t="shared" si="167"/>
        <v>360</v>
      </c>
      <c r="P1197" s="191" t="e">
        <f t="shared" si="164"/>
        <v>#DIV/0!</v>
      </c>
      <c r="Q1197" s="191"/>
      <c r="R1197" s="191"/>
      <c r="S1197" s="323" t="e">
        <f t="shared" si="160"/>
        <v>#DIV/0!</v>
      </c>
      <c r="T1197" s="323" t="e">
        <f t="shared" si="165"/>
        <v>#DIV/0!</v>
      </c>
      <c r="U1197" s="191"/>
      <c r="V1197" s="193"/>
      <c r="W1197" s="181"/>
      <c r="X1197" s="137"/>
      <c r="Z1197" s="183"/>
      <c r="AA1197" s="183"/>
    </row>
    <row r="1198" spans="1:27" s="182" customFormat="1" ht="15" customHeight="1">
      <c r="A1198" s="211"/>
      <c r="B1198" s="209" t="s">
        <v>988</v>
      </c>
      <c r="C1198" s="294">
        <f t="shared" si="161"/>
        <v>0</v>
      </c>
      <c r="D1198" s="624">
        <f t="shared" ref="D1198:H1198" si="197">D1197</f>
        <v>0</v>
      </c>
      <c r="E1198" s="623">
        <f t="shared" si="197"/>
        <v>0</v>
      </c>
      <c r="F1198" s="623">
        <f t="shared" si="197"/>
        <v>0</v>
      </c>
      <c r="G1198" s="623">
        <f t="shared" si="197"/>
        <v>0</v>
      </c>
      <c r="H1198" s="623">
        <f t="shared" si="197"/>
        <v>0</v>
      </c>
      <c r="I1198" s="624">
        <f t="shared" si="182"/>
        <v>0</v>
      </c>
      <c r="J1198" s="192"/>
      <c r="K1198" s="228" t="e">
        <f t="shared" si="159"/>
        <v>#DIV/0!</v>
      </c>
      <c r="L1198" s="228"/>
      <c r="M1198" s="228"/>
      <c r="N1198" s="191"/>
      <c r="O1198" s="609">
        <f t="shared" si="167"/>
        <v>360</v>
      </c>
      <c r="P1198" s="191" t="e">
        <f t="shared" si="164"/>
        <v>#DIV/0!</v>
      </c>
      <c r="Q1198" s="191"/>
      <c r="R1198" s="191"/>
      <c r="S1198" s="323" t="e">
        <f t="shared" si="160"/>
        <v>#DIV/0!</v>
      </c>
      <c r="T1198" s="323" t="e">
        <f t="shared" si="165"/>
        <v>#DIV/0!</v>
      </c>
      <c r="U1198" s="191"/>
      <c r="V1198" s="193"/>
      <c r="W1198" s="181"/>
      <c r="X1198" s="137"/>
      <c r="Z1198" s="183"/>
      <c r="AA1198" s="183"/>
    </row>
    <row r="1199" spans="1:27" s="182" customFormat="1" ht="15" customHeight="1">
      <c r="A1199" s="211"/>
      <c r="B1199" s="209" t="s">
        <v>989</v>
      </c>
      <c r="C1199" s="294">
        <f t="shared" si="161"/>
        <v>0</v>
      </c>
      <c r="D1199" s="624">
        <f t="shared" ref="D1199:I1214" si="198">D1198</f>
        <v>0</v>
      </c>
      <c r="E1199" s="623">
        <f t="shared" si="198"/>
        <v>0</v>
      </c>
      <c r="F1199" s="623">
        <f t="shared" si="198"/>
        <v>0</v>
      </c>
      <c r="G1199" s="623">
        <f t="shared" si="198"/>
        <v>0</v>
      </c>
      <c r="H1199" s="623">
        <f t="shared" si="198"/>
        <v>0</v>
      </c>
      <c r="I1199" s="624">
        <f t="shared" si="198"/>
        <v>0</v>
      </c>
      <c r="J1199" s="192"/>
      <c r="K1199" s="228" t="e">
        <f t="shared" si="159"/>
        <v>#DIV/0!</v>
      </c>
      <c r="L1199" s="228"/>
      <c r="M1199" s="228"/>
      <c r="N1199" s="191"/>
      <c r="O1199" s="609">
        <f t="shared" si="167"/>
        <v>360</v>
      </c>
      <c r="P1199" s="191" t="e">
        <f t="shared" si="164"/>
        <v>#DIV/0!</v>
      </c>
      <c r="Q1199" s="191"/>
      <c r="R1199" s="191"/>
      <c r="S1199" s="323" t="e">
        <f t="shared" si="160"/>
        <v>#DIV/0!</v>
      </c>
      <c r="T1199" s="323" t="e">
        <f t="shared" si="165"/>
        <v>#DIV/0!</v>
      </c>
      <c r="U1199" s="191"/>
      <c r="V1199" s="193"/>
      <c r="W1199" s="181"/>
      <c r="X1199" s="137"/>
      <c r="Z1199" s="183"/>
      <c r="AA1199" s="183"/>
    </row>
    <row r="1200" spans="1:27" s="182" customFormat="1" ht="15" customHeight="1">
      <c r="A1200" s="211"/>
      <c r="B1200" s="209" t="s">
        <v>990</v>
      </c>
      <c r="C1200" s="294">
        <f t="shared" si="161"/>
        <v>0</v>
      </c>
      <c r="D1200" s="624">
        <f t="shared" ref="D1200:H1200" si="199">D1199</f>
        <v>0</v>
      </c>
      <c r="E1200" s="623">
        <f t="shared" si="199"/>
        <v>0</v>
      </c>
      <c r="F1200" s="623">
        <f t="shared" si="199"/>
        <v>0</v>
      </c>
      <c r="G1200" s="623">
        <f t="shared" si="199"/>
        <v>0</v>
      </c>
      <c r="H1200" s="623">
        <f t="shared" si="199"/>
        <v>0</v>
      </c>
      <c r="I1200" s="624">
        <f t="shared" si="198"/>
        <v>0</v>
      </c>
      <c r="J1200" s="192"/>
      <c r="K1200" s="228" t="e">
        <f t="shared" si="159"/>
        <v>#DIV/0!</v>
      </c>
      <c r="L1200" s="228"/>
      <c r="M1200" s="228"/>
      <c r="N1200" s="191"/>
      <c r="O1200" s="609">
        <f t="shared" si="167"/>
        <v>360</v>
      </c>
      <c r="P1200" s="191" t="e">
        <f t="shared" si="164"/>
        <v>#DIV/0!</v>
      </c>
      <c r="Q1200" s="191"/>
      <c r="R1200" s="191"/>
      <c r="S1200" s="323" t="e">
        <f t="shared" si="160"/>
        <v>#DIV/0!</v>
      </c>
      <c r="T1200" s="323" t="e">
        <f t="shared" si="165"/>
        <v>#DIV/0!</v>
      </c>
      <c r="U1200" s="191"/>
      <c r="V1200" s="193"/>
      <c r="W1200" s="181"/>
      <c r="X1200" s="137"/>
      <c r="Z1200" s="183"/>
      <c r="AA1200" s="183"/>
    </row>
    <row r="1201" spans="1:27" s="182" customFormat="1" ht="15" customHeight="1">
      <c r="A1201" s="211"/>
      <c r="B1201" s="209" t="s">
        <v>991</v>
      </c>
      <c r="C1201" s="294">
        <f t="shared" si="161"/>
        <v>0</v>
      </c>
      <c r="D1201" s="624">
        <f t="shared" ref="D1201:H1201" si="200">D1200</f>
        <v>0</v>
      </c>
      <c r="E1201" s="623">
        <f t="shared" si="200"/>
        <v>0</v>
      </c>
      <c r="F1201" s="623">
        <f t="shared" si="200"/>
        <v>0</v>
      </c>
      <c r="G1201" s="623">
        <f t="shared" si="200"/>
        <v>0</v>
      </c>
      <c r="H1201" s="623">
        <f t="shared" si="200"/>
        <v>0</v>
      </c>
      <c r="I1201" s="624">
        <f t="shared" si="198"/>
        <v>0</v>
      </c>
      <c r="J1201" s="192"/>
      <c r="K1201" s="228" t="e">
        <f t="shared" si="159"/>
        <v>#DIV/0!</v>
      </c>
      <c r="L1201" s="228"/>
      <c r="M1201" s="228"/>
      <c r="N1201" s="191"/>
      <c r="O1201" s="609">
        <f t="shared" si="167"/>
        <v>360</v>
      </c>
      <c r="P1201" s="191" t="e">
        <f t="shared" si="164"/>
        <v>#DIV/0!</v>
      </c>
      <c r="Q1201" s="191"/>
      <c r="R1201" s="191"/>
      <c r="S1201" s="323" t="e">
        <f t="shared" si="160"/>
        <v>#DIV/0!</v>
      </c>
      <c r="T1201" s="323" t="e">
        <f t="shared" si="165"/>
        <v>#DIV/0!</v>
      </c>
      <c r="U1201" s="191"/>
      <c r="V1201" s="193"/>
      <c r="W1201" s="181"/>
      <c r="X1201" s="137"/>
      <c r="Z1201" s="183"/>
      <c r="AA1201" s="183"/>
    </row>
    <row r="1202" spans="1:27" s="182" customFormat="1" ht="15" customHeight="1">
      <c r="A1202" s="211"/>
      <c r="B1202" s="209" t="s">
        <v>992</v>
      </c>
      <c r="C1202" s="294">
        <f t="shared" si="161"/>
        <v>0</v>
      </c>
      <c r="D1202" s="624">
        <f t="shared" ref="D1202:H1202" si="201">D1201</f>
        <v>0</v>
      </c>
      <c r="E1202" s="623">
        <f t="shared" si="201"/>
        <v>0</v>
      </c>
      <c r="F1202" s="623">
        <f t="shared" si="201"/>
        <v>0</v>
      </c>
      <c r="G1202" s="623">
        <f t="shared" si="201"/>
        <v>0</v>
      </c>
      <c r="H1202" s="623">
        <f t="shared" si="201"/>
        <v>0</v>
      </c>
      <c r="I1202" s="624">
        <f t="shared" si="198"/>
        <v>0</v>
      </c>
      <c r="J1202" s="192"/>
      <c r="K1202" s="228" t="e">
        <f t="shared" si="159"/>
        <v>#DIV/0!</v>
      </c>
      <c r="L1202" s="228"/>
      <c r="M1202" s="228"/>
      <c r="N1202" s="191"/>
      <c r="O1202" s="609">
        <f t="shared" si="167"/>
        <v>360</v>
      </c>
      <c r="P1202" s="191" t="e">
        <f t="shared" si="164"/>
        <v>#DIV/0!</v>
      </c>
      <c r="Q1202" s="191"/>
      <c r="R1202" s="191"/>
      <c r="S1202" s="323" t="e">
        <f t="shared" si="160"/>
        <v>#DIV/0!</v>
      </c>
      <c r="T1202" s="323" t="e">
        <f t="shared" si="165"/>
        <v>#DIV/0!</v>
      </c>
      <c r="U1202" s="191"/>
      <c r="V1202" s="193"/>
      <c r="W1202" s="181"/>
      <c r="X1202" s="137"/>
      <c r="Z1202" s="183"/>
      <c r="AA1202" s="183"/>
    </row>
    <row r="1203" spans="1:27" s="182" customFormat="1" ht="15" customHeight="1">
      <c r="A1203" s="211"/>
      <c r="B1203" s="209" t="s">
        <v>993</v>
      </c>
      <c r="C1203" s="294">
        <f t="shared" si="161"/>
        <v>0</v>
      </c>
      <c r="D1203" s="624">
        <f t="shared" ref="D1203:H1203" si="202">D1202</f>
        <v>0</v>
      </c>
      <c r="E1203" s="623">
        <f t="shared" si="202"/>
        <v>0</v>
      </c>
      <c r="F1203" s="623">
        <f t="shared" si="202"/>
        <v>0</v>
      </c>
      <c r="G1203" s="623">
        <f t="shared" si="202"/>
        <v>0</v>
      </c>
      <c r="H1203" s="623">
        <f t="shared" si="202"/>
        <v>0</v>
      </c>
      <c r="I1203" s="624">
        <f t="shared" si="198"/>
        <v>0</v>
      </c>
      <c r="J1203" s="192"/>
      <c r="K1203" s="228" t="e">
        <f t="shared" si="159"/>
        <v>#DIV/0!</v>
      </c>
      <c r="L1203" s="228"/>
      <c r="M1203" s="228"/>
      <c r="N1203" s="191"/>
      <c r="O1203" s="609">
        <f t="shared" si="167"/>
        <v>360</v>
      </c>
      <c r="P1203" s="191" t="e">
        <f t="shared" si="164"/>
        <v>#DIV/0!</v>
      </c>
      <c r="Q1203" s="191"/>
      <c r="R1203" s="191"/>
      <c r="S1203" s="323" t="e">
        <f t="shared" si="160"/>
        <v>#DIV/0!</v>
      </c>
      <c r="T1203" s="323" t="e">
        <f t="shared" si="165"/>
        <v>#DIV/0!</v>
      </c>
      <c r="U1203" s="191"/>
      <c r="V1203" s="193"/>
      <c r="W1203" s="181"/>
      <c r="X1203" s="137"/>
      <c r="Z1203" s="183"/>
      <c r="AA1203" s="183"/>
    </row>
    <row r="1204" spans="1:27" s="182" customFormat="1" ht="15" customHeight="1">
      <c r="A1204" s="211"/>
      <c r="B1204" s="209" t="s">
        <v>994</v>
      </c>
      <c r="C1204" s="294">
        <f t="shared" si="161"/>
        <v>0</v>
      </c>
      <c r="D1204" s="624">
        <f t="shared" ref="D1204:H1204" si="203">D1203</f>
        <v>0</v>
      </c>
      <c r="E1204" s="623">
        <f t="shared" si="203"/>
        <v>0</v>
      </c>
      <c r="F1204" s="623">
        <f t="shared" si="203"/>
        <v>0</v>
      </c>
      <c r="G1204" s="623">
        <f t="shared" si="203"/>
        <v>0</v>
      </c>
      <c r="H1204" s="623">
        <f t="shared" si="203"/>
        <v>0</v>
      </c>
      <c r="I1204" s="624">
        <f t="shared" si="198"/>
        <v>0</v>
      </c>
      <c r="J1204" s="192"/>
      <c r="K1204" s="228" t="e">
        <f t="shared" si="159"/>
        <v>#DIV/0!</v>
      </c>
      <c r="L1204" s="228"/>
      <c r="M1204" s="228"/>
      <c r="N1204" s="191"/>
      <c r="O1204" s="609">
        <f t="shared" si="167"/>
        <v>360</v>
      </c>
      <c r="P1204" s="191" t="e">
        <f t="shared" si="164"/>
        <v>#DIV/0!</v>
      </c>
      <c r="Q1204" s="191"/>
      <c r="R1204" s="191"/>
      <c r="S1204" s="323" t="e">
        <f t="shared" si="160"/>
        <v>#DIV/0!</v>
      </c>
      <c r="T1204" s="323" t="e">
        <f t="shared" si="165"/>
        <v>#DIV/0!</v>
      </c>
      <c r="U1204" s="191"/>
      <c r="V1204" s="193"/>
      <c r="W1204" s="181"/>
      <c r="X1204" s="137"/>
      <c r="Z1204" s="183"/>
      <c r="AA1204" s="183"/>
    </row>
    <row r="1205" spans="1:27" s="182" customFormat="1" ht="15" customHeight="1">
      <c r="A1205" s="211"/>
      <c r="B1205" s="209" t="s">
        <v>995</v>
      </c>
      <c r="C1205" s="294">
        <f t="shared" si="161"/>
        <v>0</v>
      </c>
      <c r="D1205" s="624">
        <f t="shared" ref="D1205:H1205" si="204">D1204</f>
        <v>0</v>
      </c>
      <c r="E1205" s="623">
        <f t="shared" si="204"/>
        <v>0</v>
      </c>
      <c r="F1205" s="623">
        <f t="shared" si="204"/>
        <v>0</v>
      </c>
      <c r="G1205" s="623">
        <f t="shared" si="204"/>
        <v>0</v>
      </c>
      <c r="H1205" s="623">
        <f t="shared" si="204"/>
        <v>0</v>
      </c>
      <c r="I1205" s="624">
        <f t="shared" si="198"/>
        <v>0</v>
      </c>
      <c r="J1205" s="192"/>
      <c r="K1205" s="228" t="e">
        <f t="shared" si="159"/>
        <v>#DIV/0!</v>
      </c>
      <c r="L1205" s="228"/>
      <c r="M1205" s="228"/>
      <c r="N1205" s="191"/>
      <c r="O1205" s="609">
        <f t="shared" si="167"/>
        <v>360</v>
      </c>
      <c r="P1205" s="191" t="e">
        <f t="shared" si="164"/>
        <v>#DIV/0!</v>
      </c>
      <c r="Q1205" s="191"/>
      <c r="R1205" s="191"/>
      <c r="S1205" s="323" t="e">
        <f t="shared" si="160"/>
        <v>#DIV/0!</v>
      </c>
      <c r="T1205" s="323" t="e">
        <f t="shared" si="165"/>
        <v>#DIV/0!</v>
      </c>
      <c r="U1205" s="191"/>
      <c r="V1205" s="193"/>
      <c r="W1205" s="181"/>
      <c r="X1205" s="137"/>
      <c r="Z1205" s="183"/>
      <c r="AA1205" s="183"/>
    </row>
    <row r="1206" spans="1:27" s="182" customFormat="1" ht="15" customHeight="1">
      <c r="A1206" s="211"/>
      <c r="B1206" s="209" t="s">
        <v>996</v>
      </c>
      <c r="C1206" s="294">
        <f t="shared" si="161"/>
        <v>0</v>
      </c>
      <c r="D1206" s="624">
        <f t="shared" ref="D1206:H1206" si="205">D1205</f>
        <v>0</v>
      </c>
      <c r="E1206" s="623">
        <f t="shared" si="205"/>
        <v>0</v>
      </c>
      <c r="F1206" s="623">
        <f t="shared" si="205"/>
        <v>0</v>
      </c>
      <c r="G1206" s="623">
        <f t="shared" si="205"/>
        <v>0</v>
      </c>
      <c r="H1206" s="623">
        <f t="shared" si="205"/>
        <v>0</v>
      </c>
      <c r="I1206" s="624">
        <f t="shared" si="198"/>
        <v>0</v>
      </c>
      <c r="J1206" s="192"/>
      <c r="K1206" s="228" t="e">
        <f t="shared" si="159"/>
        <v>#DIV/0!</v>
      </c>
      <c r="L1206" s="228"/>
      <c r="M1206" s="228"/>
      <c r="N1206" s="191"/>
      <c r="O1206" s="609">
        <f t="shared" si="167"/>
        <v>360</v>
      </c>
      <c r="P1206" s="191" t="e">
        <f t="shared" si="164"/>
        <v>#DIV/0!</v>
      </c>
      <c r="Q1206" s="191"/>
      <c r="R1206" s="191"/>
      <c r="S1206" s="323" t="e">
        <f t="shared" si="160"/>
        <v>#DIV/0!</v>
      </c>
      <c r="T1206" s="323" t="e">
        <f t="shared" si="165"/>
        <v>#DIV/0!</v>
      </c>
      <c r="U1206" s="191"/>
      <c r="V1206" s="193"/>
      <c r="W1206" s="181"/>
      <c r="X1206" s="137"/>
      <c r="Z1206" s="183"/>
      <c r="AA1206" s="183"/>
    </row>
    <row r="1207" spans="1:27" s="182" customFormat="1" ht="15" customHeight="1">
      <c r="A1207" s="211"/>
      <c r="B1207" s="209" t="s">
        <v>997</v>
      </c>
      <c r="C1207" s="294">
        <f t="shared" si="161"/>
        <v>0</v>
      </c>
      <c r="D1207" s="624">
        <f t="shared" ref="D1207:H1207" si="206">D1206</f>
        <v>0</v>
      </c>
      <c r="E1207" s="623">
        <f t="shared" si="206"/>
        <v>0</v>
      </c>
      <c r="F1207" s="623">
        <f t="shared" si="206"/>
        <v>0</v>
      </c>
      <c r="G1207" s="623">
        <f t="shared" si="206"/>
        <v>0</v>
      </c>
      <c r="H1207" s="623">
        <f t="shared" si="206"/>
        <v>0</v>
      </c>
      <c r="I1207" s="624">
        <f t="shared" si="198"/>
        <v>0</v>
      </c>
      <c r="J1207" s="192"/>
      <c r="K1207" s="228" t="e">
        <f t="shared" si="159"/>
        <v>#DIV/0!</v>
      </c>
      <c r="L1207" s="228"/>
      <c r="M1207" s="228"/>
      <c r="N1207" s="191"/>
      <c r="O1207" s="609">
        <f t="shared" si="167"/>
        <v>360</v>
      </c>
      <c r="P1207" s="191" t="e">
        <f t="shared" si="164"/>
        <v>#DIV/0!</v>
      </c>
      <c r="Q1207" s="191"/>
      <c r="R1207" s="191"/>
      <c r="S1207" s="323" t="e">
        <f t="shared" si="160"/>
        <v>#DIV/0!</v>
      </c>
      <c r="T1207" s="323" t="e">
        <f t="shared" si="165"/>
        <v>#DIV/0!</v>
      </c>
      <c r="U1207" s="191"/>
      <c r="V1207" s="193"/>
      <c r="W1207" s="181"/>
      <c r="X1207" s="137"/>
      <c r="Z1207" s="183"/>
      <c r="AA1207" s="183"/>
    </row>
    <row r="1208" spans="1:27" s="182" customFormat="1" ht="15" customHeight="1">
      <c r="A1208" s="211"/>
      <c r="B1208" s="209" t="s">
        <v>998</v>
      </c>
      <c r="C1208" s="294">
        <f t="shared" si="161"/>
        <v>0</v>
      </c>
      <c r="D1208" s="624">
        <f t="shared" ref="D1208:H1208" si="207">D1207</f>
        <v>0</v>
      </c>
      <c r="E1208" s="623">
        <f t="shared" si="207"/>
        <v>0</v>
      </c>
      <c r="F1208" s="623">
        <f t="shared" si="207"/>
        <v>0</v>
      </c>
      <c r="G1208" s="623">
        <f t="shared" si="207"/>
        <v>0</v>
      </c>
      <c r="H1208" s="623">
        <f t="shared" si="207"/>
        <v>0</v>
      </c>
      <c r="I1208" s="624">
        <f t="shared" si="198"/>
        <v>0</v>
      </c>
      <c r="J1208" s="192"/>
      <c r="K1208" s="228" t="e">
        <f t="shared" si="159"/>
        <v>#DIV/0!</v>
      </c>
      <c r="L1208" s="228"/>
      <c r="M1208" s="228"/>
      <c r="N1208" s="191"/>
      <c r="O1208" s="609">
        <f t="shared" si="167"/>
        <v>360</v>
      </c>
      <c r="P1208" s="191" t="e">
        <f t="shared" si="164"/>
        <v>#DIV/0!</v>
      </c>
      <c r="Q1208" s="191"/>
      <c r="R1208" s="191"/>
      <c r="S1208" s="323" t="e">
        <f t="shared" si="160"/>
        <v>#DIV/0!</v>
      </c>
      <c r="T1208" s="323" t="e">
        <f t="shared" si="165"/>
        <v>#DIV/0!</v>
      </c>
      <c r="U1208" s="191"/>
      <c r="V1208" s="193"/>
      <c r="W1208" s="181"/>
      <c r="X1208" s="137"/>
      <c r="Z1208" s="183"/>
      <c r="AA1208" s="183"/>
    </row>
    <row r="1209" spans="1:27" s="182" customFormat="1" ht="15" customHeight="1">
      <c r="A1209" s="211"/>
      <c r="B1209" s="209" t="s">
        <v>999</v>
      </c>
      <c r="C1209" s="294">
        <f t="shared" si="161"/>
        <v>0</v>
      </c>
      <c r="D1209" s="624">
        <f t="shared" ref="D1209:H1209" si="208">D1208</f>
        <v>0</v>
      </c>
      <c r="E1209" s="623">
        <f t="shared" si="208"/>
        <v>0</v>
      </c>
      <c r="F1209" s="623">
        <f t="shared" si="208"/>
        <v>0</v>
      </c>
      <c r="G1209" s="623">
        <f t="shared" si="208"/>
        <v>0</v>
      </c>
      <c r="H1209" s="623">
        <f t="shared" si="208"/>
        <v>0</v>
      </c>
      <c r="I1209" s="624">
        <f t="shared" si="198"/>
        <v>0</v>
      </c>
      <c r="J1209" s="192"/>
      <c r="K1209" s="228" t="e">
        <f t="shared" si="159"/>
        <v>#DIV/0!</v>
      </c>
      <c r="L1209" s="228"/>
      <c r="M1209" s="228"/>
      <c r="N1209" s="191"/>
      <c r="O1209" s="609">
        <f t="shared" si="167"/>
        <v>360</v>
      </c>
      <c r="P1209" s="191" t="e">
        <f t="shared" si="164"/>
        <v>#DIV/0!</v>
      </c>
      <c r="Q1209" s="191"/>
      <c r="R1209" s="191"/>
      <c r="S1209" s="323" t="e">
        <f t="shared" si="160"/>
        <v>#DIV/0!</v>
      </c>
      <c r="T1209" s="323" t="e">
        <f t="shared" si="165"/>
        <v>#DIV/0!</v>
      </c>
      <c r="U1209" s="191"/>
      <c r="V1209" s="193"/>
      <c r="W1209" s="181"/>
      <c r="X1209" s="137"/>
      <c r="Z1209" s="183"/>
      <c r="AA1209" s="183"/>
    </row>
    <row r="1210" spans="1:27" s="182" customFormat="1" ht="15" customHeight="1">
      <c r="A1210" s="211"/>
      <c r="B1210" s="209" t="s">
        <v>1000</v>
      </c>
      <c r="C1210" s="294">
        <f t="shared" si="161"/>
        <v>0</v>
      </c>
      <c r="D1210" s="624">
        <f t="shared" ref="D1210:H1210" si="209">D1209</f>
        <v>0</v>
      </c>
      <c r="E1210" s="623">
        <f t="shared" si="209"/>
        <v>0</v>
      </c>
      <c r="F1210" s="623">
        <f t="shared" si="209"/>
        <v>0</v>
      </c>
      <c r="G1210" s="623">
        <f t="shared" si="209"/>
        <v>0</v>
      </c>
      <c r="H1210" s="623">
        <f t="shared" si="209"/>
        <v>0</v>
      </c>
      <c r="I1210" s="624">
        <f t="shared" si="198"/>
        <v>0</v>
      </c>
      <c r="J1210" s="192"/>
      <c r="K1210" s="228" t="e">
        <f t="shared" si="159"/>
        <v>#DIV/0!</v>
      </c>
      <c r="L1210" s="228"/>
      <c r="M1210" s="228"/>
      <c r="N1210" s="191"/>
      <c r="O1210" s="609">
        <f t="shared" si="167"/>
        <v>360</v>
      </c>
      <c r="P1210" s="191" t="e">
        <f t="shared" si="164"/>
        <v>#DIV/0!</v>
      </c>
      <c r="Q1210" s="191"/>
      <c r="R1210" s="191"/>
      <c r="S1210" s="323" t="e">
        <f t="shared" si="160"/>
        <v>#DIV/0!</v>
      </c>
      <c r="T1210" s="323" t="e">
        <f t="shared" si="165"/>
        <v>#DIV/0!</v>
      </c>
      <c r="U1210" s="191"/>
      <c r="V1210" s="193"/>
      <c r="W1210" s="181"/>
      <c r="X1210" s="137"/>
      <c r="Z1210" s="183"/>
      <c r="AA1210" s="183"/>
    </row>
    <row r="1211" spans="1:27" s="182" customFormat="1" ht="15" customHeight="1">
      <c r="A1211" s="211"/>
      <c r="B1211" s="209" t="s">
        <v>1001</v>
      </c>
      <c r="C1211" s="294">
        <f t="shared" si="161"/>
        <v>0</v>
      </c>
      <c r="D1211" s="624">
        <f t="shared" ref="D1211:H1211" si="210">D1210</f>
        <v>0</v>
      </c>
      <c r="E1211" s="623">
        <f t="shared" si="210"/>
        <v>0</v>
      </c>
      <c r="F1211" s="623">
        <f t="shared" si="210"/>
        <v>0</v>
      </c>
      <c r="G1211" s="623">
        <f t="shared" si="210"/>
        <v>0</v>
      </c>
      <c r="H1211" s="623">
        <f t="shared" si="210"/>
        <v>0</v>
      </c>
      <c r="I1211" s="624">
        <f t="shared" si="198"/>
        <v>0</v>
      </c>
      <c r="J1211" s="192"/>
      <c r="K1211" s="228" t="e">
        <f t="shared" si="159"/>
        <v>#DIV/0!</v>
      </c>
      <c r="L1211" s="228"/>
      <c r="M1211" s="228"/>
      <c r="N1211" s="191"/>
      <c r="O1211" s="609">
        <f t="shared" si="167"/>
        <v>360</v>
      </c>
      <c r="P1211" s="191" t="e">
        <f t="shared" si="164"/>
        <v>#DIV/0!</v>
      </c>
      <c r="Q1211" s="191"/>
      <c r="R1211" s="191"/>
      <c r="S1211" s="323" t="e">
        <f t="shared" si="160"/>
        <v>#DIV/0!</v>
      </c>
      <c r="T1211" s="323" t="e">
        <f t="shared" si="165"/>
        <v>#DIV/0!</v>
      </c>
      <c r="U1211" s="191"/>
      <c r="V1211" s="193"/>
      <c r="W1211" s="181"/>
      <c r="X1211" s="137"/>
      <c r="Z1211" s="183"/>
      <c r="AA1211" s="183"/>
    </row>
    <row r="1212" spans="1:27" s="182" customFormat="1" ht="15" customHeight="1">
      <c r="A1212" s="211"/>
      <c r="B1212" s="209" t="s">
        <v>1002</v>
      </c>
      <c r="C1212" s="294">
        <f t="shared" si="161"/>
        <v>0</v>
      </c>
      <c r="D1212" s="624">
        <f t="shared" ref="D1212:H1212" si="211">D1211</f>
        <v>0</v>
      </c>
      <c r="E1212" s="623">
        <f t="shared" si="211"/>
        <v>0</v>
      </c>
      <c r="F1212" s="623">
        <f t="shared" si="211"/>
        <v>0</v>
      </c>
      <c r="G1212" s="623">
        <f t="shared" si="211"/>
        <v>0</v>
      </c>
      <c r="H1212" s="623">
        <f t="shared" si="211"/>
        <v>0</v>
      </c>
      <c r="I1212" s="624">
        <f t="shared" si="198"/>
        <v>0</v>
      </c>
      <c r="J1212" s="192"/>
      <c r="K1212" s="228" t="e">
        <f t="shared" si="159"/>
        <v>#DIV/0!</v>
      </c>
      <c r="L1212" s="228"/>
      <c r="M1212" s="228"/>
      <c r="N1212" s="191"/>
      <c r="O1212" s="609">
        <f t="shared" si="167"/>
        <v>360</v>
      </c>
      <c r="P1212" s="191" t="e">
        <f t="shared" si="164"/>
        <v>#DIV/0!</v>
      </c>
      <c r="Q1212" s="191"/>
      <c r="R1212" s="191"/>
      <c r="S1212" s="323" t="e">
        <f t="shared" si="160"/>
        <v>#DIV/0!</v>
      </c>
      <c r="T1212" s="323" t="e">
        <f t="shared" si="165"/>
        <v>#DIV/0!</v>
      </c>
      <c r="U1212" s="191"/>
      <c r="V1212" s="193"/>
      <c r="W1212" s="181"/>
      <c r="X1212" s="137"/>
      <c r="Z1212" s="183"/>
      <c r="AA1212" s="183"/>
    </row>
    <row r="1213" spans="1:27" s="182" customFormat="1" ht="15" customHeight="1">
      <c r="A1213" s="211"/>
      <c r="B1213" s="209" t="s">
        <v>1003</v>
      </c>
      <c r="C1213" s="294">
        <f t="shared" si="161"/>
        <v>0</v>
      </c>
      <c r="D1213" s="624">
        <f t="shared" ref="D1213:H1213" si="212">D1212</f>
        <v>0</v>
      </c>
      <c r="E1213" s="623">
        <f t="shared" si="212"/>
        <v>0</v>
      </c>
      <c r="F1213" s="623">
        <f t="shared" si="212"/>
        <v>0</v>
      </c>
      <c r="G1213" s="623">
        <f t="shared" si="212"/>
        <v>0</v>
      </c>
      <c r="H1213" s="623">
        <f t="shared" si="212"/>
        <v>0</v>
      </c>
      <c r="I1213" s="624">
        <f t="shared" si="198"/>
        <v>0</v>
      </c>
      <c r="J1213" s="192"/>
      <c r="K1213" s="228" t="e">
        <f t="shared" si="159"/>
        <v>#DIV/0!</v>
      </c>
      <c r="L1213" s="228"/>
      <c r="M1213" s="228"/>
      <c r="N1213" s="191"/>
      <c r="O1213" s="609">
        <f t="shared" si="167"/>
        <v>360</v>
      </c>
      <c r="P1213" s="191" t="e">
        <f t="shared" si="164"/>
        <v>#DIV/0!</v>
      </c>
      <c r="Q1213" s="191"/>
      <c r="R1213" s="191"/>
      <c r="S1213" s="323" t="e">
        <f t="shared" si="160"/>
        <v>#DIV/0!</v>
      </c>
      <c r="T1213" s="323" t="e">
        <f t="shared" si="165"/>
        <v>#DIV/0!</v>
      </c>
      <c r="U1213" s="191"/>
      <c r="V1213" s="193"/>
      <c r="W1213" s="181"/>
      <c r="X1213" s="137"/>
      <c r="Z1213" s="183"/>
      <c r="AA1213" s="183"/>
    </row>
    <row r="1214" spans="1:27" s="182" customFormat="1" ht="15" customHeight="1">
      <c r="A1214" s="211"/>
      <c r="B1214" s="209" t="s">
        <v>1004</v>
      </c>
      <c r="C1214" s="294">
        <f t="shared" si="161"/>
        <v>0</v>
      </c>
      <c r="D1214" s="624">
        <f t="shared" ref="D1214:H1214" si="213">D1213</f>
        <v>0</v>
      </c>
      <c r="E1214" s="623">
        <f t="shared" si="213"/>
        <v>0</v>
      </c>
      <c r="F1214" s="623">
        <f t="shared" si="213"/>
        <v>0</v>
      </c>
      <c r="G1214" s="623">
        <f t="shared" si="213"/>
        <v>0</v>
      </c>
      <c r="H1214" s="623">
        <f t="shared" si="213"/>
        <v>0</v>
      </c>
      <c r="I1214" s="624">
        <f t="shared" si="198"/>
        <v>0</v>
      </c>
      <c r="J1214" s="192"/>
      <c r="K1214" s="228" t="e">
        <f t="shared" si="159"/>
        <v>#DIV/0!</v>
      </c>
      <c r="L1214" s="228"/>
      <c r="M1214" s="228"/>
      <c r="N1214" s="191"/>
      <c r="O1214" s="609">
        <f t="shared" si="167"/>
        <v>360</v>
      </c>
      <c r="P1214" s="191" t="e">
        <f t="shared" si="164"/>
        <v>#DIV/0!</v>
      </c>
      <c r="Q1214" s="191"/>
      <c r="R1214" s="191"/>
      <c r="S1214" s="323" t="e">
        <f t="shared" si="160"/>
        <v>#DIV/0!</v>
      </c>
      <c r="T1214" s="323" t="e">
        <f t="shared" si="165"/>
        <v>#DIV/0!</v>
      </c>
      <c r="U1214" s="191"/>
      <c r="V1214" s="193"/>
      <c r="W1214" s="181"/>
      <c r="X1214" s="137"/>
      <c r="Z1214" s="183"/>
      <c r="AA1214" s="183"/>
    </row>
    <row r="1215" spans="1:27" s="182" customFormat="1" ht="15" customHeight="1" thickBot="1">
      <c r="A1215" s="211"/>
      <c r="B1215" s="209" t="s">
        <v>1005</v>
      </c>
      <c r="C1215" s="294">
        <f t="shared" si="161"/>
        <v>0</v>
      </c>
      <c r="D1215" s="624">
        <f t="shared" ref="D1215:I1215" si="214">D1214</f>
        <v>0</v>
      </c>
      <c r="E1215" s="623">
        <f t="shared" si="214"/>
        <v>0</v>
      </c>
      <c r="F1215" s="623">
        <f t="shared" si="214"/>
        <v>0</v>
      </c>
      <c r="G1215" s="623">
        <f t="shared" si="214"/>
        <v>0</v>
      </c>
      <c r="H1215" s="623">
        <f t="shared" si="214"/>
        <v>0</v>
      </c>
      <c r="I1215" s="624">
        <f t="shared" si="214"/>
        <v>0</v>
      </c>
      <c r="J1215" s="192"/>
      <c r="K1215" s="228" t="e">
        <f t="shared" si="159"/>
        <v>#DIV/0!</v>
      </c>
      <c r="L1215" s="228"/>
      <c r="M1215" s="228"/>
      <c r="N1215" s="191"/>
      <c r="O1215" s="610">
        <f t="shared" si="167"/>
        <v>360</v>
      </c>
      <c r="P1215" s="191" t="e">
        <f>ROUNDUP(K1215/360*O1215,0)</f>
        <v>#DIV/0!</v>
      </c>
      <c r="Q1215" s="191"/>
      <c r="R1215" s="191"/>
      <c r="S1215" s="323" t="e">
        <f t="shared" si="160"/>
        <v>#DIV/0!</v>
      </c>
      <c r="T1215" s="323" t="e">
        <f t="shared" si="165"/>
        <v>#DIV/0!</v>
      </c>
      <c r="U1215" s="191"/>
      <c r="V1215" s="193"/>
      <c r="W1215" s="181"/>
      <c r="X1215" s="137"/>
      <c r="Z1215" s="183"/>
      <c r="AA1215" s="183"/>
    </row>
    <row r="1216" spans="1:27" s="182" customFormat="1" ht="15" customHeight="1">
      <c r="A1216" s="211"/>
      <c r="B1216" s="206"/>
      <c r="C1216" s="294"/>
      <c r="D1216" s="191"/>
      <c r="E1216" s="131"/>
      <c r="F1216" s="131"/>
      <c r="G1216" s="131"/>
      <c r="H1216" s="131"/>
      <c r="I1216" s="228"/>
      <c r="J1216" s="228"/>
      <c r="K1216" s="228"/>
      <c r="L1216" s="228"/>
      <c r="M1216" s="228"/>
      <c r="N1216" s="191"/>
      <c r="O1216" s="140"/>
      <c r="P1216" s="191"/>
      <c r="Q1216" s="191"/>
      <c r="R1216" s="191"/>
      <c r="S1216" s="191"/>
      <c r="T1216" s="191"/>
      <c r="U1216" s="191"/>
      <c r="V1216" s="193"/>
      <c r="W1216" s="181"/>
      <c r="X1216" s="137"/>
      <c r="Z1216" s="183"/>
      <c r="AA1216" s="183"/>
    </row>
    <row r="1217" spans="1:27" s="182" customFormat="1" ht="15" customHeight="1" thickBot="1">
      <c r="A1217" s="211"/>
      <c r="B1217" s="275" t="s">
        <v>1006</v>
      </c>
      <c r="C1217" s="276"/>
      <c r="D1217" s="277"/>
      <c r="E1217" s="277"/>
      <c r="F1217" s="277"/>
      <c r="G1217" s="277"/>
      <c r="H1217" s="277"/>
      <c r="I1217" s="277"/>
      <c r="J1217" s="278"/>
      <c r="K1217" s="278"/>
      <c r="L1217" s="279"/>
      <c r="M1217" s="277"/>
      <c r="N1217" s="277"/>
      <c r="O1217" s="277"/>
      <c r="P1217" s="277"/>
      <c r="Q1217" s="277"/>
      <c r="R1217" s="277"/>
      <c r="S1217" s="280"/>
      <c r="T1217" s="277"/>
      <c r="U1217" s="277" t="s">
        <v>674</v>
      </c>
      <c r="V1217" s="281" t="s">
        <v>27</v>
      </c>
      <c r="W1217" s="282"/>
      <c r="X1217" s="283"/>
      <c r="Z1217" s="183"/>
      <c r="AA1217" s="183"/>
    </row>
    <row r="1218" spans="1:27" s="182" customFormat="1" ht="15" customHeight="1" thickBot="1">
      <c r="A1218" s="211"/>
      <c r="B1218" s="206"/>
      <c r="C1218" s="129">
        <f>SUMIF(Densidades!A:A,'Memória TOTAL'!X1218,Densidades!B:B)</f>
        <v>0</v>
      </c>
      <c r="D1218" s="130">
        <f>SUMIF(Densidades!A:A,'Memória TOTAL'!X1218,Densidades!C:C)</f>
        <v>0</v>
      </c>
      <c r="E1218" s="130" t="str">
        <f>IF(I1218=15,"FIRECLAY MORTAR",IF(I1218=16,"ALUMINA MORTAR",IF(I1218=17,"BASIC MORTAR",IF(I1218=18,"MORTAR","-"))))</f>
        <v>-</v>
      </c>
      <c r="F1218" s="130" t="str">
        <f>IF(I1218=15,"FIRECLAY MORTAR",IF(I1218=16,"ALUMINA MORTAR",IF(I1218=17,"BASIC MORTAR",IF(I1218=18,"MORTAR","-"))))</f>
        <v>-</v>
      </c>
      <c r="G1218" s="130" t="str">
        <f>IF(I1218=15,"FIRECLAY MORTAR",IF(I1218=16,"ALUMINA MORTAR",IF(I1218=17,"BASIC MORTAR",IF(I1218=18,"MORTAR","-"))))</f>
        <v>-</v>
      </c>
      <c r="H1218" s="130" t="str">
        <f>IF(I1218=15,"FIRECLAY MORTAR",IF(I1218=16,"ALUMINA MORTAR",IF(I1218=17,"BASIC MORTAR",IF(I1218=18,"MORTAR","-"))))</f>
        <v>-</v>
      </c>
      <c r="I1218" s="130">
        <f>SUMIF(Densidades!A:A,'Memória TOTAL'!X1218,Densidades!G:G)</f>
        <v>0</v>
      </c>
      <c r="J1218" s="132">
        <f>SUMIF(Formatos!A:A,'Memória TOTAL'!X1219,Formatos!G:G)</f>
        <v>0</v>
      </c>
      <c r="K1218" s="133">
        <f>SUMIF(Densidades!A:A,'Memória TOTAL'!X1218,Densidades!I:I)</f>
        <v>0</v>
      </c>
      <c r="L1218" s="184">
        <v>0</v>
      </c>
      <c r="M1218" s="185"/>
      <c r="N1218" s="185"/>
      <c r="O1218" s="185"/>
      <c r="P1218" s="185"/>
      <c r="Q1218" s="185"/>
      <c r="R1218" s="185"/>
      <c r="S1218" s="185"/>
      <c r="T1218" s="186"/>
      <c r="U1218" s="286">
        <v>0.06</v>
      </c>
      <c r="V1218" s="188" t="e">
        <f>(W1155*J1155*C1218+W1159*J1159*C1218)*U1218</f>
        <v>#VALUE!</v>
      </c>
      <c r="W1218" s="189" t="str">
        <f>IF(C1218=0,"",ROUNDUP(SUM(V1218:V1219)*(1+L1218),0))</f>
        <v/>
      </c>
      <c r="X1218" s="259"/>
      <c r="Z1218" s="183"/>
      <c r="AA1218" s="183"/>
    </row>
    <row r="1219" spans="1:27" s="182" customFormat="1" ht="15" customHeight="1">
      <c r="A1219" s="211"/>
      <c r="B1219" s="206"/>
      <c r="C1219" s="129"/>
      <c r="D1219" s="191"/>
      <c r="E1219" s="191"/>
      <c r="F1219" s="191"/>
      <c r="G1219" s="191"/>
      <c r="H1219" s="191"/>
      <c r="I1219" s="191"/>
      <c r="J1219" s="192"/>
      <c r="K1219" s="192"/>
      <c r="L1219" s="140"/>
      <c r="M1219" s="191"/>
      <c r="N1219" s="191"/>
      <c r="O1219" s="191"/>
      <c r="P1219" s="191"/>
      <c r="Q1219" s="191"/>
      <c r="R1219" s="191"/>
      <c r="S1219" s="191"/>
      <c r="T1219" s="191"/>
      <c r="U1219" s="191"/>
      <c r="V1219" s="193"/>
      <c r="W1219" s="181"/>
      <c r="X1219" s="137" t="str">
        <f>IF(AND(H1218="-",G1218="-",F1218="-"),E1218,IF(AND(H1218="-",G1218="-",E1218="-"),F1218,IF(AND(H1218="-",F1218="-",E1218="-"),G1218,H1218)))</f>
        <v>-</v>
      </c>
      <c r="Z1219" s="183"/>
      <c r="AA1219" s="183"/>
    </row>
    <row r="1220" spans="1:27" s="182" customFormat="1" ht="15" customHeight="1">
      <c r="A1220" s="211"/>
      <c r="B1220" s="209"/>
      <c r="C1220" s="129"/>
      <c r="D1220" s="191"/>
      <c r="E1220" s="191"/>
      <c r="F1220" s="191"/>
      <c r="G1220" s="191"/>
      <c r="H1220" s="191"/>
      <c r="I1220" s="191"/>
      <c r="J1220" s="192"/>
      <c r="K1220" s="192"/>
      <c r="L1220" s="140"/>
      <c r="M1220" s="191"/>
      <c r="N1220" s="191"/>
      <c r="O1220" s="191"/>
      <c r="P1220" s="191"/>
      <c r="Q1220" s="191"/>
      <c r="R1220" s="191"/>
      <c r="S1220" s="191"/>
      <c r="T1220" s="191"/>
      <c r="U1220" s="191"/>
      <c r="V1220" s="193"/>
      <c r="W1220" s="181"/>
      <c r="X1220" s="137" t="s">
        <v>2</v>
      </c>
      <c r="Z1220" s="183"/>
      <c r="AA1220" s="183"/>
    </row>
    <row r="1221" spans="1:27" ht="15" customHeight="1">
      <c r="A1221" s="211"/>
      <c r="B1221" s="127"/>
      <c r="C1221" s="165"/>
      <c r="D1221" s="166"/>
      <c r="E1221" s="166"/>
      <c r="F1221" s="166"/>
      <c r="G1221" s="166"/>
      <c r="H1221" s="166"/>
      <c r="I1221" s="166"/>
      <c r="J1221" s="167"/>
      <c r="K1221" s="167"/>
      <c r="L1221" s="168"/>
      <c r="M1221" s="166"/>
      <c r="N1221" s="166"/>
      <c r="O1221" s="166"/>
      <c r="P1221" s="166"/>
      <c r="Q1221" s="166"/>
      <c r="R1221" s="166"/>
      <c r="S1221" s="166"/>
      <c r="T1221" s="166"/>
      <c r="U1221" s="166"/>
      <c r="V1221" s="169"/>
      <c r="W1221" s="170"/>
      <c r="X1221" s="171"/>
    </row>
    <row r="1222" spans="1:27" s="182" customFormat="1" ht="15" customHeight="1" thickBot="1">
      <c r="A1222" s="211"/>
      <c r="B1222" s="275" t="s">
        <v>1007</v>
      </c>
      <c r="C1222" s="276"/>
      <c r="D1222" s="277"/>
      <c r="E1222" s="277"/>
      <c r="F1222" s="277"/>
      <c r="G1222" s="277"/>
      <c r="H1222" s="277"/>
      <c r="I1222" s="277"/>
      <c r="J1222" s="278"/>
      <c r="K1222" s="278"/>
      <c r="L1222" s="279"/>
      <c r="M1222" s="277"/>
      <c r="N1222" s="277"/>
      <c r="O1222" s="277"/>
      <c r="P1222" s="277"/>
      <c r="Q1222" s="277"/>
      <c r="R1222" s="277" t="s">
        <v>632</v>
      </c>
      <c r="S1222" s="280" t="s">
        <v>633</v>
      </c>
      <c r="T1222" s="277" t="s">
        <v>634</v>
      </c>
      <c r="U1222" s="277" t="s">
        <v>38</v>
      </c>
      <c r="V1222" s="281" t="s">
        <v>27</v>
      </c>
      <c r="W1222" s="282"/>
      <c r="X1222" s="283"/>
      <c r="Z1222" s="183"/>
      <c r="AA1222" s="183"/>
    </row>
    <row r="1223" spans="1:27" s="182" customFormat="1" ht="15" customHeight="1" thickBot="1">
      <c r="A1223" s="211"/>
      <c r="B1223" s="206"/>
      <c r="C1223" s="129">
        <f>SUMIF(Densidades!A:A,'Memória TOTAL'!X1223,Densidades!B:B)</f>
        <v>0</v>
      </c>
      <c r="D1223" s="130">
        <f>SUMIF(Densidades!A:A,'Memória TOTAL'!X1223,Densidades!C:C)</f>
        <v>0</v>
      </c>
      <c r="E1223" s="130" t="str">
        <f>IF(I1223=15,"FIRECLAY MORTAR",IF(I1223=16,"ALUMINA MORTAR",IF(I1223=17,"BASIC MORTAR",IF(I1223=18,"MORTAR","-"))))</f>
        <v>-</v>
      </c>
      <c r="F1223" s="130" t="str">
        <f>IF(I1223=15,"FIRECLAY MORTAR",IF(I1223=16,"ALUMINA MORTAR",IF(I1223=17,"BASIC MORTAR",IF(I1223=18,"MORTAR","-"))))</f>
        <v>-</v>
      </c>
      <c r="G1223" s="130" t="str">
        <f>IF(I1223=15,"FIRECLAY MORTAR",IF(I1223=16,"ALUMINA MORTAR",IF(I1223=17,"BASIC MORTAR",IF(I1223=18,"MORTAR","-"))))</f>
        <v>-</v>
      </c>
      <c r="H1223" s="130" t="str">
        <f>IF(I1223=15,"FIRECLAY MORTAR",IF(I1223=16,"ALUMINA MORTAR",IF(I1223=17,"BASIC MORTAR",IF(I1223=18,"MORTAR","-"))))</f>
        <v>-</v>
      </c>
      <c r="I1223" s="130">
        <f>SUMIF(Densidades!A:A,'Memória TOTAL'!X1223,Densidades!G:G)</f>
        <v>0</v>
      </c>
      <c r="J1223" s="132">
        <f>SUMIF(Formatos!A:A,'Memória TOTAL'!X1224,Formatos!G:G)</f>
        <v>0</v>
      </c>
      <c r="K1223" s="218">
        <f>SUMIF(Densidades!A:A,'Memória TOTAL'!X1223,Densidades!I:I)</f>
        <v>0</v>
      </c>
      <c r="L1223" s="184">
        <v>0</v>
      </c>
      <c r="M1223" s="185"/>
      <c r="N1223" s="185"/>
      <c r="O1223" s="185"/>
      <c r="P1223" s="185"/>
      <c r="Q1223" s="185"/>
      <c r="R1223" s="186">
        <f>((G1155*H1155)+(G1155*E1155)+(H1155*E1155))/1000000</f>
        <v>0</v>
      </c>
      <c r="S1223" s="255">
        <v>2</v>
      </c>
      <c r="T1223" s="186">
        <f>R1223*S1223</f>
        <v>0</v>
      </c>
      <c r="U1223" s="187" t="e">
        <f>SUM(W1155:W1160)</f>
        <v>#VALUE!</v>
      </c>
      <c r="V1223" s="188" t="e">
        <f>(T1223*C1223*(1+L1223))*U1223</f>
        <v>#VALUE!</v>
      </c>
      <c r="W1223" s="189" t="str">
        <f>IF(C1223=0,"",ROUNDUP(SUM(V1223:V1224)*(1+L1223),0))</f>
        <v/>
      </c>
      <c r="X1223" s="259"/>
      <c r="Z1223" s="183"/>
      <c r="AA1223" s="183"/>
    </row>
    <row r="1224" spans="1:27" s="182" customFormat="1" ht="15" customHeight="1">
      <c r="A1224" s="211"/>
      <c r="B1224" s="206"/>
      <c r="C1224" s="129"/>
      <c r="D1224" s="191"/>
      <c r="E1224" s="191"/>
      <c r="F1224" s="191"/>
      <c r="G1224" s="191"/>
      <c r="H1224" s="191"/>
      <c r="I1224" s="191"/>
      <c r="J1224" s="192"/>
      <c r="K1224" s="192"/>
      <c r="L1224" s="140"/>
      <c r="M1224" s="191"/>
      <c r="N1224" s="191"/>
      <c r="O1224" s="191"/>
      <c r="P1224" s="191"/>
      <c r="Q1224" s="191"/>
      <c r="R1224" s="191"/>
      <c r="S1224" s="191"/>
      <c r="T1224" s="191"/>
      <c r="U1224" s="191"/>
      <c r="V1224" s="193"/>
      <c r="W1224" s="181"/>
      <c r="X1224" s="137" t="str">
        <f>IF(AND(H1223="-",G1223="-",F1223="-"),E1223,IF(AND(H1223="-",G1223="-",E1223="-"),F1223,IF(AND(H1223="-",F1223="-",E1223="-"),G1223,H1223)))</f>
        <v>-</v>
      </c>
      <c r="Z1224" s="183"/>
      <c r="AA1224" s="183"/>
    </row>
    <row r="1225" spans="1:27" s="182" customFormat="1" ht="15" customHeight="1">
      <c r="A1225" s="211"/>
      <c r="B1225" s="209"/>
      <c r="C1225" s="129"/>
      <c r="D1225" s="191"/>
      <c r="E1225" s="191"/>
      <c r="F1225" s="191"/>
      <c r="G1225" s="191"/>
      <c r="H1225" s="191"/>
      <c r="I1225" s="191"/>
      <c r="J1225" s="192"/>
      <c r="K1225" s="192"/>
      <c r="L1225" s="140"/>
      <c r="M1225" s="191"/>
      <c r="N1225" s="191"/>
      <c r="O1225" s="191"/>
      <c r="P1225" s="191"/>
      <c r="Q1225" s="191"/>
      <c r="R1225" s="191"/>
      <c r="S1225" s="191"/>
      <c r="T1225" s="191"/>
      <c r="U1225" s="191"/>
      <c r="V1225" s="193"/>
      <c r="W1225" s="181"/>
      <c r="X1225" s="137" t="s">
        <v>2</v>
      </c>
      <c r="Z1225" s="183"/>
      <c r="AA1225" s="183"/>
    </row>
    <row r="1226" spans="1:27" s="182" customFormat="1" ht="15" customHeight="1">
      <c r="A1226" s="211"/>
      <c r="B1226" s="206"/>
      <c r="C1226" s="294"/>
      <c r="D1226" s="191"/>
      <c r="E1226" s="191"/>
      <c r="F1226" s="191"/>
      <c r="G1226" s="191"/>
      <c r="H1226" s="191"/>
      <c r="I1226" s="191"/>
      <c r="J1226" s="192"/>
      <c r="K1226" s="192"/>
      <c r="L1226" s="140"/>
      <c r="M1226" s="191"/>
      <c r="N1226" s="191"/>
      <c r="O1226" s="191"/>
      <c r="P1226" s="191"/>
      <c r="Q1226" s="191"/>
      <c r="R1226" s="191"/>
      <c r="S1226" s="191"/>
      <c r="T1226" s="191"/>
      <c r="U1226" s="191"/>
      <c r="V1226" s="193"/>
      <c r="W1226" s="181"/>
      <c r="X1226" s="137"/>
      <c r="Z1226" s="183"/>
      <c r="AA1226" s="183"/>
    </row>
    <row r="1227" spans="1:27" s="182" customFormat="1" ht="15" customHeight="1" thickBot="1">
      <c r="A1227" s="211"/>
      <c r="B1227" s="505"/>
      <c r="C1227" s="505"/>
      <c r="D1227" s="508"/>
      <c r="E1227" s="508"/>
      <c r="F1227" s="508"/>
      <c r="G1227" s="508"/>
      <c r="H1227" s="508"/>
      <c r="I1227" s="508"/>
      <c r="J1227" s="508"/>
      <c r="K1227" s="508"/>
      <c r="L1227" s="508"/>
      <c r="M1227" s="508"/>
      <c r="N1227" s="508"/>
      <c r="O1227" s="508"/>
      <c r="P1227" s="508"/>
      <c r="Q1227" s="508"/>
      <c r="R1227" s="508"/>
      <c r="S1227" s="508"/>
      <c r="T1227" s="508"/>
      <c r="U1227" s="508"/>
      <c r="V1227" s="508"/>
      <c r="W1227" s="508"/>
      <c r="X1227" s="509"/>
      <c r="Z1227" s="183"/>
      <c r="AA1227" s="183"/>
    </row>
    <row r="1228" spans="1:27" ht="15" customHeight="1" thickBot="1">
      <c r="A1228" s="210"/>
      <c r="B1228" s="268" t="str">
        <f>IF(X1229="","BLANKET/FELT/PAPER (pcs)",X1229)</f>
        <v>BLANKET/FELT/PAPER (pcs)</v>
      </c>
      <c r="C1228" s="269" t="s">
        <v>101</v>
      </c>
      <c r="D1228" s="270" t="s">
        <v>102</v>
      </c>
      <c r="E1228" s="270" t="s">
        <v>42</v>
      </c>
      <c r="F1228" s="270" t="s">
        <v>42</v>
      </c>
      <c r="G1228" s="270" t="s">
        <v>43</v>
      </c>
      <c r="H1228" s="270" t="s">
        <v>44</v>
      </c>
      <c r="I1228" s="270" t="s">
        <v>47</v>
      </c>
      <c r="J1228" s="270" t="s">
        <v>103</v>
      </c>
      <c r="K1228" s="270" t="s">
        <v>37</v>
      </c>
      <c r="L1228" s="270" t="s">
        <v>39</v>
      </c>
      <c r="M1228" s="270" t="s">
        <v>41</v>
      </c>
      <c r="N1228" s="270" t="s">
        <v>46</v>
      </c>
      <c r="O1228" s="270"/>
      <c r="P1228" s="270" t="s">
        <v>113</v>
      </c>
      <c r="Q1228" s="270"/>
      <c r="R1228" s="270"/>
      <c r="S1228" s="270" t="s">
        <v>70</v>
      </c>
      <c r="T1228" s="270" t="s">
        <v>26</v>
      </c>
      <c r="U1228" s="270" t="s">
        <v>38</v>
      </c>
      <c r="V1228" s="271" t="s">
        <v>27</v>
      </c>
      <c r="W1228" s="272"/>
      <c r="X1228" s="273"/>
    </row>
    <row r="1229" spans="1:27" ht="15" customHeight="1" thickBot="1">
      <c r="A1229" s="210"/>
      <c r="B1229" s="206"/>
      <c r="C1229" s="129">
        <f>SUMIF(Densidades!A:A,'Memória TOTAL'!X1229,Densidades!B:B)</f>
        <v>0</v>
      </c>
      <c r="D1229" s="130">
        <f>SUMIF(Densidades!A:A,'Memória TOTAL'!X1229,Densidades!C:C)</f>
        <v>0</v>
      </c>
      <c r="E1229" s="131">
        <f>SUMIF(Formatos!A:A,'Memória TOTAL'!X1230,Formatos!E:E)</f>
        <v>0</v>
      </c>
      <c r="F1229" s="131">
        <f>SUMIF(Formatos!A:A,'Memória TOTAL'!X1230,Formatos!F:F)</f>
        <v>0</v>
      </c>
      <c r="G1229" s="131">
        <f>SUMIF(Formatos!A:A,'Memória TOTAL'!X1230,Formatos!C:C)</f>
        <v>0</v>
      </c>
      <c r="H1229" s="131">
        <f>SUMIF(Formatos!A:A,'Memória TOTAL'!X1230,Formatos!D:D)</f>
        <v>0</v>
      </c>
      <c r="I1229" s="131">
        <f>SUMIF(Densidades!A:A,'Memória TOTAL'!X1229,Densidades!H:H)</f>
        <v>0</v>
      </c>
      <c r="J1229" s="132">
        <f>SUMIF(Formatos!A:A,'Memória TOTAL'!X1230,Formatos!G:G)</f>
        <v>0</v>
      </c>
      <c r="K1229" s="133">
        <f>SUMIF(Densidades!A:A,'Memória TOTAL'!X1229,Densidades!I:I)</f>
        <v>0</v>
      </c>
      <c r="L1229" s="134">
        <v>0</v>
      </c>
      <c r="M1229" s="135"/>
      <c r="N1229" s="253"/>
      <c r="O1229" s="135"/>
      <c r="P1229" s="135"/>
      <c r="Q1229" s="135"/>
      <c r="R1229" s="135"/>
      <c r="S1229" s="135"/>
      <c r="T1229" s="135"/>
      <c r="U1229" s="135"/>
      <c r="V1229" s="141"/>
      <c r="W1229" s="189" t="str">
        <f>IF(C1229=0,"",ROUNDUP(SUM(V1231:V1234)*(1+L1229),0))</f>
        <v/>
      </c>
      <c r="X1229" s="259"/>
    </row>
    <row r="1230" spans="1:27" ht="15" customHeight="1" thickBot="1">
      <c r="A1230" s="210"/>
      <c r="B1230" s="207"/>
      <c r="C1230" s="138"/>
      <c r="D1230" s="135"/>
      <c r="E1230" s="131">
        <f t="shared" ref="E1230:K1230" si="215">E1229</f>
        <v>0</v>
      </c>
      <c r="F1230" s="131">
        <f t="shared" si="215"/>
        <v>0</v>
      </c>
      <c r="G1230" s="131">
        <f t="shared" si="215"/>
        <v>0</v>
      </c>
      <c r="H1230" s="131">
        <f t="shared" si="215"/>
        <v>0</v>
      </c>
      <c r="I1230" s="131">
        <f t="shared" si="215"/>
        <v>0</v>
      </c>
      <c r="J1230" s="131">
        <f t="shared" si="215"/>
        <v>0</v>
      </c>
      <c r="K1230" s="133">
        <f t="shared" si="215"/>
        <v>0</v>
      </c>
      <c r="L1230" s="140"/>
      <c r="M1230" s="135"/>
      <c r="N1230" s="131">
        <f>N1229</f>
        <v>0</v>
      </c>
      <c r="O1230" s="135"/>
      <c r="P1230" s="135"/>
      <c r="Q1230" s="135"/>
      <c r="R1230" s="135"/>
      <c r="S1230" s="135"/>
      <c r="T1230" s="135"/>
      <c r="U1230" s="135"/>
      <c r="V1230" s="141"/>
      <c r="W1230" s="142"/>
      <c r="X1230" s="259"/>
    </row>
    <row r="1231" spans="1:27" ht="15" customHeight="1" thickBot="1">
      <c r="A1231" s="210"/>
      <c r="B1231" s="208" t="s">
        <v>71</v>
      </c>
      <c r="C1231" s="138"/>
      <c r="D1231" s="135"/>
      <c r="E1231" s="131">
        <f t="shared" ref="E1231:K1231" si="216">E1230</f>
        <v>0</v>
      </c>
      <c r="F1231" s="131">
        <f t="shared" si="216"/>
        <v>0</v>
      </c>
      <c r="G1231" s="131">
        <f t="shared" si="216"/>
        <v>0</v>
      </c>
      <c r="H1231" s="131">
        <f t="shared" si="216"/>
        <v>0</v>
      </c>
      <c r="I1231" s="131">
        <f t="shared" si="216"/>
        <v>0</v>
      </c>
      <c r="J1231" s="131">
        <f t="shared" si="216"/>
        <v>0</v>
      </c>
      <c r="K1231" s="133">
        <f t="shared" si="216"/>
        <v>0</v>
      </c>
      <c r="L1231" s="140"/>
      <c r="M1231" s="135"/>
      <c r="N1231" s="131">
        <f>N1230</f>
        <v>0</v>
      </c>
      <c r="O1231" s="135"/>
      <c r="P1231" s="135"/>
      <c r="Q1231" s="135"/>
      <c r="R1231" s="135"/>
      <c r="S1231" s="135"/>
      <c r="T1231" s="135"/>
      <c r="U1231" s="191"/>
      <c r="V1231" s="141"/>
      <c r="W1231" s="142"/>
      <c r="X1231" s="143" t="s">
        <v>520</v>
      </c>
    </row>
    <row r="1232" spans="1:27" ht="15" customHeight="1" thickBot="1">
      <c r="A1232" s="210"/>
      <c r="B1232" s="202"/>
      <c r="C1232" s="155"/>
      <c r="D1232" s="156"/>
      <c r="E1232" s="172">
        <f t="shared" ref="E1232:K1232" si="217">E1231</f>
        <v>0</v>
      </c>
      <c r="F1232" s="172">
        <f t="shared" si="217"/>
        <v>0</v>
      </c>
      <c r="G1232" s="172">
        <f t="shared" si="217"/>
        <v>0</v>
      </c>
      <c r="H1232" s="172">
        <f t="shared" si="217"/>
        <v>0</v>
      </c>
      <c r="I1232" s="172">
        <f t="shared" si="217"/>
        <v>0</v>
      </c>
      <c r="J1232" s="172">
        <f t="shared" si="217"/>
        <v>0</v>
      </c>
      <c r="K1232" s="173">
        <f t="shared" si="217"/>
        <v>0</v>
      </c>
      <c r="L1232" s="158"/>
      <c r="M1232" s="156"/>
      <c r="N1232" s="172">
        <f>N1231</f>
        <v>0</v>
      </c>
      <c r="O1232" s="156"/>
      <c r="P1232" s="253"/>
      <c r="Q1232" s="156"/>
      <c r="R1232" s="156"/>
      <c r="S1232" s="253"/>
      <c r="T1232" s="174" t="str">
        <f>IF(S1232="","-",IF(COUNTIF(E1232:H1232,P1232)&lt;1,"Esp. Errada",ROUNDUP(S1232/((G1232+N1232)*(H1232+N1232)*((E1232+N1232)+(F1232+N1232))/2/(P1232+N1232)),2)))</f>
        <v>-</v>
      </c>
      <c r="U1232" s="253"/>
      <c r="V1232" s="175">
        <f>IF(S1232="",0,IF(OR(P1232=E1232,P1232=G1232,P1232=H1232),T1232*U1232,"ESP. ERRADA"))</f>
        <v>0</v>
      </c>
      <c r="W1232" s="176"/>
      <c r="X1232" s="177"/>
    </row>
    <row r="1233" spans="1:27" s="182" customFormat="1" ht="15" customHeight="1" thickBot="1">
      <c r="A1233" s="210"/>
      <c r="B1233" s="202"/>
      <c r="C1233" s="220"/>
      <c r="D1233" s="197"/>
      <c r="E1233" s="172">
        <f t="shared" ref="E1233:K1233" si="218">E1231</f>
        <v>0</v>
      </c>
      <c r="F1233" s="172">
        <f t="shared" si="218"/>
        <v>0</v>
      </c>
      <c r="G1233" s="172">
        <f t="shared" si="218"/>
        <v>0</v>
      </c>
      <c r="H1233" s="172">
        <f t="shared" si="218"/>
        <v>0</v>
      </c>
      <c r="I1233" s="172">
        <f t="shared" si="218"/>
        <v>0</v>
      </c>
      <c r="J1233" s="172">
        <f t="shared" si="218"/>
        <v>0</v>
      </c>
      <c r="K1233" s="221">
        <f t="shared" si="218"/>
        <v>0</v>
      </c>
      <c r="L1233" s="158"/>
      <c r="M1233" s="266"/>
      <c r="N1233" s="172">
        <f>N1231</f>
        <v>0</v>
      </c>
      <c r="O1233" s="197"/>
      <c r="P1233" s="253"/>
      <c r="Q1233" s="197"/>
      <c r="R1233" s="197"/>
      <c r="S1233" s="197"/>
      <c r="T1233" s="223" t="str">
        <f>IF(M1233="","-",IF(COUNTIF(E1233:H1233,P1233)&lt;1,"Esp. Errada",ROUNDUP(M1233/IF(G1233=P1233,G1233,(G1233+N1233))/IF(H1233=P1233,H1233,(H1233+N1233))/IF(E1233=P1233,E1233,(E1233+N1233)),2)))</f>
        <v>-</v>
      </c>
      <c r="U1233" s="253"/>
      <c r="V1233" s="175">
        <f>IF(M1233="",0,IF(OR(P1233=E1233,P1233=G1233,P1233=H1233),T1233*U1233,"ESP. ERRADA"))</f>
        <v>0</v>
      </c>
      <c r="W1233" s="225"/>
      <c r="X1233" s="226"/>
      <c r="Z1233" s="183"/>
      <c r="AA1233" s="183"/>
    </row>
    <row r="1234" spans="1:27" s="182" customFormat="1" ht="15" customHeight="1">
      <c r="A1234" s="211"/>
      <c r="B1234" s="206"/>
      <c r="C1234" s="196"/>
      <c r="D1234" s="191"/>
      <c r="E1234" s="191"/>
      <c r="F1234" s="191"/>
      <c r="G1234" s="191"/>
      <c r="H1234" s="191"/>
      <c r="I1234" s="191"/>
      <c r="J1234" s="192"/>
      <c r="K1234" s="192"/>
      <c r="L1234" s="140"/>
      <c r="M1234" s="191"/>
      <c r="N1234" s="191"/>
      <c r="O1234" s="191"/>
      <c r="P1234" s="191"/>
      <c r="Q1234" s="191"/>
      <c r="R1234" s="191"/>
      <c r="S1234" s="191"/>
      <c r="T1234" s="191"/>
      <c r="U1234" s="191"/>
      <c r="V1234" s="193"/>
      <c r="W1234" s="181"/>
      <c r="X1234" s="137"/>
      <c r="Z1234" s="183"/>
      <c r="AA1234" s="183"/>
    </row>
    <row r="1235" spans="1:27" s="182" customFormat="1" ht="15" customHeight="1" thickBot="1">
      <c r="A1235" s="211"/>
      <c r="B1235" s="505"/>
      <c r="C1235" s="505"/>
      <c r="D1235" s="508"/>
      <c r="E1235" s="508"/>
      <c r="F1235" s="508"/>
      <c r="G1235" s="508"/>
      <c r="H1235" s="508"/>
      <c r="I1235" s="508"/>
      <c r="J1235" s="508"/>
      <c r="K1235" s="508"/>
      <c r="L1235" s="508"/>
      <c r="M1235" s="508"/>
      <c r="N1235" s="508"/>
      <c r="O1235" s="508"/>
      <c r="P1235" s="508"/>
      <c r="Q1235" s="508"/>
      <c r="R1235" s="508"/>
      <c r="S1235" s="508"/>
      <c r="T1235" s="508"/>
      <c r="U1235" s="508"/>
      <c r="V1235" s="508"/>
      <c r="W1235" s="508"/>
      <c r="X1235" s="509"/>
      <c r="Z1235" s="183"/>
      <c r="AA1235" s="183"/>
    </row>
    <row r="1236" spans="1:27" ht="15" customHeight="1" thickBot="1">
      <c r="A1236" s="210"/>
      <c r="B1236" s="268" t="str">
        <f>IF(X1237="","JOINT PANEL (pcs)",X1237)</f>
        <v>JOINT PANEL (pcs)</v>
      </c>
      <c r="C1236" s="269" t="s">
        <v>101</v>
      </c>
      <c r="D1236" s="270" t="s">
        <v>102</v>
      </c>
      <c r="E1236" s="270" t="s">
        <v>42</v>
      </c>
      <c r="F1236" s="270" t="s">
        <v>42</v>
      </c>
      <c r="G1236" s="270" t="s">
        <v>43</v>
      </c>
      <c r="H1236" s="270" t="s">
        <v>44</v>
      </c>
      <c r="I1236" s="270" t="s">
        <v>47</v>
      </c>
      <c r="J1236" s="270" t="s">
        <v>103</v>
      </c>
      <c r="K1236" s="270" t="s">
        <v>37</v>
      </c>
      <c r="L1236" s="270" t="s">
        <v>39</v>
      </c>
      <c r="M1236" s="270"/>
      <c r="N1236" s="270"/>
      <c r="O1236" s="270"/>
      <c r="P1236" s="179" t="s">
        <v>1091</v>
      </c>
      <c r="Q1236" s="270" t="s">
        <v>107</v>
      </c>
      <c r="R1236" s="179" t="s">
        <v>65</v>
      </c>
      <c r="S1236" s="270" t="s">
        <v>70</v>
      </c>
      <c r="T1236" s="270" t="s">
        <v>26</v>
      </c>
      <c r="U1236" s="270" t="s">
        <v>38</v>
      </c>
      <c r="V1236" s="271" t="s">
        <v>27</v>
      </c>
      <c r="W1236" s="272"/>
      <c r="X1236" s="273"/>
    </row>
    <row r="1237" spans="1:27" ht="15" customHeight="1" thickBot="1">
      <c r="A1237" s="210"/>
      <c r="B1237" s="206"/>
      <c r="C1237" s="129">
        <f>SUMIF(Densidades!A:A,'Memória TOTAL'!X1237,Densidades!B:B)</f>
        <v>0</v>
      </c>
      <c r="D1237" s="130">
        <f>SUMIF(Densidades!A:A,'Memória TOTAL'!X1237,Densidades!C:C)</f>
        <v>0</v>
      </c>
      <c r="E1237" s="131">
        <f>SUMIF(Formatos!A:A,'Memória TOTAL'!X1238,Formatos!E:E)</f>
        <v>0</v>
      </c>
      <c r="F1237" s="131">
        <f>SUMIF(Formatos!A:A,'Memória TOTAL'!X1238,Formatos!F:F)</f>
        <v>0</v>
      </c>
      <c r="G1237" s="131">
        <f>SUMIF(Formatos!A:A,'Memória TOTAL'!X1238,Formatos!C:C)</f>
        <v>0</v>
      </c>
      <c r="H1237" s="131">
        <f>SUMIF(Formatos!A:A,'Memória TOTAL'!X1238,Formatos!D:D)</f>
        <v>0</v>
      </c>
      <c r="I1237" s="131">
        <f>SUMIF(Densidades!A:A,'Memória TOTAL'!X1237,Densidades!H:H)</f>
        <v>0</v>
      </c>
      <c r="J1237" s="132">
        <f>SUMIF(Formatos!A:A,'Memória TOTAL'!X1238,Formatos!G:G)</f>
        <v>0</v>
      </c>
      <c r="K1237" s="133">
        <f>SUMIF(Densidades!A:A,'Memória TOTAL'!X1237,Densidades!I:I)</f>
        <v>0</v>
      </c>
      <c r="L1237" s="134">
        <v>0</v>
      </c>
      <c r="M1237" s="135"/>
      <c r="N1237" s="135"/>
      <c r="O1237" s="135"/>
      <c r="P1237" s="135"/>
      <c r="Q1237" s="135"/>
      <c r="R1237" s="135"/>
      <c r="S1237" s="135"/>
      <c r="T1237" s="135"/>
      <c r="U1237" s="135"/>
      <c r="V1237" s="141"/>
      <c r="W1237" s="189" t="str">
        <f>IF(C1237=0,"",ROUNDUP(SUM(V1239:V1241)*(1+L1237),0))</f>
        <v/>
      </c>
      <c r="X1237" s="259"/>
    </row>
    <row r="1238" spans="1:27" ht="15" customHeight="1" thickBot="1">
      <c r="A1238" s="210"/>
      <c r="B1238" s="207"/>
      <c r="C1238" s="138"/>
      <c r="D1238" s="135"/>
      <c r="E1238" s="131">
        <f t="shared" ref="E1238:K1238" si="219">E1237</f>
        <v>0</v>
      </c>
      <c r="F1238" s="131">
        <f t="shared" si="219"/>
        <v>0</v>
      </c>
      <c r="G1238" s="131">
        <f t="shared" si="219"/>
        <v>0</v>
      </c>
      <c r="H1238" s="131">
        <f t="shared" si="219"/>
        <v>0</v>
      </c>
      <c r="I1238" s="131">
        <f t="shared" si="219"/>
        <v>0</v>
      </c>
      <c r="J1238" s="131">
        <f t="shared" si="219"/>
        <v>0</v>
      </c>
      <c r="K1238" s="133">
        <f t="shared" si="219"/>
        <v>0</v>
      </c>
      <c r="L1238" s="140"/>
      <c r="M1238" s="135"/>
      <c r="N1238" s="131"/>
      <c r="O1238" s="135"/>
      <c r="P1238" s="135"/>
      <c r="Q1238" s="135"/>
      <c r="R1238" s="135"/>
      <c r="S1238" s="135"/>
      <c r="T1238" s="135"/>
      <c r="U1238" s="135"/>
      <c r="V1238" s="141"/>
      <c r="W1238" s="142"/>
      <c r="X1238" s="259"/>
    </row>
    <row r="1239" spans="1:27" ht="15" customHeight="1" thickBot="1">
      <c r="A1239" s="210"/>
      <c r="B1239" s="208" t="s">
        <v>71</v>
      </c>
      <c r="C1239" s="138"/>
      <c r="D1239" s="135"/>
      <c r="E1239" s="131">
        <f t="shared" ref="E1239:K1239" si="220">E1238</f>
        <v>0</v>
      </c>
      <c r="F1239" s="131">
        <f t="shared" si="220"/>
        <v>0</v>
      </c>
      <c r="G1239" s="131">
        <f t="shared" si="220"/>
        <v>0</v>
      </c>
      <c r="H1239" s="131">
        <f t="shared" si="220"/>
        <v>0</v>
      </c>
      <c r="I1239" s="131">
        <f t="shared" si="220"/>
        <v>0</v>
      </c>
      <c r="J1239" s="131">
        <f t="shared" si="220"/>
        <v>0</v>
      </c>
      <c r="K1239" s="133">
        <f t="shared" si="220"/>
        <v>0</v>
      </c>
      <c r="L1239" s="140"/>
      <c r="M1239" s="135"/>
      <c r="N1239" s="131"/>
      <c r="O1239" s="135"/>
      <c r="P1239" s="135"/>
      <c r="Q1239" s="135"/>
      <c r="R1239" s="135"/>
      <c r="S1239" s="135"/>
      <c r="T1239" s="135"/>
      <c r="U1239" s="191" t="s">
        <v>669</v>
      </c>
      <c r="V1239" s="141"/>
      <c r="W1239" s="142"/>
      <c r="X1239" s="143" t="s">
        <v>520</v>
      </c>
    </row>
    <row r="1240" spans="1:27" ht="15" customHeight="1" thickBot="1">
      <c r="A1240" s="210"/>
      <c r="B1240" s="202"/>
      <c r="C1240" s="155"/>
      <c r="D1240" s="156"/>
      <c r="E1240" s="172">
        <f t="shared" ref="E1240:K1240" si="221">E1239</f>
        <v>0</v>
      </c>
      <c r="F1240" s="172">
        <f t="shared" si="221"/>
        <v>0</v>
      </c>
      <c r="G1240" s="172">
        <f t="shared" si="221"/>
        <v>0</v>
      </c>
      <c r="H1240" s="172">
        <f t="shared" si="221"/>
        <v>0</v>
      </c>
      <c r="I1240" s="172">
        <f t="shared" si="221"/>
        <v>0</v>
      </c>
      <c r="J1240" s="172">
        <f t="shared" si="221"/>
        <v>0</v>
      </c>
      <c r="K1240" s="173">
        <f t="shared" si="221"/>
        <v>0</v>
      </c>
      <c r="L1240" s="158"/>
      <c r="M1240" s="156"/>
      <c r="N1240" s="172"/>
      <c r="O1240" s="156"/>
      <c r="P1240" s="253"/>
      <c r="Q1240" s="156"/>
      <c r="R1240" s="253"/>
      <c r="S1240" s="253"/>
      <c r="T1240" s="223" t="e">
        <f>ROUNDUP((((S1240/P1240/P1240)*(P1240*2)*R1240)/G1240/H1240),2)</f>
        <v>#DIV/0!</v>
      </c>
      <c r="U1240" s="253"/>
      <c r="V1240" s="175" t="e">
        <f>U1240*T1240</f>
        <v>#DIV/0!</v>
      </c>
      <c r="W1240" s="176"/>
      <c r="X1240" s="177"/>
    </row>
    <row r="1241" spans="1:27" s="182" customFormat="1" ht="15" customHeight="1">
      <c r="A1241" s="211"/>
      <c r="B1241" s="206"/>
      <c r="C1241" s="196"/>
      <c r="D1241" s="191"/>
      <c r="E1241" s="191"/>
      <c r="F1241" s="191"/>
      <c r="G1241" s="191"/>
      <c r="H1241" s="191"/>
      <c r="I1241" s="191"/>
      <c r="J1241" s="192"/>
      <c r="K1241" s="192"/>
      <c r="L1241" s="140"/>
      <c r="M1241" s="191"/>
      <c r="N1241" s="191"/>
      <c r="O1241" s="191"/>
      <c r="P1241" s="191"/>
      <c r="Q1241" s="191"/>
      <c r="R1241" s="191"/>
      <c r="S1241" s="191"/>
      <c r="T1241" s="191"/>
      <c r="U1241" s="191"/>
      <c r="V1241" s="193"/>
      <c r="W1241" s="181"/>
      <c r="X1241" s="137"/>
      <c r="Z1241" s="183"/>
      <c r="AA1241" s="183"/>
    </row>
    <row r="1242" spans="1:27" s="182" customFormat="1" ht="15" customHeight="1" thickBot="1">
      <c r="A1242" s="211"/>
      <c r="B1242" s="505"/>
      <c r="C1242" s="505"/>
      <c r="D1242" s="508"/>
      <c r="E1242" s="508"/>
      <c r="F1242" s="508"/>
      <c r="G1242" s="508"/>
      <c r="H1242" s="508"/>
      <c r="I1242" s="508"/>
      <c r="J1242" s="508"/>
      <c r="K1242" s="508"/>
      <c r="L1242" s="508"/>
      <c r="M1242" s="508"/>
      <c r="N1242" s="508"/>
      <c r="O1242" s="508"/>
      <c r="P1242" s="508"/>
      <c r="Q1242" s="508"/>
      <c r="R1242" s="508"/>
      <c r="S1242" s="508"/>
      <c r="T1242" s="508"/>
      <c r="U1242" s="508"/>
      <c r="V1242" s="508"/>
      <c r="W1242" s="508"/>
      <c r="X1242" s="509"/>
      <c r="Z1242" s="183"/>
      <c r="AA1242" s="183"/>
    </row>
    <row r="1243" spans="1:27" s="182" customFormat="1" ht="15" customHeight="1" thickBot="1">
      <c r="A1243" s="210"/>
      <c r="B1243" s="198" t="str">
        <f>IF(X1244="","FIBRA",X1244)</f>
        <v>CER. FIBER WOOL 96/1260</v>
      </c>
      <c r="C1243" s="215" t="s">
        <v>101</v>
      </c>
      <c r="D1243" s="179" t="s">
        <v>102</v>
      </c>
      <c r="E1243" s="179"/>
      <c r="F1243" s="179"/>
      <c r="G1243" s="179"/>
      <c r="H1243" s="179"/>
      <c r="I1243" s="179"/>
      <c r="J1243" s="179" t="s">
        <v>103</v>
      </c>
      <c r="K1243" s="179" t="s">
        <v>37</v>
      </c>
      <c r="L1243" s="179" t="s">
        <v>39</v>
      </c>
      <c r="M1243" s="179" t="s">
        <v>10</v>
      </c>
      <c r="N1243" s="179"/>
      <c r="O1243" s="179"/>
      <c r="P1243" s="179"/>
      <c r="Q1243" s="179"/>
      <c r="R1243" s="179"/>
      <c r="S1243" s="179"/>
      <c r="T1243" s="179" t="s">
        <v>26</v>
      </c>
      <c r="U1243" s="179" t="s">
        <v>38</v>
      </c>
      <c r="V1243" s="180" t="s">
        <v>27</v>
      </c>
      <c r="W1243" s="216"/>
      <c r="X1243" s="217"/>
      <c r="Z1243" s="183"/>
      <c r="AA1243" s="183"/>
    </row>
    <row r="1244" spans="1:27" s="182" customFormat="1" ht="15" customHeight="1" thickBot="1">
      <c r="A1244" s="210"/>
      <c r="B1244" s="190"/>
      <c r="C1244" s="129">
        <f>SUMIF(Densidades!A:A,'Memória TOTAL'!X1244,Densidades!B:B)</f>
        <v>9.6000000000000002E-2</v>
      </c>
      <c r="D1244" s="130">
        <f>SUMIF(Densidades!A:A,'Memória TOTAL'!X1244,Densidades!C:C)</f>
        <v>1</v>
      </c>
      <c r="E1244" s="130"/>
      <c r="F1244" s="130"/>
      <c r="G1244" s="130"/>
      <c r="H1244" s="130"/>
      <c r="I1244" s="130"/>
      <c r="J1244" s="132">
        <f>SUMIF(Formatos!A:A,'Memória TOTAL'!X1245,Formatos!G:G)</f>
        <v>1</v>
      </c>
      <c r="K1244" s="218">
        <f>SUMIF(Densidades!A:A,'Memória TOTAL'!X1244,Densidades!I:I)</f>
        <v>4</v>
      </c>
      <c r="L1244" s="219">
        <v>0</v>
      </c>
      <c r="M1244" s="191"/>
      <c r="N1244" s="191"/>
      <c r="O1244" s="191"/>
      <c r="P1244" s="191"/>
      <c r="Q1244" s="191"/>
      <c r="R1244" s="191"/>
      <c r="S1244" s="191"/>
      <c r="T1244" s="191"/>
      <c r="U1244" s="191"/>
      <c r="V1244" s="193"/>
      <c r="W1244" s="189">
        <f>IF(C1244=0,"",ROUNDUP(SUM(V1248:V1248)*(1+L1244),0))</f>
        <v>0</v>
      </c>
      <c r="X1244" s="259" t="s">
        <v>1792</v>
      </c>
      <c r="Z1244" s="183"/>
      <c r="AA1244" s="183"/>
    </row>
    <row r="1245" spans="1:27" s="182" customFormat="1" ht="15" customHeight="1" thickBot="1">
      <c r="A1245" s="210"/>
      <c r="B1245" s="190"/>
      <c r="C1245" s="196"/>
      <c r="D1245" s="191"/>
      <c r="E1245" s="191"/>
      <c r="F1245" s="191"/>
      <c r="G1245" s="191"/>
      <c r="H1245" s="191"/>
      <c r="I1245" s="191"/>
      <c r="J1245" s="192"/>
      <c r="K1245" s="192"/>
      <c r="L1245" s="140"/>
      <c r="M1245" s="191"/>
      <c r="N1245" s="191"/>
      <c r="O1245" s="191"/>
      <c r="P1245" s="191"/>
      <c r="Q1245" s="191"/>
      <c r="R1245" s="191"/>
      <c r="S1245" s="191"/>
      <c r="T1245" s="191"/>
      <c r="U1245" s="191"/>
      <c r="V1245" s="193"/>
      <c r="W1245" s="181"/>
      <c r="X1245" s="259" t="s">
        <v>1822</v>
      </c>
      <c r="Z1245" s="183"/>
      <c r="AA1245" s="183"/>
    </row>
    <row r="1246" spans="1:27" s="182" customFormat="1" ht="15" customHeight="1">
      <c r="A1246" s="210"/>
      <c r="B1246" s="190"/>
      <c r="C1246" s="196"/>
      <c r="D1246" s="191"/>
      <c r="E1246" s="191"/>
      <c r="F1246" s="191"/>
      <c r="G1246" s="191"/>
      <c r="H1246" s="191"/>
      <c r="I1246" s="191"/>
      <c r="J1246" s="192"/>
      <c r="K1246" s="192"/>
      <c r="L1246" s="140"/>
      <c r="M1246" s="191"/>
      <c r="N1246" s="191"/>
      <c r="O1246" s="191"/>
      <c r="P1246" s="191"/>
      <c r="Q1246" s="191"/>
      <c r="R1246" s="191"/>
      <c r="S1246" s="191"/>
      <c r="T1246" s="191"/>
      <c r="U1246" s="191"/>
      <c r="V1246" s="193"/>
      <c r="W1246" s="181"/>
      <c r="X1246" s="137" t="s">
        <v>2</v>
      </c>
      <c r="Z1246" s="183"/>
      <c r="AA1246" s="183"/>
    </row>
    <row r="1247" spans="1:27" s="182" customFormat="1" ht="15" customHeight="1" thickBot="1">
      <c r="A1247" s="210"/>
      <c r="B1247" s="164"/>
      <c r="C1247" s="196"/>
      <c r="D1247" s="191"/>
      <c r="E1247" s="191"/>
      <c r="F1247" s="191"/>
      <c r="G1247" s="191"/>
      <c r="H1247" s="191"/>
      <c r="I1247" s="191"/>
      <c r="J1247" s="192"/>
      <c r="K1247" s="192"/>
      <c r="L1247" s="140"/>
      <c r="M1247" s="191"/>
      <c r="N1247" s="191"/>
      <c r="O1247" s="191"/>
      <c r="P1247" s="191"/>
      <c r="Q1247" s="191"/>
      <c r="R1247" s="191"/>
      <c r="S1247" s="191"/>
      <c r="T1247" s="191"/>
      <c r="U1247" s="191"/>
      <c r="V1247" s="193"/>
      <c r="W1247" s="181"/>
      <c r="X1247" s="137"/>
      <c r="Z1247" s="183"/>
      <c r="AA1247" s="183"/>
    </row>
    <row r="1248" spans="1:27" s="182" customFormat="1" ht="15" customHeight="1" thickBot="1">
      <c r="A1248" s="210"/>
      <c r="B1248" s="202"/>
      <c r="C1248" s="194">
        <f>C1244</f>
        <v>9.6000000000000002E-2</v>
      </c>
      <c r="D1248" s="197"/>
      <c r="E1248" s="197"/>
      <c r="F1248" s="197"/>
      <c r="G1248" s="197"/>
      <c r="H1248" s="197"/>
      <c r="I1248" s="197"/>
      <c r="J1248" s="230"/>
      <c r="K1248" s="230"/>
      <c r="L1248" s="233">
        <v>0</v>
      </c>
      <c r="M1248" s="253"/>
      <c r="N1248" s="197"/>
      <c r="O1248" s="197"/>
      <c r="P1248" s="197"/>
      <c r="Q1248" s="197"/>
      <c r="R1248" s="197"/>
      <c r="S1248" s="197"/>
      <c r="T1248" s="223">
        <f>M1248/10^6</f>
        <v>0</v>
      </c>
      <c r="U1248" s="255">
        <v>1</v>
      </c>
      <c r="V1248" s="224">
        <f>ROUNDUP(T1248*C1248*(1+L1248),2)*U1248</f>
        <v>0</v>
      </c>
      <c r="W1248" s="225"/>
      <c r="X1248" s="226"/>
      <c r="Z1248" s="183"/>
      <c r="AA1248" s="183"/>
    </row>
    <row r="1249" spans="1:27" s="182" customFormat="1" ht="15" customHeight="1">
      <c r="A1249" s="210"/>
      <c r="B1249" s="190"/>
      <c r="C1249" s="196"/>
      <c r="D1249" s="191"/>
      <c r="E1249" s="191"/>
      <c r="F1249" s="191"/>
      <c r="G1249" s="191"/>
      <c r="H1249" s="191"/>
      <c r="I1249" s="191"/>
      <c r="J1249" s="192"/>
      <c r="K1249" s="192"/>
      <c r="L1249" s="140"/>
      <c r="M1249" s="191"/>
      <c r="N1249" s="191"/>
      <c r="O1249" s="191"/>
      <c r="P1249" s="191"/>
      <c r="Q1249" s="191"/>
      <c r="R1249" s="191"/>
      <c r="S1249" s="191"/>
      <c r="T1249" s="191"/>
      <c r="U1249" s="191"/>
      <c r="V1249" s="193"/>
      <c r="W1249" s="181"/>
      <c r="X1249" s="137"/>
      <c r="Z1249" s="183"/>
      <c r="AA1249" s="183"/>
    </row>
    <row r="1250" spans="1:27" s="182" customFormat="1" ht="15" customHeight="1" thickBot="1">
      <c r="A1250" s="210"/>
      <c r="B1250" s="505"/>
      <c r="C1250" s="505"/>
      <c r="D1250" s="508"/>
      <c r="E1250" s="508"/>
      <c r="F1250" s="508"/>
      <c r="G1250" s="508"/>
      <c r="H1250" s="508"/>
      <c r="I1250" s="508"/>
      <c r="J1250" s="508"/>
      <c r="K1250" s="508"/>
      <c r="L1250" s="508"/>
      <c r="M1250" s="508"/>
      <c r="N1250" s="508"/>
      <c r="O1250" s="508"/>
      <c r="P1250" s="508"/>
      <c r="Q1250" s="508"/>
      <c r="R1250" s="508"/>
      <c r="S1250" s="508"/>
      <c r="T1250" s="508"/>
      <c r="U1250" s="508"/>
      <c r="V1250" s="508"/>
      <c r="W1250" s="508"/>
      <c r="X1250" s="509"/>
      <c r="Z1250" s="183"/>
      <c r="AA1250" s="183"/>
    </row>
    <row r="1251" spans="1:27" ht="15" customHeight="1" thickBot="1">
      <c r="A1251" s="274"/>
      <c r="B1251" s="268" t="str">
        <f>IF(X1252="","ESPINHA DE PEIXE-FUNDO ESF.",X1252)</f>
        <v>ESPINHA DE PEIXE-FUNDO ESF.</v>
      </c>
      <c r="C1251" s="269" t="s">
        <v>101</v>
      </c>
      <c r="D1251" s="270" t="s">
        <v>102</v>
      </c>
      <c r="E1251" s="270" t="s">
        <v>42</v>
      </c>
      <c r="F1251" s="270" t="s">
        <v>42</v>
      </c>
      <c r="G1251" s="270" t="s">
        <v>43</v>
      </c>
      <c r="H1251" s="270" t="s">
        <v>44</v>
      </c>
      <c r="I1251" s="270" t="s">
        <v>47</v>
      </c>
      <c r="J1251" s="270" t="s">
        <v>103</v>
      </c>
      <c r="K1251" s="270" t="s">
        <v>37</v>
      </c>
      <c r="L1251" s="270" t="s">
        <v>39</v>
      </c>
      <c r="M1251" s="270" t="s">
        <v>45</v>
      </c>
      <c r="N1251" s="270" t="s">
        <v>46</v>
      </c>
      <c r="O1251" s="270" t="s">
        <v>668</v>
      </c>
      <c r="P1251" s="270" t="s">
        <v>51</v>
      </c>
      <c r="Q1251" s="270" t="s">
        <v>52</v>
      </c>
      <c r="R1251" s="292" t="s">
        <v>1008</v>
      </c>
      <c r="S1251" s="270"/>
      <c r="T1251" s="270"/>
      <c r="U1251" s="292" t="s">
        <v>38</v>
      </c>
      <c r="V1251" s="271" t="s">
        <v>27</v>
      </c>
      <c r="W1251" s="272"/>
      <c r="X1251" s="273"/>
    </row>
    <row r="1252" spans="1:27" ht="15" customHeight="1" thickBot="1">
      <c r="A1252" s="240"/>
      <c r="B1252" s="242"/>
      <c r="C1252" s="241">
        <f>SUMIF(Densidades!A:A,'Memória TOTAL'!X1252,Densidades!B:B)</f>
        <v>0</v>
      </c>
      <c r="D1252" s="130">
        <f>SUMIF(Densidades!A:A,'Memória TOTAL'!X1252,Densidades!C:C)</f>
        <v>0</v>
      </c>
      <c r="E1252" s="131">
        <f>IF(AND(E1258=1,E1259=2),SUMIF(Formatos!A:A,'Memória TOTAL'!X1253,Formatos!D:D),SUMIF(Formatos!A:A,'Memória TOTAL'!X1253,Formatos!E:E))</f>
        <v>0</v>
      </c>
      <c r="F1252" s="131">
        <f>IF(AND(E1258=1,E1259=2),SUMIF(Formatos!A:A,'Memória TOTAL'!X1253,Formatos!R:R),SUMIF(Formatos!A:A,'Memória TOTAL'!X1253,Formatos!F:F))</f>
        <v>0</v>
      </c>
      <c r="G1252" s="131">
        <f>SUMIF(Formatos!A:A,'Memória TOTAL'!X1253,Formatos!C:C)</f>
        <v>0</v>
      </c>
      <c r="H1252" s="131">
        <f>SUMIF(Formatos!A:A,'Memória TOTAL'!X1253,Formatos!D:D)</f>
        <v>0</v>
      </c>
      <c r="I1252" s="131">
        <f>SUMIF(Densidades!A:A,'Memória TOTAL'!X1252,Densidades!H:H)</f>
        <v>0</v>
      </c>
      <c r="J1252" s="132">
        <f>SUMIF(Formatos!A:A,'Memória TOTAL'!X1253,Formatos!G:G)</f>
        <v>0</v>
      </c>
      <c r="K1252" s="133">
        <f>SUMIF(Densidades!A:A,'Memória TOTAL'!X1252,Densidades!I:I)</f>
        <v>0</v>
      </c>
      <c r="L1252" s="249">
        <v>0</v>
      </c>
      <c r="M1252" s="252"/>
      <c r="N1252" s="250">
        <v>0</v>
      </c>
      <c r="O1252" s="253"/>
      <c r="P1252" s="251">
        <f>O1252*2</f>
        <v>0</v>
      </c>
      <c r="Q1252" s="135">
        <f>P1252-(2*M1252)</f>
        <v>0</v>
      </c>
      <c r="R1252" s="253"/>
      <c r="S1252" s="256"/>
      <c r="T1252" s="191"/>
      <c r="U1252" s="253"/>
      <c r="V1252" s="252" t="str">
        <f>IF(M1252="","",IF(OR(M1252=E1252,M1252=G1252,M1252=H1252),ROUND(R1259,0),"ESP. ERRADA"))</f>
        <v/>
      </c>
      <c r="W1252" s="258" t="str">
        <f>IFERROR(IF(C1252=0,"",ROUNDUP(SUM(V1252)*(1+L1252),0))*U1252,"")</f>
        <v/>
      </c>
      <c r="X1252" s="259"/>
    </row>
    <row r="1253" spans="1:27" s="182" customFormat="1" ht="15" customHeight="1">
      <c r="A1253" s="211"/>
      <c r="B1253" s="297"/>
      <c r="C1253" s="232"/>
      <c r="D1253" s="191"/>
      <c r="E1253" s="191"/>
      <c r="F1253" s="191"/>
      <c r="G1253" s="191"/>
      <c r="H1253" s="191"/>
      <c r="I1253" s="191"/>
      <c r="J1253" s="192"/>
      <c r="K1253" s="192"/>
      <c r="L1253" s="140"/>
      <c r="M1253" s="191"/>
      <c r="N1253" s="191"/>
      <c r="O1253" s="191"/>
      <c r="P1253" s="191"/>
      <c r="Q1253" s="191"/>
      <c r="R1253" s="191"/>
      <c r="S1253" s="191"/>
      <c r="T1253" s="191"/>
      <c r="U1253" s="191"/>
      <c r="V1253" s="193"/>
      <c r="W1253" s="181"/>
      <c r="X1253" s="137" t="str">
        <f>IF(B1258="","",B1258)</f>
        <v/>
      </c>
      <c r="Z1253" s="183"/>
      <c r="AA1253" s="183"/>
    </row>
    <row r="1254" spans="1:27" s="182" customFormat="1" ht="15" customHeight="1">
      <c r="A1254" s="211"/>
      <c r="B1254" s="297"/>
      <c r="C1254" s="232"/>
      <c r="D1254" s="191"/>
      <c r="E1254" s="191"/>
      <c r="F1254" s="191"/>
      <c r="G1254" s="191"/>
      <c r="H1254" s="191"/>
      <c r="I1254" s="191"/>
      <c r="J1254" s="192"/>
      <c r="K1254" s="192"/>
      <c r="L1254" s="140"/>
      <c r="M1254" s="191"/>
      <c r="N1254" s="191"/>
      <c r="O1254" s="191"/>
      <c r="P1254" s="191"/>
      <c r="Q1254" s="191"/>
      <c r="R1254" s="191"/>
      <c r="S1254" s="191"/>
      <c r="T1254" s="191"/>
      <c r="U1254" s="191"/>
      <c r="V1254" s="193"/>
      <c r="W1254" s="181"/>
      <c r="X1254" s="137" t="s">
        <v>520</v>
      </c>
      <c r="Z1254" s="183"/>
      <c r="AA1254" s="183"/>
    </row>
    <row r="1255" spans="1:27" s="182" customFormat="1" ht="15" customHeight="1" thickBot="1">
      <c r="A1255" s="211"/>
      <c r="B1255" s="297"/>
      <c r="C1255" s="232" t="str">
        <f t="shared" ref="C1255:L1255" si="222">C1251</f>
        <v>Dens.</v>
      </c>
      <c r="D1255" s="191" t="str">
        <f t="shared" si="222"/>
        <v>Emb.</v>
      </c>
      <c r="E1255" s="234" t="str">
        <f t="shared" si="222"/>
        <v>Esp. Tij.</v>
      </c>
      <c r="F1255" s="234" t="str">
        <f t="shared" si="222"/>
        <v>Esp. Tij.</v>
      </c>
      <c r="G1255" s="234" t="str">
        <f t="shared" si="222"/>
        <v>Comp. Tij.</v>
      </c>
      <c r="H1255" s="234" t="str">
        <f t="shared" si="222"/>
        <v>Larg. Tij.</v>
      </c>
      <c r="I1255" s="234" t="str">
        <f t="shared" si="222"/>
        <v>Tipo Fator</v>
      </c>
      <c r="J1255" s="234" t="str">
        <f t="shared" si="222"/>
        <v>Vol.</v>
      </c>
      <c r="K1255" s="234" t="str">
        <f t="shared" si="222"/>
        <v>Class.</v>
      </c>
      <c r="L1255" s="191" t="str">
        <f t="shared" si="222"/>
        <v>Coefic. (%)</v>
      </c>
      <c r="M1255" s="191"/>
      <c r="N1255" s="191"/>
      <c r="O1255" s="191"/>
      <c r="P1255" s="191"/>
      <c r="Q1255" s="191"/>
      <c r="R1255" s="191"/>
      <c r="S1255" s="191"/>
      <c r="T1255" s="191"/>
      <c r="U1255" s="191"/>
      <c r="V1255" s="238"/>
      <c r="W1255" s="181"/>
      <c r="X1255" s="137"/>
      <c r="Z1255" s="183"/>
      <c r="AA1255" s="183"/>
    </row>
    <row r="1256" spans="1:27" s="182" customFormat="1" ht="15" customHeight="1" thickBot="1">
      <c r="A1256" s="211"/>
      <c r="B1256" s="297"/>
      <c r="C1256" s="241">
        <f>SUMIF(Densidades!A:A,'Memória TOTAL'!X1256,Densidades!B:B)</f>
        <v>0</v>
      </c>
      <c r="D1256" s="130">
        <f>SUMIF(Densidades!A:A,'Memória TOTAL'!X1256,Densidades!C:C)</f>
        <v>620</v>
      </c>
      <c r="E1256" s="131">
        <f>SUMIF(Formatos!A:A,'Memória TOTAL'!X1257,Formatos!E:E)</f>
        <v>0</v>
      </c>
      <c r="F1256" s="131">
        <f>SUMIF(Formatos!A:A,'Memória TOTAL'!X1257,Formatos!F:F)</f>
        <v>0</v>
      </c>
      <c r="G1256" s="131">
        <f>SUMIF(Formatos!A:A,'Memória TOTAL'!X1257,Formatos!C:C)</f>
        <v>0</v>
      </c>
      <c r="H1256" s="131">
        <f>SUMIF(Formatos!A:A,'Memória TOTAL'!X1257,Formatos!D:D)</f>
        <v>0</v>
      </c>
      <c r="I1256" s="131">
        <f>SUMIF(Densidades!A:A,'Memória TOTAL'!X1256,Densidades!H:H)</f>
        <v>0</v>
      </c>
      <c r="J1256" s="132">
        <f>SUMIF(Formatos!A:A,'Memória TOTAL'!X1257,Formatos!G:G)</f>
        <v>0</v>
      </c>
      <c r="K1256" s="218">
        <f>SUMIF(Densidades!A:A,'Memória TOTAL'!X1256,Densidades!I:I)</f>
        <v>177</v>
      </c>
      <c r="L1256" s="219">
        <v>0</v>
      </c>
      <c r="M1256" s="191"/>
      <c r="N1256" s="191"/>
      <c r="O1256" s="191"/>
      <c r="P1256" s="191"/>
      <c r="Q1256" s="191"/>
      <c r="R1256" s="191"/>
      <c r="S1256" s="191"/>
      <c r="T1256" s="228"/>
      <c r="U1256" s="231"/>
      <c r="V1256" s="252" t="str">
        <f>IF(M1252="","",IF(OR(M1252=E1252,M1252=G1252,M1252=H1252),ROUND(S1259,0),"ESP. ERRADA"))</f>
        <v/>
      </c>
      <c r="W1256" s="263" t="str">
        <f>IFERROR(IF(C1256=0,"",ROUNDUP(SUM(V1256)*(1+L1256),0))*U1252,"")</f>
        <v/>
      </c>
      <c r="X1256" s="137" t="str">
        <f>IF(X1252="","",X1252)</f>
        <v/>
      </c>
      <c r="Z1256" s="183"/>
      <c r="AA1256" s="183"/>
    </row>
    <row r="1257" spans="1:27" s="182" customFormat="1" ht="15" customHeight="1">
      <c r="A1257" s="211"/>
      <c r="B1257" s="297"/>
      <c r="C1257" s="232"/>
      <c r="D1257" s="191"/>
      <c r="E1257" s="191"/>
      <c r="F1257" s="191"/>
      <c r="G1257" s="191"/>
      <c r="H1257" s="191"/>
      <c r="I1257" s="191"/>
      <c r="J1257" s="192"/>
      <c r="K1257" s="192"/>
      <c r="L1257" s="140"/>
      <c r="M1257" s="191"/>
      <c r="N1257" s="191"/>
      <c r="O1257" s="191"/>
      <c r="P1257" s="191"/>
      <c r="Q1257" s="191"/>
      <c r="R1257" s="191"/>
      <c r="S1257" s="191"/>
      <c r="T1257" s="191"/>
      <c r="U1257" s="191"/>
      <c r="V1257" s="193"/>
      <c r="W1257" s="181"/>
      <c r="X1257" s="137" t="str">
        <f>IF(B1259="","",B1259)</f>
        <v/>
      </c>
      <c r="Z1257" s="183"/>
      <c r="AA1257" s="183"/>
    </row>
    <row r="1258" spans="1:27" s="182" customFormat="1" ht="15" customHeight="1">
      <c r="A1258" s="211"/>
      <c r="B1258" s="297"/>
      <c r="C1258" s="239" t="s">
        <v>54</v>
      </c>
      <c r="D1258" s="235"/>
      <c r="E1258" s="191">
        <f>SUMIF(Formatos!A:A,'Memória TOTAL'!X1253,Formatos!S:S)</f>
        <v>0</v>
      </c>
      <c r="F1258" s="234"/>
      <c r="G1258" s="234"/>
      <c r="H1258" s="144" t="s">
        <v>54</v>
      </c>
      <c r="I1258" s="144" t="s">
        <v>55</v>
      </c>
      <c r="J1258" s="192"/>
      <c r="K1258" s="191" t="s">
        <v>1072</v>
      </c>
      <c r="L1258" s="140"/>
      <c r="M1258" s="191"/>
      <c r="N1258" s="191" t="s">
        <v>22</v>
      </c>
      <c r="O1258" s="145" t="s">
        <v>48</v>
      </c>
      <c r="P1258" s="145" t="s">
        <v>49</v>
      </c>
      <c r="Q1258" s="146" t="s">
        <v>50</v>
      </c>
      <c r="R1258" s="145" t="s">
        <v>54</v>
      </c>
      <c r="S1258" s="145" t="s">
        <v>55</v>
      </c>
      <c r="T1258" s="191"/>
      <c r="U1258" s="191"/>
      <c r="V1258" s="193"/>
      <c r="W1258" s="181"/>
      <c r="X1258" s="137" t="s">
        <v>520</v>
      </c>
      <c r="Z1258" s="183"/>
      <c r="AA1258" s="183"/>
    </row>
    <row r="1259" spans="1:27" s="182" customFormat="1" ht="15" customHeight="1" thickBot="1">
      <c r="A1259" s="211"/>
      <c r="B1259" s="298"/>
      <c r="C1259" s="239" t="s">
        <v>55</v>
      </c>
      <c r="D1259" s="235"/>
      <c r="E1259" s="191">
        <f>SUMIF(Formatos!A:A,'Memória TOTAL'!X1257,Formatos!S:S)</f>
        <v>0</v>
      </c>
      <c r="F1259" s="191"/>
      <c r="G1259" s="191"/>
      <c r="H1259" s="300" t="e">
        <f>(1/(-(N1259+N1252)*(Q1259+N1252)+(O1259+N1252)*(P1259+N1252)))*3.1416*(-P1252*(Q1259+N1252)+Q1252*(P1259+N1252))</f>
        <v>#DIV/0!</v>
      </c>
      <c r="I1259" s="300" t="e">
        <f>((P1252*PI())-(H1259*(N1259+N1252)))/(P1259+N1252)</f>
        <v>#DIV/0!</v>
      </c>
      <c r="J1259" s="192"/>
      <c r="K1259" s="191">
        <f>(P1252*PI()/360*R1252)^2*PI()/4</f>
        <v>0</v>
      </c>
      <c r="L1259" s="140"/>
      <c r="M1259" s="191"/>
      <c r="N1259" s="191">
        <f>E1252</f>
        <v>0</v>
      </c>
      <c r="O1259" s="147">
        <f>F1252</f>
        <v>0</v>
      </c>
      <c r="P1259" s="147">
        <f>E1256</f>
        <v>0</v>
      </c>
      <c r="Q1259" s="153">
        <f>F1256</f>
        <v>0</v>
      </c>
      <c r="R1259" s="147" t="e">
        <f>ROUNDUP(K1259/E1252/H1252*H1260,0)</f>
        <v>#DIV/0!</v>
      </c>
      <c r="S1259" s="147" t="e">
        <f>ROUNDUP(K1259/E1256/H1256*I1260,)</f>
        <v>#DIV/0!</v>
      </c>
      <c r="T1259" s="191"/>
      <c r="U1259" s="191"/>
      <c r="V1259" s="193"/>
      <c r="W1259" s="227"/>
      <c r="X1259" s="137"/>
      <c r="Z1259" s="183"/>
      <c r="AA1259" s="183"/>
    </row>
    <row r="1260" spans="1:27" s="151" customFormat="1" ht="15" customHeight="1" thickBot="1">
      <c r="A1260" s="244"/>
      <c r="B1260" s="243" t="s">
        <v>672</v>
      </c>
      <c r="C1260" s="232"/>
      <c r="D1260" s="191"/>
      <c r="E1260" s="191"/>
      <c r="F1260" s="191"/>
      <c r="G1260" s="191"/>
      <c r="H1260" s="300" t="e">
        <f>H1259/(H1259+I1259)</f>
        <v>#DIV/0!</v>
      </c>
      <c r="I1260" s="300" t="e">
        <f>I1259/(H1259+I1259)</f>
        <v>#DIV/0!</v>
      </c>
      <c r="J1260" s="192"/>
      <c r="K1260" s="192"/>
      <c r="L1260" s="191"/>
      <c r="M1260" s="191"/>
      <c r="N1260" s="191"/>
      <c r="O1260" s="191"/>
      <c r="P1260" s="191"/>
      <c r="Q1260" s="191"/>
      <c r="R1260" s="191"/>
      <c r="S1260" s="191"/>
      <c r="T1260" s="147"/>
      <c r="U1260" s="147"/>
      <c r="V1260" s="148"/>
      <c r="W1260" s="149"/>
      <c r="X1260" s="150"/>
      <c r="Z1260" s="152"/>
      <c r="AA1260" s="152"/>
    </row>
    <row r="1261" spans="1:27" s="182" customFormat="1" ht="15" customHeight="1">
      <c r="A1261" s="211"/>
      <c r="B1261" s="206"/>
      <c r="C1261" s="294"/>
      <c r="D1261" s="191"/>
      <c r="E1261" s="131"/>
      <c r="F1261" s="131"/>
      <c r="G1261" s="131"/>
      <c r="H1261" s="131"/>
      <c r="I1261" s="228"/>
      <c r="J1261" s="228"/>
      <c r="K1261" s="228"/>
      <c r="L1261" s="191"/>
      <c r="M1261" s="191"/>
      <c r="N1261" s="191"/>
      <c r="O1261" s="140"/>
      <c r="P1261" s="191"/>
      <c r="Q1261" s="191"/>
      <c r="R1261" s="191"/>
      <c r="S1261" s="191"/>
      <c r="T1261" s="191"/>
      <c r="U1261" s="191"/>
      <c r="V1261" s="193"/>
      <c r="W1261" s="181"/>
      <c r="X1261" s="137"/>
      <c r="Z1261" s="183"/>
      <c r="AA1261" s="183"/>
    </row>
    <row r="1262" spans="1:27" s="182" customFormat="1" ht="15" customHeight="1">
      <c r="A1262" s="211"/>
      <c r="B1262" s="206"/>
      <c r="C1262" s="294"/>
      <c r="D1262" s="191"/>
      <c r="E1262" s="131"/>
      <c r="F1262" s="131"/>
      <c r="G1262" s="131"/>
      <c r="H1262" s="131"/>
      <c r="I1262" s="228"/>
      <c r="J1262" s="228"/>
      <c r="K1262" s="228"/>
      <c r="L1262" s="191"/>
      <c r="M1262" s="191" t="e" vm="1">
        <v>#VALUE!</v>
      </c>
      <c r="N1262" s="191"/>
      <c r="O1262" s="140"/>
      <c r="P1262" s="191"/>
      <c r="Q1262" s="191"/>
      <c r="R1262" s="191"/>
      <c r="S1262" s="191"/>
      <c r="T1262" s="191"/>
      <c r="U1262" s="191"/>
      <c r="V1262" s="193"/>
      <c r="W1262" s="181"/>
      <c r="X1262" s="137"/>
      <c r="Z1262" s="183"/>
      <c r="AA1262" s="183"/>
    </row>
    <row r="1263" spans="1:27" s="182" customFormat="1" ht="15" customHeight="1" thickBot="1">
      <c r="A1263" s="211"/>
      <c r="B1263" s="275" t="s">
        <v>1006</v>
      </c>
      <c r="C1263" s="276"/>
      <c r="D1263" s="277"/>
      <c r="E1263" s="277"/>
      <c r="F1263" s="277"/>
      <c r="G1263" s="277"/>
      <c r="H1263" s="277"/>
      <c r="I1263" s="277"/>
      <c r="J1263" s="278"/>
      <c r="K1263" s="278"/>
      <c r="L1263" s="279"/>
      <c r="M1263" s="277"/>
      <c r="N1263" s="277"/>
      <c r="O1263" s="277"/>
      <c r="P1263" s="277"/>
      <c r="Q1263" s="277"/>
      <c r="R1263" s="277"/>
      <c r="S1263" s="280"/>
      <c r="T1263" s="277"/>
      <c r="U1263" s="277" t="s">
        <v>674</v>
      </c>
      <c r="V1263" s="281" t="s">
        <v>27</v>
      </c>
      <c r="W1263" s="282"/>
      <c r="X1263" s="283"/>
      <c r="Z1263" s="183"/>
      <c r="AA1263" s="183"/>
    </row>
    <row r="1264" spans="1:27" s="182" customFormat="1" ht="15" customHeight="1" thickBot="1">
      <c r="A1264" s="211"/>
      <c r="B1264" s="206"/>
      <c r="C1264" s="129">
        <f>SUMIF(Densidades!A:A,'Memória TOTAL'!X1264,Densidades!B:B)</f>
        <v>0</v>
      </c>
      <c r="D1264" s="130">
        <f>SUMIF(Densidades!A:A,'Memória TOTAL'!X1264,Densidades!C:C)</f>
        <v>0</v>
      </c>
      <c r="E1264" s="130" t="str">
        <f>IF(I1264=15,"FIRECLAY MORTAR",IF(I1264=16,"ALUMINA MORTAR",IF(I1264=17,"BASIC MORTAR",IF(I1264=18,"MORTAR","-"))))</f>
        <v>-</v>
      </c>
      <c r="F1264" s="130" t="str">
        <f>IF(I1264=15,"FIRECLAY MORTAR",IF(I1264=16,"ALUMINA MORTAR",IF(I1264=17,"BASIC MORTAR",IF(I1264=18,"MORTAR","-"))))</f>
        <v>-</v>
      </c>
      <c r="G1264" s="130" t="str">
        <f>IF(I1264=15,"FIRECLAY MORTAR",IF(I1264=16,"ALUMINA MORTAR",IF(I1264=17,"BASIC MORTAR",IF(I1264=18,"MORTAR","-"))))</f>
        <v>-</v>
      </c>
      <c r="H1264" s="130" t="str">
        <f>IF(I1264=15,"FIRECLAY MORTAR",IF(I1264=16,"ALUMINA MORTAR",IF(I1264=17,"BASIC MORTAR",IF(I1264=18,"MORTAR","-"))))</f>
        <v>-</v>
      </c>
      <c r="I1264" s="130">
        <f>SUMIF(Densidades!A:A,'Memória TOTAL'!X1264,Densidades!G:G)</f>
        <v>0</v>
      </c>
      <c r="J1264" s="132">
        <f>SUMIF(Formatos!A:A,'Memória TOTAL'!X1265,Formatos!G:G)</f>
        <v>0</v>
      </c>
      <c r="K1264" s="133">
        <f>SUMIF(Densidades!A:A,'Memória TOTAL'!X1264,Densidades!I:I)</f>
        <v>0</v>
      </c>
      <c r="L1264" s="184">
        <v>0</v>
      </c>
      <c r="M1264" s="185"/>
      <c r="N1264" s="185"/>
      <c r="O1264" s="185"/>
      <c r="P1264" s="185"/>
      <c r="Q1264" s="185"/>
      <c r="R1264" s="185"/>
      <c r="S1264" s="185"/>
      <c r="T1264" s="186"/>
      <c r="U1264" s="286">
        <v>0.06</v>
      </c>
      <c r="V1264" s="188" t="e">
        <f>(W1252*J1252*C1264+W1256*J1256*C1264)*U1264</f>
        <v>#VALUE!</v>
      </c>
      <c r="W1264" s="189" t="str">
        <f>IF(C1264=0,"",ROUNDUP(SUM(V1264:V1265)*(1+L1264),0))</f>
        <v/>
      </c>
      <c r="X1264" s="259"/>
      <c r="Z1264" s="183"/>
      <c r="AA1264" s="183"/>
    </row>
    <row r="1265" spans="1:27" s="182" customFormat="1" ht="15" customHeight="1">
      <c r="A1265" s="211"/>
      <c r="B1265" s="206"/>
      <c r="C1265" s="129"/>
      <c r="D1265" s="191"/>
      <c r="E1265" s="191"/>
      <c r="F1265" s="191"/>
      <c r="G1265" s="191"/>
      <c r="H1265" s="191"/>
      <c r="I1265" s="191"/>
      <c r="J1265" s="192"/>
      <c r="K1265" s="192"/>
      <c r="L1265" s="140"/>
      <c r="M1265" s="191"/>
      <c r="N1265" s="191"/>
      <c r="O1265" s="191"/>
      <c r="P1265" s="191"/>
      <c r="Q1265" s="191"/>
      <c r="R1265" s="191"/>
      <c r="S1265" s="191"/>
      <c r="T1265" s="191"/>
      <c r="U1265" s="191"/>
      <c r="V1265" s="193"/>
      <c r="W1265" s="181"/>
      <c r="X1265" s="137" t="str">
        <f>IF(AND(H1264="-",G1264="-",F1264="-"),E1264,IF(AND(H1264="-",G1264="-",E1264="-"),F1264,IF(AND(H1264="-",F1264="-",E1264="-"),G1264,H1264)))</f>
        <v>-</v>
      </c>
      <c r="Z1265" s="183"/>
      <c r="AA1265" s="183"/>
    </row>
    <row r="1266" spans="1:27" s="182" customFormat="1" ht="15" customHeight="1">
      <c r="A1266" s="211"/>
      <c r="B1266" s="209"/>
      <c r="C1266" s="129"/>
      <c r="D1266" s="191"/>
      <c r="E1266" s="191"/>
      <c r="F1266" s="191"/>
      <c r="G1266" s="191"/>
      <c r="H1266" s="191"/>
      <c r="I1266" s="191"/>
      <c r="J1266" s="192"/>
      <c r="K1266" s="192"/>
      <c r="L1266" s="140"/>
      <c r="M1266" s="191"/>
      <c r="N1266" s="191"/>
      <c r="O1266" s="191"/>
      <c r="P1266" s="191"/>
      <c r="Q1266" s="191"/>
      <c r="R1266" s="191"/>
      <c r="S1266" s="191"/>
      <c r="T1266" s="191"/>
      <c r="U1266" s="191"/>
      <c r="V1266" s="193"/>
      <c r="W1266" s="181"/>
      <c r="X1266" s="137" t="s">
        <v>2</v>
      </c>
      <c r="Z1266" s="183"/>
      <c r="AA1266" s="183"/>
    </row>
    <row r="1267" spans="1:27" ht="15" customHeight="1">
      <c r="A1267" s="211"/>
      <c r="B1267" s="127"/>
      <c r="C1267" s="165"/>
      <c r="D1267" s="166"/>
      <c r="E1267" s="166"/>
      <c r="F1267" s="166"/>
      <c r="G1267" s="166"/>
      <c r="H1267" s="166"/>
      <c r="I1267" s="166"/>
      <c r="J1267" s="167"/>
      <c r="K1267" s="167"/>
      <c r="L1267" s="168"/>
      <c r="M1267" s="166"/>
      <c r="N1267" s="166"/>
      <c r="O1267" s="166"/>
      <c r="P1267" s="166"/>
      <c r="Q1267" s="166"/>
      <c r="R1267" s="166"/>
      <c r="S1267" s="166"/>
      <c r="T1267" s="166"/>
      <c r="U1267" s="166"/>
      <c r="V1267" s="169"/>
      <c r="W1267" s="170"/>
      <c r="X1267" s="171"/>
    </row>
    <row r="1268" spans="1:27" s="182" customFormat="1" ht="15" customHeight="1" thickBot="1">
      <c r="A1268" s="211"/>
      <c r="B1268" s="275" t="s">
        <v>1007</v>
      </c>
      <c r="C1268" s="276"/>
      <c r="D1268" s="277"/>
      <c r="E1268" s="277"/>
      <c r="F1268" s="277"/>
      <c r="G1268" s="277"/>
      <c r="H1268" s="277"/>
      <c r="I1268" s="277"/>
      <c r="J1268" s="278"/>
      <c r="K1268" s="278"/>
      <c r="L1268" s="279"/>
      <c r="M1268" s="277"/>
      <c r="N1268" s="277"/>
      <c r="O1268" s="277"/>
      <c r="P1268" s="277"/>
      <c r="Q1268" s="277"/>
      <c r="R1268" s="277" t="s">
        <v>632</v>
      </c>
      <c r="S1268" s="280" t="s">
        <v>633</v>
      </c>
      <c r="T1268" s="277" t="s">
        <v>634</v>
      </c>
      <c r="U1268" s="277" t="s">
        <v>38</v>
      </c>
      <c r="V1268" s="281" t="s">
        <v>27</v>
      </c>
      <c r="W1268" s="282"/>
      <c r="X1268" s="283"/>
      <c r="Z1268" s="183"/>
      <c r="AA1268" s="183"/>
    </row>
    <row r="1269" spans="1:27" s="182" customFormat="1" ht="15" customHeight="1" thickBot="1">
      <c r="A1269" s="211"/>
      <c r="B1269" s="206"/>
      <c r="C1269" s="129">
        <f>SUMIF(Densidades!A:A,'Memória TOTAL'!X1269,Densidades!B:B)</f>
        <v>0</v>
      </c>
      <c r="D1269" s="130">
        <f>SUMIF(Densidades!A:A,'Memória TOTAL'!X1269,Densidades!C:C)</f>
        <v>0</v>
      </c>
      <c r="E1269" s="130" t="str">
        <f>IF(I1269=15,"FIRECLAY MORTAR",IF(I1269=16,"ALUMINA MORTAR",IF(I1269=17,"BASIC MORTAR",IF(I1269=18,"MORTAR","-"))))</f>
        <v>-</v>
      </c>
      <c r="F1269" s="130" t="str">
        <f>IF(I1269=15,"FIRECLAY MORTAR",IF(I1269=16,"ALUMINA MORTAR",IF(I1269=17,"BASIC MORTAR",IF(I1269=18,"MORTAR","-"))))</f>
        <v>-</v>
      </c>
      <c r="G1269" s="130" t="str">
        <f>IF(I1269=15,"FIRECLAY MORTAR",IF(I1269=16,"ALUMINA MORTAR",IF(I1269=17,"BASIC MORTAR",IF(I1269=18,"MORTAR","-"))))</f>
        <v>-</v>
      </c>
      <c r="H1269" s="130" t="str">
        <f>IF(I1269=15,"FIRECLAY MORTAR",IF(I1269=16,"ALUMINA MORTAR",IF(I1269=17,"BASIC MORTAR",IF(I1269=18,"MORTAR","-"))))</f>
        <v>-</v>
      </c>
      <c r="I1269" s="130">
        <f>SUMIF(Densidades!A:A,'Memória TOTAL'!X1269,Densidades!G:G)</f>
        <v>0</v>
      </c>
      <c r="J1269" s="132">
        <f>SUMIF(Formatos!A:A,'Memória TOTAL'!X1270,Formatos!G:G)</f>
        <v>0</v>
      </c>
      <c r="K1269" s="218">
        <f>SUMIF(Densidades!A:A,'Memória TOTAL'!X1269,Densidades!I:I)</f>
        <v>0</v>
      </c>
      <c r="L1269" s="184">
        <v>0</v>
      </c>
      <c r="M1269" s="185"/>
      <c r="N1269" s="185"/>
      <c r="O1269" s="185"/>
      <c r="P1269" s="185"/>
      <c r="Q1269" s="185"/>
      <c r="R1269" s="186">
        <f>((G1252*H1252)+(G1252*E1252)+(H1252*E1252))/1000000</f>
        <v>0</v>
      </c>
      <c r="S1269" s="255">
        <v>2</v>
      </c>
      <c r="T1269" s="186">
        <f>R1269*S1269</f>
        <v>0</v>
      </c>
      <c r="U1269" s="187">
        <f>SUM(W1252:W1257)</f>
        <v>0</v>
      </c>
      <c r="V1269" s="188">
        <f>(T1269*C1269*(1+L1269))*U1269</f>
        <v>0</v>
      </c>
      <c r="W1269" s="189" t="str">
        <f>IF(C1269=0,"",ROUNDUP(SUM(V1269:V1270)*(1+L1269),0))</f>
        <v/>
      </c>
      <c r="X1269" s="259"/>
      <c r="Z1269" s="183"/>
      <c r="AA1269" s="183"/>
    </row>
    <row r="1270" spans="1:27" s="182" customFormat="1" ht="15" customHeight="1">
      <c r="A1270" s="211"/>
      <c r="B1270" s="206"/>
      <c r="C1270" s="129"/>
      <c r="D1270" s="191"/>
      <c r="E1270" s="191"/>
      <c r="F1270" s="191"/>
      <c r="G1270" s="191"/>
      <c r="H1270" s="191"/>
      <c r="I1270" s="191"/>
      <c r="J1270" s="192"/>
      <c r="K1270" s="192"/>
      <c r="L1270" s="140"/>
      <c r="M1270" s="191"/>
      <c r="N1270" s="191"/>
      <c r="O1270" s="191"/>
      <c r="P1270" s="191"/>
      <c r="Q1270" s="191"/>
      <c r="R1270" s="191"/>
      <c r="S1270" s="191"/>
      <c r="T1270" s="191"/>
      <c r="U1270" s="191"/>
      <c r="V1270" s="193"/>
      <c r="W1270" s="181"/>
      <c r="X1270" s="137" t="str">
        <f>IF(AND(H1269="-",G1269="-",F1269="-"),E1269,IF(AND(H1269="-",G1269="-",E1269="-"),F1269,IF(AND(H1269="-",F1269="-",E1269="-"),G1269,H1269)))</f>
        <v>-</v>
      </c>
      <c r="Z1270" s="183"/>
      <c r="AA1270" s="183"/>
    </row>
    <row r="1271" spans="1:27" s="182" customFormat="1" ht="15" customHeight="1">
      <c r="A1271" s="211"/>
      <c r="B1271" s="209"/>
      <c r="C1271" s="129"/>
      <c r="D1271" s="191"/>
      <c r="E1271" s="191"/>
      <c r="F1271" s="191"/>
      <c r="G1271" s="191"/>
      <c r="H1271" s="191"/>
      <c r="I1271" s="191"/>
      <c r="J1271" s="192"/>
      <c r="K1271" s="192"/>
      <c r="L1271" s="140"/>
      <c r="M1271" s="191"/>
      <c r="N1271" s="191"/>
      <c r="O1271" s="191"/>
      <c r="P1271" s="191"/>
      <c r="Q1271" s="191"/>
      <c r="R1271" s="191"/>
      <c r="S1271" s="191"/>
      <c r="T1271" s="191"/>
      <c r="U1271" s="191"/>
      <c r="V1271" s="193"/>
      <c r="W1271" s="181"/>
      <c r="X1271" s="137" t="s">
        <v>2</v>
      </c>
      <c r="Z1271" s="183"/>
      <c r="AA1271" s="183"/>
    </row>
    <row r="1272" spans="1:27" s="182" customFormat="1" ht="15" customHeight="1">
      <c r="A1272" s="211"/>
      <c r="B1272" s="206"/>
      <c r="C1272" s="294"/>
      <c r="D1272" s="191"/>
      <c r="E1272" s="131"/>
      <c r="F1272" s="131"/>
      <c r="G1272" s="131"/>
      <c r="H1272" s="131"/>
      <c r="I1272" s="228"/>
      <c r="J1272" s="228"/>
      <c r="K1272" s="228"/>
      <c r="L1272" s="191"/>
      <c r="M1272" s="191"/>
      <c r="N1272" s="191"/>
      <c r="O1272" s="140"/>
      <c r="P1272" s="191"/>
      <c r="Q1272" s="191"/>
      <c r="R1272" s="191"/>
      <c r="S1272" s="191"/>
      <c r="T1272" s="191"/>
      <c r="U1272" s="191"/>
      <c r="V1272" s="193"/>
      <c r="W1272" s="181"/>
      <c r="X1272" s="137"/>
      <c r="Z1272" s="183"/>
      <c r="AA1272" s="183"/>
    </row>
    <row r="1273" spans="1:27" s="182" customFormat="1" ht="15" customHeight="1" thickBot="1">
      <c r="A1273" s="211"/>
      <c r="B1273" s="505"/>
      <c r="C1273" s="505"/>
      <c r="D1273" s="508"/>
      <c r="E1273" s="508"/>
      <c r="F1273" s="508"/>
      <c r="G1273" s="508"/>
      <c r="H1273" s="508"/>
      <c r="I1273" s="508"/>
      <c r="J1273" s="508"/>
      <c r="K1273" s="508"/>
      <c r="L1273" s="508"/>
      <c r="M1273" s="508"/>
      <c r="N1273" s="508"/>
      <c r="O1273" s="508"/>
      <c r="P1273" s="508"/>
      <c r="Q1273" s="508"/>
      <c r="R1273" s="508"/>
      <c r="S1273" s="508"/>
      <c r="T1273" s="508"/>
      <c r="U1273" s="508"/>
      <c r="V1273" s="508"/>
      <c r="W1273" s="508"/>
      <c r="X1273" s="509"/>
      <c r="Z1273" s="183"/>
      <c r="AA1273" s="183"/>
    </row>
    <row r="1274" spans="1:27" ht="15" customHeight="1" thickBot="1">
      <c r="A1274" s="274"/>
      <c r="B1274" s="268" t="s">
        <v>638</v>
      </c>
      <c r="C1274" s="269" t="s">
        <v>101</v>
      </c>
      <c r="D1274" s="270" t="s">
        <v>102</v>
      </c>
      <c r="E1274" s="270"/>
      <c r="F1274" s="270"/>
      <c r="G1274" s="270"/>
      <c r="H1274" s="270"/>
      <c r="I1274" s="270"/>
      <c r="J1274" s="270" t="s">
        <v>103</v>
      </c>
      <c r="K1274" s="270" t="s">
        <v>37</v>
      </c>
      <c r="L1274" s="270" t="s">
        <v>39</v>
      </c>
      <c r="M1274" s="270" t="s">
        <v>62</v>
      </c>
      <c r="N1274" s="270" t="s">
        <v>106</v>
      </c>
      <c r="O1274" s="270" t="s">
        <v>68</v>
      </c>
      <c r="P1274" s="270" t="s">
        <v>69</v>
      </c>
      <c r="Q1274" s="270" t="s">
        <v>107</v>
      </c>
      <c r="R1274" s="270" t="s">
        <v>53</v>
      </c>
      <c r="S1274" s="270" t="s">
        <v>40</v>
      </c>
      <c r="T1274" s="270" t="s">
        <v>26</v>
      </c>
      <c r="U1274" s="270" t="s">
        <v>38</v>
      </c>
      <c r="V1274" s="271" t="s">
        <v>27</v>
      </c>
      <c r="W1274" s="272"/>
      <c r="X1274" s="273"/>
    </row>
    <row r="1275" spans="1:27" s="182" customFormat="1" ht="15" customHeight="1" thickBot="1">
      <c r="A1275" s="211"/>
      <c r="B1275" s="206"/>
      <c r="C1275" s="129">
        <f>SUMIF(Densidades!A:A,'Memória TOTAL'!X1275,Densidades!B:B)</f>
        <v>0</v>
      </c>
      <c r="D1275" s="130">
        <f>SUMIF(Densidades!A:A,'Memória TOTAL'!X1275,Densidades!C:C)</f>
        <v>0</v>
      </c>
      <c r="E1275" s="130"/>
      <c r="F1275" s="130"/>
      <c r="G1275" s="130"/>
      <c r="H1275" s="130"/>
      <c r="I1275" s="130"/>
      <c r="J1275" s="132">
        <f>SUMIF(Formatos!A:A,'Memória TOTAL'!X1276,Formatos!G:G)</f>
        <v>0</v>
      </c>
      <c r="K1275" s="218">
        <f>SUMIF(Densidades!A:A,'Memória TOTAL'!X1275,Densidades!I:I)</f>
        <v>0</v>
      </c>
      <c r="L1275" s="219">
        <v>0</v>
      </c>
      <c r="M1275" s="191"/>
      <c r="N1275" s="191"/>
      <c r="O1275" s="191"/>
      <c r="P1275" s="191"/>
      <c r="Q1275" s="191"/>
      <c r="R1275" s="191"/>
      <c r="S1275" s="191"/>
      <c r="T1275" s="191"/>
      <c r="U1275" s="191"/>
      <c r="V1275" s="193"/>
      <c r="W1275" s="262"/>
      <c r="X1275" s="259"/>
      <c r="Z1275" s="183"/>
      <c r="AA1275" s="183"/>
    </row>
    <row r="1276" spans="1:27" s="182" customFormat="1" ht="15" customHeight="1" thickBot="1">
      <c r="A1276" s="211"/>
      <c r="B1276" s="206"/>
      <c r="C1276" s="196"/>
      <c r="D1276" s="191"/>
      <c r="E1276" s="191"/>
      <c r="F1276" s="191"/>
      <c r="G1276" s="191"/>
      <c r="H1276" s="191"/>
      <c r="I1276" s="191"/>
      <c r="J1276" s="192"/>
      <c r="K1276" s="192"/>
      <c r="L1276" s="140"/>
      <c r="M1276" s="191"/>
      <c r="N1276" s="191"/>
      <c r="O1276" s="191"/>
      <c r="P1276" s="191"/>
      <c r="Q1276" s="191"/>
      <c r="R1276" s="191"/>
      <c r="S1276" s="191"/>
      <c r="T1276" s="191"/>
      <c r="U1276" s="191"/>
      <c r="V1276" s="193"/>
      <c r="W1276" s="181"/>
      <c r="X1276" s="259"/>
      <c r="Z1276" s="183"/>
      <c r="AA1276" s="183"/>
    </row>
    <row r="1277" spans="1:27" s="182" customFormat="1" ht="15" customHeight="1">
      <c r="A1277" s="211"/>
      <c r="B1277" s="209"/>
      <c r="C1277" s="196"/>
      <c r="D1277" s="191"/>
      <c r="E1277" s="191"/>
      <c r="F1277" s="191"/>
      <c r="G1277" s="191"/>
      <c r="H1277" s="191"/>
      <c r="I1277" s="191"/>
      <c r="J1277" s="192"/>
      <c r="K1277" s="192"/>
      <c r="L1277" s="140"/>
      <c r="M1277" s="191"/>
      <c r="N1277" s="191"/>
      <c r="O1277" s="191"/>
      <c r="P1277" s="191"/>
      <c r="Q1277" s="191"/>
      <c r="R1277" s="191"/>
      <c r="S1277" s="191"/>
      <c r="T1277" s="191"/>
      <c r="U1277" s="191"/>
      <c r="V1277" s="193"/>
      <c r="W1277" s="181"/>
      <c r="X1277" s="137" t="s">
        <v>520</v>
      </c>
      <c r="Z1277" s="183"/>
      <c r="AA1277" s="183"/>
    </row>
    <row r="1278" spans="1:27" s="182" customFormat="1" ht="15" customHeight="1">
      <c r="A1278" s="211"/>
      <c r="B1278" s="206"/>
      <c r="C1278" s="294"/>
      <c r="D1278" s="191"/>
      <c r="E1278" s="131"/>
      <c r="F1278" s="131"/>
      <c r="G1278" s="131"/>
      <c r="H1278" s="131"/>
      <c r="I1278" s="228"/>
      <c r="J1278" s="228"/>
      <c r="K1278" s="228"/>
      <c r="L1278" s="191"/>
      <c r="M1278" s="191"/>
      <c r="N1278" s="191"/>
      <c r="O1278" s="140"/>
      <c r="P1278" s="191"/>
      <c r="Q1278" s="191"/>
      <c r="R1278" s="191"/>
      <c r="S1278" s="191"/>
      <c r="T1278" s="191"/>
      <c r="U1278" s="191"/>
      <c r="V1278" s="193"/>
      <c r="W1278" s="181"/>
      <c r="X1278" s="137"/>
      <c r="Z1278" s="183"/>
      <c r="AA1278" s="183"/>
    </row>
    <row r="1279" spans="1:27" s="182" customFormat="1" ht="15" customHeight="1" thickBot="1">
      <c r="A1279" s="211"/>
      <c r="B1279" s="505"/>
      <c r="C1279" s="505"/>
      <c r="D1279" s="508"/>
      <c r="E1279" s="508"/>
      <c r="F1279" s="508"/>
      <c r="G1279" s="508"/>
      <c r="H1279" s="508"/>
      <c r="I1279" s="508"/>
      <c r="J1279" s="508"/>
      <c r="K1279" s="508"/>
      <c r="L1279" s="508"/>
      <c r="M1279" s="508"/>
      <c r="N1279" s="508"/>
      <c r="O1279" s="508"/>
      <c r="P1279" s="508"/>
      <c r="Q1279" s="508"/>
      <c r="R1279" s="508"/>
      <c r="S1279" s="508"/>
      <c r="T1279" s="508"/>
      <c r="U1279" s="508"/>
      <c r="V1279" s="508"/>
      <c r="W1279" s="508"/>
      <c r="X1279" s="509"/>
      <c r="Z1279" s="183"/>
      <c r="AA1279" s="183"/>
    </row>
    <row r="1280" spans="1:27" s="182" customFormat="1" ht="15" customHeight="1" thickBot="1">
      <c r="A1280" s="301" t="s">
        <v>295</v>
      </c>
      <c r="B1280" s="302"/>
      <c r="C1280" s="303"/>
      <c r="D1280" s="303"/>
      <c r="E1280" s="303"/>
      <c r="F1280" s="303"/>
      <c r="G1280" s="303"/>
      <c r="H1280" s="303"/>
      <c r="I1280" s="303"/>
      <c r="J1280" s="304"/>
      <c r="K1280" s="304"/>
      <c r="L1280" s="305"/>
      <c r="M1280" s="303"/>
      <c r="N1280" s="303"/>
      <c r="O1280" s="306"/>
      <c r="P1280" s="307"/>
      <c r="Q1280" s="306"/>
      <c r="R1280" s="303"/>
      <c r="S1280" s="303"/>
      <c r="T1280" s="303"/>
      <c r="U1280" s="303"/>
      <c r="V1280" s="308"/>
      <c r="W1280" s="309"/>
      <c r="X1280" s="310"/>
      <c r="Z1280" s="183"/>
      <c r="AA1280" s="183"/>
    </row>
    <row r="1281" spans="1:27" s="182" customFormat="1" ht="15" customHeight="1">
      <c r="A1281" s="212"/>
      <c r="B1281" s="213"/>
      <c r="C1281" s="213"/>
      <c r="D1281" s="213"/>
      <c r="E1281" s="213"/>
      <c r="F1281" s="213"/>
      <c r="G1281" s="213"/>
      <c r="H1281" s="213"/>
      <c r="I1281" s="213"/>
      <c r="J1281" s="213"/>
      <c r="K1281" s="213"/>
      <c r="L1281" s="213"/>
      <c r="M1281" s="213"/>
      <c r="N1281" s="213"/>
      <c r="O1281" s="213"/>
      <c r="P1281" s="213"/>
      <c r="Q1281" s="213"/>
      <c r="R1281" s="213"/>
      <c r="S1281" s="213"/>
      <c r="T1281" s="213"/>
      <c r="U1281" s="213"/>
      <c r="V1281" s="213"/>
      <c r="W1281" s="214"/>
      <c r="X1281" s="214"/>
      <c r="Z1281" s="183"/>
      <c r="AA1281" s="183"/>
    </row>
  </sheetData>
  <dataConsolidate/>
  <mergeCells count="28">
    <mergeCell ref="B1155:B1156"/>
    <mergeCell ref="B1164:B1165"/>
    <mergeCell ref="S1164:T1164"/>
    <mergeCell ref="B698:B699"/>
    <mergeCell ref="B860:B861"/>
    <mergeCell ref="B869:B870"/>
    <mergeCell ref="S869:T869"/>
    <mergeCell ref="B934:B935"/>
    <mergeCell ref="G974:H974"/>
    <mergeCell ref="M974:Q974"/>
    <mergeCell ref="R974:V974"/>
    <mergeCell ref="T1138:U1138"/>
    <mergeCell ref="O1056:S1056"/>
    <mergeCell ref="A1:X1"/>
    <mergeCell ref="A651:X651"/>
    <mergeCell ref="B233:B234"/>
    <mergeCell ref="S233:T233"/>
    <mergeCell ref="G338:H338"/>
    <mergeCell ref="M338:Q338"/>
    <mergeCell ref="B224:B225"/>
    <mergeCell ref="B298:B299"/>
    <mergeCell ref="B519:B520"/>
    <mergeCell ref="B528:B529"/>
    <mergeCell ref="S528:T528"/>
    <mergeCell ref="T502:U502"/>
    <mergeCell ref="B62:B63"/>
    <mergeCell ref="R338:V338"/>
    <mergeCell ref="O420:S420"/>
  </mergeCells>
  <phoneticPr fontId="4" type="noConversion"/>
  <conditionalFormatting sqref="W639 X640:X641">
    <cfRule type="containsBlanks" dxfId="782" priority="10030" stopIfTrue="1">
      <formula>LEN(TRIM(W639))=0</formula>
    </cfRule>
  </conditionalFormatting>
  <conditionalFormatting sqref="W639">
    <cfRule type="cellIs" dxfId="781" priority="10029" stopIfTrue="1" operator="equal">
      <formula>0</formula>
    </cfRule>
  </conditionalFormatting>
  <conditionalFormatting sqref="X639">
    <cfRule type="containsBlanks" dxfId="780" priority="9548" stopIfTrue="1">
      <formula>LEN(TRIM(X639))=0</formula>
    </cfRule>
  </conditionalFormatting>
  <conditionalFormatting sqref="W18">
    <cfRule type="cellIs" dxfId="779" priority="9369" stopIfTrue="1" operator="equal">
      <formula>0</formula>
    </cfRule>
  </conditionalFormatting>
  <conditionalFormatting sqref="X287:X289">
    <cfRule type="containsBlanks" dxfId="778" priority="9377" stopIfTrue="1">
      <formula>LEN(TRIM(X287))=0</formula>
    </cfRule>
  </conditionalFormatting>
  <conditionalFormatting sqref="V288:V289 V286 V291:V294">
    <cfRule type="cellIs" dxfId="777" priority="9378" stopIfTrue="1" operator="equal">
      <formula>"ESP. ERRADA"</formula>
    </cfRule>
  </conditionalFormatting>
  <conditionalFormatting sqref="U22">
    <cfRule type="containsBlanks" dxfId="776" priority="9370" stopIfTrue="1">
      <formula>LEN(TRIM(U22))=0</formula>
    </cfRule>
  </conditionalFormatting>
  <conditionalFormatting sqref="V21:V22">
    <cfRule type="cellIs" dxfId="775" priority="9373" stopIfTrue="1" operator="equal">
      <formula>"ESP. ERRADA"</formula>
    </cfRule>
  </conditionalFormatting>
  <conditionalFormatting sqref="B233 U224 X224">
    <cfRule type="containsBlanks" dxfId="774" priority="9386" stopIfTrue="1">
      <formula>LEN(TRIM(B224))=0</formula>
    </cfRule>
  </conditionalFormatting>
  <conditionalFormatting sqref="U21 X20 N18">
    <cfRule type="containsBlanks" dxfId="773" priority="9375" stopIfTrue="1">
      <formula>LEN(TRIM(N18))=0</formula>
    </cfRule>
  </conditionalFormatting>
  <conditionalFormatting sqref="X292">
    <cfRule type="containsBlanks" dxfId="772" priority="9367" stopIfTrue="1">
      <formula>LEN(TRIM(X292))=0</formula>
    </cfRule>
  </conditionalFormatting>
  <conditionalFormatting sqref="U287">
    <cfRule type="containsBlanks" dxfId="771" priority="9368" stopIfTrue="1">
      <formula>LEN(TRIM(U287))=0</formula>
    </cfRule>
  </conditionalFormatting>
  <conditionalFormatting sqref="X139:X141">
    <cfRule type="containsBlanks" dxfId="770" priority="9363" stopIfTrue="1">
      <formula>LEN(TRIM(X139))=0</formula>
    </cfRule>
  </conditionalFormatting>
  <conditionalFormatting sqref="M616 O616 U616:V616 V620 X616">
    <cfRule type="containsBlanks" dxfId="769" priority="9359" stopIfTrue="1">
      <formula>LEN(TRIM(M616))=0</formula>
    </cfRule>
  </conditionalFormatting>
  <conditionalFormatting sqref="B127 B129 B134 M125 O125 O135 T125:V125 V129 X125">
    <cfRule type="containsBlanks" dxfId="768" priority="9366" stopIfTrue="1">
      <formula>LEN(TRIM(B125))=0</formula>
    </cfRule>
  </conditionalFormatting>
  <conditionalFormatting sqref="U139">
    <cfRule type="containsBlanks" dxfId="767" priority="9361" stopIfTrue="1">
      <formula>LEN(TRIM(U139))=0</formula>
    </cfRule>
  </conditionalFormatting>
  <conditionalFormatting sqref="X628:X630">
    <cfRule type="containsBlanks" dxfId="766" priority="9356" stopIfTrue="1">
      <formula>LEN(TRIM(X628))=0</formula>
    </cfRule>
  </conditionalFormatting>
  <conditionalFormatting sqref="W67 W93 W88 W84 W76">
    <cfRule type="cellIs" dxfId="765" priority="9339" stopIfTrue="1" operator="equal">
      <formula>0</formula>
    </cfRule>
  </conditionalFormatting>
  <conditionalFormatting sqref="X633">
    <cfRule type="containsBlanks" dxfId="764" priority="9353" stopIfTrue="1">
      <formula>LEN(TRIM(X633))=0</formula>
    </cfRule>
  </conditionalFormatting>
  <conditionalFormatting sqref="X144">
    <cfRule type="containsBlanks" dxfId="763" priority="9360" stopIfTrue="1">
      <formula>LEN(TRIM(X144))=0</formula>
    </cfRule>
  </conditionalFormatting>
  <conditionalFormatting sqref="P45 S45 U45">
    <cfRule type="containsBlanks" dxfId="762" priority="9349" stopIfTrue="1">
      <formula>LEN(TRIM(P45))=0</formula>
    </cfRule>
  </conditionalFormatting>
  <conditionalFormatting sqref="X25">
    <cfRule type="containsBlanks" dxfId="761" priority="9341" stopIfTrue="1">
      <formula>LEN(TRIM(X25))=0</formula>
    </cfRule>
  </conditionalFormatting>
  <conditionalFormatting sqref="R616">
    <cfRule type="containsBlanks" dxfId="760" priority="9352" stopIfTrue="1">
      <formula>LEN(TRIM(R616))=0</formula>
    </cfRule>
  </conditionalFormatting>
  <conditionalFormatting sqref="V140:V141 V138 V143:V147">
    <cfRule type="cellIs" dxfId="759" priority="9364" stopIfTrue="1" operator="equal">
      <formula>"ESP. ERRADA"</formula>
    </cfRule>
  </conditionalFormatting>
  <conditionalFormatting sqref="U70">
    <cfRule type="containsBlanks" dxfId="758" priority="9334" stopIfTrue="1">
      <formula>LEN(TRIM(U70))=0</formula>
    </cfRule>
  </conditionalFormatting>
  <conditionalFormatting sqref="O71">
    <cfRule type="containsBlanks" dxfId="757" priority="9332" stopIfTrue="1">
      <formula>LEN(TRIM(O71))=0</formula>
    </cfRule>
  </conditionalFormatting>
  <conditionalFormatting sqref="X43 M44 U44 X41">
    <cfRule type="containsBlanks" dxfId="756" priority="9351" stopIfTrue="1">
      <formula>LEN(TRIM(M41))=0</formula>
    </cfRule>
  </conditionalFormatting>
  <conditionalFormatting sqref="V629:V630 V627 V632:V635">
    <cfRule type="cellIs" dxfId="755" priority="9357" stopIfTrue="1" operator="equal">
      <formula>"ESP. ERRADA"</formula>
    </cfRule>
  </conditionalFormatting>
  <conditionalFormatting sqref="U628">
    <cfRule type="containsBlanks" dxfId="754" priority="9354" stopIfTrue="1">
      <formula>LEN(TRIM(U628))=0</formula>
    </cfRule>
  </conditionalFormatting>
  <conditionalFormatting sqref="S70">
    <cfRule type="containsBlanks" dxfId="753" priority="9335" stopIfTrue="1">
      <formula>LEN(TRIM(S70))=0</formula>
    </cfRule>
  </conditionalFormatting>
  <conditionalFormatting sqref="W41">
    <cfRule type="cellIs" dxfId="752" priority="9350" stopIfTrue="1" operator="equal">
      <formula>0</formula>
    </cfRule>
  </conditionalFormatting>
  <conditionalFormatting sqref="U71">
    <cfRule type="containsBlanks" dxfId="751" priority="9328" stopIfTrue="1">
      <formula>LEN(TRIM(U71))=0</formula>
    </cfRule>
  </conditionalFormatting>
  <conditionalFormatting sqref="X88">
    <cfRule type="containsBlanks" dxfId="750" priority="9320" stopIfTrue="1">
      <formula>LEN(TRIM(X88))=0</formula>
    </cfRule>
  </conditionalFormatting>
  <conditionalFormatting sqref="V24:V28">
    <cfRule type="cellIs" dxfId="749" priority="9345" stopIfTrue="1" operator="equal">
      <formula>"ESP. ERRADA"</formula>
    </cfRule>
  </conditionalFormatting>
  <conditionalFormatting sqref="X68">
    <cfRule type="containsBlanks" dxfId="748" priority="9338" stopIfTrue="1">
      <formula>LEN(TRIM(X68))=0</formula>
    </cfRule>
  </conditionalFormatting>
  <conditionalFormatting sqref="P70">
    <cfRule type="containsBlanks" dxfId="747" priority="9337" stopIfTrue="1">
      <formula>LEN(TRIM(P70))=0</formula>
    </cfRule>
  </conditionalFormatting>
  <conditionalFormatting sqref="X77">
    <cfRule type="containsBlanks" dxfId="746" priority="9327" stopIfTrue="1">
      <formula>LEN(TRIM(X77))=0</formula>
    </cfRule>
  </conditionalFormatting>
  <conditionalFormatting sqref="N71">
    <cfRule type="containsBlanks" dxfId="745" priority="9333" stopIfTrue="1">
      <formula>LEN(TRIM(N71))=0</formula>
    </cfRule>
  </conditionalFormatting>
  <conditionalFormatting sqref="X85">
    <cfRule type="containsBlanks" dxfId="744" priority="9326" stopIfTrue="1">
      <formula>LEN(TRIM(X85))=0</formula>
    </cfRule>
  </conditionalFormatting>
  <conditionalFormatting sqref="R71">
    <cfRule type="containsBlanks" dxfId="743" priority="9329" stopIfTrue="1">
      <formula>LEN(TRIM(R71))=0</formula>
    </cfRule>
  </conditionalFormatting>
  <conditionalFormatting sqref="X89">
    <cfRule type="containsBlanks" dxfId="742" priority="9325" stopIfTrue="1">
      <formula>LEN(TRIM(X89))=0</formula>
    </cfRule>
  </conditionalFormatting>
  <conditionalFormatting sqref="X76">
    <cfRule type="containsBlanks" dxfId="741" priority="9322" stopIfTrue="1">
      <formula>LEN(TRIM(X76))=0</formula>
    </cfRule>
  </conditionalFormatting>
  <conditionalFormatting sqref="X84">
    <cfRule type="containsBlanks" dxfId="740" priority="9321" stopIfTrue="1">
      <formula>LEN(TRIM(X84))=0</formula>
    </cfRule>
  </conditionalFormatting>
  <conditionalFormatting sqref="X67">
    <cfRule type="containsBlanks" dxfId="739" priority="9323" stopIfTrue="1">
      <formula>LEN(TRIM(X67))=0</formula>
    </cfRule>
  </conditionalFormatting>
  <conditionalFormatting sqref="U81">
    <cfRule type="containsBlanks" dxfId="738" priority="9316" stopIfTrue="1">
      <formula>LEN(TRIM(U81))=0</formula>
    </cfRule>
  </conditionalFormatting>
  <conditionalFormatting sqref="U72">
    <cfRule type="containsBlanks" dxfId="737" priority="9314" stopIfTrue="1">
      <formula>LEN(TRIM(U72))=0</formula>
    </cfRule>
  </conditionalFormatting>
  <conditionalFormatting sqref="P79">
    <cfRule type="containsBlanks" dxfId="736" priority="9319" stopIfTrue="1">
      <formula>LEN(TRIM(P79))=0</formula>
    </cfRule>
  </conditionalFormatting>
  <conditionalFormatting sqref="S79">
    <cfRule type="containsBlanks" dxfId="735" priority="9318" stopIfTrue="1">
      <formula>LEN(TRIM(S79))=0</formula>
    </cfRule>
  </conditionalFormatting>
  <conditionalFormatting sqref="U79">
    <cfRule type="containsBlanks" dxfId="734" priority="9317" stopIfTrue="1">
      <formula>LEN(TRIM(U79))=0</formula>
    </cfRule>
  </conditionalFormatting>
  <conditionalFormatting sqref="N81">
    <cfRule type="containsBlanks" dxfId="733" priority="9304" stopIfTrue="1">
      <formula>LEN(TRIM(N81))=0</formula>
    </cfRule>
  </conditionalFormatting>
  <conditionalFormatting sqref="U80">
    <cfRule type="containsBlanks" dxfId="732" priority="9310" stopIfTrue="1">
      <formula>LEN(TRIM(U80))=0</formula>
    </cfRule>
  </conditionalFormatting>
  <conditionalFormatting sqref="O80">
    <cfRule type="containsBlanks" dxfId="731" priority="9312" stopIfTrue="1">
      <formula>LEN(TRIM(O80))=0</formula>
    </cfRule>
  </conditionalFormatting>
  <conditionalFormatting sqref="N80">
    <cfRule type="containsBlanks" dxfId="730" priority="9313" stopIfTrue="1">
      <formula>LEN(TRIM(N80))=0</formula>
    </cfRule>
  </conditionalFormatting>
  <conditionalFormatting sqref="R80">
    <cfRule type="containsBlanks" dxfId="729" priority="9311" stopIfTrue="1">
      <formula>LEN(TRIM(R80))=0</formula>
    </cfRule>
  </conditionalFormatting>
  <conditionalFormatting sqref="R72">
    <cfRule type="containsBlanks" dxfId="728" priority="9309" stopIfTrue="1">
      <formula>LEN(TRIM(R72))=0</formula>
    </cfRule>
  </conditionalFormatting>
  <conditionalFormatting sqref="R81">
    <cfRule type="containsBlanks" dxfId="727" priority="9308" stopIfTrue="1">
      <formula>LEN(TRIM(R81))=0</formula>
    </cfRule>
  </conditionalFormatting>
  <conditionalFormatting sqref="P81">
    <cfRule type="containsBlanks" dxfId="726" priority="9307" stopIfTrue="1">
      <formula>LEN(TRIM(P81))=0</formula>
    </cfRule>
  </conditionalFormatting>
  <conditionalFormatting sqref="Q81">
    <cfRule type="containsBlanks" dxfId="725" priority="9306" stopIfTrue="1">
      <formula>LEN(TRIM(Q81))=0</formula>
    </cfRule>
  </conditionalFormatting>
  <conditionalFormatting sqref="O81">
    <cfRule type="containsBlanks" dxfId="724" priority="9305" stopIfTrue="1">
      <formula>LEN(TRIM(O81))=0</formula>
    </cfRule>
  </conditionalFormatting>
  <conditionalFormatting sqref="W302 W306 W310 W314 W318 W322 W298 W326">
    <cfRule type="cellIs" dxfId="723" priority="9302" stopIfTrue="1" operator="equal">
      <formula>0</formula>
    </cfRule>
  </conditionalFormatting>
  <conditionalFormatting sqref="V298 V302 V306 V310 V314">
    <cfRule type="cellIs" dxfId="722" priority="9301" stopIfTrue="1" operator="equal">
      <formula>"ESP. ERRADA"</formula>
    </cfRule>
  </conditionalFormatting>
  <conditionalFormatting sqref="M340:M341">
    <cfRule type="containsBlanks" dxfId="721" priority="9299" stopIfTrue="1">
      <formula>LEN(TRIM(M340))=0</formula>
    </cfRule>
  </conditionalFormatting>
  <conditionalFormatting sqref="R344">
    <cfRule type="containsBlanks" dxfId="720" priority="9287" stopIfTrue="1">
      <formula>LEN(TRIM(R344))=0</formula>
    </cfRule>
  </conditionalFormatting>
  <conditionalFormatting sqref="M353">
    <cfRule type="containsBlanks" dxfId="719" priority="9282" stopIfTrue="1">
      <formula>LEN(TRIM(M353))=0</formula>
    </cfRule>
  </conditionalFormatting>
  <conditionalFormatting sqref="Q353">
    <cfRule type="containsBlanks" dxfId="718" priority="9272" stopIfTrue="1">
      <formula>LEN(TRIM(Q353))=0</formula>
    </cfRule>
  </conditionalFormatting>
  <conditionalFormatting sqref="X298">
    <cfRule type="containsBlanks" dxfId="717" priority="9267" stopIfTrue="1">
      <formula>LEN(TRIM(X298))=0</formula>
    </cfRule>
  </conditionalFormatting>
  <conditionalFormatting sqref="W330">
    <cfRule type="cellIs" dxfId="716" priority="9266" stopIfTrue="1" operator="equal">
      <formula>0</formula>
    </cfRule>
  </conditionalFormatting>
  <conditionalFormatting sqref="W334">
    <cfRule type="cellIs" dxfId="715" priority="9264" stopIfTrue="1" operator="equal">
      <formula>0</formula>
    </cfRule>
  </conditionalFormatting>
  <conditionalFormatting sqref="V318">
    <cfRule type="cellIs" dxfId="714" priority="9262" stopIfTrue="1" operator="equal">
      <formula>"ESP. ERRADA"</formula>
    </cfRule>
  </conditionalFormatting>
  <conditionalFormatting sqref="V322">
    <cfRule type="cellIs" dxfId="713" priority="9261" stopIfTrue="1" operator="equal">
      <formula>"ESP. ERRADA"</formula>
    </cfRule>
  </conditionalFormatting>
  <conditionalFormatting sqref="V326">
    <cfRule type="cellIs" dxfId="712" priority="9260" stopIfTrue="1" operator="equal">
      <formula>"ESP. ERRADA"</formula>
    </cfRule>
  </conditionalFormatting>
  <conditionalFormatting sqref="V330">
    <cfRule type="cellIs" dxfId="711" priority="9259" stopIfTrue="1" operator="equal">
      <formula>"ESP. ERRADA"</formula>
    </cfRule>
  </conditionalFormatting>
  <conditionalFormatting sqref="V334">
    <cfRule type="cellIs" dxfId="710" priority="9258" stopIfTrue="1" operator="equal">
      <formula>"ESP. ERRADA"</formula>
    </cfRule>
  </conditionalFormatting>
  <conditionalFormatting sqref="X405:X407">
    <cfRule type="containsBlanks" dxfId="709" priority="9060" stopIfTrue="1">
      <formula>LEN(TRIM(X405))=0</formula>
    </cfRule>
  </conditionalFormatting>
  <conditionalFormatting sqref="U405">
    <cfRule type="containsBlanks" dxfId="708" priority="9058" stopIfTrue="1">
      <formula>LEN(TRIM(U405))=0</formula>
    </cfRule>
  </conditionalFormatting>
  <conditionalFormatting sqref="M354">
    <cfRule type="containsBlanks" dxfId="707" priority="9056" stopIfTrue="1">
      <formula>LEN(TRIM(M354))=0</formula>
    </cfRule>
  </conditionalFormatting>
  <conditionalFormatting sqref="M356">
    <cfRule type="containsBlanks" dxfId="706" priority="9054" stopIfTrue="1">
      <formula>LEN(TRIM(M356))=0</formula>
    </cfRule>
  </conditionalFormatting>
  <conditionalFormatting sqref="M358">
    <cfRule type="containsBlanks" dxfId="705" priority="9052" stopIfTrue="1">
      <formula>LEN(TRIM(M358))=0</formula>
    </cfRule>
  </conditionalFormatting>
  <conditionalFormatting sqref="M360">
    <cfRule type="containsBlanks" dxfId="704" priority="9050" stopIfTrue="1">
      <formula>LEN(TRIM(M360))=0</formula>
    </cfRule>
  </conditionalFormatting>
  <conditionalFormatting sqref="M362">
    <cfRule type="containsBlanks" dxfId="703" priority="9048" stopIfTrue="1">
      <formula>LEN(TRIM(M362))=0</formula>
    </cfRule>
  </conditionalFormatting>
  <conditionalFormatting sqref="M364">
    <cfRule type="containsBlanks" dxfId="702" priority="9046" stopIfTrue="1">
      <formula>LEN(TRIM(M364))=0</formula>
    </cfRule>
  </conditionalFormatting>
  <conditionalFormatting sqref="M366">
    <cfRule type="containsBlanks" dxfId="701" priority="9044" stopIfTrue="1">
      <formula>LEN(TRIM(M366))=0</formula>
    </cfRule>
  </conditionalFormatting>
  <conditionalFormatting sqref="M368">
    <cfRule type="containsBlanks" dxfId="700" priority="9042" stopIfTrue="1">
      <formula>LEN(TRIM(M368))=0</formula>
    </cfRule>
  </conditionalFormatting>
  <conditionalFormatting sqref="M370">
    <cfRule type="containsBlanks" dxfId="699" priority="9040" stopIfTrue="1">
      <formula>LEN(TRIM(M370))=0</formula>
    </cfRule>
  </conditionalFormatting>
  <conditionalFormatting sqref="M372">
    <cfRule type="containsBlanks" dxfId="698" priority="9038" stopIfTrue="1">
      <formula>LEN(TRIM(M372))=0</formula>
    </cfRule>
  </conditionalFormatting>
  <conditionalFormatting sqref="M374">
    <cfRule type="containsBlanks" dxfId="697" priority="9036" stopIfTrue="1">
      <formula>LEN(TRIM(M374))=0</formula>
    </cfRule>
  </conditionalFormatting>
  <conditionalFormatting sqref="M376">
    <cfRule type="containsBlanks" dxfId="696" priority="9034" stopIfTrue="1">
      <formula>LEN(TRIM(M376))=0</formula>
    </cfRule>
  </conditionalFormatting>
  <conditionalFormatting sqref="M378">
    <cfRule type="containsBlanks" dxfId="695" priority="9032" stopIfTrue="1">
      <formula>LEN(TRIM(M378))=0</formula>
    </cfRule>
  </conditionalFormatting>
  <conditionalFormatting sqref="M380">
    <cfRule type="containsBlanks" dxfId="694" priority="9030" stopIfTrue="1">
      <formula>LEN(TRIM(M380))=0</formula>
    </cfRule>
  </conditionalFormatting>
  <conditionalFormatting sqref="M382">
    <cfRule type="containsBlanks" dxfId="693" priority="9028" stopIfTrue="1">
      <formula>LEN(TRIM(M382))=0</formula>
    </cfRule>
  </conditionalFormatting>
  <conditionalFormatting sqref="T352:V401">
    <cfRule type="cellIs" dxfId="692" priority="9110" operator="lessThan">
      <formula>0</formula>
    </cfRule>
  </conditionalFormatting>
  <conditionalFormatting sqref="V406:V407 V404 V409:V412">
    <cfRule type="cellIs" dxfId="691" priority="9061" stopIfTrue="1" operator="equal">
      <formula>"ESP. ERRADA"</formula>
    </cfRule>
  </conditionalFormatting>
  <conditionalFormatting sqref="X410">
    <cfRule type="containsBlanks" dxfId="690" priority="9057" stopIfTrue="1">
      <formula>LEN(TRIM(X410))=0</formula>
    </cfRule>
  </conditionalFormatting>
  <conditionalFormatting sqref="M357">
    <cfRule type="containsBlanks" dxfId="689" priority="9053" stopIfTrue="1">
      <formula>LEN(TRIM(M357))=0</formula>
    </cfRule>
  </conditionalFormatting>
  <conditionalFormatting sqref="M359">
    <cfRule type="containsBlanks" dxfId="688" priority="9051" stopIfTrue="1">
      <formula>LEN(TRIM(M359))=0</formula>
    </cfRule>
  </conditionalFormatting>
  <conditionalFormatting sqref="M361">
    <cfRule type="containsBlanks" dxfId="687" priority="9049" stopIfTrue="1">
      <formula>LEN(TRIM(M361))=0</formula>
    </cfRule>
  </conditionalFormatting>
  <conditionalFormatting sqref="M363">
    <cfRule type="containsBlanks" dxfId="686" priority="9047" stopIfTrue="1">
      <formula>LEN(TRIM(M363))=0</formula>
    </cfRule>
  </conditionalFormatting>
  <conditionalFormatting sqref="M365">
    <cfRule type="containsBlanks" dxfId="685" priority="9045" stopIfTrue="1">
      <formula>LEN(TRIM(M365))=0</formula>
    </cfRule>
  </conditionalFormatting>
  <conditionalFormatting sqref="M367">
    <cfRule type="containsBlanks" dxfId="684" priority="9043" stopIfTrue="1">
      <formula>LEN(TRIM(M367))=0</formula>
    </cfRule>
  </conditionalFormatting>
  <conditionalFormatting sqref="M369">
    <cfRule type="containsBlanks" dxfId="683" priority="9041" stopIfTrue="1">
      <formula>LEN(TRIM(M369))=0</formula>
    </cfRule>
  </conditionalFormatting>
  <conditionalFormatting sqref="M371">
    <cfRule type="containsBlanks" dxfId="682" priority="9039" stopIfTrue="1">
      <formula>LEN(TRIM(M371))=0</formula>
    </cfRule>
  </conditionalFormatting>
  <conditionalFormatting sqref="M373">
    <cfRule type="containsBlanks" dxfId="681" priority="9037" stopIfTrue="1">
      <formula>LEN(TRIM(M373))=0</formula>
    </cfRule>
  </conditionalFormatting>
  <conditionalFormatting sqref="M375">
    <cfRule type="containsBlanks" dxfId="680" priority="9035" stopIfTrue="1">
      <formula>LEN(TRIM(M375))=0</formula>
    </cfRule>
  </conditionalFormatting>
  <conditionalFormatting sqref="M377">
    <cfRule type="containsBlanks" dxfId="679" priority="9033" stopIfTrue="1">
      <formula>LEN(TRIM(M377))=0</formula>
    </cfRule>
  </conditionalFormatting>
  <conditionalFormatting sqref="M379">
    <cfRule type="containsBlanks" dxfId="678" priority="9031" stopIfTrue="1">
      <formula>LEN(TRIM(M379))=0</formula>
    </cfRule>
  </conditionalFormatting>
  <conditionalFormatting sqref="M381">
    <cfRule type="containsBlanks" dxfId="677" priority="9029" stopIfTrue="1">
      <formula>LEN(TRIM(M381))=0</formula>
    </cfRule>
  </conditionalFormatting>
  <conditionalFormatting sqref="M383">
    <cfRule type="containsBlanks" dxfId="676" priority="9027" stopIfTrue="1">
      <formula>LEN(TRIM(M383))=0</formula>
    </cfRule>
  </conditionalFormatting>
  <conditionalFormatting sqref="M384">
    <cfRule type="containsBlanks" dxfId="675" priority="9026" stopIfTrue="1">
      <formula>LEN(TRIM(M384))=0</formula>
    </cfRule>
  </conditionalFormatting>
  <conditionalFormatting sqref="M385">
    <cfRule type="containsBlanks" dxfId="674" priority="9025" stopIfTrue="1">
      <formula>LEN(TRIM(M385))=0</formula>
    </cfRule>
  </conditionalFormatting>
  <conditionalFormatting sqref="M386">
    <cfRule type="containsBlanks" dxfId="673" priority="9024" stopIfTrue="1">
      <formula>LEN(TRIM(M386))=0</formula>
    </cfRule>
  </conditionalFormatting>
  <conditionalFormatting sqref="M387">
    <cfRule type="containsBlanks" dxfId="672" priority="9023" stopIfTrue="1">
      <formula>LEN(TRIM(M387))=0</formula>
    </cfRule>
  </conditionalFormatting>
  <conditionalFormatting sqref="M388">
    <cfRule type="containsBlanks" dxfId="671" priority="9022" stopIfTrue="1">
      <formula>LEN(TRIM(M388))=0</formula>
    </cfRule>
  </conditionalFormatting>
  <conditionalFormatting sqref="M389">
    <cfRule type="containsBlanks" dxfId="670" priority="9021" stopIfTrue="1">
      <formula>LEN(TRIM(M389))=0</formula>
    </cfRule>
  </conditionalFormatting>
  <conditionalFormatting sqref="M390">
    <cfRule type="containsBlanks" dxfId="669" priority="9020" stopIfTrue="1">
      <formula>LEN(TRIM(M390))=0</formula>
    </cfRule>
  </conditionalFormatting>
  <conditionalFormatting sqref="M391">
    <cfRule type="containsBlanks" dxfId="668" priority="9019" stopIfTrue="1">
      <formula>LEN(TRIM(M391))=0</formula>
    </cfRule>
  </conditionalFormatting>
  <conditionalFormatting sqref="M392">
    <cfRule type="containsBlanks" dxfId="667" priority="9018" stopIfTrue="1">
      <formula>LEN(TRIM(M392))=0</formula>
    </cfRule>
  </conditionalFormatting>
  <conditionalFormatting sqref="M393">
    <cfRule type="containsBlanks" dxfId="666" priority="9017" stopIfTrue="1">
      <formula>LEN(TRIM(M393))=0</formula>
    </cfRule>
  </conditionalFormatting>
  <conditionalFormatting sqref="M394">
    <cfRule type="containsBlanks" dxfId="665" priority="9016" stopIfTrue="1">
      <formula>LEN(TRIM(M394))=0</formula>
    </cfRule>
  </conditionalFormatting>
  <conditionalFormatting sqref="M395">
    <cfRule type="containsBlanks" dxfId="664" priority="9015" stopIfTrue="1">
      <formula>LEN(TRIM(M395))=0</formula>
    </cfRule>
  </conditionalFormatting>
  <conditionalFormatting sqref="M396">
    <cfRule type="containsBlanks" dxfId="663" priority="9014" stopIfTrue="1">
      <formula>LEN(TRIM(M396))=0</formula>
    </cfRule>
  </conditionalFormatting>
  <conditionalFormatting sqref="M397">
    <cfRule type="containsBlanks" dxfId="662" priority="9013" stopIfTrue="1">
      <formula>LEN(TRIM(M397))=0</formula>
    </cfRule>
  </conditionalFormatting>
  <conditionalFormatting sqref="M398">
    <cfRule type="containsBlanks" dxfId="661" priority="9012" stopIfTrue="1">
      <formula>LEN(TRIM(M398))=0</formula>
    </cfRule>
  </conditionalFormatting>
  <conditionalFormatting sqref="M399">
    <cfRule type="containsBlanks" dxfId="660" priority="9011" stopIfTrue="1">
      <formula>LEN(TRIM(M399))=0</formula>
    </cfRule>
  </conditionalFormatting>
  <conditionalFormatting sqref="M400">
    <cfRule type="containsBlanks" dxfId="659" priority="9010" stopIfTrue="1">
      <formula>LEN(TRIM(M400))=0</formula>
    </cfRule>
  </conditionalFormatting>
  <conditionalFormatting sqref="M401">
    <cfRule type="containsBlanks" dxfId="658" priority="9009" stopIfTrue="1">
      <formula>LEN(TRIM(M401))=0</formula>
    </cfRule>
  </conditionalFormatting>
  <conditionalFormatting sqref="Q354">
    <cfRule type="containsBlanks" dxfId="657" priority="8960" stopIfTrue="1">
      <formula>LEN(TRIM(Q354))=0</formula>
    </cfRule>
  </conditionalFormatting>
  <conditionalFormatting sqref="Q355">
    <cfRule type="containsBlanks" dxfId="656" priority="8959" stopIfTrue="1">
      <formula>LEN(TRIM(Q355))=0</formula>
    </cfRule>
  </conditionalFormatting>
  <conditionalFormatting sqref="Q356">
    <cfRule type="containsBlanks" dxfId="655" priority="8958" stopIfTrue="1">
      <formula>LEN(TRIM(Q356))=0</formula>
    </cfRule>
  </conditionalFormatting>
  <conditionalFormatting sqref="Q357">
    <cfRule type="containsBlanks" dxfId="654" priority="8957" stopIfTrue="1">
      <formula>LEN(TRIM(Q357))=0</formula>
    </cfRule>
  </conditionalFormatting>
  <conditionalFormatting sqref="Q358">
    <cfRule type="containsBlanks" dxfId="653" priority="8956" stopIfTrue="1">
      <formula>LEN(TRIM(Q358))=0</formula>
    </cfRule>
  </conditionalFormatting>
  <conditionalFormatting sqref="Q359">
    <cfRule type="containsBlanks" dxfId="652" priority="8955" stopIfTrue="1">
      <formula>LEN(TRIM(Q359))=0</formula>
    </cfRule>
  </conditionalFormatting>
  <conditionalFormatting sqref="Q360">
    <cfRule type="containsBlanks" dxfId="651" priority="8954" stopIfTrue="1">
      <formula>LEN(TRIM(Q360))=0</formula>
    </cfRule>
  </conditionalFormatting>
  <conditionalFormatting sqref="Q361">
    <cfRule type="containsBlanks" dxfId="650" priority="8953" stopIfTrue="1">
      <formula>LEN(TRIM(Q361))=0</formula>
    </cfRule>
  </conditionalFormatting>
  <conditionalFormatting sqref="Q362">
    <cfRule type="containsBlanks" dxfId="649" priority="8952" stopIfTrue="1">
      <formula>LEN(TRIM(Q362))=0</formula>
    </cfRule>
  </conditionalFormatting>
  <conditionalFormatting sqref="Q363">
    <cfRule type="containsBlanks" dxfId="648" priority="8951" stopIfTrue="1">
      <formula>LEN(TRIM(Q363))=0</formula>
    </cfRule>
  </conditionalFormatting>
  <conditionalFormatting sqref="Q364">
    <cfRule type="containsBlanks" dxfId="647" priority="8950" stopIfTrue="1">
      <formula>LEN(TRIM(Q364))=0</formula>
    </cfRule>
  </conditionalFormatting>
  <conditionalFormatting sqref="Q365">
    <cfRule type="containsBlanks" dxfId="646" priority="8949" stopIfTrue="1">
      <formula>LEN(TRIM(Q365))=0</formula>
    </cfRule>
  </conditionalFormatting>
  <conditionalFormatting sqref="Q366">
    <cfRule type="containsBlanks" dxfId="645" priority="8948" stopIfTrue="1">
      <formula>LEN(TRIM(Q366))=0</formula>
    </cfRule>
  </conditionalFormatting>
  <conditionalFormatting sqref="Q367">
    <cfRule type="containsBlanks" dxfId="644" priority="8947" stopIfTrue="1">
      <formula>LEN(TRIM(Q367))=0</formula>
    </cfRule>
  </conditionalFormatting>
  <conditionalFormatting sqref="Q368">
    <cfRule type="containsBlanks" dxfId="643" priority="8946" stopIfTrue="1">
      <formula>LEN(TRIM(Q368))=0</formula>
    </cfRule>
  </conditionalFormatting>
  <conditionalFormatting sqref="Q369">
    <cfRule type="containsBlanks" dxfId="642" priority="8945" stopIfTrue="1">
      <formula>LEN(TRIM(Q369))=0</formula>
    </cfRule>
  </conditionalFormatting>
  <conditionalFormatting sqref="Q370">
    <cfRule type="containsBlanks" dxfId="641" priority="8944" stopIfTrue="1">
      <formula>LEN(TRIM(Q370))=0</formula>
    </cfRule>
  </conditionalFormatting>
  <conditionalFormatting sqref="Q371">
    <cfRule type="containsBlanks" dxfId="640" priority="8943" stopIfTrue="1">
      <formula>LEN(TRIM(Q371))=0</formula>
    </cfRule>
  </conditionalFormatting>
  <conditionalFormatting sqref="Q372">
    <cfRule type="containsBlanks" dxfId="639" priority="8942" stopIfTrue="1">
      <formula>LEN(TRIM(Q372))=0</formula>
    </cfRule>
  </conditionalFormatting>
  <conditionalFormatting sqref="Q373">
    <cfRule type="containsBlanks" dxfId="638" priority="8941" stopIfTrue="1">
      <formula>LEN(TRIM(Q373))=0</formula>
    </cfRule>
  </conditionalFormatting>
  <conditionalFormatting sqref="Q374">
    <cfRule type="containsBlanks" dxfId="637" priority="8940" stopIfTrue="1">
      <formula>LEN(TRIM(Q374))=0</formula>
    </cfRule>
  </conditionalFormatting>
  <conditionalFormatting sqref="Q375">
    <cfRule type="containsBlanks" dxfId="636" priority="8939" stopIfTrue="1">
      <formula>LEN(TRIM(Q375))=0</formula>
    </cfRule>
  </conditionalFormatting>
  <conditionalFormatting sqref="Q376">
    <cfRule type="containsBlanks" dxfId="635" priority="8938" stopIfTrue="1">
      <formula>LEN(TRIM(Q376))=0</formula>
    </cfRule>
  </conditionalFormatting>
  <conditionalFormatting sqref="Q377">
    <cfRule type="containsBlanks" dxfId="634" priority="8937" stopIfTrue="1">
      <formula>LEN(TRIM(Q377))=0</formula>
    </cfRule>
  </conditionalFormatting>
  <conditionalFormatting sqref="Q378">
    <cfRule type="containsBlanks" dxfId="633" priority="8936" stopIfTrue="1">
      <formula>LEN(TRIM(Q378))=0</formula>
    </cfRule>
  </conditionalFormatting>
  <conditionalFormatting sqref="Q379">
    <cfRule type="containsBlanks" dxfId="632" priority="8935" stopIfTrue="1">
      <formula>LEN(TRIM(Q379))=0</formula>
    </cfRule>
  </conditionalFormatting>
  <conditionalFormatting sqref="Q380">
    <cfRule type="containsBlanks" dxfId="631" priority="8934" stopIfTrue="1">
      <formula>LEN(TRIM(Q380))=0</formula>
    </cfRule>
  </conditionalFormatting>
  <conditionalFormatting sqref="Q381">
    <cfRule type="containsBlanks" dxfId="630" priority="8933" stopIfTrue="1">
      <formula>LEN(TRIM(Q381))=0</formula>
    </cfRule>
  </conditionalFormatting>
  <conditionalFormatting sqref="Q382">
    <cfRule type="containsBlanks" dxfId="629" priority="8932" stopIfTrue="1">
      <formula>LEN(TRIM(Q382))=0</formula>
    </cfRule>
  </conditionalFormatting>
  <conditionalFormatting sqref="Q383">
    <cfRule type="containsBlanks" dxfId="628" priority="8931" stopIfTrue="1">
      <formula>LEN(TRIM(Q383))=0</formula>
    </cfRule>
  </conditionalFormatting>
  <conditionalFormatting sqref="Q384">
    <cfRule type="containsBlanks" dxfId="627" priority="8930" stopIfTrue="1">
      <formula>LEN(TRIM(Q384))=0</formula>
    </cfRule>
  </conditionalFormatting>
  <conditionalFormatting sqref="Q385">
    <cfRule type="containsBlanks" dxfId="626" priority="8929" stopIfTrue="1">
      <formula>LEN(TRIM(Q385))=0</formula>
    </cfRule>
  </conditionalFormatting>
  <conditionalFormatting sqref="Q386">
    <cfRule type="containsBlanks" dxfId="625" priority="8928" stopIfTrue="1">
      <formula>LEN(TRIM(Q386))=0</formula>
    </cfRule>
  </conditionalFormatting>
  <conditionalFormatting sqref="Q387">
    <cfRule type="containsBlanks" dxfId="624" priority="8927" stopIfTrue="1">
      <formula>LEN(TRIM(Q387))=0</formula>
    </cfRule>
  </conditionalFormatting>
  <conditionalFormatting sqref="Q388">
    <cfRule type="containsBlanks" dxfId="623" priority="8926" stopIfTrue="1">
      <formula>LEN(TRIM(Q388))=0</formula>
    </cfRule>
  </conditionalFormatting>
  <conditionalFormatting sqref="Q389">
    <cfRule type="containsBlanks" dxfId="622" priority="8925" stopIfTrue="1">
      <formula>LEN(TRIM(Q389))=0</formula>
    </cfRule>
  </conditionalFormatting>
  <conditionalFormatting sqref="Q390">
    <cfRule type="containsBlanks" dxfId="621" priority="8924" stopIfTrue="1">
      <formula>LEN(TRIM(Q390))=0</formula>
    </cfRule>
  </conditionalFormatting>
  <conditionalFormatting sqref="Q391">
    <cfRule type="containsBlanks" dxfId="620" priority="8923" stopIfTrue="1">
      <formula>LEN(TRIM(Q391))=0</formula>
    </cfRule>
  </conditionalFormatting>
  <conditionalFormatting sqref="Q392">
    <cfRule type="containsBlanks" dxfId="619" priority="8922" stopIfTrue="1">
      <formula>LEN(TRIM(Q392))=0</formula>
    </cfRule>
  </conditionalFormatting>
  <conditionalFormatting sqref="Q393">
    <cfRule type="containsBlanks" dxfId="618" priority="8921" stopIfTrue="1">
      <formula>LEN(TRIM(Q393))=0</formula>
    </cfRule>
  </conditionalFormatting>
  <conditionalFormatting sqref="Q394">
    <cfRule type="containsBlanks" dxfId="617" priority="8920" stopIfTrue="1">
      <formula>LEN(TRIM(Q394))=0</formula>
    </cfRule>
  </conditionalFormatting>
  <conditionalFormatting sqref="Q395">
    <cfRule type="containsBlanks" dxfId="616" priority="8919" stopIfTrue="1">
      <formula>LEN(TRIM(Q395))=0</formula>
    </cfRule>
  </conditionalFormatting>
  <conditionalFormatting sqref="Q396">
    <cfRule type="containsBlanks" dxfId="615" priority="8918" stopIfTrue="1">
      <formula>LEN(TRIM(Q396))=0</formula>
    </cfRule>
  </conditionalFormatting>
  <conditionalFormatting sqref="Q397">
    <cfRule type="containsBlanks" dxfId="614" priority="8917" stopIfTrue="1">
      <formula>LEN(TRIM(Q397))=0</formula>
    </cfRule>
  </conditionalFormatting>
  <conditionalFormatting sqref="Q398">
    <cfRule type="containsBlanks" dxfId="613" priority="8916" stopIfTrue="1">
      <formula>LEN(TRIM(Q398))=0</formula>
    </cfRule>
  </conditionalFormatting>
  <conditionalFormatting sqref="Q399">
    <cfRule type="containsBlanks" dxfId="612" priority="8915" stopIfTrue="1">
      <formula>LEN(TRIM(Q399))=0</formula>
    </cfRule>
  </conditionalFormatting>
  <conditionalFormatting sqref="Q400">
    <cfRule type="containsBlanks" dxfId="611" priority="8914" stopIfTrue="1">
      <formula>LEN(TRIM(Q400))=0</formula>
    </cfRule>
  </conditionalFormatting>
  <conditionalFormatting sqref="Q401">
    <cfRule type="containsBlanks" dxfId="610" priority="8913" stopIfTrue="1">
      <formula>LEN(TRIM(Q401))=0</formula>
    </cfRule>
  </conditionalFormatting>
  <conditionalFormatting sqref="O340:O344">
    <cfRule type="cellIs" dxfId="609" priority="8909" operator="notEqual">
      <formula>$O$340</formula>
    </cfRule>
    <cfRule type="cellIs" dxfId="608" priority="8910" operator="equal">
      <formula>$O$340</formula>
    </cfRule>
  </conditionalFormatting>
  <conditionalFormatting sqref="N340:N344">
    <cfRule type="cellIs" dxfId="607" priority="8907" operator="notEqual">
      <formula>$N$340</formula>
    </cfRule>
    <cfRule type="cellIs" dxfId="606" priority="8908" operator="equal">
      <formula>$N$340</formula>
    </cfRule>
  </conditionalFormatting>
  <conditionalFormatting sqref="N72">
    <cfRule type="containsBlanks" dxfId="605" priority="8878" stopIfTrue="1">
      <formula>LEN(TRIM(N72))=0</formula>
    </cfRule>
  </conditionalFormatting>
  <conditionalFormatting sqref="O72">
    <cfRule type="containsBlanks" dxfId="604" priority="8877" stopIfTrue="1">
      <formula>LEN(TRIM(O72))=0</formula>
    </cfRule>
  </conditionalFormatting>
  <conditionalFormatting sqref="P72">
    <cfRule type="containsBlanks" dxfId="603" priority="8876" stopIfTrue="1">
      <formula>LEN(TRIM(P72))=0</formula>
    </cfRule>
  </conditionalFormatting>
  <conditionalFormatting sqref="Q72">
    <cfRule type="containsBlanks" dxfId="602" priority="8875" stopIfTrue="1">
      <formula>LEN(TRIM(Q72))=0</formula>
    </cfRule>
  </conditionalFormatting>
  <conditionalFormatting sqref="R94">
    <cfRule type="containsBlanks" dxfId="601" priority="8874" stopIfTrue="1">
      <formula>LEN(TRIM(R94))=0</formula>
    </cfRule>
  </conditionalFormatting>
  <conditionalFormatting sqref="W99">
    <cfRule type="cellIs" dxfId="600" priority="8864" stopIfTrue="1" operator="equal">
      <formula>0</formula>
    </cfRule>
  </conditionalFormatting>
  <conditionalFormatting sqref="U102">
    <cfRule type="containsBlanks" dxfId="599" priority="8859" stopIfTrue="1">
      <formula>LEN(TRIM(U102))=0</formula>
    </cfRule>
  </conditionalFormatting>
  <conditionalFormatting sqref="U103">
    <cfRule type="containsBlanks" dxfId="598" priority="8855" stopIfTrue="1">
      <formula>LEN(TRIM(U103))=0</formula>
    </cfRule>
  </conditionalFormatting>
  <conditionalFormatting sqref="X100">
    <cfRule type="containsBlanks" dxfId="597" priority="8863" stopIfTrue="1">
      <formula>LEN(TRIM(X100))=0</formula>
    </cfRule>
  </conditionalFormatting>
  <conditionalFormatting sqref="X99">
    <cfRule type="containsBlanks" dxfId="596" priority="8854" stopIfTrue="1">
      <formula>LEN(TRIM(X99))=0</formula>
    </cfRule>
  </conditionalFormatting>
  <conditionalFormatting sqref="X610">
    <cfRule type="containsBlanks" dxfId="595" priority="8847" stopIfTrue="1">
      <formula>LEN(TRIM(X610))=0</formula>
    </cfRule>
  </conditionalFormatting>
  <conditionalFormatting sqref="W608">
    <cfRule type="cellIs" dxfId="594" priority="8846" stopIfTrue="1" operator="equal">
      <formula>0</formula>
    </cfRule>
  </conditionalFormatting>
  <conditionalFormatting sqref="M612">
    <cfRule type="containsBlanks" dxfId="593" priority="8845" stopIfTrue="1">
      <formula>LEN(TRIM(M612))=0</formula>
    </cfRule>
  </conditionalFormatting>
  <conditionalFormatting sqref="B21">
    <cfRule type="containsBlanks" dxfId="592" priority="8844" stopIfTrue="1">
      <formula>LEN(TRIM(B21))=0</formula>
    </cfRule>
  </conditionalFormatting>
  <conditionalFormatting sqref="B22">
    <cfRule type="containsBlanks" dxfId="591" priority="8843" stopIfTrue="1">
      <formula>LEN(TRIM(B22))=0</formula>
    </cfRule>
  </conditionalFormatting>
  <conditionalFormatting sqref="C340">
    <cfRule type="containsBlanks" dxfId="590" priority="8842" stopIfTrue="1">
      <formula>LEN(TRIM(C340))=0</formula>
    </cfRule>
  </conditionalFormatting>
  <conditionalFormatting sqref="C343">
    <cfRule type="containsBlanks" dxfId="589" priority="8841" stopIfTrue="1">
      <formula>LEN(TRIM(C343))=0</formula>
    </cfRule>
  </conditionalFormatting>
  <conditionalFormatting sqref="C346">
    <cfRule type="containsBlanks" dxfId="588" priority="8840" stopIfTrue="1">
      <formula>LEN(TRIM(C346))=0</formula>
    </cfRule>
  </conditionalFormatting>
  <conditionalFormatting sqref="P604">
    <cfRule type="containsBlanks" dxfId="587" priority="8474" stopIfTrue="1">
      <formula>LEN(TRIM(P604))=0</formula>
    </cfRule>
  </conditionalFormatting>
  <conditionalFormatting sqref="U597">
    <cfRule type="containsBlanks" dxfId="586" priority="8466" stopIfTrue="1">
      <formula>LEN(TRIM(U597))=0</formula>
    </cfRule>
  </conditionalFormatting>
  <conditionalFormatting sqref="B70">
    <cfRule type="containsBlanks" dxfId="585" priority="8454" stopIfTrue="1">
      <formula>LEN(TRIM(B70))=0</formula>
    </cfRule>
  </conditionalFormatting>
  <conditionalFormatting sqref="B79">
    <cfRule type="containsBlanks" dxfId="584" priority="8451" stopIfTrue="1">
      <formula>LEN(TRIM(B79))=0</formula>
    </cfRule>
  </conditionalFormatting>
  <conditionalFormatting sqref="B80">
    <cfRule type="containsBlanks" dxfId="583" priority="8450" stopIfTrue="1">
      <formula>LEN(TRIM(B80))=0</formula>
    </cfRule>
  </conditionalFormatting>
  <conditionalFormatting sqref="B81">
    <cfRule type="containsBlanks" dxfId="582" priority="8449" stopIfTrue="1">
      <formula>LEN(TRIM(B81))=0</formula>
    </cfRule>
  </conditionalFormatting>
  <conditionalFormatting sqref="B72">
    <cfRule type="containsBlanks" dxfId="581" priority="8452" stopIfTrue="1">
      <formula>LEN(TRIM(B72))=0</formula>
    </cfRule>
  </conditionalFormatting>
  <conditionalFormatting sqref="R604">
    <cfRule type="containsBlanks" dxfId="580" priority="8471" stopIfTrue="1">
      <formula>LEN(TRIM(R604))=0</formula>
    </cfRule>
  </conditionalFormatting>
  <conditionalFormatting sqref="U596 X593 N593 X595">
    <cfRule type="containsBlanks" dxfId="579" priority="8470" stopIfTrue="1">
      <formula>LEN(TRIM(N593))=0</formula>
    </cfRule>
  </conditionalFormatting>
  <conditionalFormatting sqref="W601">
    <cfRule type="cellIs" dxfId="578" priority="8484" stopIfTrue="1" operator="equal">
      <formula>0</formula>
    </cfRule>
  </conditionalFormatting>
  <conditionalFormatting sqref="V604">
    <cfRule type="cellIs" dxfId="577" priority="8488" stopIfTrue="1" operator="equal">
      <formula>"ESP. ERRADA"</formula>
    </cfRule>
  </conditionalFormatting>
  <conditionalFormatting sqref="U604 X601:X603">
    <cfRule type="containsBlanks" dxfId="576" priority="8489" stopIfTrue="1">
      <formula>LEN(TRIM(U601))=0</formula>
    </cfRule>
  </conditionalFormatting>
  <conditionalFormatting sqref="S604">
    <cfRule type="containsBlanks" dxfId="575" priority="8473" stopIfTrue="1">
      <formula>LEN(TRIM(S604))=0</formula>
    </cfRule>
  </conditionalFormatting>
  <conditionalFormatting sqref="W593">
    <cfRule type="cellIs" dxfId="574" priority="8465" stopIfTrue="1" operator="equal">
      <formula>0</formula>
    </cfRule>
  </conditionalFormatting>
  <conditionalFormatting sqref="B44">
    <cfRule type="containsBlanks" dxfId="573" priority="8456" stopIfTrue="1">
      <formula>LEN(TRIM(B44))=0</formula>
    </cfRule>
  </conditionalFormatting>
  <conditionalFormatting sqref="B45">
    <cfRule type="containsBlanks" dxfId="572" priority="8455" stopIfTrue="1">
      <formula>LEN(TRIM(B45))=0</formula>
    </cfRule>
  </conditionalFormatting>
  <conditionalFormatting sqref="B71">
    <cfRule type="containsBlanks" dxfId="571" priority="8453" stopIfTrue="1">
      <formula>LEN(TRIM(B71))=0</formula>
    </cfRule>
  </conditionalFormatting>
  <conditionalFormatting sqref="P53 S53 U53">
    <cfRule type="containsBlanks" dxfId="570" priority="8087" stopIfTrue="1">
      <formula>LEN(TRIM(P53))=0</formula>
    </cfRule>
  </conditionalFormatting>
  <conditionalFormatting sqref="X51 M52 U52 X49">
    <cfRule type="containsBlanks" dxfId="569" priority="8089" stopIfTrue="1">
      <formula>LEN(TRIM(M49))=0</formula>
    </cfRule>
  </conditionalFormatting>
  <conditionalFormatting sqref="W49">
    <cfRule type="cellIs" dxfId="568" priority="8088" stopIfTrue="1" operator="equal">
      <formula>0</formula>
    </cfRule>
  </conditionalFormatting>
  <conditionalFormatting sqref="B52">
    <cfRule type="containsBlanks" dxfId="567" priority="8086" stopIfTrue="1">
      <formula>LEN(TRIM(B52))=0</formula>
    </cfRule>
  </conditionalFormatting>
  <conditionalFormatting sqref="B53">
    <cfRule type="containsBlanks" dxfId="566" priority="8085" stopIfTrue="1">
      <formula>LEN(TRIM(B53))=0</formula>
    </cfRule>
  </conditionalFormatting>
  <conditionalFormatting sqref="X60">
    <cfRule type="containsBlanks" dxfId="565" priority="8082" stopIfTrue="1">
      <formula>LEN(TRIM(X60))=0</formula>
    </cfRule>
  </conditionalFormatting>
  <conditionalFormatting sqref="R61">
    <cfRule type="containsBlanks" dxfId="564" priority="8081" stopIfTrue="1">
      <formula>LEN(TRIM(R61))=0</formula>
    </cfRule>
  </conditionalFormatting>
  <conditionalFormatting sqref="X213:X215">
    <cfRule type="containsBlanks" dxfId="563" priority="8077" stopIfTrue="1">
      <formula>LEN(TRIM(X213))=0</formula>
    </cfRule>
  </conditionalFormatting>
  <conditionalFormatting sqref="B159 O160 U150 X150">
    <cfRule type="containsBlanks" dxfId="562" priority="8080" stopIfTrue="1">
      <formula>LEN(TRIM(B150))=0</formula>
    </cfRule>
  </conditionalFormatting>
  <conditionalFormatting sqref="U213">
    <cfRule type="containsBlanks" dxfId="561" priority="8075" stopIfTrue="1">
      <formula>LEN(TRIM(U213))=0</formula>
    </cfRule>
  </conditionalFormatting>
  <conditionalFormatting sqref="X218">
    <cfRule type="containsBlanks" dxfId="560" priority="8074" stopIfTrue="1">
      <formula>LEN(TRIM(X218))=0</formula>
    </cfRule>
  </conditionalFormatting>
  <conditionalFormatting sqref="V214:V215 V212 V217:V221">
    <cfRule type="cellIs" dxfId="559" priority="8078" stopIfTrue="1" operator="equal">
      <formula>"ESP. ERRADA"</formula>
    </cfRule>
  </conditionalFormatting>
  <conditionalFormatting sqref="X119">
    <cfRule type="containsBlanks" dxfId="558" priority="8059" stopIfTrue="1">
      <formula>LEN(TRIM(X119))=0</formula>
    </cfRule>
  </conditionalFormatting>
  <conditionalFormatting sqref="O161:O209">
    <cfRule type="containsBlanks" dxfId="557" priority="8072" stopIfTrue="1">
      <formula>LEN(TRIM(O161))=0</formula>
    </cfRule>
  </conditionalFormatting>
  <conditionalFormatting sqref="B111">
    <cfRule type="containsBlanks" dxfId="556" priority="8057" stopIfTrue="1">
      <formula>LEN(TRIM(B111))=0</formula>
    </cfRule>
  </conditionalFormatting>
  <conditionalFormatting sqref="W107">
    <cfRule type="cellIs" dxfId="555" priority="8065" stopIfTrue="1" operator="equal">
      <formula>0</formula>
    </cfRule>
  </conditionalFormatting>
  <conditionalFormatting sqref="U111">
    <cfRule type="containsBlanks" dxfId="554" priority="8066" stopIfTrue="1">
      <formula>LEN(TRIM(U111))=0</formula>
    </cfRule>
  </conditionalFormatting>
  <conditionalFormatting sqref="P110 S110 U110 X107:X109 N107">
    <cfRule type="containsBlanks" dxfId="553" priority="8070" stopIfTrue="1">
      <formula>LEN(TRIM(N107))=0</formula>
    </cfRule>
  </conditionalFormatting>
  <conditionalFormatting sqref="M597">
    <cfRule type="containsBlanks" dxfId="552" priority="8067" stopIfTrue="1">
      <formula>LEN(TRIM(M597))=0</formula>
    </cfRule>
  </conditionalFormatting>
  <conditionalFormatting sqref="U25">
    <cfRule type="containsBlanks" dxfId="551" priority="8049" stopIfTrue="1">
      <formula>LEN(TRIM(U25))=0</formula>
    </cfRule>
  </conditionalFormatting>
  <conditionalFormatting sqref="X114:X116">
    <cfRule type="containsBlanks" dxfId="550" priority="8062" stopIfTrue="1">
      <formula>LEN(TRIM(X114))=0</formula>
    </cfRule>
  </conditionalFormatting>
  <conditionalFormatting sqref="U114">
    <cfRule type="containsBlanks" dxfId="549" priority="8060" stopIfTrue="1">
      <formula>LEN(TRIM(U114))=0</formula>
    </cfRule>
  </conditionalFormatting>
  <conditionalFormatting sqref="V115:V116 V113 V118:V122">
    <cfRule type="cellIs" dxfId="548" priority="8063" stopIfTrue="1" operator="equal">
      <formula>"ESP. ERRADA"</formula>
    </cfRule>
  </conditionalFormatting>
  <conditionalFormatting sqref="W114">
    <cfRule type="cellIs" dxfId="547" priority="8061" stopIfTrue="1" operator="equal">
      <formula>0</formula>
    </cfRule>
  </conditionalFormatting>
  <conditionalFormatting sqref="B110">
    <cfRule type="containsBlanks" dxfId="546" priority="8058" stopIfTrue="1">
      <formula>LEN(TRIM(B110))=0</formula>
    </cfRule>
  </conditionalFormatting>
  <conditionalFormatting sqref="X30">
    <cfRule type="containsBlanks" dxfId="545" priority="8054" stopIfTrue="1">
      <formula>LEN(TRIM(X30))=0</formula>
    </cfRule>
  </conditionalFormatting>
  <conditionalFormatting sqref="U35">
    <cfRule type="containsBlanks" dxfId="544" priority="8047" stopIfTrue="1">
      <formula>LEN(TRIM(U35))=0</formula>
    </cfRule>
  </conditionalFormatting>
  <conditionalFormatting sqref="V29:V33">
    <cfRule type="cellIs" dxfId="543" priority="8055" stopIfTrue="1" operator="equal">
      <formula>"ESP. ERRADA"</formula>
    </cfRule>
  </conditionalFormatting>
  <conditionalFormatting sqref="W30">
    <cfRule type="cellIs" dxfId="542" priority="8056" stopIfTrue="1" operator="equal">
      <formula>0</formula>
    </cfRule>
  </conditionalFormatting>
  <conditionalFormatting sqref="X35">
    <cfRule type="containsBlanks" dxfId="541" priority="8051" stopIfTrue="1">
      <formula>LEN(TRIM(X35))=0</formula>
    </cfRule>
  </conditionalFormatting>
  <conditionalFormatting sqref="V34:V38">
    <cfRule type="cellIs" dxfId="540" priority="8052" stopIfTrue="1" operator="equal">
      <formula>"ESP. ERRADA"</formula>
    </cfRule>
  </conditionalFormatting>
  <conditionalFormatting sqref="U30">
    <cfRule type="containsBlanks" dxfId="539" priority="8048" stopIfTrue="1">
      <formula>LEN(TRIM(U30))=0</formula>
    </cfRule>
  </conditionalFormatting>
  <conditionalFormatting sqref="X93">
    <cfRule type="containsBlanks" dxfId="538" priority="7651" stopIfTrue="1">
      <formula>LEN(TRIM(X93))=0</formula>
    </cfRule>
  </conditionalFormatting>
  <conditionalFormatting sqref="X94">
    <cfRule type="containsBlanks" dxfId="537" priority="7650" stopIfTrue="1">
      <formula>LEN(TRIM(X94))=0</formula>
    </cfRule>
  </conditionalFormatting>
  <conditionalFormatting sqref="X608">
    <cfRule type="containsBlanks" dxfId="536" priority="7649" stopIfTrue="1">
      <formula>LEN(TRIM(X608))=0</formula>
    </cfRule>
  </conditionalFormatting>
  <conditionalFormatting sqref="X609">
    <cfRule type="containsBlanks" dxfId="535" priority="7648" stopIfTrue="1">
      <formula>LEN(TRIM(X609))=0</formula>
    </cfRule>
  </conditionalFormatting>
  <conditionalFormatting sqref="X582:X584">
    <cfRule type="containsBlanks" dxfId="534" priority="7641" stopIfTrue="1">
      <formula>LEN(TRIM(X582))=0</formula>
    </cfRule>
  </conditionalFormatting>
  <conditionalFormatting sqref="V583:V584 V581 V586:V589">
    <cfRule type="cellIs" dxfId="533" priority="7642" stopIfTrue="1" operator="equal">
      <formula>"ESP. ERRADA"</formula>
    </cfRule>
  </conditionalFormatting>
  <conditionalFormatting sqref="Q519">
    <cfRule type="containsBlanks" dxfId="532" priority="7646" stopIfTrue="1">
      <formula>LEN(TRIM(Q519))=0</formula>
    </cfRule>
  </conditionalFormatting>
  <conditionalFormatting sqref="B528 U519 X519">
    <cfRule type="containsBlanks" dxfId="531" priority="7647" stopIfTrue="1">
      <formula>LEN(TRIM(B519))=0</formula>
    </cfRule>
  </conditionalFormatting>
  <conditionalFormatting sqref="X587">
    <cfRule type="containsBlanks" dxfId="530" priority="7638" stopIfTrue="1">
      <formula>LEN(TRIM(X587))=0</formula>
    </cfRule>
  </conditionalFormatting>
  <conditionalFormatting sqref="U582">
    <cfRule type="containsBlanks" dxfId="529" priority="7639" stopIfTrue="1">
      <formula>LEN(TRIM(U582))=0</formula>
    </cfRule>
  </conditionalFormatting>
  <conditionalFormatting sqref="B525">
    <cfRule type="containsBlanks" dxfId="528" priority="7634" stopIfTrue="1">
      <formula>LEN(TRIM(B525))=0</formula>
    </cfRule>
  </conditionalFormatting>
  <conditionalFormatting sqref="N125">
    <cfRule type="containsBlanks" dxfId="527" priority="7628" stopIfTrue="1">
      <formula>LEN(TRIM(N125))=0</formula>
    </cfRule>
  </conditionalFormatting>
  <conditionalFormatting sqref="X508:X510">
    <cfRule type="containsBlanks" dxfId="526" priority="7624" stopIfTrue="1">
      <formula>LEN(TRIM(X508))=0</formula>
    </cfRule>
  </conditionalFormatting>
  <conditionalFormatting sqref="B496 B498 B503 M494 O494 O504 T494:V494 X494 B500">
    <cfRule type="containsBlanks" dxfId="525" priority="7627" stopIfTrue="1">
      <formula>LEN(TRIM(B494))=0</formula>
    </cfRule>
  </conditionalFormatting>
  <conditionalFormatting sqref="U508">
    <cfRule type="containsBlanks" dxfId="524" priority="7622" stopIfTrue="1">
      <formula>LEN(TRIM(U508))=0</formula>
    </cfRule>
  </conditionalFormatting>
  <conditionalFormatting sqref="X513">
    <cfRule type="containsBlanks" dxfId="523" priority="7621" stopIfTrue="1">
      <formula>LEN(TRIM(X513))=0</formula>
    </cfRule>
  </conditionalFormatting>
  <conditionalFormatting sqref="V509:V510 V507 V512:V516">
    <cfRule type="cellIs" dxfId="522" priority="7625" stopIfTrue="1" operator="equal">
      <formula>"ESP. ERRADA"</formula>
    </cfRule>
  </conditionalFormatting>
  <conditionalFormatting sqref="N494">
    <cfRule type="containsBlanks" dxfId="521" priority="7620" stopIfTrue="1">
      <formula>LEN(TRIM(N494))=0</formula>
    </cfRule>
  </conditionalFormatting>
  <conditionalFormatting sqref="Q352">
    <cfRule type="containsBlanks" dxfId="520" priority="5700" stopIfTrue="1">
      <formula>LEN(TRIM(Q352))=0</formula>
    </cfRule>
  </conditionalFormatting>
  <conditionalFormatting sqref="O352:O401">
    <cfRule type="containsBlanks" dxfId="519" priority="5699" stopIfTrue="1">
      <formula>LEN(TRIM(O352))=0</formula>
    </cfRule>
  </conditionalFormatting>
  <conditionalFormatting sqref="M352">
    <cfRule type="containsBlanks" dxfId="518" priority="5698" stopIfTrue="1">
      <formula>LEN(TRIM(M352))=0</formula>
    </cfRule>
  </conditionalFormatting>
  <conditionalFormatting sqref="M355">
    <cfRule type="containsBlanks" dxfId="517" priority="5693" stopIfTrue="1">
      <formula>LEN(TRIM(M355))=0</formula>
    </cfRule>
  </conditionalFormatting>
  <conditionalFormatting sqref="X18">
    <cfRule type="containsBlanks" dxfId="516" priority="5155" stopIfTrue="1">
      <formula>LEN(TRIM(X18))=0</formula>
    </cfRule>
  </conditionalFormatting>
  <conditionalFormatting sqref="R342">
    <cfRule type="containsBlanks" dxfId="515" priority="5088" stopIfTrue="1">
      <formula>LEN(TRIM(R342))=0</formula>
    </cfRule>
  </conditionalFormatting>
  <conditionalFormatting sqref="R343">
    <cfRule type="containsBlanks" dxfId="514" priority="5087" stopIfTrue="1">
      <formula>LEN(TRIM(R343))=0</formula>
    </cfRule>
  </conditionalFormatting>
  <conditionalFormatting sqref="M342">
    <cfRule type="containsBlanks" dxfId="513" priority="5084" stopIfTrue="1">
      <formula>LEN(TRIM(M342))=0</formula>
    </cfRule>
  </conditionalFormatting>
  <conditionalFormatting sqref="M343">
    <cfRule type="containsBlanks" dxfId="512" priority="5083" stopIfTrue="1">
      <formula>LEN(TRIM(M343))=0</formula>
    </cfRule>
  </conditionalFormatting>
  <conditionalFormatting sqref="M344">
    <cfRule type="containsBlanks" dxfId="511" priority="5082" stopIfTrue="1">
      <formula>LEN(TRIM(M344))=0</formula>
    </cfRule>
  </conditionalFormatting>
  <conditionalFormatting sqref="M224 O224">
    <cfRule type="containsBlanks" dxfId="510" priority="5081" stopIfTrue="1">
      <formula>LEN(TRIM(M224))=0</formula>
    </cfRule>
  </conditionalFormatting>
  <conditionalFormatting sqref="N224">
    <cfRule type="containsBlanks" dxfId="509" priority="5080" stopIfTrue="1">
      <formula>LEN(TRIM(N224))=0</formula>
    </cfRule>
  </conditionalFormatting>
  <conditionalFormatting sqref="Q224">
    <cfRule type="containsBlanks" dxfId="508" priority="5079" stopIfTrue="1">
      <formula>LEN(TRIM(Q224))=0</formula>
    </cfRule>
  </conditionalFormatting>
  <conditionalFormatting sqref="B230">
    <cfRule type="containsBlanks" dxfId="507" priority="5078" stopIfTrue="1">
      <formula>LEN(TRIM(B230))=0</formula>
    </cfRule>
  </conditionalFormatting>
  <conditionalFormatting sqref="B231">
    <cfRule type="containsBlanks" dxfId="506" priority="5077" stopIfTrue="1">
      <formula>LEN(TRIM(B231))=0</formula>
    </cfRule>
  </conditionalFormatting>
  <conditionalFormatting sqref="R224">
    <cfRule type="containsBlanks" dxfId="505" priority="5076" stopIfTrue="1">
      <formula>LEN(TRIM(R224))=0</formula>
    </cfRule>
  </conditionalFormatting>
  <conditionalFormatting sqref="O235:O284">
    <cfRule type="containsBlanks" dxfId="504" priority="5075" stopIfTrue="1">
      <formula>LEN(TRIM(O235))=0</formula>
    </cfRule>
  </conditionalFormatting>
  <conditionalFormatting sqref="B131">
    <cfRule type="containsBlanks" dxfId="503" priority="5072" stopIfTrue="1">
      <formula>LEN(TRIM(B131))=0</formula>
    </cfRule>
  </conditionalFormatting>
  <conditionalFormatting sqref="B132">
    <cfRule type="containsBlanks" dxfId="502" priority="5071" stopIfTrue="1">
      <formula>LEN(TRIM(B132))=0</formula>
    </cfRule>
  </conditionalFormatting>
  <conditionalFormatting sqref="S352:S401">
    <cfRule type="containsBlanks" dxfId="501" priority="5070">
      <formula>LEN(TRIM(S352))=0</formula>
    </cfRule>
  </conditionalFormatting>
  <conditionalFormatting sqref="S530:T579 T504:U504 T1140:U1140">
    <cfRule type="cellIs" dxfId="500" priority="10033" operator="greaterThan">
      <formula>1+$I$530</formula>
    </cfRule>
  </conditionalFormatting>
  <conditionalFormatting sqref="T530:T579">
    <cfRule type="cellIs" dxfId="499" priority="10035" operator="lessThan">
      <formula>-1-$I$530</formula>
    </cfRule>
  </conditionalFormatting>
  <conditionalFormatting sqref="O530:O579">
    <cfRule type="containsBlanks" dxfId="498" priority="5069" stopIfTrue="1">
      <formula>LEN(TRIM(O530))=0</formula>
    </cfRule>
  </conditionalFormatting>
  <conditionalFormatting sqref="S235:T284">
    <cfRule type="cellIs" dxfId="497" priority="10037" operator="greaterThan">
      <formula>1+$K$235</formula>
    </cfRule>
  </conditionalFormatting>
  <conditionalFormatting sqref="P111">
    <cfRule type="containsBlanks" dxfId="496" priority="5025" stopIfTrue="1">
      <formula>LEN(TRIM(P111))=0</formula>
    </cfRule>
  </conditionalFormatting>
  <conditionalFormatting sqref="X19">
    <cfRule type="containsBlanks" dxfId="495" priority="5024" stopIfTrue="1">
      <formula>LEN(TRIM(X19))=0</formula>
    </cfRule>
  </conditionalFormatting>
  <conditionalFormatting sqref="P21 S21">
    <cfRule type="containsBlanks" dxfId="494" priority="5023" stopIfTrue="1">
      <formula>LEN(TRIM(P21))=0</formula>
    </cfRule>
  </conditionalFormatting>
  <conditionalFormatting sqref="P22">
    <cfRule type="containsBlanks" dxfId="493" priority="5022" stopIfTrue="1">
      <formula>LEN(TRIM(P22))=0</formula>
    </cfRule>
  </conditionalFormatting>
  <conditionalFormatting sqref="M22">
    <cfRule type="containsBlanks" dxfId="492" priority="5021" stopIfTrue="1">
      <formula>LEN(TRIM(M22))=0</formula>
    </cfRule>
  </conditionalFormatting>
  <conditionalFormatting sqref="P596 S596">
    <cfRule type="containsBlanks" dxfId="491" priority="5020" stopIfTrue="1">
      <formula>LEN(TRIM(P596))=0</formula>
    </cfRule>
  </conditionalFormatting>
  <conditionalFormatting sqref="P597">
    <cfRule type="containsBlanks" dxfId="490" priority="5019" stopIfTrue="1">
      <formula>LEN(TRIM(P597))=0</formula>
    </cfRule>
  </conditionalFormatting>
  <conditionalFormatting sqref="M111">
    <cfRule type="containsBlanks" dxfId="489" priority="5018" stopIfTrue="1">
      <formula>LEN(TRIM(M111))=0</formula>
    </cfRule>
  </conditionalFormatting>
  <conditionalFormatting sqref="X594">
    <cfRule type="containsBlanks" dxfId="488" priority="5017" stopIfTrue="1">
      <formula>LEN(TRIM(X594))=0</formula>
    </cfRule>
  </conditionalFormatting>
  <conditionalFormatting sqref="V110:V111">
    <cfRule type="cellIs" dxfId="487" priority="5016" stopIfTrue="1" operator="equal">
      <formula>"ESP. ERRADA"</formula>
    </cfRule>
  </conditionalFormatting>
  <conditionalFormatting sqref="V596:V597">
    <cfRule type="cellIs" dxfId="486" priority="5015" stopIfTrue="1" operator="equal">
      <formula>"ESP. ERRADA"</formula>
    </cfRule>
  </conditionalFormatting>
  <conditionalFormatting sqref="P94">
    <cfRule type="containsBlanks" dxfId="485" priority="4681" stopIfTrue="1">
      <formula>LEN(TRIM(P94))=0</formula>
    </cfRule>
  </conditionalFormatting>
  <conditionalFormatting sqref="S144">
    <cfRule type="containsBlanks" dxfId="484" priority="4346" stopIfTrue="1">
      <formula>LEN(TRIM(S144))=0</formula>
    </cfRule>
  </conditionalFormatting>
  <conditionalFormatting sqref="S119">
    <cfRule type="containsBlanks" dxfId="483" priority="4345" stopIfTrue="1">
      <formula>LEN(TRIM(S119))=0</formula>
    </cfRule>
  </conditionalFormatting>
  <conditionalFormatting sqref="S218">
    <cfRule type="containsBlanks" dxfId="482" priority="4344" stopIfTrue="1">
      <formula>LEN(TRIM(S218))=0</formula>
    </cfRule>
  </conditionalFormatting>
  <conditionalFormatting sqref="S292">
    <cfRule type="containsBlanks" dxfId="481" priority="4343" stopIfTrue="1">
      <formula>LEN(TRIM(S292))=0</formula>
    </cfRule>
  </conditionalFormatting>
  <conditionalFormatting sqref="S410">
    <cfRule type="containsBlanks" dxfId="480" priority="4342" stopIfTrue="1">
      <formula>LEN(TRIM(S410))=0</formula>
    </cfRule>
  </conditionalFormatting>
  <conditionalFormatting sqref="S513">
    <cfRule type="containsBlanks" dxfId="479" priority="4341" stopIfTrue="1">
      <formula>LEN(TRIM(S513))=0</formula>
    </cfRule>
  </conditionalFormatting>
  <conditionalFormatting sqref="S587">
    <cfRule type="containsBlanks" dxfId="478" priority="4340" stopIfTrue="1">
      <formula>LEN(TRIM(S587))=0</formula>
    </cfRule>
  </conditionalFormatting>
  <conditionalFormatting sqref="U612">
    <cfRule type="containsBlanks" dxfId="477" priority="4339" stopIfTrue="1">
      <formula>LEN(TRIM(U612))=0</formula>
    </cfRule>
  </conditionalFormatting>
  <conditionalFormatting sqref="S633">
    <cfRule type="containsBlanks" dxfId="476" priority="4338" stopIfTrue="1">
      <formula>LEN(TRIM(S633))=0</formula>
    </cfRule>
  </conditionalFormatting>
  <conditionalFormatting sqref="W25">
    <cfRule type="cellIs" dxfId="475" priority="825" stopIfTrue="1" operator="equal">
      <formula>0</formula>
    </cfRule>
  </conditionalFormatting>
  <conditionalFormatting sqref="V150 V154">
    <cfRule type="containsBlanks" dxfId="474" priority="808" stopIfTrue="1">
      <formula>LEN(TRIM(V150))=0</formula>
    </cfRule>
  </conditionalFormatting>
  <conditionalFormatting sqref="B156">
    <cfRule type="containsBlanks" dxfId="473" priority="807" stopIfTrue="1">
      <formula>LEN(TRIM(B156))=0</formula>
    </cfRule>
  </conditionalFormatting>
  <conditionalFormatting sqref="B157">
    <cfRule type="containsBlanks" dxfId="472" priority="806" stopIfTrue="1">
      <formula>LEN(TRIM(B157))=0</formula>
    </cfRule>
  </conditionalFormatting>
  <conditionalFormatting sqref="M150 O150">
    <cfRule type="containsBlanks" dxfId="471" priority="805" stopIfTrue="1">
      <formula>LEN(TRIM(M150))=0</formula>
    </cfRule>
  </conditionalFormatting>
  <conditionalFormatting sqref="N150">
    <cfRule type="containsBlanks" dxfId="470" priority="804" stopIfTrue="1">
      <formula>LEN(TRIM(N150))=0</formula>
    </cfRule>
  </conditionalFormatting>
  <conditionalFormatting sqref="V224 V228">
    <cfRule type="containsBlanks" dxfId="469" priority="803" stopIfTrue="1">
      <formula>LEN(TRIM(V224))=0</formula>
    </cfRule>
  </conditionalFormatting>
  <conditionalFormatting sqref="V519">
    <cfRule type="containsBlanks" dxfId="468" priority="660" stopIfTrue="1">
      <formula>LEN(TRIM(V519))=0</formula>
    </cfRule>
  </conditionalFormatting>
  <conditionalFormatting sqref="M519 O519">
    <cfRule type="containsBlanks" dxfId="467" priority="659" stopIfTrue="1">
      <formula>LEN(TRIM(M519))=0</formula>
    </cfRule>
  </conditionalFormatting>
  <conditionalFormatting sqref="N519">
    <cfRule type="containsBlanks" dxfId="466" priority="658" stopIfTrue="1">
      <formula>LEN(TRIM(N519))=0</formula>
    </cfRule>
  </conditionalFormatting>
  <conditionalFormatting sqref="R340:R341">
    <cfRule type="containsBlanks" dxfId="465" priority="657" stopIfTrue="1">
      <formula>LEN(TRIM(R340))=0</formula>
    </cfRule>
  </conditionalFormatting>
  <conditionalFormatting sqref="S340:S344">
    <cfRule type="cellIs" dxfId="464" priority="455" operator="notEqual">
      <formula>$N$340</formula>
    </cfRule>
    <cfRule type="cellIs" dxfId="463" priority="456" operator="equal">
      <formula>$N$340</formula>
    </cfRule>
  </conditionalFormatting>
  <conditionalFormatting sqref="T340:T344">
    <cfRule type="cellIs" dxfId="462" priority="451" operator="notEqual">
      <formula>$O$340</formula>
    </cfRule>
    <cfRule type="cellIs" dxfId="461" priority="452" operator="equal">
      <formula>$O$340</formula>
    </cfRule>
  </conditionalFormatting>
  <conditionalFormatting sqref="W1275 X1276:X1277">
    <cfRule type="containsBlanks" dxfId="460" priority="447" stopIfTrue="1">
      <formula>LEN(TRIM(W1275))=0</formula>
    </cfRule>
  </conditionalFormatting>
  <conditionalFormatting sqref="W1275">
    <cfRule type="cellIs" dxfId="459" priority="446" stopIfTrue="1" operator="equal">
      <formula>0</formula>
    </cfRule>
  </conditionalFormatting>
  <conditionalFormatting sqref="X1275">
    <cfRule type="containsBlanks" dxfId="458" priority="445" stopIfTrue="1">
      <formula>LEN(TRIM(X1275))=0</formula>
    </cfRule>
  </conditionalFormatting>
  <conditionalFormatting sqref="W654">
    <cfRule type="cellIs" dxfId="457" priority="438" stopIfTrue="1" operator="equal">
      <formula>0</formula>
    </cfRule>
  </conditionalFormatting>
  <conditionalFormatting sqref="X923:X925">
    <cfRule type="containsBlanks" dxfId="456" priority="442" stopIfTrue="1">
      <formula>LEN(TRIM(X923))=0</formula>
    </cfRule>
  </conditionalFormatting>
  <conditionalFormatting sqref="V924:V925 V922 V927:V930">
    <cfRule type="cellIs" dxfId="455" priority="443" stopIfTrue="1" operator="equal">
      <formula>"ESP. ERRADA"</formula>
    </cfRule>
  </conditionalFormatting>
  <conditionalFormatting sqref="U658">
    <cfRule type="containsBlanks" dxfId="454" priority="439" stopIfTrue="1">
      <formula>LEN(TRIM(U658))=0</formula>
    </cfRule>
  </conditionalFormatting>
  <conditionalFormatting sqref="V657:V658">
    <cfRule type="cellIs" dxfId="453" priority="440" stopIfTrue="1" operator="equal">
      <formula>"ESP. ERRADA"</formula>
    </cfRule>
  </conditionalFormatting>
  <conditionalFormatting sqref="B869 U860 X860">
    <cfRule type="containsBlanks" dxfId="452" priority="444" stopIfTrue="1">
      <formula>LEN(TRIM(B860))=0</formula>
    </cfRule>
  </conditionalFormatting>
  <conditionalFormatting sqref="U657 X656 N654">
    <cfRule type="containsBlanks" dxfId="451" priority="441" stopIfTrue="1">
      <formula>LEN(TRIM(N654))=0</formula>
    </cfRule>
  </conditionalFormatting>
  <conditionalFormatting sqref="X928">
    <cfRule type="containsBlanks" dxfId="450" priority="436" stopIfTrue="1">
      <formula>LEN(TRIM(X928))=0</formula>
    </cfRule>
  </conditionalFormatting>
  <conditionalFormatting sqref="U923">
    <cfRule type="containsBlanks" dxfId="449" priority="437" stopIfTrue="1">
      <formula>LEN(TRIM(U923))=0</formula>
    </cfRule>
  </conditionalFormatting>
  <conditionalFormatting sqref="X775:X777">
    <cfRule type="containsBlanks" dxfId="448" priority="433" stopIfTrue="1">
      <formula>LEN(TRIM(X775))=0</formula>
    </cfRule>
  </conditionalFormatting>
  <conditionalFormatting sqref="M1252 O1252 U1252:V1252 V1256 X1252">
    <cfRule type="containsBlanks" dxfId="447" priority="430" stopIfTrue="1">
      <formula>LEN(TRIM(M1252))=0</formula>
    </cfRule>
  </conditionalFormatting>
  <conditionalFormatting sqref="B763 B765 B770 M761 O761 O771 T761:V761 V765 X761">
    <cfRule type="containsBlanks" dxfId="446" priority="435" stopIfTrue="1">
      <formula>LEN(TRIM(B761))=0</formula>
    </cfRule>
  </conditionalFormatting>
  <conditionalFormatting sqref="U775">
    <cfRule type="containsBlanks" dxfId="445" priority="432" stopIfTrue="1">
      <formula>LEN(TRIM(U775))=0</formula>
    </cfRule>
  </conditionalFormatting>
  <conditionalFormatting sqref="X1264:X1266">
    <cfRule type="containsBlanks" dxfId="444" priority="428" stopIfTrue="1">
      <formula>LEN(TRIM(X1264))=0</formula>
    </cfRule>
  </conditionalFormatting>
  <conditionalFormatting sqref="W703 W729 W724 W720 W712">
    <cfRule type="cellIs" dxfId="443" priority="419" stopIfTrue="1" operator="equal">
      <formula>0</formula>
    </cfRule>
  </conditionalFormatting>
  <conditionalFormatting sqref="X1269">
    <cfRule type="containsBlanks" dxfId="442" priority="426" stopIfTrue="1">
      <formula>LEN(TRIM(X1269))=0</formula>
    </cfRule>
  </conditionalFormatting>
  <conditionalFormatting sqref="X780">
    <cfRule type="containsBlanks" dxfId="441" priority="431" stopIfTrue="1">
      <formula>LEN(TRIM(X780))=0</formula>
    </cfRule>
  </conditionalFormatting>
  <conditionalFormatting sqref="P681 S681 U681">
    <cfRule type="containsBlanks" dxfId="440" priority="422" stopIfTrue="1">
      <formula>LEN(TRIM(P681))=0</formula>
    </cfRule>
  </conditionalFormatting>
  <conditionalFormatting sqref="X661">
    <cfRule type="containsBlanks" dxfId="439" priority="420" stopIfTrue="1">
      <formula>LEN(TRIM(X661))=0</formula>
    </cfRule>
  </conditionalFormatting>
  <conditionalFormatting sqref="R1252">
    <cfRule type="containsBlanks" dxfId="438" priority="425" stopIfTrue="1">
      <formula>LEN(TRIM(R1252))=0</formula>
    </cfRule>
  </conditionalFormatting>
  <conditionalFormatting sqref="V776:V777 V774 V779:V783">
    <cfRule type="cellIs" dxfId="437" priority="434" stopIfTrue="1" operator="equal">
      <formula>"ESP. ERRADA"</formula>
    </cfRule>
  </conditionalFormatting>
  <conditionalFormatting sqref="U706">
    <cfRule type="containsBlanks" dxfId="436" priority="415" stopIfTrue="1">
      <formula>LEN(TRIM(U706))=0</formula>
    </cfRule>
  </conditionalFormatting>
  <conditionalFormatting sqref="O707">
    <cfRule type="containsBlanks" dxfId="435" priority="413" stopIfTrue="1">
      <formula>LEN(TRIM(O707))=0</formula>
    </cfRule>
  </conditionalFormatting>
  <conditionalFormatting sqref="X679 M680 U680 X677">
    <cfRule type="containsBlanks" dxfId="434" priority="424" stopIfTrue="1">
      <formula>LEN(TRIM(M677))=0</formula>
    </cfRule>
  </conditionalFormatting>
  <conditionalFormatting sqref="V1265:V1266 V1263 V1268:V1271">
    <cfRule type="cellIs" dxfId="433" priority="429" stopIfTrue="1" operator="equal">
      <formula>"ESP. ERRADA"</formula>
    </cfRule>
  </conditionalFormatting>
  <conditionalFormatting sqref="U1264">
    <cfRule type="containsBlanks" dxfId="432" priority="427" stopIfTrue="1">
      <formula>LEN(TRIM(U1264))=0</formula>
    </cfRule>
  </conditionalFormatting>
  <conditionalFormatting sqref="S706">
    <cfRule type="containsBlanks" dxfId="431" priority="416" stopIfTrue="1">
      <formula>LEN(TRIM(S706))=0</formula>
    </cfRule>
  </conditionalFormatting>
  <conditionalFormatting sqref="W677">
    <cfRule type="cellIs" dxfId="430" priority="423" stopIfTrue="1" operator="equal">
      <formula>0</formula>
    </cfRule>
  </conditionalFormatting>
  <conditionalFormatting sqref="U707">
    <cfRule type="containsBlanks" dxfId="429" priority="411" stopIfTrue="1">
      <formula>LEN(TRIM(U707))=0</formula>
    </cfRule>
  </conditionalFormatting>
  <conditionalFormatting sqref="X724">
    <cfRule type="containsBlanks" dxfId="428" priority="404" stopIfTrue="1">
      <formula>LEN(TRIM(X724))=0</formula>
    </cfRule>
  </conditionalFormatting>
  <conditionalFormatting sqref="V660:V664">
    <cfRule type="cellIs" dxfId="427" priority="421" stopIfTrue="1" operator="equal">
      <formula>"ESP. ERRADA"</formula>
    </cfRule>
  </conditionalFormatting>
  <conditionalFormatting sqref="X704">
    <cfRule type="containsBlanks" dxfId="426" priority="418" stopIfTrue="1">
      <formula>LEN(TRIM(X704))=0</formula>
    </cfRule>
  </conditionalFormatting>
  <conditionalFormatting sqref="P706">
    <cfRule type="containsBlanks" dxfId="425" priority="417" stopIfTrue="1">
      <formula>LEN(TRIM(P706))=0</formula>
    </cfRule>
  </conditionalFormatting>
  <conditionalFormatting sqref="X713">
    <cfRule type="containsBlanks" dxfId="424" priority="410" stopIfTrue="1">
      <formula>LEN(TRIM(X713))=0</formula>
    </cfRule>
  </conditionalFormatting>
  <conditionalFormatting sqref="N707">
    <cfRule type="containsBlanks" dxfId="423" priority="414" stopIfTrue="1">
      <formula>LEN(TRIM(N707))=0</formula>
    </cfRule>
  </conditionalFormatting>
  <conditionalFormatting sqref="X721">
    <cfRule type="containsBlanks" dxfId="422" priority="409" stopIfTrue="1">
      <formula>LEN(TRIM(X721))=0</formula>
    </cfRule>
  </conditionalFormatting>
  <conditionalFormatting sqref="R707">
    <cfRule type="containsBlanks" dxfId="421" priority="412" stopIfTrue="1">
      <formula>LEN(TRIM(R707))=0</formula>
    </cfRule>
  </conditionalFormatting>
  <conditionalFormatting sqref="X725">
    <cfRule type="containsBlanks" dxfId="420" priority="408" stopIfTrue="1">
      <formula>LEN(TRIM(X725))=0</formula>
    </cfRule>
  </conditionalFormatting>
  <conditionalFormatting sqref="X712">
    <cfRule type="containsBlanks" dxfId="419" priority="406" stopIfTrue="1">
      <formula>LEN(TRIM(X712))=0</formula>
    </cfRule>
  </conditionalFormatting>
  <conditionalFormatting sqref="X720">
    <cfRule type="containsBlanks" dxfId="418" priority="405" stopIfTrue="1">
      <formula>LEN(TRIM(X720))=0</formula>
    </cfRule>
  </conditionalFormatting>
  <conditionalFormatting sqref="X703">
    <cfRule type="containsBlanks" dxfId="417" priority="407" stopIfTrue="1">
      <formula>LEN(TRIM(X703))=0</formula>
    </cfRule>
  </conditionalFormatting>
  <conditionalFormatting sqref="U717">
    <cfRule type="containsBlanks" dxfId="416" priority="400" stopIfTrue="1">
      <formula>LEN(TRIM(U717))=0</formula>
    </cfRule>
  </conditionalFormatting>
  <conditionalFormatting sqref="U708">
    <cfRule type="containsBlanks" dxfId="415" priority="399" stopIfTrue="1">
      <formula>LEN(TRIM(U708))=0</formula>
    </cfRule>
  </conditionalFormatting>
  <conditionalFormatting sqref="P715">
    <cfRule type="containsBlanks" dxfId="414" priority="403" stopIfTrue="1">
      <formula>LEN(TRIM(P715))=0</formula>
    </cfRule>
  </conditionalFormatting>
  <conditionalFormatting sqref="S715">
    <cfRule type="containsBlanks" dxfId="413" priority="402" stopIfTrue="1">
      <formula>LEN(TRIM(S715))=0</formula>
    </cfRule>
  </conditionalFormatting>
  <conditionalFormatting sqref="U715">
    <cfRule type="containsBlanks" dxfId="412" priority="401" stopIfTrue="1">
      <formula>LEN(TRIM(U715))=0</formula>
    </cfRule>
  </conditionalFormatting>
  <conditionalFormatting sqref="N717">
    <cfRule type="containsBlanks" dxfId="411" priority="389" stopIfTrue="1">
      <formula>LEN(TRIM(N717))=0</formula>
    </cfRule>
  </conditionalFormatting>
  <conditionalFormatting sqref="U716">
    <cfRule type="containsBlanks" dxfId="410" priority="395" stopIfTrue="1">
      <formula>LEN(TRIM(U716))=0</formula>
    </cfRule>
  </conditionalFormatting>
  <conditionalFormatting sqref="O716">
    <cfRule type="containsBlanks" dxfId="409" priority="397" stopIfTrue="1">
      <formula>LEN(TRIM(O716))=0</formula>
    </cfRule>
  </conditionalFormatting>
  <conditionalFormatting sqref="N716">
    <cfRule type="containsBlanks" dxfId="408" priority="398" stopIfTrue="1">
      <formula>LEN(TRIM(N716))=0</formula>
    </cfRule>
  </conditionalFormatting>
  <conditionalFormatting sqref="R716">
    <cfRule type="containsBlanks" dxfId="407" priority="396" stopIfTrue="1">
      <formula>LEN(TRIM(R716))=0</formula>
    </cfRule>
  </conditionalFormatting>
  <conditionalFormatting sqref="R708">
    <cfRule type="containsBlanks" dxfId="406" priority="394" stopIfTrue="1">
      <formula>LEN(TRIM(R708))=0</formula>
    </cfRule>
  </conditionalFormatting>
  <conditionalFormatting sqref="R717">
    <cfRule type="containsBlanks" dxfId="405" priority="393" stopIfTrue="1">
      <formula>LEN(TRIM(R717))=0</formula>
    </cfRule>
  </conditionalFormatting>
  <conditionalFormatting sqref="P717">
    <cfRule type="containsBlanks" dxfId="404" priority="392" stopIfTrue="1">
      <formula>LEN(TRIM(P717))=0</formula>
    </cfRule>
  </conditionalFormatting>
  <conditionalFormatting sqref="Q717">
    <cfRule type="containsBlanks" dxfId="403" priority="391" stopIfTrue="1">
      <formula>LEN(TRIM(Q717))=0</formula>
    </cfRule>
  </conditionalFormatting>
  <conditionalFormatting sqref="O717">
    <cfRule type="containsBlanks" dxfId="402" priority="390" stopIfTrue="1">
      <formula>LEN(TRIM(O717))=0</formula>
    </cfRule>
  </conditionalFormatting>
  <conditionalFormatting sqref="W938 W942 W946 W950 W954 W958 W934 W962">
    <cfRule type="cellIs" dxfId="401" priority="388" stopIfTrue="1" operator="equal">
      <formula>0</formula>
    </cfRule>
  </conditionalFormatting>
  <conditionalFormatting sqref="V934 V938 V942 V946 V950">
    <cfRule type="cellIs" dxfId="400" priority="387" stopIfTrue="1" operator="equal">
      <formula>"ESP. ERRADA"</formula>
    </cfRule>
  </conditionalFormatting>
  <conditionalFormatting sqref="M976:M977">
    <cfRule type="containsBlanks" dxfId="399" priority="386" stopIfTrue="1">
      <formula>LEN(TRIM(M976))=0</formula>
    </cfRule>
  </conditionalFormatting>
  <conditionalFormatting sqref="R980">
    <cfRule type="containsBlanks" dxfId="398" priority="385" stopIfTrue="1">
      <formula>LEN(TRIM(R980))=0</formula>
    </cfRule>
  </conditionalFormatting>
  <conditionalFormatting sqref="M989">
    <cfRule type="containsBlanks" dxfId="397" priority="384" stopIfTrue="1">
      <formula>LEN(TRIM(M989))=0</formula>
    </cfRule>
  </conditionalFormatting>
  <conditionalFormatting sqref="Q989">
    <cfRule type="containsBlanks" dxfId="396" priority="383" stopIfTrue="1">
      <formula>LEN(TRIM(Q989))=0</formula>
    </cfRule>
  </conditionalFormatting>
  <conditionalFormatting sqref="X934">
    <cfRule type="containsBlanks" dxfId="395" priority="382" stopIfTrue="1">
      <formula>LEN(TRIM(X934))=0</formula>
    </cfRule>
  </conditionalFormatting>
  <conditionalFormatting sqref="W966">
    <cfRule type="cellIs" dxfId="394" priority="381" stopIfTrue="1" operator="equal">
      <formula>0</formula>
    </cfRule>
  </conditionalFormatting>
  <conditionalFormatting sqref="W970">
    <cfRule type="cellIs" dxfId="393" priority="380" stopIfTrue="1" operator="equal">
      <formula>0</formula>
    </cfRule>
  </conditionalFormatting>
  <conditionalFormatting sqref="V954">
    <cfRule type="cellIs" dxfId="392" priority="379" stopIfTrue="1" operator="equal">
      <formula>"ESP. ERRADA"</formula>
    </cfRule>
  </conditionalFormatting>
  <conditionalFormatting sqref="V958">
    <cfRule type="cellIs" dxfId="391" priority="378" stopIfTrue="1" operator="equal">
      <formula>"ESP. ERRADA"</formula>
    </cfRule>
  </conditionalFormatting>
  <conditionalFormatting sqref="V962">
    <cfRule type="cellIs" dxfId="390" priority="377" stopIfTrue="1" operator="equal">
      <formula>"ESP. ERRADA"</formula>
    </cfRule>
  </conditionalFormatting>
  <conditionalFormatting sqref="V966">
    <cfRule type="cellIs" dxfId="389" priority="376" stopIfTrue="1" operator="equal">
      <formula>"ESP. ERRADA"</formula>
    </cfRule>
  </conditionalFormatting>
  <conditionalFormatting sqref="V970">
    <cfRule type="cellIs" dxfId="388" priority="375" stopIfTrue="1" operator="equal">
      <formula>"ESP. ERRADA"</formula>
    </cfRule>
  </conditionalFormatting>
  <conditionalFormatting sqref="X1041:X1043">
    <cfRule type="containsBlanks" dxfId="387" priority="372" stopIfTrue="1">
      <formula>LEN(TRIM(X1041))=0</formula>
    </cfRule>
  </conditionalFormatting>
  <conditionalFormatting sqref="U1041">
    <cfRule type="containsBlanks" dxfId="386" priority="371" stopIfTrue="1">
      <formula>LEN(TRIM(U1041))=0</formula>
    </cfRule>
  </conditionalFormatting>
  <conditionalFormatting sqref="M990">
    <cfRule type="containsBlanks" dxfId="385" priority="369" stopIfTrue="1">
      <formula>LEN(TRIM(M990))=0</formula>
    </cfRule>
  </conditionalFormatting>
  <conditionalFormatting sqref="M992">
    <cfRule type="containsBlanks" dxfId="384" priority="368" stopIfTrue="1">
      <formula>LEN(TRIM(M992))=0</formula>
    </cfRule>
  </conditionalFormatting>
  <conditionalFormatting sqref="M994">
    <cfRule type="containsBlanks" dxfId="383" priority="366" stopIfTrue="1">
      <formula>LEN(TRIM(M994))=0</formula>
    </cfRule>
  </conditionalFormatting>
  <conditionalFormatting sqref="M996">
    <cfRule type="containsBlanks" dxfId="382" priority="364" stopIfTrue="1">
      <formula>LEN(TRIM(M996))=0</formula>
    </cfRule>
  </conditionalFormatting>
  <conditionalFormatting sqref="M998">
    <cfRule type="containsBlanks" dxfId="381" priority="362" stopIfTrue="1">
      <formula>LEN(TRIM(M998))=0</formula>
    </cfRule>
  </conditionalFormatting>
  <conditionalFormatting sqref="M1000">
    <cfRule type="containsBlanks" dxfId="380" priority="360" stopIfTrue="1">
      <formula>LEN(TRIM(M1000))=0</formula>
    </cfRule>
  </conditionalFormatting>
  <conditionalFormatting sqref="M1002">
    <cfRule type="containsBlanks" dxfId="379" priority="358" stopIfTrue="1">
      <formula>LEN(TRIM(M1002))=0</formula>
    </cfRule>
  </conditionalFormatting>
  <conditionalFormatting sqref="M1004">
    <cfRule type="containsBlanks" dxfId="378" priority="356" stopIfTrue="1">
      <formula>LEN(TRIM(M1004))=0</formula>
    </cfRule>
  </conditionalFormatting>
  <conditionalFormatting sqref="M1006">
    <cfRule type="containsBlanks" dxfId="377" priority="354" stopIfTrue="1">
      <formula>LEN(TRIM(M1006))=0</formula>
    </cfRule>
  </conditionalFormatting>
  <conditionalFormatting sqref="M1008">
    <cfRule type="containsBlanks" dxfId="376" priority="352" stopIfTrue="1">
      <formula>LEN(TRIM(M1008))=0</formula>
    </cfRule>
  </conditionalFormatting>
  <conditionalFormatting sqref="M1010">
    <cfRule type="containsBlanks" dxfId="375" priority="350" stopIfTrue="1">
      <formula>LEN(TRIM(M1010))=0</formula>
    </cfRule>
  </conditionalFormatting>
  <conditionalFormatting sqref="M1012">
    <cfRule type="containsBlanks" dxfId="374" priority="348" stopIfTrue="1">
      <formula>LEN(TRIM(M1012))=0</formula>
    </cfRule>
  </conditionalFormatting>
  <conditionalFormatting sqref="M1014">
    <cfRule type="containsBlanks" dxfId="373" priority="346" stopIfTrue="1">
      <formula>LEN(TRIM(M1014))=0</formula>
    </cfRule>
  </conditionalFormatting>
  <conditionalFormatting sqref="M1016">
    <cfRule type="containsBlanks" dxfId="372" priority="344" stopIfTrue="1">
      <formula>LEN(TRIM(M1016))=0</formula>
    </cfRule>
  </conditionalFormatting>
  <conditionalFormatting sqref="M1018">
    <cfRule type="containsBlanks" dxfId="371" priority="342" stopIfTrue="1">
      <formula>LEN(TRIM(M1018))=0</formula>
    </cfRule>
  </conditionalFormatting>
  <conditionalFormatting sqref="T988:V1037">
    <cfRule type="cellIs" dxfId="370" priority="374" operator="lessThan">
      <formula>0</formula>
    </cfRule>
  </conditionalFormatting>
  <conditionalFormatting sqref="V1042:V1043 V1040 V1045:V1048">
    <cfRule type="cellIs" dxfId="369" priority="373" stopIfTrue="1" operator="equal">
      <formula>"ESP. ERRADA"</formula>
    </cfRule>
  </conditionalFormatting>
  <conditionalFormatting sqref="X1046">
    <cfRule type="containsBlanks" dxfId="368" priority="370" stopIfTrue="1">
      <formula>LEN(TRIM(X1046))=0</formula>
    </cfRule>
  </conditionalFormatting>
  <conditionalFormatting sqref="M993">
    <cfRule type="containsBlanks" dxfId="367" priority="367" stopIfTrue="1">
      <formula>LEN(TRIM(M993))=0</formula>
    </cfRule>
  </conditionalFormatting>
  <conditionalFormatting sqref="M995">
    <cfRule type="containsBlanks" dxfId="366" priority="365" stopIfTrue="1">
      <formula>LEN(TRIM(M995))=0</formula>
    </cfRule>
  </conditionalFormatting>
  <conditionalFormatting sqref="M997">
    <cfRule type="containsBlanks" dxfId="365" priority="363" stopIfTrue="1">
      <formula>LEN(TRIM(M997))=0</formula>
    </cfRule>
  </conditionalFormatting>
  <conditionalFormatting sqref="M999">
    <cfRule type="containsBlanks" dxfId="364" priority="361" stopIfTrue="1">
      <formula>LEN(TRIM(M999))=0</formula>
    </cfRule>
  </conditionalFormatting>
  <conditionalFormatting sqref="M1001">
    <cfRule type="containsBlanks" dxfId="363" priority="359" stopIfTrue="1">
      <formula>LEN(TRIM(M1001))=0</formula>
    </cfRule>
  </conditionalFormatting>
  <conditionalFormatting sqref="M1003">
    <cfRule type="containsBlanks" dxfId="362" priority="357" stopIfTrue="1">
      <formula>LEN(TRIM(M1003))=0</formula>
    </cfRule>
  </conditionalFormatting>
  <conditionalFormatting sqref="M1005">
    <cfRule type="containsBlanks" dxfId="361" priority="355" stopIfTrue="1">
      <formula>LEN(TRIM(M1005))=0</formula>
    </cfRule>
  </conditionalFormatting>
  <conditionalFormatting sqref="M1007">
    <cfRule type="containsBlanks" dxfId="360" priority="353" stopIfTrue="1">
      <formula>LEN(TRIM(M1007))=0</formula>
    </cfRule>
  </conditionalFormatting>
  <conditionalFormatting sqref="M1009">
    <cfRule type="containsBlanks" dxfId="359" priority="351" stopIfTrue="1">
      <formula>LEN(TRIM(M1009))=0</formula>
    </cfRule>
  </conditionalFormatting>
  <conditionalFormatting sqref="M1011">
    <cfRule type="containsBlanks" dxfId="358" priority="349" stopIfTrue="1">
      <formula>LEN(TRIM(M1011))=0</formula>
    </cfRule>
  </conditionalFormatting>
  <conditionalFormatting sqref="M1013">
    <cfRule type="containsBlanks" dxfId="357" priority="347" stopIfTrue="1">
      <formula>LEN(TRIM(M1013))=0</formula>
    </cfRule>
  </conditionalFormatting>
  <conditionalFormatting sqref="M1015">
    <cfRule type="containsBlanks" dxfId="356" priority="345" stopIfTrue="1">
      <formula>LEN(TRIM(M1015))=0</formula>
    </cfRule>
  </conditionalFormatting>
  <conditionalFormatting sqref="M1017">
    <cfRule type="containsBlanks" dxfId="355" priority="343" stopIfTrue="1">
      <formula>LEN(TRIM(M1017))=0</formula>
    </cfRule>
  </conditionalFormatting>
  <conditionalFormatting sqref="M1019">
    <cfRule type="containsBlanks" dxfId="354" priority="341" stopIfTrue="1">
      <formula>LEN(TRIM(M1019))=0</formula>
    </cfRule>
  </conditionalFormatting>
  <conditionalFormatting sqref="M1020">
    <cfRule type="containsBlanks" dxfId="353" priority="340" stopIfTrue="1">
      <formula>LEN(TRIM(M1020))=0</formula>
    </cfRule>
  </conditionalFormatting>
  <conditionalFormatting sqref="M1021">
    <cfRule type="containsBlanks" dxfId="352" priority="339" stopIfTrue="1">
      <formula>LEN(TRIM(M1021))=0</formula>
    </cfRule>
  </conditionalFormatting>
  <conditionalFormatting sqref="M1022">
    <cfRule type="containsBlanks" dxfId="351" priority="338" stopIfTrue="1">
      <formula>LEN(TRIM(M1022))=0</formula>
    </cfRule>
  </conditionalFormatting>
  <conditionalFormatting sqref="M1023">
    <cfRule type="containsBlanks" dxfId="350" priority="337" stopIfTrue="1">
      <formula>LEN(TRIM(M1023))=0</formula>
    </cfRule>
  </conditionalFormatting>
  <conditionalFormatting sqref="M1024">
    <cfRule type="containsBlanks" dxfId="349" priority="336" stopIfTrue="1">
      <formula>LEN(TRIM(M1024))=0</formula>
    </cfRule>
  </conditionalFormatting>
  <conditionalFormatting sqref="M1025">
    <cfRule type="containsBlanks" dxfId="348" priority="335" stopIfTrue="1">
      <formula>LEN(TRIM(M1025))=0</formula>
    </cfRule>
  </conditionalFormatting>
  <conditionalFormatting sqref="M1026">
    <cfRule type="containsBlanks" dxfId="347" priority="334" stopIfTrue="1">
      <formula>LEN(TRIM(M1026))=0</formula>
    </cfRule>
  </conditionalFormatting>
  <conditionalFormatting sqref="M1027">
    <cfRule type="containsBlanks" dxfId="346" priority="333" stopIfTrue="1">
      <formula>LEN(TRIM(M1027))=0</formula>
    </cfRule>
  </conditionalFormatting>
  <conditionalFormatting sqref="M1028">
    <cfRule type="containsBlanks" dxfId="345" priority="332" stopIfTrue="1">
      <formula>LEN(TRIM(M1028))=0</formula>
    </cfRule>
  </conditionalFormatting>
  <conditionalFormatting sqref="M1029">
    <cfRule type="containsBlanks" dxfId="344" priority="331" stopIfTrue="1">
      <formula>LEN(TRIM(M1029))=0</formula>
    </cfRule>
  </conditionalFormatting>
  <conditionalFormatting sqref="M1030">
    <cfRule type="containsBlanks" dxfId="343" priority="330" stopIfTrue="1">
      <formula>LEN(TRIM(M1030))=0</formula>
    </cfRule>
  </conditionalFormatting>
  <conditionalFormatting sqref="M1031">
    <cfRule type="containsBlanks" dxfId="342" priority="329" stopIfTrue="1">
      <formula>LEN(TRIM(M1031))=0</formula>
    </cfRule>
  </conditionalFormatting>
  <conditionalFormatting sqref="M1032">
    <cfRule type="containsBlanks" dxfId="341" priority="328" stopIfTrue="1">
      <formula>LEN(TRIM(M1032))=0</formula>
    </cfRule>
  </conditionalFormatting>
  <conditionalFormatting sqref="M1033">
    <cfRule type="containsBlanks" dxfId="340" priority="327" stopIfTrue="1">
      <formula>LEN(TRIM(M1033))=0</formula>
    </cfRule>
  </conditionalFormatting>
  <conditionalFormatting sqref="M1034">
    <cfRule type="containsBlanks" dxfId="339" priority="326" stopIfTrue="1">
      <formula>LEN(TRIM(M1034))=0</formula>
    </cfRule>
  </conditionalFormatting>
  <conditionalFormatting sqref="M1035">
    <cfRule type="containsBlanks" dxfId="338" priority="325" stopIfTrue="1">
      <formula>LEN(TRIM(M1035))=0</formula>
    </cfRule>
  </conditionalFormatting>
  <conditionalFormatting sqref="M1036">
    <cfRule type="containsBlanks" dxfId="337" priority="324" stopIfTrue="1">
      <formula>LEN(TRIM(M1036))=0</formula>
    </cfRule>
  </conditionalFormatting>
  <conditionalFormatting sqref="M1037">
    <cfRule type="containsBlanks" dxfId="336" priority="323" stopIfTrue="1">
      <formula>LEN(TRIM(M1037))=0</formula>
    </cfRule>
  </conditionalFormatting>
  <conditionalFormatting sqref="Q990">
    <cfRule type="containsBlanks" dxfId="335" priority="322" stopIfTrue="1">
      <formula>LEN(TRIM(Q990))=0</formula>
    </cfRule>
  </conditionalFormatting>
  <conditionalFormatting sqref="Q991">
    <cfRule type="containsBlanks" dxfId="334" priority="321" stopIfTrue="1">
      <formula>LEN(TRIM(Q991))=0</formula>
    </cfRule>
  </conditionalFormatting>
  <conditionalFormatting sqref="Q992">
    <cfRule type="containsBlanks" dxfId="333" priority="320" stopIfTrue="1">
      <formula>LEN(TRIM(Q992))=0</formula>
    </cfRule>
  </conditionalFormatting>
  <conditionalFormatting sqref="Q993">
    <cfRule type="containsBlanks" dxfId="332" priority="319" stopIfTrue="1">
      <formula>LEN(TRIM(Q993))=0</formula>
    </cfRule>
  </conditionalFormatting>
  <conditionalFormatting sqref="Q994">
    <cfRule type="containsBlanks" dxfId="331" priority="318" stopIfTrue="1">
      <formula>LEN(TRIM(Q994))=0</formula>
    </cfRule>
  </conditionalFormatting>
  <conditionalFormatting sqref="Q995">
    <cfRule type="containsBlanks" dxfId="330" priority="317" stopIfTrue="1">
      <formula>LEN(TRIM(Q995))=0</formula>
    </cfRule>
  </conditionalFormatting>
  <conditionalFormatting sqref="Q996">
    <cfRule type="containsBlanks" dxfId="329" priority="316" stopIfTrue="1">
      <formula>LEN(TRIM(Q996))=0</formula>
    </cfRule>
  </conditionalFormatting>
  <conditionalFormatting sqref="Q997">
    <cfRule type="containsBlanks" dxfId="328" priority="315" stopIfTrue="1">
      <formula>LEN(TRIM(Q997))=0</formula>
    </cfRule>
  </conditionalFormatting>
  <conditionalFormatting sqref="Q998">
    <cfRule type="containsBlanks" dxfId="327" priority="314" stopIfTrue="1">
      <formula>LEN(TRIM(Q998))=0</formula>
    </cfRule>
  </conditionalFormatting>
  <conditionalFormatting sqref="Q999">
    <cfRule type="containsBlanks" dxfId="326" priority="313" stopIfTrue="1">
      <formula>LEN(TRIM(Q999))=0</formula>
    </cfRule>
  </conditionalFormatting>
  <conditionalFormatting sqref="Q1000">
    <cfRule type="containsBlanks" dxfId="325" priority="312" stopIfTrue="1">
      <formula>LEN(TRIM(Q1000))=0</formula>
    </cfRule>
  </conditionalFormatting>
  <conditionalFormatting sqref="Q1001">
    <cfRule type="containsBlanks" dxfId="324" priority="311" stopIfTrue="1">
      <formula>LEN(TRIM(Q1001))=0</formula>
    </cfRule>
  </conditionalFormatting>
  <conditionalFormatting sqref="Q1002">
    <cfRule type="containsBlanks" dxfId="323" priority="310" stopIfTrue="1">
      <formula>LEN(TRIM(Q1002))=0</formula>
    </cfRule>
  </conditionalFormatting>
  <conditionalFormatting sqref="Q1003">
    <cfRule type="containsBlanks" dxfId="322" priority="309" stopIfTrue="1">
      <formula>LEN(TRIM(Q1003))=0</formula>
    </cfRule>
  </conditionalFormatting>
  <conditionalFormatting sqref="Q1004">
    <cfRule type="containsBlanks" dxfId="321" priority="308" stopIfTrue="1">
      <formula>LEN(TRIM(Q1004))=0</formula>
    </cfRule>
  </conditionalFormatting>
  <conditionalFormatting sqref="Q1005">
    <cfRule type="containsBlanks" dxfId="320" priority="307" stopIfTrue="1">
      <formula>LEN(TRIM(Q1005))=0</formula>
    </cfRule>
  </conditionalFormatting>
  <conditionalFormatting sqref="Q1006">
    <cfRule type="containsBlanks" dxfId="319" priority="306" stopIfTrue="1">
      <formula>LEN(TRIM(Q1006))=0</formula>
    </cfRule>
  </conditionalFormatting>
  <conditionalFormatting sqref="Q1007">
    <cfRule type="containsBlanks" dxfId="318" priority="305" stopIfTrue="1">
      <formula>LEN(TRIM(Q1007))=0</formula>
    </cfRule>
  </conditionalFormatting>
  <conditionalFormatting sqref="Q1008">
    <cfRule type="containsBlanks" dxfId="317" priority="304" stopIfTrue="1">
      <formula>LEN(TRIM(Q1008))=0</formula>
    </cfRule>
  </conditionalFormatting>
  <conditionalFormatting sqref="Q1009">
    <cfRule type="containsBlanks" dxfId="316" priority="303" stopIfTrue="1">
      <formula>LEN(TRIM(Q1009))=0</formula>
    </cfRule>
  </conditionalFormatting>
  <conditionalFormatting sqref="Q1010">
    <cfRule type="containsBlanks" dxfId="315" priority="302" stopIfTrue="1">
      <formula>LEN(TRIM(Q1010))=0</formula>
    </cfRule>
  </conditionalFormatting>
  <conditionalFormatting sqref="Q1011">
    <cfRule type="containsBlanks" dxfId="314" priority="301" stopIfTrue="1">
      <formula>LEN(TRIM(Q1011))=0</formula>
    </cfRule>
  </conditionalFormatting>
  <conditionalFormatting sqref="Q1012">
    <cfRule type="containsBlanks" dxfId="313" priority="300" stopIfTrue="1">
      <formula>LEN(TRIM(Q1012))=0</formula>
    </cfRule>
  </conditionalFormatting>
  <conditionalFormatting sqref="Q1013">
    <cfRule type="containsBlanks" dxfId="312" priority="299" stopIfTrue="1">
      <formula>LEN(TRIM(Q1013))=0</formula>
    </cfRule>
  </conditionalFormatting>
  <conditionalFormatting sqref="Q1014">
    <cfRule type="containsBlanks" dxfId="311" priority="298" stopIfTrue="1">
      <formula>LEN(TRIM(Q1014))=0</formula>
    </cfRule>
  </conditionalFormatting>
  <conditionalFormatting sqref="Q1015">
    <cfRule type="containsBlanks" dxfId="310" priority="297" stopIfTrue="1">
      <formula>LEN(TRIM(Q1015))=0</formula>
    </cfRule>
  </conditionalFormatting>
  <conditionalFormatting sqref="Q1016">
    <cfRule type="containsBlanks" dxfId="309" priority="296" stopIfTrue="1">
      <formula>LEN(TRIM(Q1016))=0</formula>
    </cfRule>
  </conditionalFormatting>
  <conditionalFormatting sqref="Q1017">
    <cfRule type="containsBlanks" dxfId="308" priority="295" stopIfTrue="1">
      <formula>LEN(TRIM(Q1017))=0</formula>
    </cfRule>
  </conditionalFormatting>
  <conditionalFormatting sqref="Q1018">
    <cfRule type="containsBlanks" dxfId="307" priority="294" stopIfTrue="1">
      <formula>LEN(TRIM(Q1018))=0</formula>
    </cfRule>
  </conditionalFormatting>
  <conditionalFormatting sqref="Q1019">
    <cfRule type="containsBlanks" dxfId="306" priority="293" stopIfTrue="1">
      <formula>LEN(TRIM(Q1019))=0</formula>
    </cfRule>
  </conditionalFormatting>
  <conditionalFormatting sqref="Q1020">
    <cfRule type="containsBlanks" dxfId="305" priority="292" stopIfTrue="1">
      <formula>LEN(TRIM(Q1020))=0</formula>
    </cfRule>
  </conditionalFormatting>
  <conditionalFormatting sqref="Q1021">
    <cfRule type="containsBlanks" dxfId="304" priority="291" stopIfTrue="1">
      <formula>LEN(TRIM(Q1021))=0</formula>
    </cfRule>
  </conditionalFormatting>
  <conditionalFormatting sqref="Q1022">
    <cfRule type="containsBlanks" dxfId="303" priority="290" stopIfTrue="1">
      <formula>LEN(TRIM(Q1022))=0</formula>
    </cfRule>
  </conditionalFormatting>
  <conditionalFormatting sqref="Q1023">
    <cfRule type="containsBlanks" dxfId="302" priority="289" stopIfTrue="1">
      <formula>LEN(TRIM(Q1023))=0</formula>
    </cfRule>
  </conditionalFormatting>
  <conditionalFormatting sqref="Q1024">
    <cfRule type="containsBlanks" dxfId="301" priority="288" stopIfTrue="1">
      <formula>LEN(TRIM(Q1024))=0</formula>
    </cfRule>
  </conditionalFormatting>
  <conditionalFormatting sqref="Q1025">
    <cfRule type="containsBlanks" dxfId="300" priority="287" stopIfTrue="1">
      <formula>LEN(TRIM(Q1025))=0</formula>
    </cfRule>
  </conditionalFormatting>
  <conditionalFormatting sqref="Q1026">
    <cfRule type="containsBlanks" dxfId="299" priority="286" stopIfTrue="1">
      <formula>LEN(TRIM(Q1026))=0</formula>
    </cfRule>
  </conditionalFormatting>
  <conditionalFormatting sqref="Q1027">
    <cfRule type="containsBlanks" dxfId="298" priority="285" stopIfTrue="1">
      <formula>LEN(TRIM(Q1027))=0</formula>
    </cfRule>
  </conditionalFormatting>
  <conditionalFormatting sqref="Q1028">
    <cfRule type="containsBlanks" dxfId="297" priority="284" stopIfTrue="1">
      <formula>LEN(TRIM(Q1028))=0</formula>
    </cfRule>
  </conditionalFormatting>
  <conditionalFormatting sqref="Q1029">
    <cfRule type="containsBlanks" dxfId="296" priority="283" stopIfTrue="1">
      <formula>LEN(TRIM(Q1029))=0</formula>
    </cfRule>
  </conditionalFormatting>
  <conditionalFormatting sqref="Q1030">
    <cfRule type="containsBlanks" dxfId="295" priority="282" stopIfTrue="1">
      <formula>LEN(TRIM(Q1030))=0</formula>
    </cfRule>
  </conditionalFormatting>
  <conditionalFormatting sqref="Q1031">
    <cfRule type="containsBlanks" dxfId="294" priority="281" stopIfTrue="1">
      <formula>LEN(TRIM(Q1031))=0</formula>
    </cfRule>
  </conditionalFormatting>
  <conditionalFormatting sqref="Q1032">
    <cfRule type="containsBlanks" dxfId="293" priority="280" stopIfTrue="1">
      <formula>LEN(TRIM(Q1032))=0</formula>
    </cfRule>
  </conditionalFormatting>
  <conditionalFormatting sqref="Q1033">
    <cfRule type="containsBlanks" dxfId="292" priority="279" stopIfTrue="1">
      <formula>LEN(TRIM(Q1033))=0</formula>
    </cfRule>
  </conditionalFormatting>
  <conditionalFormatting sqref="Q1034">
    <cfRule type="containsBlanks" dxfId="291" priority="278" stopIfTrue="1">
      <formula>LEN(TRIM(Q1034))=0</formula>
    </cfRule>
  </conditionalFormatting>
  <conditionalFormatting sqref="Q1035">
    <cfRule type="containsBlanks" dxfId="290" priority="277" stopIfTrue="1">
      <formula>LEN(TRIM(Q1035))=0</formula>
    </cfRule>
  </conditionalFormatting>
  <conditionalFormatting sqref="Q1036">
    <cfRule type="containsBlanks" dxfId="289" priority="276" stopIfTrue="1">
      <formula>LEN(TRIM(Q1036))=0</formula>
    </cfRule>
  </conditionalFormatting>
  <conditionalFormatting sqref="Q1037">
    <cfRule type="containsBlanks" dxfId="288" priority="275" stopIfTrue="1">
      <formula>LEN(TRIM(Q1037))=0</formula>
    </cfRule>
  </conditionalFormatting>
  <conditionalFormatting sqref="O976:O980">
    <cfRule type="cellIs" dxfId="287" priority="273" operator="notEqual">
      <formula>$O$340</formula>
    </cfRule>
    <cfRule type="cellIs" dxfId="286" priority="274" operator="equal">
      <formula>$O$340</formula>
    </cfRule>
  </conditionalFormatting>
  <conditionalFormatting sqref="N976:N980">
    <cfRule type="cellIs" dxfId="285" priority="271" operator="notEqual">
      <formula>$N$340</formula>
    </cfRule>
    <cfRule type="cellIs" dxfId="284" priority="272" operator="equal">
      <formula>$N$340</formula>
    </cfRule>
  </conditionalFormatting>
  <conditionalFormatting sqref="N708">
    <cfRule type="containsBlanks" dxfId="283" priority="270" stopIfTrue="1">
      <formula>LEN(TRIM(N708))=0</formula>
    </cfRule>
  </conditionalFormatting>
  <conditionalFormatting sqref="O708">
    <cfRule type="containsBlanks" dxfId="282" priority="269" stopIfTrue="1">
      <formula>LEN(TRIM(O708))=0</formula>
    </cfRule>
  </conditionalFormatting>
  <conditionalFormatting sqref="P708">
    <cfRule type="containsBlanks" dxfId="281" priority="268" stopIfTrue="1">
      <formula>LEN(TRIM(P708))=0</formula>
    </cfRule>
  </conditionalFormatting>
  <conditionalFormatting sqref="Q708">
    <cfRule type="containsBlanks" dxfId="280" priority="267" stopIfTrue="1">
      <formula>LEN(TRIM(Q708))=0</formula>
    </cfRule>
  </conditionalFormatting>
  <conditionalFormatting sqref="R730">
    <cfRule type="containsBlanks" dxfId="279" priority="266" stopIfTrue="1">
      <formula>LEN(TRIM(R730))=0</formula>
    </cfRule>
  </conditionalFormatting>
  <conditionalFormatting sqref="W735">
    <cfRule type="cellIs" dxfId="278" priority="265" stopIfTrue="1" operator="equal">
      <formula>0</formula>
    </cfRule>
  </conditionalFormatting>
  <conditionalFormatting sqref="U738">
    <cfRule type="containsBlanks" dxfId="277" priority="263" stopIfTrue="1">
      <formula>LEN(TRIM(U738))=0</formula>
    </cfRule>
  </conditionalFormatting>
  <conditionalFormatting sqref="U739">
    <cfRule type="containsBlanks" dxfId="276" priority="262" stopIfTrue="1">
      <formula>LEN(TRIM(U739))=0</formula>
    </cfRule>
  </conditionalFormatting>
  <conditionalFormatting sqref="X736">
    <cfRule type="containsBlanks" dxfId="275" priority="264" stopIfTrue="1">
      <formula>LEN(TRIM(X736))=0</formula>
    </cfRule>
  </conditionalFormatting>
  <conditionalFormatting sqref="X735">
    <cfRule type="containsBlanks" dxfId="274" priority="261" stopIfTrue="1">
      <formula>LEN(TRIM(X735))=0</formula>
    </cfRule>
  </conditionalFormatting>
  <conditionalFormatting sqref="X1246">
    <cfRule type="containsBlanks" dxfId="273" priority="260" stopIfTrue="1">
      <formula>LEN(TRIM(X1246))=0</formula>
    </cfRule>
  </conditionalFormatting>
  <conditionalFormatting sqref="W1244">
    <cfRule type="cellIs" dxfId="272" priority="259" stopIfTrue="1" operator="equal">
      <formula>0</formula>
    </cfRule>
  </conditionalFormatting>
  <conditionalFormatting sqref="M1248">
    <cfRule type="containsBlanks" dxfId="271" priority="258" stopIfTrue="1">
      <formula>LEN(TRIM(M1248))=0</formula>
    </cfRule>
  </conditionalFormatting>
  <conditionalFormatting sqref="B657">
    <cfRule type="containsBlanks" dxfId="270" priority="257" stopIfTrue="1">
      <formula>LEN(TRIM(B657))=0</formula>
    </cfRule>
  </conditionalFormatting>
  <conditionalFormatting sqref="B658">
    <cfRule type="containsBlanks" dxfId="269" priority="256" stopIfTrue="1">
      <formula>LEN(TRIM(B658))=0</formula>
    </cfRule>
  </conditionalFormatting>
  <conditionalFormatting sqref="C976">
    <cfRule type="containsBlanks" dxfId="268" priority="255" stopIfTrue="1">
      <formula>LEN(TRIM(C976))=0</formula>
    </cfRule>
  </conditionalFormatting>
  <conditionalFormatting sqref="C979">
    <cfRule type="containsBlanks" dxfId="267" priority="254" stopIfTrue="1">
      <formula>LEN(TRIM(C979))=0</formula>
    </cfRule>
  </conditionalFormatting>
  <conditionalFormatting sqref="C982">
    <cfRule type="containsBlanks" dxfId="266" priority="253" stopIfTrue="1">
      <formula>LEN(TRIM(C982))=0</formula>
    </cfRule>
  </conditionalFormatting>
  <conditionalFormatting sqref="P1240">
    <cfRule type="containsBlanks" dxfId="265" priority="249" stopIfTrue="1">
      <formula>LEN(TRIM(P1240))=0</formula>
    </cfRule>
  </conditionalFormatting>
  <conditionalFormatting sqref="U1233">
    <cfRule type="containsBlanks" dxfId="264" priority="245" stopIfTrue="1">
      <formula>LEN(TRIM(U1233))=0</formula>
    </cfRule>
  </conditionalFormatting>
  <conditionalFormatting sqref="B706">
    <cfRule type="containsBlanks" dxfId="263" priority="241" stopIfTrue="1">
      <formula>LEN(TRIM(B706))=0</formula>
    </cfRule>
  </conditionalFormatting>
  <conditionalFormatting sqref="B715">
    <cfRule type="containsBlanks" dxfId="262" priority="238" stopIfTrue="1">
      <formula>LEN(TRIM(B715))=0</formula>
    </cfRule>
  </conditionalFormatting>
  <conditionalFormatting sqref="B716">
    <cfRule type="containsBlanks" dxfId="261" priority="237" stopIfTrue="1">
      <formula>LEN(TRIM(B716))=0</formula>
    </cfRule>
  </conditionalFormatting>
  <conditionalFormatting sqref="B717">
    <cfRule type="containsBlanks" dxfId="260" priority="236" stopIfTrue="1">
      <formula>LEN(TRIM(B717))=0</formula>
    </cfRule>
  </conditionalFormatting>
  <conditionalFormatting sqref="B708">
    <cfRule type="containsBlanks" dxfId="259" priority="239" stopIfTrue="1">
      <formula>LEN(TRIM(B708))=0</formula>
    </cfRule>
  </conditionalFormatting>
  <conditionalFormatting sqref="R1240">
    <cfRule type="containsBlanks" dxfId="258" priority="247" stopIfTrue="1">
      <formula>LEN(TRIM(R1240))=0</formula>
    </cfRule>
  </conditionalFormatting>
  <conditionalFormatting sqref="U1232 X1229 N1229 X1231">
    <cfRule type="containsBlanks" dxfId="257" priority="246" stopIfTrue="1">
      <formula>LEN(TRIM(N1229))=0</formula>
    </cfRule>
  </conditionalFormatting>
  <conditionalFormatting sqref="W1237">
    <cfRule type="cellIs" dxfId="256" priority="250" stopIfTrue="1" operator="equal">
      <formula>0</formula>
    </cfRule>
  </conditionalFormatting>
  <conditionalFormatting sqref="V1240">
    <cfRule type="cellIs" dxfId="255" priority="251" stopIfTrue="1" operator="equal">
      <formula>"ESP. ERRADA"</formula>
    </cfRule>
  </conditionalFormatting>
  <conditionalFormatting sqref="U1240 X1237:X1239">
    <cfRule type="containsBlanks" dxfId="254" priority="252" stopIfTrue="1">
      <formula>LEN(TRIM(U1237))=0</formula>
    </cfRule>
  </conditionalFormatting>
  <conditionalFormatting sqref="S1240">
    <cfRule type="containsBlanks" dxfId="253" priority="248" stopIfTrue="1">
      <formula>LEN(TRIM(S1240))=0</formula>
    </cfRule>
  </conditionalFormatting>
  <conditionalFormatting sqref="W1229">
    <cfRule type="cellIs" dxfId="252" priority="244" stopIfTrue="1" operator="equal">
      <formula>0</formula>
    </cfRule>
  </conditionalFormatting>
  <conditionalFormatting sqref="B680">
    <cfRule type="containsBlanks" dxfId="251" priority="243" stopIfTrue="1">
      <formula>LEN(TRIM(B680))=0</formula>
    </cfRule>
  </conditionalFormatting>
  <conditionalFormatting sqref="B681">
    <cfRule type="containsBlanks" dxfId="250" priority="242" stopIfTrue="1">
      <formula>LEN(TRIM(B681))=0</formula>
    </cfRule>
  </conditionalFormatting>
  <conditionalFormatting sqref="B707">
    <cfRule type="containsBlanks" dxfId="249" priority="240" stopIfTrue="1">
      <formula>LEN(TRIM(B707))=0</formula>
    </cfRule>
  </conditionalFormatting>
  <conditionalFormatting sqref="P689 S689 U689">
    <cfRule type="containsBlanks" dxfId="248" priority="233" stopIfTrue="1">
      <formula>LEN(TRIM(P689))=0</formula>
    </cfRule>
  </conditionalFormatting>
  <conditionalFormatting sqref="X687 M688 U688 X685">
    <cfRule type="containsBlanks" dxfId="247" priority="235" stopIfTrue="1">
      <formula>LEN(TRIM(M685))=0</formula>
    </cfRule>
  </conditionalFormatting>
  <conditionalFormatting sqref="W685">
    <cfRule type="cellIs" dxfId="246" priority="234" stopIfTrue="1" operator="equal">
      <formula>0</formula>
    </cfRule>
  </conditionalFormatting>
  <conditionalFormatting sqref="B688">
    <cfRule type="containsBlanks" dxfId="245" priority="232" stopIfTrue="1">
      <formula>LEN(TRIM(B688))=0</formula>
    </cfRule>
  </conditionalFormatting>
  <conditionalFormatting sqref="B689">
    <cfRule type="containsBlanks" dxfId="244" priority="231" stopIfTrue="1">
      <formula>LEN(TRIM(B689))=0</formula>
    </cfRule>
  </conditionalFormatting>
  <conditionalFormatting sqref="X696">
    <cfRule type="containsBlanks" dxfId="243" priority="229" stopIfTrue="1">
      <formula>LEN(TRIM(X696))=0</formula>
    </cfRule>
  </conditionalFormatting>
  <conditionalFormatting sqref="R697">
    <cfRule type="containsBlanks" dxfId="242" priority="228" stopIfTrue="1">
      <formula>LEN(TRIM(R697))=0</formula>
    </cfRule>
  </conditionalFormatting>
  <conditionalFormatting sqref="X849:X851">
    <cfRule type="containsBlanks" dxfId="241" priority="225" stopIfTrue="1">
      <formula>LEN(TRIM(X849))=0</formula>
    </cfRule>
  </conditionalFormatting>
  <conditionalFormatting sqref="B795 O796 U786 X786">
    <cfRule type="containsBlanks" dxfId="240" priority="227" stopIfTrue="1">
      <formula>LEN(TRIM(B786))=0</formula>
    </cfRule>
  </conditionalFormatting>
  <conditionalFormatting sqref="U849">
    <cfRule type="containsBlanks" dxfId="239" priority="224" stopIfTrue="1">
      <formula>LEN(TRIM(U849))=0</formula>
    </cfRule>
  </conditionalFormatting>
  <conditionalFormatting sqref="X854">
    <cfRule type="containsBlanks" dxfId="238" priority="223" stopIfTrue="1">
      <formula>LEN(TRIM(X854))=0</formula>
    </cfRule>
  </conditionalFormatting>
  <conditionalFormatting sqref="V850:V851 V848 V853:V857">
    <cfRule type="cellIs" dxfId="237" priority="226" stopIfTrue="1" operator="equal">
      <formula>"ESP. ERRADA"</formula>
    </cfRule>
  </conditionalFormatting>
  <conditionalFormatting sqref="X755">
    <cfRule type="containsBlanks" dxfId="236" priority="212" stopIfTrue="1">
      <formula>LEN(TRIM(X755))=0</formula>
    </cfRule>
  </conditionalFormatting>
  <conditionalFormatting sqref="O797:O845">
    <cfRule type="containsBlanks" dxfId="235" priority="222" stopIfTrue="1">
      <formula>LEN(TRIM(O797))=0</formula>
    </cfRule>
  </conditionalFormatting>
  <conditionalFormatting sqref="B747">
    <cfRule type="containsBlanks" dxfId="234" priority="210" stopIfTrue="1">
      <formula>LEN(TRIM(B747))=0</formula>
    </cfRule>
  </conditionalFormatting>
  <conditionalFormatting sqref="W743">
    <cfRule type="cellIs" dxfId="233" priority="218" stopIfTrue="1" operator="equal">
      <formula>0</formula>
    </cfRule>
  </conditionalFormatting>
  <conditionalFormatting sqref="U747">
    <cfRule type="containsBlanks" dxfId="232" priority="219" stopIfTrue="1">
      <formula>LEN(TRIM(U747))=0</formula>
    </cfRule>
  </conditionalFormatting>
  <conditionalFormatting sqref="P746 S746 U746 X743:X745 N743">
    <cfRule type="containsBlanks" dxfId="231" priority="221" stopIfTrue="1">
      <formula>LEN(TRIM(N743))=0</formula>
    </cfRule>
  </conditionalFormatting>
  <conditionalFormatting sqref="M1233">
    <cfRule type="containsBlanks" dxfId="230" priority="220" stopIfTrue="1">
      <formula>LEN(TRIM(M1233))=0</formula>
    </cfRule>
  </conditionalFormatting>
  <conditionalFormatting sqref="U661">
    <cfRule type="containsBlanks" dxfId="229" priority="203" stopIfTrue="1">
      <formula>LEN(TRIM(U661))=0</formula>
    </cfRule>
  </conditionalFormatting>
  <conditionalFormatting sqref="X750:X752">
    <cfRule type="containsBlanks" dxfId="228" priority="215" stopIfTrue="1">
      <formula>LEN(TRIM(X750))=0</formula>
    </cfRule>
  </conditionalFormatting>
  <conditionalFormatting sqref="U750">
    <cfRule type="containsBlanks" dxfId="227" priority="213" stopIfTrue="1">
      <formula>LEN(TRIM(U750))=0</formula>
    </cfRule>
  </conditionalFormatting>
  <conditionalFormatting sqref="V751:V752 V749 V754:V758">
    <cfRule type="cellIs" dxfId="226" priority="216" stopIfTrue="1" operator="equal">
      <formula>"ESP. ERRADA"</formula>
    </cfRule>
  </conditionalFormatting>
  <conditionalFormatting sqref="B746">
    <cfRule type="containsBlanks" dxfId="225" priority="211" stopIfTrue="1">
      <formula>LEN(TRIM(B746))=0</formula>
    </cfRule>
  </conditionalFormatting>
  <conditionalFormatting sqref="X666">
    <cfRule type="containsBlanks" dxfId="224" priority="207" stopIfTrue="1">
      <formula>LEN(TRIM(X666))=0</formula>
    </cfRule>
  </conditionalFormatting>
  <conditionalFormatting sqref="U671">
    <cfRule type="containsBlanks" dxfId="223" priority="201" stopIfTrue="1">
      <formula>LEN(TRIM(U671))=0</formula>
    </cfRule>
  </conditionalFormatting>
  <conditionalFormatting sqref="V665:V669">
    <cfRule type="cellIs" dxfId="222" priority="208" stopIfTrue="1" operator="equal">
      <formula>"ESP. ERRADA"</formula>
    </cfRule>
  </conditionalFormatting>
  <conditionalFormatting sqref="X671">
    <cfRule type="containsBlanks" dxfId="221" priority="204" stopIfTrue="1">
      <formula>LEN(TRIM(X671))=0</formula>
    </cfRule>
  </conditionalFormatting>
  <conditionalFormatting sqref="V670:V674">
    <cfRule type="cellIs" dxfId="220" priority="205" stopIfTrue="1" operator="equal">
      <formula>"ESP. ERRADA"</formula>
    </cfRule>
  </conditionalFormatting>
  <conditionalFormatting sqref="U666">
    <cfRule type="containsBlanks" dxfId="219" priority="202" stopIfTrue="1">
      <formula>LEN(TRIM(U666))=0</formula>
    </cfRule>
  </conditionalFormatting>
  <conditionalFormatting sqref="X729">
    <cfRule type="containsBlanks" dxfId="218" priority="200" stopIfTrue="1">
      <formula>LEN(TRIM(X729))=0</formula>
    </cfRule>
  </conditionalFormatting>
  <conditionalFormatting sqref="X730">
    <cfRule type="containsBlanks" dxfId="217" priority="199" stopIfTrue="1">
      <formula>LEN(TRIM(X730))=0</formula>
    </cfRule>
  </conditionalFormatting>
  <conditionalFormatting sqref="X1244">
    <cfRule type="containsBlanks" dxfId="216" priority="198" stopIfTrue="1">
      <formula>LEN(TRIM(X1244))=0</formula>
    </cfRule>
  </conditionalFormatting>
  <conditionalFormatting sqref="X1245">
    <cfRule type="containsBlanks" dxfId="215" priority="197" stopIfTrue="1">
      <formula>LEN(TRIM(X1245))=0</formula>
    </cfRule>
  </conditionalFormatting>
  <conditionalFormatting sqref="X1218:X1220">
    <cfRule type="containsBlanks" dxfId="214" priority="193" stopIfTrue="1">
      <formula>LEN(TRIM(X1218))=0</formula>
    </cfRule>
  </conditionalFormatting>
  <conditionalFormatting sqref="V1219:V1220 V1217 V1222:V1225">
    <cfRule type="cellIs" dxfId="213" priority="194" stopIfTrue="1" operator="equal">
      <formula>"ESP. ERRADA"</formula>
    </cfRule>
  </conditionalFormatting>
  <conditionalFormatting sqref="Q1155">
    <cfRule type="containsBlanks" dxfId="212" priority="195" stopIfTrue="1">
      <formula>LEN(TRIM(Q1155))=0</formula>
    </cfRule>
  </conditionalFormatting>
  <conditionalFormatting sqref="B1164 U1155 X1155">
    <cfRule type="containsBlanks" dxfId="211" priority="196" stopIfTrue="1">
      <formula>LEN(TRIM(B1155))=0</formula>
    </cfRule>
  </conditionalFormatting>
  <conditionalFormatting sqref="X1223">
    <cfRule type="containsBlanks" dxfId="210" priority="191" stopIfTrue="1">
      <formula>LEN(TRIM(X1223))=0</formula>
    </cfRule>
  </conditionalFormatting>
  <conditionalFormatting sqref="U1218">
    <cfRule type="containsBlanks" dxfId="209" priority="192" stopIfTrue="1">
      <formula>LEN(TRIM(U1218))=0</formula>
    </cfRule>
  </conditionalFormatting>
  <conditionalFormatting sqref="B1161">
    <cfRule type="containsBlanks" dxfId="208" priority="190" stopIfTrue="1">
      <formula>LEN(TRIM(B1161))=0</formula>
    </cfRule>
  </conditionalFormatting>
  <conditionalFormatting sqref="N761">
    <cfRule type="containsBlanks" dxfId="207" priority="189" stopIfTrue="1">
      <formula>LEN(TRIM(N761))=0</formula>
    </cfRule>
  </conditionalFormatting>
  <conditionalFormatting sqref="X1144:X1146">
    <cfRule type="containsBlanks" dxfId="206" priority="186" stopIfTrue="1">
      <formula>LEN(TRIM(X1144))=0</formula>
    </cfRule>
  </conditionalFormatting>
  <conditionalFormatting sqref="B1132 B1134 B1139 M1130 O1130 O1140 T1130:V1130 X1130 B1136">
    <cfRule type="containsBlanks" dxfId="205" priority="188" stopIfTrue="1">
      <formula>LEN(TRIM(B1130))=0</formula>
    </cfRule>
  </conditionalFormatting>
  <conditionalFormatting sqref="U1144">
    <cfRule type="containsBlanks" dxfId="204" priority="185" stopIfTrue="1">
      <formula>LEN(TRIM(U1144))=0</formula>
    </cfRule>
  </conditionalFormatting>
  <conditionalFormatting sqref="X1149">
    <cfRule type="containsBlanks" dxfId="203" priority="184" stopIfTrue="1">
      <formula>LEN(TRIM(X1149))=0</formula>
    </cfRule>
  </conditionalFormatting>
  <conditionalFormatting sqref="V1145:V1146 V1143 V1148:V1152">
    <cfRule type="cellIs" dxfId="202" priority="187" stopIfTrue="1" operator="equal">
      <formula>"ESP. ERRADA"</formula>
    </cfRule>
  </conditionalFormatting>
  <conditionalFormatting sqref="N1130">
    <cfRule type="containsBlanks" dxfId="201" priority="183" stopIfTrue="1">
      <formula>LEN(TRIM(N1130))=0</formula>
    </cfRule>
  </conditionalFormatting>
  <conditionalFormatting sqref="Q988">
    <cfRule type="containsBlanks" dxfId="200" priority="182" stopIfTrue="1">
      <formula>LEN(TRIM(Q988))=0</formula>
    </cfRule>
  </conditionalFormatting>
  <conditionalFormatting sqref="O988:O1037">
    <cfRule type="containsBlanks" dxfId="199" priority="181" stopIfTrue="1">
      <formula>LEN(TRIM(O988))=0</formula>
    </cfRule>
  </conditionalFormatting>
  <conditionalFormatting sqref="M988">
    <cfRule type="containsBlanks" dxfId="198" priority="180" stopIfTrue="1">
      <formula>LEN(TRIM(M988))=0</formula>
    </cfRule>
  </conditionalFormatting>
  <conditionalFormatting sqref="M991">
    <cfRule type="containsBlanks" dxfId="197" priority="179" stopIfTrue="1">
      <formula>LEN(TRIM(M991))=0</formula>
    </cfRule>
  </conditionalFormatting>
  <conditionalFormatting sqref="X654">
    <cfRule type="containsBlanks" dxfId="196" priority="178" stopIfTrue="1">
      <formula>LEN(TRIM(X654))=0</formula>
    </cfRule>
  </conditionalFormatting>
  <conditionalFormatting sqref="R978">
    <cfRule type="containsBlanks" dxfId="195" priority="177" stopIfTrue="1">
      <formula>LEN(TRIM(R978))=0</formula>
    </cfRule>
  </conditionalFormatting>
  <conditionalFormatting sqref="R979">
    <cfRule type="containsBlanks" dxfId="194" priority="176" stopIfTrue="1">
      <formula>LEN(TRIM(R979))=0</formula>
    </cfRule>
  </conditionalFormatting>
  <conditionalFormatting sqref="M978">
    <cfRule type="containsBlanks" dxfId="193" priority="175" stopIfTrue="1">
      <formula>LEN(TRIM(M978))=0</formula>
    </cfRule>
  </conditionalFormatting>
  <conditionalFormatting sqref="M979">
    <cfRule type="containsBlanks" dxfId="192" priority="174" stopIfTrue="1">
      <formula>LEN(TRIM(M979))=0</formula>
    </cfRule>
  </conditionalFormatting>
  <conditionalFormatting sqref="M980">
    <cfRule type="containsBlanks" dxfId="191" priority="173" stopIfTrue="1">
      <formula>LEN(TRIM(M980))=0</formula>
    </cfRule>
  </conditionalFormatting>
  <conditionalFormatting sqref="M860 O860">
    <cfRule type="containsBlanks" dxfId="190" priority="172" stopIfTrue="1">
      <formula>LEN(TRIM(M860))=0</formula>
    </cfRule>
  </conditionalFormatting>
  <conditionalFormatting sqref="N860">
    <cfRule type="containsBlanks" dxfId="189" priority="171" stopIfTrue="1">
      <formula>LEN(TRIM(N860))=0</formula>
    </cfRule>
  </conditionalFormatting>
  <conditionalFormatting sqref="Q860">
    <cfRule type="containsBlanks" dxfId="188" priority="170" stopIfTrue="1">
      <formula>LEN(TRIM(Q860))=0</formula>
    </cfRule>
  </conditionalFormatting>
  <conditionalFormatting sqref="B866">
    <cfRule type="containsBlanks" dxfId="187" priority="169" stopIfTrue="1">
      <formula>LEN(TRIM(B866))=0</formula>
    </cfRule>
  </conditionalFormatting>
  <conditionalFormatting sqref="B867">
    <cfRule type="containsBlanks" dxfId="186" priority="168" stopIfTrue="1">
      <formula>LEN(TRIM(B867))=0</formula>
    </cfRule>
  </conditionalFormatting>
  <conditionalFormatting sqref="R860">
    <cfRule type="containsBlanks" dxfId="185" priority="167" stopIfTrue="1">
      <formula>LEN(TRIM(R860))=0</formula>
    </cfRule>
  </conditionalFormatting>
  <conditionalFormatting sqref="O871:O920">
    <cfRule type="containsBlanks" dxfId="184" priority="166" stopIfTrue="1">
      <formula>LEN(TRIM(O871))=0</formula>
    </cfRule>
  </conditionalFormatting>
  <conditionalFormatting sqref="B767">
    <cfRule type="containsBlanks" dxfId="183" priority="165" stopIfTrue="1">
      <formula>LEN(TRIM(B767))=0</formula>
    </cfRule>
  </conditionalFormatting>
  <conditionalFormatting sqref="B768">
    <cfRule type="containsBlanks" dxfId="182" priority="164" stopIfTrue="1">
      <formula>LEN(TRIM(B768))=0</formula>
    </cfRule>
  </conditionalFormatting>
  <conditionalFormatting sqref="S988:S1037">
    <cfRule type="containsBlanks" dxfId="181" priority="163">
      <formula>LEN(TRIM(S988))=0</formula>
    </cfRule>
  </conditionalFormatting>
  <conditionalFormatting sqref="S1166:T1215">
    <cfRule type="cellIs" dxfId="180" priority="448" operator="greaterThan">
      <formula>1+$I$530</formula>
    </cfRule>
  </conditionalFormatting>
  <conditionalFormatting sqref="T1166:T1215">
    <cfRule type="cellIs" dxfId="179" priority="449" operator="lessThan">
      <formula>-1-$I$530</formula>
    </cfRule>
  </conditionalFormatting>
  <conditionalFormatting sqref="O1166:O1215">
    <cfRule type="containsBlanks" dxfId="178" priority="162" stopIfTrue="1">
      <formula>LEN(TRIM(O1166))=0</formula>
    </cfRule>
  </conditionalFormatting>
  <conditionalFormatting sqref="S871:T920">
    <cfRule type="cellIs" dxfId="177" priority="450" operator="greaterThan">
      <formula>1+$K$235</formula>
    </cfRule>
  </conditionalFormatting>
  <conditionalFormatting sqref="P747">
    <cfRule type="containsBlanks" dxfId="176" priority="161" stopIfTrue="1">
      <formula>LEN(TRIM(P747))=0</formula>
    </cfRule>
  </conditionalFormatting>
  <conditionalFormatting sqref="X655">
    <cfRule type="containsBlanks" dxfId="175" priority="160" stopIfTrue="1">
      <formula>LEN(TRIM(X655))=0</formula>
    </cfRule>
  </conditionalFormatting>
  <conditionalFormatting sqref="P657 S657">
    <cfRule type="containsBlanks" dxfId="174" priority="159" stopIfTrue="1">
      <formula>LEN(TRIM(P657))=0</formula>
    </cfRule>
  </conditionalFormatting>
  <conditionalFormatting sqref="P658">
    <cfRule type="containsBlanks" dxfId="173" priority="158" stopIfTrue="1">
      <formula>LEN(TRIM(P658))=0</formula>
    </cfRule>
  </conditionalFormatting>
  <conditionalFormatting sqref="M658">
    <cfRule type="containsBlanks" dxfId="172" priority="157" stopIfTrue="1">
      <formula>LEN(TRIM(M658))=0</formula>
    </cfRule>
  </conditionalFormatting>
  <conditionalFormatting sqref="P1232 S1232">
    <cfRule type="containsBlanks" dxfId="171" priority="156" stopIfTrue="1">
      <formula>LEN(TRIM(P1232))=0</formula>
    </cfRule>
  </conditionalFormatting>
  <conditionalFormatting sqref="P1233">
    <cfRule type="containsBlanks" dxfId="170" priority="155" stopIfTrue="1">
      <formula>LEN(TRIM(P1233))=0</formula>
    </cfRule>
  </conditionalFormatting>
  <conditionalFormatting sqref="M747">
    <cfRule type="containsBlanks" dxfId="169" priority="154" stopIfTrue="1">
      <formula>LEN(TRIM(M747))=0</formula>
    </cfRule>
  </conditionalFormatting>
  <conditionalFormatting sqref="X1230">
    <cfRule type="containsBlanks" dxfId="168" priority="153" stopIfTrue="1">
      <formula>LEN(TRIM(X1230))=0</formula>
    </cfRule>
  </conditionalFormatting>
  <conditionalFormatting sqref="V746:V747">
    <cfRule type="cellIs" dxfId="167" priority="152" stopIfTrue="1" operator="equal">
      <formula>"ESP. ERRADA"</formula>
    </cfRule>
  </conditionalFormatting>
  <conditionalFormatting sqref="V1232:V1233">
    <cfRule type="cellIs" dxfId="166" priority="151" stopIfTrue="1" operator="equal">
      <formula>"ESP. ERRADA"</formula>
    </cfRule>
  </conditionalFormatting>
  <conditionalFormatting sqref="P730">
    <cfRule type="containsBlanks" dxfId="165" priority="150" stopIfTrue="1">
      <formula>LEN(TRIM(P730))=0</formula>
    </cfRule>
  </conditionalFormatting>
  <conditionalFormatting sqref="S780">
    <cfRule type="containsBlanks" dxfId="164" priority="149" stopIfTrue="1">
      <formula>LEN(TRIM(S780))=0</formula>
    </cfRule>
  </conditionalFormatting>
  <conditionalFormatting sqref="S755">
    <cfRule type="containsBlanks" dxfId="163" priority="148" stopIfTrue="1">
      <formula>LEN(TRIM(S755))=0</formula>
    </cfRule>
  </conditionalFormatting>
  <conditionalFormatting sqref="S854">
    <cfRule type="containsBlanks" dxfId="162" priority="147" stopIfTrue="1">
      <formula>LEN(TRIM(S854))=0</formula>
    </cfRule>
  </conditionalFormatting>
  <conditionalFormatting sqref="S928">
    <cfRule type="containsBlanks" dxfId="161" priority="146" stopIfTrue="1">
      <formula>LEN(TRIM(S928))=0</formula>
    </cfRule>
  </conditionalFormatting>
  <conditionalFormatting sqref="S1046">
    <cfRule type="containsBlanks" dxfId="160" priority="145" stopIfTrue="1">
      <formula>LEN(TRIM(S1046))=0</formula>
    </cfRule>
  </conditionalFormatting>
  <conditionalFormatting sqref="S1149">
    <cfRule type="containsBlanks" dxfId="159" priority="144" stopIfTrue="1">
      <formula>LEN(TRIM(S1149))=0</formula>
    </cfRule>
  </conditionalFormatting>
  <conditionalFormatting sqref="S1223">
    <cfRule type="containsBlanks" dxfId="158" priority="143" stopIfTrue="1">
      <formula>LEN(TRIM(S1223))=0</formula>
    </cfRule>
  </conditionalFormatting>
  <conditionalFormatting sqref="U1248">
    <cfRule type="containsBlanks" dxfId="157" priority="142" stopIfTrue="1">
      <formula>LEN(TRIM(U1248))=0</formula>
    </cfRule>
  </conditionalFormatting>
  <conditionalFormatting sqref="S1269">
    <cfRule type="containsBlanks" dxfId="156" priority="141" stopIfTrue="1">
      <formula>LEN(TRIM(S1269))=0</formula>
    </cfRule>
  </conditionalFormatting>
  <conditionalFormatting sqref="V786 V790">
    <cfRule type="containsBlanks" dxfId="155" priority="102" stopIfTrue="1">
      <formula>LEN(TRIM(V786))=0</formula>
    </cfRule>
  </conditionalFormatting>
  <conditionalFormatting sqref="B792">
    <cfRule type="containsBlanks" dxfId="154" priority="101" stopIfTrue="1">
      <formula>LEN(TRIM(B792))=0</formula>
    </cfRule>
  </conditionalFormatting>
  <conditionalFormatting sqref="B793">
    <cfRule type="containsBlanks" dxfId="153" priority="100" stopIfTrue="1">
      <formula>LEN(TRIM(B793))=0</formula>
    </cfRule>
  </conditionalFormatting>
  <conditionalFormatting sqref="M786 O786">
    <cfRule type="containsBlanks" dxfId="152" priority="99" stopIfTrue="1">
      <formula>LEN(TRIM(M786))=0</formula>
    </cfRule>
  </conditionalFormatting>
  <conditionalFormatting sqref="N786">
    <cfRule type="containsBlanks" dxfId="151" priority="98" stopIfTrue="1">
      <formula>LEN(TRIM(N786))=0</formula>
    </cfRule>
  </conditionalFormatting>
  <conditionalFormatting sqref="V860 V864">
    <cfRule type="containsBlanks" dxfId="150" priority="97" stopIfTrue="1">
      <formula>LEN(TRIM(V860))=0</formula>
    </cfRule>
  </conditionalFormatting>
  <conditionalFormatting sqref="M1155 O1155">
    <cfRule type="containsBlanks" dxfId="149" priority="95" stopIfTrue="1">
      <formula>LEN(TRIM(M1155))=0</formula>
    </cfRule>
  </conditionalFormatting>
  <conditionalFormatting sqref="N1155">
    <cfRule type="containsBlanks" dxfId="148" priority="94" stopIfTrue="1">
      <formula>LEN(TRIM(N1155))=0</formula>
    </cfRule>
  </conditionalFormatting>
  <conditionalFormatting sqref="R976:R977">
    <cfRule type="containsBlanks" dxfId="147" priority="93" stopIfTrue="1">
      <formula>LEN(TRIM(R976))=0</formula>
    </cfRule>
  </conditionalFormatting>
  <conditionalFormatting sqref="S976:S980">
    <cfRule type="cellIs" dxfId="146" priority="91" operator="notEqual">
      <formula>$N$340</formula>
    </cfRule>
    <cfRule type="cellIs" dxfId="145" priority="92" operator="equal">
      <formula>$N$340</formula>
    </cfRule>
  </conditionalFormatting>
  <conditionalFormatting sqref="T976:T980">
    <cfRule type="cellIs" dxfId="144" priority="89" operator="notEqual">
      <formula>$O$340</formula>
    </cfRule>
    <cfRule type="cellIs" dxfId="143" priority="90" operator="equal">
      <formula>$O$340</formula>
    </cfRule>
  </conditionalFormatting>
  <conditionalFormatting sqref="W35">
    <cfRule type="cellIs" dxfId="142" priority="88" stopIfTrue="1" operator="equal">
      <formula>0</formula>
    </cfRule>
  </conditionalFormatting>
  <conditionalFormatting sqref="W60">
    <cfRule type="cellIs" dxfId="141" priority="87" stopIfTrue="1" operator="equal">
      <formula>0</formula>
    </cfRule>
  </conditionalFormatting>
  <conditionalFormatting sqref="W119">
    <cfRule type="cellIs" dxfId="140" priority="86" stopIfTrue="1" operator="equal">
      <formula>0</formula>
    </cfRule>
  </conditionalFormatting>
  <conditionalFormatting sqref="W139">
    <cfRule type="cellIs" dxfId="139" priority="85" stopIfTrue="1" operator="equal">
      <formula>0</formula>
    </cfRule>
  </conditionalFormatting>
  <conditionalFormatting sqref="W144">
    <cfRule type="cellIs" dxfId="138" priority="84" stopIfTrue="1" operator="equal">
      <formula>0</formula>
    </cfRule>
  </conditionalFormatting>
  <conditionalFormatting sqref="W213">
    <cfRule type="cellIs" dxfId="137" priority="83" stopIfTrue="1" operator="equal">
      <formula>0</formula>
    </cfRule>
  </conditionalFormatting>
  <conditionalFormatting sqref="W218">
    <cfRule type="cellIs" dxfId="136" priority="82" stopIfTrue="1" operator="equal">
      <formula>0</formula>
    </cfRule>
  </conditionalFormatting>
  <conditionalFormatting sqref="W287">
    <cfRule type="cellIs" dxfId="135" priority="81" stopIfTrue="1" operator="equal">
      <formula>0</formula>
    </cfRule>
  </conditionalFormatting>
  <conditionalFormatting sqref="W292">
    <cfRule type="cellIs" dxfId="134" priority="80" stopIfTrue="1" operator="equal">
      <formula>0</formula>
    </cfRule>
  </conditionalFormatting>
  <conditionalFormatting sqref="W405">
    <cfRule type="cellIs" dxfId="133" priority="79" stopIfTrue="1" operator="equal">
      <formula>0</formula>
    </cfRule>
  </conditionalFormatting>
  <conditionalFormatting sqref="W410">
    <cfRule type="cellIs" dxfId="132" priority="78" stopIfTrue="1" operator="equal">
      <formula>0</formula>
    </cfRule>
  </conditionalFormatting>
  <conditionalFormatting sqref="W508">
    <cfRule type="cellIs" dxfId="131" priority="75" stopIfTrue="1" operator="equal">
      <formula>0</formula>
    </cfRule>
  </conditionalFormatting>
  <conditionalFormatting sqref="W513">
    <cfRule type="cellIs" dxfId="130" priority="74" stopIfTrue="1" operator="equal">
      <formula>0</formula>
    </cfRule>
  </conditionalFormatting>
  <conditionalFormatting sqref="W582">
    <cfRule type="cellIs" dxfId="129" priority="73" stopIfTrue="1" operator="equal">
      <formula>0</formula>
    </cfRule>
  </conditionalFormatting>
  <conditionalFormatting sqref="W587">
    <cfRule type="cellIs" dxfId="128" priority="72" stopIfTrue="1" operator="equal">
      <formula>0</formula>
    </cfRule>
  </conditionalFormatting>
  <conditionalFormatting sqref="W628">
    <cfRule type="cellIs" dxfId="127" priority="71" stopIfTrue="1" operator="equal">
      <formula>0</formula>
    </cfRule>
  </conditionalFormatting>
  <conditionalFormatting sqref="W633">
    <cfRule type="cellIs" dxfId="126" priority="70" stopIfTrue="1" operator="equal">
      <formula>0</formula>
    </cfRule>
  </conditionalFormatting>
  <conditionalFormatting sqref="W661">
    <cfRule type="cellIs" dxfId="125" priority="69" stopIfTrue="1" operator="equal">
      <formula>0</formula>
    </cfRule>
  </conditionalFormatting>
  <conditionalFormatting sqref="W750">
    <cfRule type="cellIs" dxfId="124" priority="68" stopIfTrue="1" operator="equal">
      <formula>0</formula>
    </cfRule>
  </conditionalFormatting>
  <conditionalFormatting sqref="W755">
    <cfRule type="cellIs" dxfId="123" priority="67" stopIfTrue="1" operator="equal">
      <formula>0</formula>
    </cfRule>
  </conditionalFormatting>
  <conditionalFormatting sqref="W775">
    <cfRule type="cellIs" dxfId="122" priority="66" stopIfTrue="1" operator="equal">
      <formula>0</formula>
    </cfRule>
  </conditionalFormatting>
  <conditionalFormatting sqref="W780">
    <cfRule type="cellIs" dxfId="121" priority="65" stopIfTrue="1" operator="equal">
      <formula>0</formula>
    </cfRule>
  </conditionalFormatting>
  <conditionalFormatting sqref="W849">
    <cfRule type="cellIs" dxfId="120" priority="64" stopIfTrue="1" operator="equal">
      <formula>0</formula>
    </cfRule>
  </conditionalFormatting>
  <conditionalFormatting sqref="W854">
    <cfRule type="cellIs" dxfId="119" priority="63" stopIfTrue="1" operator="equal">
      <formula>0</formula>
    </cfRule>
  </conditionalFormatting>
  <conditionalFormatting sqref="W923">
    <cfRule type="cellIs" dxfId="118" priority="62" stopIfTrue="1" operator="equal">
      <formula>0</formula>
    </cfRule>
  </conditionalFormatting>
  <conditionalFormatting sqref="W928">
    <cfRule type="cellIs" dxfId="117" priority="61" stopIfTrue="1" operator="equal">
      <formula>0</formula>
    </cfRule>
  </conditionalFormatting>
  <conditionalFormatting sqref="W1041">
    <cfRule type="cellIs" dxfId="116" priority="60" stopIfTrue="1" operator="equal">
      <formula>0</formula>
    </cfRule>
  </conditionalFormatting>
  <conditionalFormatting sqref="W1046">
    <cfRule type="cellIs" dxfId="115" priority="59" stopIfTrue="1" operator="equal">
      <formula>0</formula>
    </cfRule>
  </conditionalFormatting>
  <conditionalFormatting sqref="W1144">
    <cfRule type="cellIs" dxfId="114" priority="56" stopIfTrue="1" operator="equal">
      <formula>0</formula>
    </cfRule>
  </conditionalFormatting>
  <conditionalFormatting sqref="W1149">
    <cfRule type="cellIs" dxfId="113" priority="55" stopIfTrue="1" operator="equal">
      <formula>0</formula>
    </cfRule>
  </conditionalFormatting>
  <conditionalFormatting sqref="W1218">
    <cfRule type="cellIs" dxfId="112" priority="54" stopIfTrue="1" operator="equal">
      <formula>0</formula>
    </cfRule>
  </conditionalFormatting>
  <conditionalFormatting sqref="W1223">
    <cfRule type="cellIs" dxfId="111" priority="53" stopIfTrue="1" operator="equal">
      <formula>0</formula>
    </cfRule>
  </conditionalFormatting>
  <conditionalFormatting sqref="W1264">
    <cfRule type="cellIs" dxfId="110" priority="52" stopIfTrue="1" operator="equal">
      <formula>0</formula>
    </cfRule>
  </conditionalFormatting>
  <conditionalFormatting sqref="W1269">
    <cfRule type="cellIs" dxfId="109" priority="51" stopIfTrue="1" operator="equal">
      <formula>0</formula>
    </cfRule>
  </conditionalFormatting>
  <conditionalFormatting sqref="W666">
    <cfRule type="cellIs" dxfId="108" priority="50" stopIfTrue="1" operator="equal">
      <formula>0</formula>
    </cfRule>
  </conditionalFormatting>
  <conditionalFormatting sqref="W671">
    <cfRule type="cellIs" dxfId="107" priority="49" stopIfTrue="1" operator="equal">
      <formula>0</formula>
    </cfRule>
  </conditionalFormatting>
  <conditionalFormatting sqref="W696">
    <cfRule type="cellIs" dxfId="106" priority="48" stopIfTrue="1" operator="equal">
      <formula>0</formula>
    </cfRule>
  </conditionalFormatting>
  <conditionalFormatting sqref="W420 W424 W416">
    <cfRule type="cellIs" dxfId="105" priority="47" stopIfTrue="1" operator="equal">
      <formula>0</formula>
    </cfRule>
  </conditionalFormatting>
  <conditionalFormatting sqref="V416 V420 V424">
    <cfRule type="cellIs" dxfId="104" priority="46" stopIfTrue="1" operator="equal">
      <formula>"ESP. ERRADA"</formula>
    </cfRule>
  </conditionalFormatting>
  <conditionalFormatting sqref="O422">
    <cfRule type="containsBlanks" dxfId="103" priority="45" stopIfTrue="1">
      <formula>LEN(TRIM(O422))=0</formula>
    </cfRule>
  </conditionalFormatting>
  <conditionalFormatting sqref="X416">
    <cfRule type="containsBlanks" dxfId="102" priority="44" stopIfTrue="1">
      <formula>LEN(TRIM(X416))=0</formula>
    </cfRule>
  </conditionalFormatting>
  <conditionalFormatting sqref="X483:X485">
    <cfRule type="containsBlanks" dxfId="101" priority="42" stopIfTrue="1">
      <formula>LEN(TRIM(X483))=0</formula>
    </cfRule>
  </conditionalFormatting>
  <conditionalFormatting sqref="U483">
    <cfRule type="containsBlanks" dxfId="100" priority="41" stopIfTrue="1">
      <formula>LEN(TRIM(U483))=0</formula>
    </cfRule>
  </conditionalFormatting>
  <conditionalFormatting sqref="V484:V485 V482 V487:V490">
    <cfRule type="cellIs" dxfId="99" priority="43" stopIfTrue="1" operator="equal">
      <formula>"ESP. ERRADA"</formula>
    </cfRule>
  </conditionalFormatting>
  <conditionalFormatting sqref="X488">
    <cfRule type="containsBlanks" dxfId="98" priority="40" stopIfTrue="1">
      <formula>LEN(TRIM(X488))=0</formula>
    </cfRule>
  </conditionalFormatting>
  <conditionalFormatting sqref="O423">
    <cfRule type="containsBlanks" dxfId="97" priority="39" stopIfTrue="1">
      <formula>LEN(TRIM(O423))=0</formula>
    </cfRule>
  </conditionalFormatting>
  <conditionalFormatting sqref="O424">
    <cfRule type="containsBlanks" dxfId="96" priority="38" stopIfTrue="1">
      <formula>LEN(TRIM(O424))=0</formula>
    </cfRule>
  </conditionalFormatting>
  <conditionalFormatting sqref="S488">
    <cfRule type="containsBlanks" dxfId="95" priority="37" stopIfTrue="1">
      <formula>LEN(TRIM(S488))=0</formula>
    </cfRule>
  </conditionalFormatting>
  <conditionalFormatting sqref="P422:P423 Q424">
    <cfRule type="uniqueValues" dxfId="94" priority="35"/>
    <cfRule type="duplicateValues" dxfId="93" priority="36"/>
  </conditionalFormatting>
  <conditionalFormatting sqref="Q422:Q423 P424">
    <cfRule type="uniqueValues" dxfId="92" priority="33"/>
    <cfRule type="duplicateValues" dxfId="91" priority="34"/>
  </conditionalFormatting>
  <conditionalFormatting sqref="W483">
    <cfRule type="cellIs" dxfId="90" priority="32" stopIfTrue="1" operator="equal">
      <formula>0</formula>
    </cfRule>
  </conditionalFormatting>
  <conditionalFormatting sqref="W488">
    <cfRule type="cellIs" dxfId="89" priority="31" stopIfTrue="1" operator="equal">
      <formula>0</formula>
    </cfRule>
  </conditionalFormatting>
  <conditionalFormatting sqref="S430:U479">
    <cfRule type="cellIs" dxfId="88" priority="30" operator="lessThan">
      <formula>0</formula>
    </cfRule>
  </conditionalFormatting>
  <conditionalFormatting sqref="O430:O479">
    <cfRule type="containsBlanks" dxfId="87" priority="29">
      <formula>LEN(TRIM(O430))=0</formula>
    </cfRule>
  </conditionalFormatting>
  <conditionalFormatting sqref="N416">
    <cfRule type="containsBlanks" dxfId="86" priority="28" stopIfTrue="1">
      <formula>LEN(TRIM(N416))=0</formula>
    </cfRule>
  </conditionalFormatting>
  <conditionalFormatting sqref="P416">
    <cfRule type="containsBlanks" dxfId="85" priority="27" stopIfTrue="1">
      <formula>LEN(TRIM(P416))=0</formula>
    </cfRule>
  </conditionalFormatting>
  <conditionalFormatting sqref="O416">
    <cfRule type="containsBlanks" dxfId="84" priority="26" stopIfTrue="1">
      <formula>LEN(TRIM(O416))=0</formula>
    </cfRule>
  </conditionalFormatting>
  <conditionalFormatting sqref="Q416">
    <cfRule type="containsBlanks" dxfId="83" priority="25" stopIfTrue="1">
      <formula>LEN(TRIM(Q416))=0</formula>
    </cfRule>
  </conditionalFormatting>
  <conditionalFormatting sqref="V1155">
    <cfRule type="containsBlanks" dxfId="82" priority="24" stopIfTrue="1">
      <formula>LEN(TRIM(V1155))=0</formula>
    </cfRule>
  </conditionalFormatting>
  <conditionalFormatting sqref="W1056 W1060 W1052">
    <cfRule type="cellIs" dxfId="81" priority="23" stopIfTrue="1" operator="equal">
      <formula>0</formula>
    </cfRule>
  </conditionalFormatting>
  <conditionalFormatting sqref="V1052 V1056 V1060">
    <cfRule type="cellIs" dxfId="80" priority="22" stopIfTrue="1" operator="equal">
      <formula>"ESP. ERRADA"</formula>
    </cfRule>
  </conditionalFormatting>
  <conditionalFormatting sqref="O1058">
    <cfRule type="containsBlanks" dxfId="79" priority="21" stopIfTrue="1">
      <formula>LEN(TRIM(O1058))=0</formula>
    </cfRule>
  </conditionalFormatting>
  <conditionalFormatting sqref="X1052">
    <cfRule type="containsBlanks" dxfId="78" priority="20" stopIfTrue="1">
      <formula>LEN(TRIM(X1052))=0</formula>
    </cfRule>
  </conditionalFormatting>
  <conditionalFormatting sqref="X1119:X1121">
    <cfRule type="containsBlanks" dxfId="77" priority="18" stopIfTrue="1">
      <formula>LEN(TRIM(X1119))=0</formula>
    </cfRule>
  </conditionalFormatting>
  <conditionalFormatting sqref="U1119">
    <cfRule type="containsBlanks" dxfId="76" priority="17" stopIfTrue="1">
      <formula>LEN(TRIM(U1119))=0</formula>
    </cfRule>
  </conditionalFormatting>
  <conditionalFormatting sqref="V1120:V1121 V1118 V1123:V1126">
    <cfRule type="cellIs" dxfId="75" priority="19" stopIfTrue="1" operator="equal">
      <formula>"ESP. ERRADA"</formula>
    </cfRule>
  </conditionalFormatting>
  <conditionalFormatting sqref="X1124">
    <cfRule type="containsBlanks" dxfId="74" priority="16" stopIfTrue="1">
      <formula>LEN(TRIM(X1124))=0</formula>
    </cfRule>
  </conditionalFormatting>
  <conditionalFormatting sqref="O1059">
    <cfRule type="containsBlanks" dxfId="73" priority="15" stopIfTrue="1">
      <formula>LEN(TRIM(O1059))=0</formula>
    </cfRule>
  </conditionalFormatting>
  <conditionalFormatting sqref="O1060">
    <cfRule type="containsBlanks" dxfId="72" priority="14" stopIfTrue="1">
      <formula>LEN(TRIM(O1060))=0</formula>
    </cfRule>
  </conditionalFormatting>
  <conditionalFormatting sqref="S1124">
    <cfRule type="containsBlanks" dxfId="71" priority="13" stopIfTrue="1">
      <formula>LEN(TRIM(S1124))=0</formula>
    </cfRule>
  </conditionalFormatting>
  <conditionalFormatting sqref="P1058:P1059 Q1060">
    <cfRule type="uniqueValues" dxfId="70" priority="11"/>
    <cfRule type="duplicateValues" dxfId="69" priority="12"/>
  </conditionalFormatting>
  <conditionalFormatting sqref="Q1058:Q1059 P1060">
    <cfRule type="uniqueValues" dxfId="68" priority="9"/>
    <cfRule type="duplicateValues" dxfId="67" priority="10"/>
  </conditionalFormatting>
  <conditionalFormatting sqref="W1119">
    <cfRule type="cellIs" dxfId="66" priority="8" stopIfTrue="1" operator="equal">
      <formula>0</formula>
    </cfRule>
  </conditionalFormatting>
  <conditionalFormatting sqref="W1124">
    <cfRule type="cellIs" dxfId="65" priority="7" stopIfTrue="1" operator="equal">
      <formula>0</formula>
    </cfRule>
  </conditionalFormatting>
  <conditionalFormatting sqref="S1066:U1115">
    <cfRule type="cellIs" dxfId="64" priority="6" operator="lessThan">
      <formula>0</formula>
    </cfRule>
  </conditionalFormatting>
  <conditionalFormatting sqref="O1066:O1115">
    <cfRule type="containsBlanks" dxfId="63" priority="5">
      <formula>LEN(TRIM(O1066))=0</formula>
    </cfRule>
  </conditionalFormatting>
  <conditionalFormatting sqref="N1052">
    <cfRule type="containsBlanks" dxfId="62" priority="4" stopIfTrue="1">
      <formula>LEN(TRIM(N1052))=0</formula>
    </cfRule>
  </conditionalFormatting>
  <conditionalFormatting sqref="P1052">
    <cfRule type="containsBlanks" dxfId="61" priority="3" stopIfTrue="1">
      <formula>LEN(TRIM(P1052))=0</formula>
    </cfRule>
  </conditionalFormatting>
  <conditionalFormatting sqref="O1052">
    <cfRule type="containsBlanks" dxfId="60" priority="2" stopIfTrue="1">
      <formula>LEN(TRIM(O1052))=0</formula>
    </cfRule>
  </conditionalFormatting>
  <conditionalFormatting sqref="Q1052">
    <cfRule type="containsBlanks" dxfId="59" priority="1" stopIfTrue="1">
      <formula>LEN(TRIM(Q1052))=0</formula>
    </cfRule>
  </conditionalFormatting>
  <dataValidations count="154">
    <dataValidation type="list" allowBlank="1" showInputMessage="1" showErrorMessage="1" sqref="M352 M988" xr:uid="{5429DD8A-42E6-4727-888C-EE9B1C330F26}">
      <formula1>R340:R344</formula1>
    </dataValidation>
    <dataValidation type="list" allowBlank="1" showInputMessage="1" showErrorMessage="1" sqref="O352 O988" xr:uid="{62D097BA-C68C-4931-AB6E-38F904490A72}">
      <formula1>M340:M344</formula1>
    </dataValidation>
    <dataValidation type="list" allowBlank="1" showInputMessage="1" showErrorMessage="1" sqref="Q352 Q988" xr:uid="{05F10698-2AE9-4D10-B55A-6314AFABD386}">
      <formula1>M340:M344</formula1>
    </dataValidation>
    <dataValidation type="whole" operator="equal" showDropDown="1" showInputMessage="1" showErrorMessage="1" error="Digitar na celula angulo a esquerda" sqref="M347 M983" xr:uid="{70E3BE9C-F86B-4B4A-BE85-5CF0B4E04079}">
      <formula1>C346</formula1>
    </dataValidation>
    <dataValidation type="list" allowBlank="1" showInputMessage="1" showErrorMessage="1" sqref="O353 O989" xr:uid="{3A253DB1-8D7B-4ED4-94B8-10B93BA02F83}">
      <formula1>M340:M344</formula1>
    </dataValidation>
    <dataValidation type="list" allowBlank="1" showInputMessage="1" showErrorMessage="1" sqref="M353 M989" xr:uid="{608EF3E8-E0C0-47A9-88CC-B1ABD6466263}">
      <formula1>R340:R344</formula1>
    </dataValidation>
    <dataValidation type="list" allowBlank="1" showInputMessage="1" showErrorMessage="1" sqref="M354 M990" xr:uid="{F8F61A26-3ACD-4BF4-AFB2-78E739863B23}">
      <formula1>R340:R344</formula1>
    </dataValidation>
    <dataValidation type="list" allowBlank="1" showInputMessage="1" showErrorMessage="1" sqref="M355 M991" xr:uid="{8822CED6-DE7D-4804-805E-5C12741AEA83}">
      <formula1>R340:R344</formula1>
    </dataValidation>
    <dataValidation type="list" allowBlank="1" showInputMessage="1" showErrorMessage="1" sqref="M356 M992" xr:uid="{4F60153B-FE55-4229-BDA3-0BCE03458962}">
      <formula1>R340:R344</formula1>
    </dataValidation>
    <dataValidation type="list" allowBlank="1" showInputMessage="1" showErrorMessage="1" sqref="M357 M993" xr:uid="{1A0EF5A5-0785-4BE2-9E1F-8BED83FD4404}">
      <formula1>R340:R344</formula1>
    </dataValidation>
    <dataValidation type="list" allowBlank="1" showInputMessage="1" showErrorMessage="1" sqref="M358 M994" xr:uid="{0531356C-E78A-4706-8FD2-CEF3F870BEA2}">
      <formula1>R340:R344</formula1>
    </dataValidation>
    <dataValidation type="list" allowBlank="1" showInputMessage="1" showErrorMessage="1" sqref="M359 M995" xr:uid="{08457C69-FCC4-4A5A-903D-1981F9128686}">
      <formula1>R340:R344</formula1>
    </dataValidation>
    <dataValidation type="list" allowBlank="1" showInputMessage="1" showErrorMessage="1" sqref="M360 M996" xr:uid="{9B5A319D-B920-4E3C-8D4A-6154CAE2C024}">
      <formula1>R340:R344</formula1>
    </dataValidation>
    <dataValidation type="list" allowBlank="1" showInputMessage="1" showErrorMessage="1" sqref="M361 M997" xr:uid="{1CE2DFA6-56BB-4C53-A391-97503A806EB2}">
      <formula1>R340:R344</formula1>
    </dataValidation>
    <dataValidation type="list" allowBlank="1" showInputMessage="1" showErrorMessage="1" sqref="M362 M998" xr:uid="{A811FEEC-099A-4D3A-A066-53DBC0A8C4DA}">
      <formula1>R340:R344</formula1>
    </dataValidation>
    <dataValidation type="list" allowBlank="1" showInputMessage="1" showErrorMessage="1" sqref="M363 M999" xr:uid="{3C9366EC-339C-46E9-B504-67BD5C27D317}">
      <formula1>R340:R344</formula1>
    </dataValidation>
    <dataValidation type="list" allowBlank="1" showInputMessage="1" showErrorMessage="1" sqref="M364 M1000" xr:uid="{CDE2960C-DB6F-43D5-997F-460142ECCB23}">
      <formula1>R340:R344</formula1>
    </dataValidation>
    <dataValidation type="list" allowBlank="1" showInputMessage="1" showErrorMessage="1" sqref="M365 M1001" xr:uid="{EFFAA230-2642-43EB-BA30-AC1003B5649F}">
      <formula1>R340:R344</formula1>
    </dataValidation>
    <dataValidation type="list" allowBlank="1" showInputMessage="1" showErrorMessage="1" sqref="M366 M1002" xr:uid="{980EF874-C6BF-48F0-ADED-C8B4AAB68A46}">
      <formula1>R340:R344</formula1>
    </dataValidation>
    <dataValidation type="list" allowBlank="1" showInputMessage="1" showErrorMessage="1" sqref="M367 M1003" xr:uid="{96FE0A24-A5EC-4060-9CD3-2C300677352C}">
      <formula1>R340:R344</formula1>
    </dataValidation>
    <dataValidation type="list" allowBlank="1" showInputMessage="1" showErrorMessage="1" sqref="M368 M1004" xr:uid="{DEAA74D0-CE75-4739-961C-83A7C3EA9020}">
      <formula1>R340:R344</formula1>
    </dataValidation>
    <dataValidation type="list" allowBlank="1" showInputMessage="1" showErrorMessage="1" sqref="M369 M1005" xr:uid="{D25DEE9E-898E-451B-AAD1-7ADA6B87B91A}">
      <formula1>R340:R344</formula1>
    </dataValidation>
    <dataValidation type="list" allowBlank="1" showInputMessage="1" showErrorMessage="1" sqref="M370 M1006" xr:uid="{01C42920-7A90-4D66-BB34-7E8249EB1D0B}">
      <formula1>R340:R344</formula1>
    </dataValidation>
    <dataValidation type="list" allowBlank="1" showInputMessage="1" showErrorMessage="1" sqref="M371 M1007" xr:uid="{6526199F-AAAE-4E23-8180-551A0F8E9815}">
      <formula1>R340:R344</formula1>
    </dataValidation>
    <dataValidation type="list" allowBlank="1" showInputMessage="1" showErrorMessage="1" sqref="M372 M1008" xr:uid="{22E5F23E-71DC-482C-B6B4-C48BE103C189}">
      <formula1>R340:R344</formula1>
    </dataValidation>
    <dataValidation type="list" allowBlank="1" showInputMessage="1" showErrorMessage="1" sqref="M373 M1009" xr:uid="{A3956CD4-DD50-458A-A832-AF3818132B8D}">
      <formula1>R340:R344</formula1>
    </dataValidation>
    <dataValidation type="list" allowBlank="1" showInputMessage="1" showErrorMessage="1" sqref="M374 M1010" xr:uid="{16E4BB8D-DB88-40E7-9082-B861F6A8A282}">
      <formula1>R340:R344</formula1>
    </dataValidation>
    <dataValidation type="list" allowBlank="1" showInputMessage="1" showErrorMessage="1" sqref="M375 M1011" xr:uid="{5AE4F2B3-086E-4939-82F4-3C77591E60F4}">
      <formula1>R340:R344</formula1>
    </dataValidation>
    <dataValidation type="list" allowBlank="1" showInputMessage="1" showErrorMessage="1" sqref="M376 M1012" xr:uid="{468F9838-6AB9-4FB0-89F8-2481A3DDDF24}">
      <formula1>R340:R344</formula1>
    </dataValidation>
    <dataValidation type="list" allowBlank="1" showInputMessage="1" showErrorMessage="1" sqref="M377 M1013" xr:uid="{C0BFAC51-35FA-4FA6-94E2-ED1B5759D717}">
      <formula1>R340:R344</formula1>
    </dataValidation>
    <dataValidation type="list" allowBlank="1" showInputMessage="1" showErrorMessage="1" sqref="M378 M1014" xr:uid="{E94FD116-C3BD-4F11-8D93-DEA3AA73AD58}">
      <formula1>R340:R344</formula1>
    </dataValidation>
    <dataValidation type="list" allowBlank="1" showInputMessage="1" showErrorMessage="1" sqref="M379 M1015" xr:uid="{BD3D1418-7E2F-4B52-8190-1450EA86159A}">
      <formula1>R340:R344</formula1>
    </dataValidation>
    <dataValidation type="list" allowBlank="1" showInputMessage="1" showErrorMessage="1" sqref="M380 M1016" xr:uid="{3DFF5D75-8980-442F-B5DA-837D87280659}">
      <formula1>R340:R344</formula1>
    </dataValidation>
    <dataValidation type="list" allowBlank="1" showInputMessage="1" showErrorMessage="1" sqref="M381 M1017" xr:uid="{876DC2CD-5427-4E76-9EF7-D5F539D654A1}">
      <formula1>R340:R344</formula1>
    </dataValidation>
    <dataValidation type="list" allowBlank="1" showInputMessage="1" showErrorMessage="1" sqref="M382 M1018" xr:uid="{0203CB77-578B-4F6C-998B-F9CCE8B819D2}">
      <formula1>R340:R344</formula1>
    </dataValidation>
    <dataValidation type="list" allowBlank="1" showInputMessage="1" showErrorMessage="1" sqref="M383 M1019" xr:uid="{67C38A03-D0AB-4897-8E33-D6BED5E34B77}">
      <formula1>R340:R344</formula1>
    </dataValidation>
    <dataValidation type="list" allowBlank="1" showInputMessage="1" showErrorMessage="1" sqref="M384 M1020" xr:uid="{0F4CE7EB-F0BC-4F05-B922-A123B2506D50}">
      <formula1>R340:R344</formula1>
    </dataValidation>
    <dataValidation type="list" allowBlank="1" showInputMessage="1" showErrorMessage="1" sqref="M385 M1021" xr:uid="{C95F513F-A851-448D-B6BA-FF0A505585DD}">
      <formula1>R340:R344</formula1>
    </dataValidation>
    <dataValidation type="list" allowBlank="1" showInputMessage="1" showErrorMessage="1" sqref="M386 M1022" xr:uid="{9C6B253B-5DB7-476E-BADF-B1B81558D5B2}">
      <formula1>R340:R344</formula1>
    </dataValidation>
    <dataValidation type="list" allowBlank="1" showInputMessage="1" showErrorMessage="1" sqref="M387 M1023" xr:uid="{7C4F0F0A-26B3-4DB0-B169-A3D1C831BC2D}">
      <formula1>R340:R344</formula1>
    </dataValidation>
    <dataValidation type="list" allowBlank="1" showInputMessage="1" showErrorMessage="1" sqref="M388 M1024" xr:uid="{6C83C88C-8241-4F32-BC62-FB69FA0F33DE}">
      <formula1>R340:R344</formula1>
    </dataValidation>
    <dataValidation type="list" allowBlank="1" showInputMessage="1" showErrorMessage="1" sqref="M389 M1025" xr:uid="{1A6771B4-4CD9-416F-808A-3FD5D7D87CC8}">
      <formula1>R340:R344</formula1>
    </dataValidation>
    <dataValidation type="list" allowBlank="1" showInputMessage="1" showErrorMessage="1" sqref="M390 M1026" xr:uid="{479654CB-6DA6-473B-A824-A979272F8366}">
      <formula1>R340:R344</formula1>
    </dataValidation>
    <dataValidation type="list" allowBlank="1" showInputMessage="1" showErrorMessage="1" sqref="M391 M1027" xr:uid="{90ED6909-692C-45A6-B543-AE2C472650AC}">
      <formula1>R340:R344</formula1>
    </dataValidation>
    <dataValidation type="list" allowBlank="1" showInputMessage="1" showErrorMessage="1" sqref="M392 M1028" xr:uid="{AE74F27B-0EA4-46F5-9530-343B8C011818}">
      <formula1>R340:R344</formula1>
    </dataValidation>
    <dataValidation type="list" allowBlank="1" showInputMessage="1" showErrorMessage="1" sqref="M393 M1029" xr:uid="{F695DD60-709F-4E8E-BD77-63C63A3DE9B6}">
      <formula1>R340:R344</formula1>
    </dataValidation>
    <dataValidation type="list" allowBlank="1" showInputMessage="1" showErrorMessage="1" sqref="M394:M401 M1030:M1037" xr:uid="{ACF9980A-9BFB-48E7-BEDC-905F40B5332B}">
      <formula1>R340:R344</formula1>
    </dataValidation>
    <dataValidation type="list" allowBlank="1" showInputMessage="1" showErrorMessage="1" sqref="M395 M1031" xr:uid="{F34BDE5F-D463-4D2E-BC4A-0B97DA5A7C74}">
      <formula1>R340:R344</formula1>
    </dataValidation>
    <dataValidation type="list" allowBlank="1" showInputMessage="1" showErrorMessage="1" sqref="M396 M1032" xr:uid="{0EA5C8AA-4660-4FB9-BDF4-2F735D8F650B}">
      <formula1>R340:R344</formula1>
    </dataValidation>
    <dataValidation type="list" allowBlank="1" showInputMessage="1" showErrorMessage="1" sqref="M397 M1033" xr:uid="{E652E1D5-0FB2-4E00-807D-DA85552BCBA0}">
      <formula1>R340:R344</formula1>
    </dataValidation>
    <dataValidation type="list" allowBlank="1" showInputMessage="1" showErrorMessage="1" sqref="M398 M1034" xr:uid="{580E89C2-6137-4FA2-99D7-04F085AE5028}">
      <formula1>R340:R344</formula1>
    </dataValidation>
    <dataValidation type="list" allowBlank="1" showInputMessage="1" showErrorMessage="1" sqref="M399 M1035" xr:uid="{75D8D872-4745-478C-9DE1-8AA9A76A0A44}">
      <formula1>R340:R344</formula1>
    </dataValidation>
    <dataValidation type="list" allowBlank="1" showInputMessage="1" showErrorMessage="1" sqref="M400 M1036" xr:uid="{8E8038B7-910E-4838-93A6-BB6A73B74085}">
      <formula1>R340:R344</formula1>
    </dataValidation>
    <dataValidation type="list" allowBlank="1" showInputMessage="1" showErrorMessage="1" sqref="M401 M1037" xr:uid="{6F73D238-0812-4D51-A6AA-D5F5532F2424}">
      <formula1>R340:R344</formula1>
    </dataValidation>
    <dataValidation type="list" allowBlank="1" showInputMessage="1" showErrorMessage="1" sqref="O354 O990" xr:uid="{8F6F362D-73A2-481A-AF37-531EDFAD87EC}">
      <formula1>M340:M344</formula1>
    </dataValidation>
    <dataValidation type="list" allowBlank="1" showInputMessage="1" showErrorMessage="1" sqref="O355 O991" xr:uid="{A23341FC-68E7-482F-9E4A-E3CB516C1250}">
      <formula1>M340:M344</formula1>
    </dataValidation>
    <dataValidation type="list" allowBlank="1" showInputMessage="1" showErrorMessage="1" sqref="O356 O992" xr:uid="{40F2BF35-B543-4583-B3D3-C3845A6CD480}">
      <formula1>M340:M344</formula1>
    </dataValidation>
    <dataValidation type="list" allowBlank="1" showInputMessage="1" showErrorMessage="1" sqref="O357 O993" xr:uid="{BB052901-F9D7-497B-B5A7-982DF6995BC5}">
      <formula1>M340:M344</formula1>
    </dataValidation>
    <dataValidation type="list" allowBlank="1" showInputMessage="1" showErrorMessage="1" sqref="O358 O994" xr:uid="{5E23BFA5-7BD2-488E-90FC-44C86C87EB55}">
      <formula1>M340:M344</formula1>
    </dataValidation>
    <dataValidation type="list" allowBlank="1" showInputMessage="1" showErrorMessage="1" sqref="O359 O995" xr:uid="{2E32C322-F6E1-44CF-9D3B-1EEBA1E8E784}">
      <formula1>M340:M344</formula1>
    </dataValidation>
    <dataValidation type="list" allowBlank="1" showInputMessage="1" showErrorMessage="1" sqref="O360 O996" xr:uid="{0BFEABE0-6034-4492-A5DC-91C3E20CEA40}">
      <formula1>M340:M344</formula1>
    </dataValidation>
    <dataValidation type="list" allowBlank="1" showInputMessage="1" showErrorMessage="1" sqref="O361 O997" xr:uid="{AAADD743-2B97-4C46-96D1-5429E23B1A55}">
      <formula1>M340:M344</formula1>
    </dataValidation>
    <dataValidation type="list" allowBlank="1" showInputMessage="1" showErrorMessage="1" sqref="O362 O998" xr:uid="{7C7D0011-7190-4C8A-AA1B-46AC55957709}">
      <formula1>M340:M344</formula1>
    </dataValidation>
    <dataValidation type="list" allowBlank="1" showInputMessage="1" showErrorMessage="1" sqref="O363 O999" xr:uid="{8313B5AC-2974-433F-8D19-D54137F1AF60}">
      <formula1>M340:M344</formula1>
    </dataValidation>
    <dataValidation type="list" allowBlank="1" showInputMessage="1" showErrorMessage="1" sqref="O364 O1000" xr:uid="{72468F20-61F0-41FC-A15B-5097BD69271D}">
      <formula1>M340:M344</formula1>
    </dataValidation>
    <dataValidation type="list" allowBlank="1" showInputMessage="1" showErrorMessage="1" sqref="O365 O1001" xr:uid="{AE7CE431-5ECE-4DFC-BBB2-395795FC16E2}">
      <formula1>M340:M344</formula1>
    </dataValidation>
    <dataValidation type="list" allowBlank="1" showInputMessage="1" showErrorMessage="1" sqref="O366 O1002" xr:uid="{735CF7A6-CB19-4CF4-A5DA-11E0239227EB}">
      <formula1>M340:M344</formula1>
    </dataValidation>
    <dataValidation type="list" allowBlank="1" showInputMessage="1" showErrorMessage="1" sqref="O367 O1003" xr:uid="{9B508997-0C44-4406-83EF-C5E0EBA16F3C}">
      <formula1>M340:M344</formula1>
    </dataValidation>
    <dataValidation type="list" allowBlank="1" showInputMessage="1" showErrorMessage="1" sqref="O368 O1004" xr:uid="{B2DE407A-E05A-4962-A452-B7AEF3C01585}">
      <formula1>M340:M344</formula1>
    </dataValidation>
    <dataValidation type="list" allowBlank="1" showInputMessage="1" showErrorMessage="1" sqref="O369 O1005" xr:uid="{8D7CCAAD-6AFC-4120-8F82-63F2F2229CCC}">
      <formula1>M340:M344</formula1>
    </dataValidation>
    <dataValidation type="list" allowBlank="1" showInputMessage="1" showErrorMessage="1" sqref="O370 O1006" xr:uid="{FC85BE5E-41EF-43A8-804C-E56C1C720998}">
      <formula1>M340:M344</formula1>
    </dataValidation>
    <dataValidation type="list" allowBlank="1" showInputMessage="1" showErrorMessage="1" sqref="O371 O1007" xr:uid="{2C656E3B-78E6-4421-9CAB-B0D9E641C341}">
      <formula1>M340:M344</formula1>
    </dataValidation>
    <dataValidation type="list" allowBlank="1" showInputMessage="1" showErrorMessage="1" sqref="O372 O1008" xr:uid="{C8C94267-DABB-4FB1-8DC0-6BE6C3719BA4}">
      <formula1>M340:M344</formula1>
    </dataValidation>
    <dataValidation type="list" allowBlank="1" showInputMessage="1" showErrorMessage="1" sqref="O373 O1009" xr:uid="{838CB2B5-653C-4096-90E9-558155D8C9F2}">
      <formula1>M340:M344</formula1>
    </dataValidation>
    <dataValidation type="list" allowBlank="1" showInputMessage="1" showErrorMessage="1" sqref="O374 O1010" xr:uid="{D2B606B3-2E62-4F3B-BF34-659FC1A3FE6E}">
      <formula1>M340:M344</formula1>
    </dataValidation>
    <dataValidation type="list" allowBlank="1" showInputMessage="1" showErrorMessage="1" sqref="O375 O1011" xr:uid="{8FCECBF1-5E7E-4199-BACA-3E0C71381004}">
      <formula1>M340:M344</formula1>
    </dataValidation>
    <dataValidation type="list" allowBlank="1" showInputMessage="1" showErrorMessage="1" sqref="O376 O1012" xr:uid="{822F0FB2-58EF-4277-A6B2-58EC877E9D68}">
      <formula1>M340:M344</formula1>
    </dataValidation>
    <dataValidation type="list" allowBlank="1" showInputMessage="1" showErrorMessage="1" sqref="O377 O1013" xr:uid="{75C7EE7E-FBA8-4B98-A647-6CB96EFF81F0}">
      <formula1>M340:M344</formula1>
    </dataValidation>
    <dataValidation type="list" allowBlank="1" showInputMessage="1" showErrorMessage="1" sqref="O378 O1014" xr:uid="{6555922D-9DA8-486C-8DF4-0A129DC77CDB}">
      <formula1>M340:M344</formula1>
    </dataValidation>
    <dataValidation type="list" allowBlank="1" showInputMessage="1" showErrorMessage="1" sqref="O379 O1015" xr:uid="{88308297-519B-411E-8457-D64F65413AD0}">
      <formula1>M340:M344</formula1>
    </dataValidation>
    <dataValidation type="list" allowBlank="1" showInputMessage="1" showErrorMessage="1" sqref="O380 O1016" xr:uid="{B7332E0F-0AF8-405F-B467-AE97E82A2408}">
      <formula1>M340:M344</formula1>
    </dataValidation>
    <dataValidation type="list" allowBlank="1" showInputMessage="1" showErrorMessage="1" sqref="O381 O1017" xr:uid="{2495844B-5739-4940-94EE-E0E225301DD8}">
      <formula1>M340:M344</formula1>
    </dataValidation>
    <dataValidation type="list" allowBlank="1" showInputMessage="1" showErrorMessage="1" sqref="O382 O1018" xr:uid="{782C1BB0-F3DF-4561-8442-3190987B7158}">
      <formula1>M340:M344</formula1>
    </dataValidation>
    <dataValidation type="list" allowBlank="1" showInputMessage="1" showErrorMessage="1" sqref="O383 O1019" xr:uid="{C168DD4A-7DF5-4A8E-985D-440912FBDED9}">
      <formula1>M340:M344</formula1>
    </dataValidation>
    <dataValidation type="list" allowBlank="1" showInputMessage="1" showErrorMessage="1" sqref="O384 O1020" xr:uid="{4AEB3D85-86F7-4911-BF16-4640B6FAF9D3}">
      <formula1>M340:M344</formula1>
    </dataValidation>
    <dataValidation type="list" allowBlank="1" showInputMessage="1" showErrorMessage="1" sqref="O385 O1021" xr:uid="{A0B16E41-A4D0-4F2F-B6B1-9EABC93A5BE5}">
      <formula1>M340:M344</formula1>
    </dataValidation>
    <dataValidation type="list" allowBlank="1" showInputMessage="1" showErrorMessage="1" sqref="O386 O1022" xr:uid="{B8DCC675-F944-416A-A8FE-94AAD01077D3}">
      <formula1>M340:M344</formula1>
    </dataValidation>
    <dataValidation type="list" allowBlank="1" showInputMessage="1" showErrorMessage="1" sqref="O387 O1023" xr:uid="{F980E800-89D2-4D63-B7A6-D01F154DE089}">
      <formula1>M340:M344</formula1>
    </dataValidation>
    <dataValidation type="list" allowBlank="1" showInputMessage="1" showErrorMessage="1" sqref="O388 O1024" xr:uid="{B92D32D6-13EE-4B1A-89A9-1628A0AFCEF5}">
      <formula1>M340:M344</formula1>
    </dataValidation>
    <dataValidation type="list" allowBlank="1" showInputMessage="1" showErrorMessage="1" sqref="O389 O1025" xr:uid="{65403985-5E69-4D93-AB53-395536C1B55B}">
      <formula1>M340:M344</formula1>
    </dataValidation>
    <dataValidation type="list" allowBlank="1" showInputMessage="1" showErrorMessage="1" sqref="O390 O1026" xr:uid="{E2732305-3C20-43C7-B081-2313A332D505}">
      <formula1>M340:M344</formula1>
    </dataValidation>
    <dataValidation type="list" allowBlank="1" showInputMessage="1" showErrorMessage="1" sqref="O391 O1027" xr:uid="{E2361A58-4F37-453A-B18F-94384B790527}">
      <formula1>M340:M344</formula1>
    </dataValidation>
    <dataValidation type="list" allowBlank="1" showInputMessage="1" showErrorMessage="1" sqref="O392 O1028" xr:uid="{0A69178C-7495-4913-856C-4A6892E54333}">
      <formula1>M340:M344</formula1>
    </dataValidation>
    <dataValidation type="list" allowBlank="1" showInputMessage="1" showErrorMessage="1" sqref="O393 O1029" xr:uid="{F285F519-F9C5-4FC0-AFBC-14D0D2B753E0}">
      <formula1>M340:M344</formula1>
    </dataValidation>
    <dataValidation type="list" allowBlank="1" showInputMessage="1" showErrorMessage="1" sqref="O394 O1030" xr:uid="{468CF5D3-4ADF-4281-91F2-04153B0A5086}">
      <formula1>M340:M344</formula1>
    </dataValidation>
    <dataValidation type="list" allowBlank="1" showInputMessage="1" showErrorMessage="1" sqref="O395 O1031" xr:uid="{9D756A6B-46DC-4B89-A344-30FAB85331B8}">
      <formula1>M340:M344</formula1>
    </dataValidation>
    <dataValidation type="list" allowBlank="1" showInputMessage="1" showErrorMessage="1" sqref="O396 O1032" xr:uid="{011F85F1-DFA3-4F3E-8834-2CAD4943BA16}">
      <formula1>M340:M344</formula1>
    </dataValidation>
    <dataValidation type="list" allowBlank="1" showInputMessage="1" showErrorMessage="1" sqref="O397 O1033" xr:uid="{0C097555-7E4C-4D58-AFF0-96BA8DAFF37C}">
      <formula1>M340:M344</formula1>
    </dataValidation>
    <dataValidation type="list" allowBlank="1" showInputMessage="1" showErrorMessage="1" sqref="O398 O1034" xr:uid="{CC189470-99B6-4CB2-90F0-927B9257B9F0}">
      <formula1>M340:M344</formula1>
    </dataValidation>
    <dataValidation type="list" allowBlank="1" showInputMessage="1" showErrorMessage="1" sqref="O399 O1035" xr:uid="{8A461132-B91A-42FE-95DB-AE1CB0F6A2D8}">
      <formula1>M340:M344</formula1>
    </dataValidation>
    <dataValidation type="list" allowBlank="1" showInputMessage="1" showErrorMessage="1" sqref="O400 O1036" xr:uid="{B2D926B6-D213-436B-A704-2BA1F179CF3F}">
      <formula1>M340:M344</formula1>
    </dataValidation>
    <dataValidation type="list" allowBlank="1" showInputMessage="1" showErrorMessage="1" sqref="O401 O1037" xr:uid="{0612073C-0D83-46E2-845B-048A8431157A}">
      <formula1>M340:M344</formula1>
    </dataValidation>
    <dataValidation type="list" allowBlank="1" showInputMessage="1" showErrorMessage="1" sqref="Q353 Q989" xr:uid="{04091CAD-E2FC-4F41-9B71-27EA9C1F57C6}">
      <formula1>M340:M344</formula1>
    </dataValidation>
    <dataValidation type="list" allowBlank="1" showInputMessage="1" showErrorMessage="1" sqref="Q354 Q990" xr:uid="{6B2C0117-F257-4A4C-8D8D-B9DDBCE7122A}">
      <formula1>M340:M344</formula1>
    </dataValidation>
    <dataValidation type="list" allowBlank="1" showInputMessage="1" showErrorMessage="1" sqref="Q355 Q991" xr:uid="{5E562984-59CB-44BB-B5F3-CA857EEA7626}">
      <formula1>M340:M344</formula1>
    </dataValidation>
    <dataValidation type="list" allowBlank="1" showInputMessage="1" showErrorMessage="1" sqref="Q356 Q992" xr:uid="{13FD23DF-EE2E-4498-ADC8-3FD499F7D98B}">
      <formula1>M340:M344</formula1>
    </dataValidation>
    <dataValidation type="list" allowBlank="1" showInputMessage="1" showErrorMessage="1" sqref="Q357 Q993" xr:uid="{81552932-0A87-44CB-B7B5-7A48E8BE0514}">
      <formula1>M340:M344</formula1>
    </dataValidation>
    <dataValidation type="list" allowBlank="1" showInputMessage="1" showErrorMessage="1" sqref="Q358 Q994" xr:uid="{2CBEA466-138B-4C2D-A666-194EABD90613}">
      <formula1>M340:M344</formula1>
    </dataValidation>
    <dataValidation type="list" allowBlank="1" showInputMessage="1" showErrorMessage="1" sqref="Q359 Q995" xr:uid="{A6C7CFFF-D6B9-4472-A8D5-2AE8AD836AA2}">
      <formula1>M340:M344</formula1>
    </dataValidation>
    <dataValidation type="list" allowBlank="1" showInputMessage="1" showErrorMessage="1" sqref="Q360 Q996" xr:uid="{53C27FC2-C093-4AEA-88D4-2CE3615D2D15}">
      <formula1>M340:M344</formula1>
    </dataValidation>
    <dataValidation type="list" allowBlank="1" showInputMessage="1" showErrorMessage="1" sqref="Q361 Q997" xr:uid="{D08C1BC2-4608-4E44-ABC0-4BD218AFFA9C}">
      <formula1>M340:M344</formula1>
    </dataValidation>
    <dataValidation type="list" allowBlank="1" showInputMessage="1" showErrorMessage="1" sqref="Q362 Q998" xr:uid="{5001921A-F8B8-4D1E-9596-DAE22252EC0C}">
      <formula1>M340:M344</formula1>
    </dataValidation>
    <dataValidation type="list" allowBlank="1" showInputMessage="1" showErrorMessage="1" sqref="Q363 Q999" xr:uid="{E4AA99AC-E0F9-413A-BA74-7E9484EED1A0}">
      <formula1>M340:M344</formula1>
    </dataValidation>
    <dataValidation type="list" allowBlank="1" showInputMessage="1" showErrorMessage="1" sqref="Q364 Q1000" xr:uid="{AD0D592E-91EF-4D1F-ADCD-36924B854B02}">
      <formula1>M340:M344</formula1>
    </dataValidation>
    <dataValidation type="list" allowBlank="1" showInputMessage="1" showErrorMessage="1" sqref="Q365 Q1001" xr:uid="{36E7F628-57F8-4D36-9F5F-75AA0DCFFE0C}">
      <formula1>M340:M344</formula1>
    </dataValidation>
    <dataValidation type="list" allowBlank="1" showInputMessage="1" showErrorMessage="1" sqref="Q366 Q1002" xr:uid="{AE232BF4-98F2-41DE-A00C-FE685A7E68E9}">
      <formula1>M340:M344</formula1>
    </dataValidation>
    <dataValidation type="list" allowBlank="1" showInputMessage="1" showErrorMessage="1" sqref="Q367 Q1003" xr:uid="{4D669C83-9770-4077-A474-2310E598E84B}">
      <formula1>M340:M344</formula1>
    </dataValidation>
    <dataValidation type="list" allowBlank="1" showInputMessage="1" showErrorMessage="1" sqref="Q368 Q1004" xr:uid="{5EC072F8-3548-40BD-82EA-08108D77C360}">
      <formula1>M340:M344</formula1>
    </dataValidation>
    <dataValidation type="list" allowBlank="1" showInputMessage="1" showErrorMessage="1" sqref="Q369 Q1005" xr:uid="{BDCAC668-3242-4072-8549-2044CEA0B70B}">
      <formula1>M340:M344</formula1>
    </dataValidation>
    <dataValidation type="list" allowBlank="1" showInputMessage="1" showErrorMessage="1" sqref="Q370 Q1006" xr:uid="{00B51BAC-CE6C-4969-8870-440D755E6085}">
      <formula1>M340:M344</formula1>
    </dataValidation>
    <dataValidation type="list" allowBlank="1" showInputMessage="1" showErrorMessage="1" sqref="Q371 Q1007" xr:uid="{F00E82B1-AA13-4B04-9960-0FE3C60B7203}">
      <formula1>M340:M344</formula1>
    </dataValidation>
    <dataValidation type="list" allowBlank="1" showInputMessage="1" showErrorMessage="1" sqref="Q372 Q1008" xr:uid="{43E448EC-E360-4433-8504-14B7F293C204}">
      <formula1>M340:M344</formula1>
    </dataValidation>
    <dataValidation type="list" allowBlank="1" showInputMessage="1" showErrorMessage="1" sqref="Q373 Q1009" xr:uid="{62086BF2-E0DF-43F3-A793-3B1123290CF7}">
      <formula1>M340:M344</formula1>
    </dataValidation>
    <dataValidation type="list" allowBlank="1" showInputMessage="1" showErrorMessage="1" sqref="Q374 Q1010" xr:uid="{C967760E-B925-4D1F-A785-5F33C476E2DC}">
      <formula1>M340:M344</formula1>
    </dataValidation>
    <dataValidation type="list" allowBlank="1" showInputMessage="1" showErrorMessage="1" sqref="Q375 Q1011" xr:uid="{EA87AE34-83D8-4974-9344-58F97411ECBD}">
      <formula1>M340:M344</formula1>
    </dataValidation>
    <dataValidation type="list" allowBlank="1" showInputMessage="1" showErrorMessage="1" sqref="Q376 Q1012" xr:uid="{33CFBA2A-DEAB-4952-9D5C-FFEC091AF6F6}">
      <formula1>M340:M344</formula1>
    </dataValidation>
    <dataValidation type="list" allowBlank="1" showInputMessage="1" showErrorMessage="1" sqref="Q377 Q1013" xr:uid="{C29939D3-BB3C-48A3-95DC-B96F6B38A203}">
      <formula1>M340:M344</formula1>
    </dataValidation>
    <dataValidation type="list" allowBlank="1" showInputMessage="1" showErrorMessage="1" sqref="Q378 Q1014" xr:uid="{29044435-C8F4-42DA-8B90-A681A8D80C2D}">
      <formula1>M340:M344</formula1>
    </dataValidation>
    <dataValidation type="list" allowBlank="1" showInputMessage="1" showErrorMessage="1" sqref="Q379 Q1015" xr:uid="{60C15329-D009-4E6F-9848-5FCAF8787BBB}">
      <formula1>M340:M344</formula1>
    </dataValidation>
    <dataValidation type="list" allowBlank="1" showInputMessage="1" showErrorMessage="1" sqref="Q380 Q1016" xr:uid="{D615CCC6-4944-4BD4-B404-7A42C300C203}">
      <formula1>M340:M344</formula1>
    </dataValidation>
    <dataValidation type="list" allowBlank="1" showInputMessage="1" showErrorMessage="1" sqref="Q381 Q1017" xr:uid="{2CB37B8A-0C54-43FE-A351-BEB2E1BD1D2A}">
      <formula1>M340:M344</formula1>
    </dataValidation>
    <dataValidation type="list" allowBlank="1" showInputMessage="1" showErrorMessage="1" sqref="Q382 Q1018" xr:uid="{51474AB3-F596-4A75-A62B-6DC7FD5A33C3}">
      <formula1>M340:M344</formula1>
    </dataValidation>
    <dataValidation type="list" allowBlank="1" showInputMessage="1" showErrorMessage="1" sqref="Q383 Q1019" xr:uid="{11E8847A-046A-47F7-976B-1F0D49494678}">
      <formula1>M340:M344</formula1>
    </dataValidation>
    <dataValidation type="list" allowBlank="1" showInputMessage="1" showErrorMessage="1" sqref="Q384 Q1020" xr:uid="{907C0E4D-C7F8-4731-9410-342CBE044B76}">
      <formula1>M340:M344</formula1>
    </dataValidation>
    <dataValidation type="list" allowBlank="1" showInputMessage="1" showErrorMessage="1" sqref="Q385 Q1021" xr:uid="{1FF28C03-1D35-4A71-ACFB-8E8294AFA351}">
      <formula1>M340:M344</formula1>
    </dataValidation>
    <dataValidation type="list" allowBlank="1" showInputMessage="1" showErrorMessage="1" sqref="Q386 Q1022" xr:uid="{B41791AA-5C8B-4A67-B7CD-7663AF5F59AF}">
      <formula1>M340:M344</formula1>
    </dataValidation>
    <dataValidation type="list" allowBlank="1" showInputMessage="1" showErrorMessage="1" sqref="Q387 Q1023" xr:uid="{9911F80A-76E6-4287-956C-5AC1E3022B19}">
      <formula1>M340:M344</formula1>
    </dataValidation>
    <dataValidation type="list" allowBlank="1" showInputMessage="1" showErrorMessage="1" sqref="Q388 Q1024" xr:uid="{1FCE2EAB-D932-4243-8C2D-486AB6B07651}">
      <formula1>M340:M344</formula1>
    </dataValidation>
    <dataValidation type="list" allowBlank="1" showInputMessage="1" showErrorMessage="1" sqref="Q389 Q1025" xr:uid="{33BFEAAA-F380-40A0-A549-AA518A56F221}">
      <formula1>M340:M344</formula1>
    </dataValidation>
    <dataValidation type="list" allowBlank="1" showInputMessage="1" showErrorMessage="1" sqref="Q390 Q1026" xr:uid="{6F517814-6139-442B-AE07-3ADC50F6F22D}">
      <formula1>M340:M344</formula1>
    </dataValidation>
    <dataValidation type="list" allowBlank="1" showInputMessage="1" showErrorMessage="1" sqref="Q391 Q1027" xr:uid="{8997DE2F-1954-438E-8412-4379A794422F}">
      <formula1>M340:M344</formula1>
    </dataValidation>
    <dataValidation type="list" allowBlank="1" showInputMessage="1" showErrorMessage="1" sqref="Q392 Q1028" xr:uid="{9BCF776F-C634-4E19-8BBC-6EA777853EF6}">
      <formula1>M340:M344</formula1>
    </dataValidation>
    <dataValidation type="list" allowBlank="1" showInputMessage="1" showErrorMessage="1" sqref="Q393 Q1029" xr:uid="{D7FC9B42-5C83-43D6-A1B1-72C9516BC9E0}">
      <formula1>M340:M344</formula1>
    </dataValidation>
    <dataValidation type="list" allowBlank="1" showInputMessage="1" showErrorMessage="1" sqref="Q394 Q1030" xr:uid="{29765643-8E36-47AA-B977-0FE4CD64D718}">
      <formula1>M340:M344</formula1>
    </dataValidation>
    <dataValidation type="list" allowBlank="1" showInputMessage="1" showErrorMessage="1" sqref="Q395 Q1031" xr:uid="{B0E9BCA6-69E7-43CC-87AE-BDD2B48F89DC}">
      <formula1>M340:M344</formula1>
    </dataValidation>
    <dataValidation type="list" allowBlank="1" showInputMessage="1" showErrorMessage="1" sqref="Q396 Q1032" xr:uid="{DC84FDA5-ADCF-422D-B544-D30DCA50DE25}">
      <formula1>M340:M344</formula1>
    </dataValidation>
    <dataValidation type="list" allowBlank="1" showInputMessage="1" showErrorMessage="1" sqref="Q397 Q1033" xr:uid="{93F8D7B5-E999-472D-AE49-1BC4C9511AA2}">
      <formula1>M340:M344</formula1>
    </dataValidation>
    <dataValidation type="list" allowBlank="1" showInputMessage="1" showErrorMessage="1" sqref="Q398 Q1034" xr:uid="{2E574001-640F-423F-9D3B-0D04FCD91D48}">
      <formula1>M340:M344</formula1>
    </dataValidation>
    <dataValidation type="list" allowBlank="1" showInputMessage="1" showErrorMessage="1" sqref="Q399 Q1035" xr:uid="{14AF3528-0B1F-40B7-8CC5-6411427E2244}">
      <formula1>M340:M344</formula1>
    </dataValidation>
    <dataValidation type="list" allowBlank="1" showInputMessage="1" showErrorMessage="1" sqref="Q400 Q1036" xr:uid="{5CD4D7D0-04DF-4025-97A6-B239BE9DD8B5}">
      <formula1>M340:M344</formula1>
    </dataValidation>
    <dataValidation type="list" allowBlank="1" showInputMessage="1" showErrorMessage="1" sqref="Q401 Q1037" xr:uid="{4BDBD21C-0C66-4F3C-A996-EDFFA72F073B}">
      <formula1>M340:M344</formula1>
    </dataValidation>
    <dataValidation type="list" allowBlank="1" showInputMessage="1" showErrorMessage="1" sqref="R224 R860" xr:uid="{531E866A-9B6C-46E5-85CA-7594025A15BF}">
      <formula1>"Horizontal,Inclinado"</formula1>
    </dataValidation>
    <dataValidation type="whole" operator="lessThanOrEqual" allowBlank="1" showInputMessage="1" showErrorMessage="1" sqref="Q416 Q1052" xr:uid="{F13AFBF0-24EA-4816-9A65-424BD50E9D66}">
      <formula1>50</formula1>
    </dataValidation>
    <dataValidation type="list" allowBlank="1" showInputMessage="1" showErrorMessage="1" sqref="AB2" xr:uid="{AD66EE15-08D8-449A-859F-9AC177EE5C13}">
      <formula1>"150 - STEEL LADLE"</formula1>
    </dataValidation>
  </dataValidations>
  <pageMargins left="0.39370078740157483" right="0.39370078740157483" top="0.39370078740157483" bottom="0.39370078740157483" header="0" footer="0"/>
  <pageSetup paperSize="9" scale="36" fitToHeight="0" orientation="portrait" r:id="rId1"/>
  <headerFooter alignWithMargins="0"/>
  <drawing r:id="rId2"/>
  <legacyDrawing r:id="rId3"/>
  <controls>
    <mc:AlternateContent xmlns:mc="http://schemas.openxmlformats.org/markup-compatibility/2006">
      <mc:Choice Requires="x14">
        <control shapeId="97537" r:id="rId4" name="TempCombo">
          <controlPr defaultSize="0" autoLine="0" r:id="rId5">
            <anchor moveWithCells="1">
              <from>
                <xdr:col>12</xdr:col>
                <xdr:colOff>0</xdr:colOff>
                <xdr:row>591</xdr:row>
                <xdr:rowOff>0</xdr:rowOff>
              </from>
              <to>
                <xdr:col>13</xdr:col>
                <xdr:colOff>38100</xdr:colOff>
                <xdr:row>592</xdr:row>
                <xdr:rowOff>68580</xdr:rowOff>
              </to>
            </anchor>
          </controlPr>
        </control>
      </mc:Choice>
      <mc:Fallback>
        <control shapeId="97537" r:id="rId4" name="TempCombo"/>
      </mc:Fallback>
    </mc:AlternateContent>
    <mc:AlternateContent xmlns:mc="http://schemas.openxmlformats.org/markup-compatibility/2006">
      <mc:Choice Requires="x14">
        <control shapeId="88216" r:id="rId6" name="Button 152">
          <controlPr defaultSize="0" print="0" autoFill="0" autoPict="0" macro="[0]!ListaMaterial_TOTAL">
            <anchor moveWithCells="1" sizeWithCells="1">
              <from>
                <xdr:col>24</xdr:col>
                <xdr:colOff>60960</xdr:colOff>
                <xdr:row>0</xdr:row>
                <xdr:rowOff>38100</xdr:rowOff>
              </from>
              <to>
                <xdr:col>24</xdr:col>
                <xdr:colOff>1623060</xdr:colOff>
                <xdr:row>0</xdr:row>
                <xdr:rowOff>373380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89EF7D1B-D40B-41E0-AC05-647264DEC157}">
          <x14:formula1>
            <xm:f>Formatos!$A:$A</xm:f>
          </x14:formula1>
          <xm:sqref>X94 B500 B156:B157 X108 X609 X640 X602 B525 X19 X89 X85 X77 X68 X100 B131:B132 M340:M344 B230:B231 X594 R340:R344 X730 B1136 B792:B793 X744 X1245 X1276 X1238 B1161 X655 X725 X721 X713 X704 X736 B767:B768 M976:M980 B866:B867 X1230 R976:R980</xm:sqref>
        </x14:dataValidation>
        <x14:dataValidation type="list" allowBlank="1" showInputMessage="1" showErrorMessage="1" xr:uid="{1E0660E3-06F7-466D-A7A5-1EDD8AFFE7F6}">
          <x14:formula1>
            <xm:f>Densidades!$A:$A</xm:f>
          </x14:formula1>
          <xm:sqref>X25 X1155 X1218 X1223 X1244 X1130 X1144 X1149 X849 X854 X696 X685 X671 X666 X750 X743 X755 X786 X1264 X1229 X1237 X703 X1275 X712 X720 X724 X934 X1041 X1046 X735 X860 X1269 X923 X677 X928 X761 X775 X780 X1252 X654 X661 X519 X582 X587 X608 X494 X508 X513 X213 X218 X60 X49 X35 X30 X114 X107 X119 X150 X628 X593 X601 X67 X639 X76 X84 X88 X298 X405 X410 X99 X224 X633 X287 X41 X292 X125 X139 X144 X616 X18</xm:sqref>
        </x14:dataValidation>
        <x14:dataValidation type="list" allowBlank="1" showDropDown="1" showInputMessage="1" showErrorMessage="1" xr:uid="{CAC9C81D-98A7-49BB-B647-F44A34ACB9CB}">
          <x14:formula1>
            <xm:f>Densidades!$A:$A</xm:f>
          </x14:formula1>
          <xm:sqref>X93 X729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13"/>
  <dimension ref="A1:AV4"/>
  <sheetViews>
    <sheetView showGridLines="0" workbookViewId="0">
      <selection activeCell="AI3" sqref="AI3"/>
    </sheetView>
  </sheetViews>
  <sheetFormatPr defaultColWidth="11.44140625" defaultRowHeight="18.75" customHeight="1"/>
  <cols>
    <col min="1" max="1" width="4.6640625" style="11" customWidth="1"/>
    <col min="2" max="4" width="5.6640625" style="11" customWidth="1"/>
    <col min="5" max="5" width="11.6640625" style="11" customWidth="1"/>
    <col min="6" max="6" width="4.6640625" style="11" customWidth="1"/>
    <col min="7" max="7" width="3.6640625" style="11" customWidth="1"/>
    <col min="8" max="8" width="4.6640625" style="11" customWidth="1"/>
    <col min="9" max="9" width="4" style="11" customWidth="1"/>
    <col min="10" max="10" width="15.5546875" style="11" customWidth="1"/>
    <col min="11" max="13" width="5.6640625" style="11" customWidth="1"/>
    <col min="14" max="15" width="12.6640625" style="11" customWidth="1"/>
    <col min="16" max="16" width="4.33203125" style="11" customWidth="1"/>
    <col min="17" max="17" width="3.6640625" style="11" customWidth="1"/>
    <col min="18" max="18" width="8.109375" style="11" customWidth="1"/>
    <col min="19" max="19" width="7.6640625" style="11" customWidth="1"/>
    <col min="20" max="21" width="7.6640625" style="11" hidden="1" customWidth="1"/>
    <col min="22" max="22" width="11" style="11" hidden="1" customWidth="1"/>
    <col min="23" max="23" width="7.6640625" style="11" customWidth="1"/>
    <col min="24" max="28" width="7.6640625" style="11" hidden="1" customWidth="1"/>
    <col min="29" max="33" width="2.6640625" style="11" hidden="1" customWidth="1"/>
    <col min="34" max="34" width="9.6640625" style="11" customWidth="1"/>
    <col min="35" max="35" width="33.6640625" style="11" bestFit="1" customWidth="1"/>
    <col min="36" max="36" width="1" style="11" customWidth="1"/>
    <col min="37" max="37" width="38.44140625" style="713" customWidth="1"/>
    <col min="38" max="38" width="22.33203125" style="713" customWidth="1"/>
    <col min="39" max="16384" width="11.44140625" style="11"/>
  </cols>
  <sheetData>
    <row r="1" spans="1:48" ht="18.75" customHeight="1" thickBot="1">
      <c r="A1" s="858" t="s">
        <v>28</v>
      </c>
      <c r="B1" s="859"/>
      <c r="C1" s="859"/>
      <c r="D1" s="859"/>
      <c r="E1" s="859"/>
      <c r="F1" s="859"/>
      <c r="G1" s="859"/>
      <c r="H1" s="859"/>
      <c r="I1" s="859"/>
      <c r="J1" s="859"/>
      <c r="K1" s="860"/>
      <c r="L1" s="860"/>
      <c r="M1" s="860"/>
      <c r="N1" s="860"/>
      <c r="O1" s="860"/>
      <c r="P1" s="860"/>
      <c r="Q1" s="861"/>
      <c r="R1" s="18"/>
      <c r="S1" s="18"/>
      <c r="T1" s="18"/>
      <c r="U1" s="18"/>
      <c r="V1" s="18"/>
      <c r="W1" s="18"/>
      <c r="AK1" s="11"/>
      <c r="AL1" s="11"/>
    </row>
    <row r="2" spans="1:48" s="12" customFormat="1" ht="27" customHeight="1">
      <c r="A2" s="52" t="s">
        <v>96</v>
      </c>
      <c r="B2" s="53" t="s">
        <v>97</v>
      </c>
      <c r="C2" s="54"/>
      <c r="D2" s="54"/>
      <c r="E2" s="54"/>
      <c r="F2" s="862" t="s">
        <v>0</v>
      </c>
      <c r="G2" s="863"/>
      <c r="H2" s="863"/>
      <c r="I2" s="863"/>
      <c r="J2" s="864"/>
      <c r="K2" s="43" t="s">
        <v>103</v>
      </c>
      <c r="L2" s="44" t="s">
        <v>101</v>
      </c>
      <c r="M2" s="44" t="s">
        <v>100</v>
      </c>
      <c r="N2" s="45"/>
      <c r="O2" s="45"/>
      <c r="P2" s="46" t="s">
        <v>98</v>
      </c>
      <c r="Q2" s="47" t="s">
        <v>99</v>
      </c>
      <c r="S2" s="48" t="s">
        <v>95</v>
      </c>
      <c r="W2" s="49" t="s">
        <v>102</v>
      </c>
      <c r="AH2" s="50" t="s">
        <v>110</v>
      </c>
      <c r="AI2" s="51" t="s">
        <v>66</v>
      </c>
      <c r="AK2" s="865" t="s">
        <v>417</v>
      </c>
      <c r="AL2" s="865"/>
    </row>
    <row r="3" spans="1:48" s="12" customFormat="1" ht="18.75" customHeight="1">
      <c r="A3" s="712" t="str">
        <f>AI3</f>
        <v>REGIÃO DO EQUIPAMENTO</v>
      </c>
      <c r="B3" s="107"/>
      <c r="C3" s="108"/>
      <c r="D3" s="108"/>
      <c r="E3" s="108"/>
      <c r="F3" s="107"/>
      <c r="G3" s="108"/>
      <c r="H3" s="108"/>
      <c r="I3" s="108"/>
      <c r="J3" s="109"/>
      <c r="K3" s="714"/>
      <c r="L3" s="714"/>
      <c r="M3" s="714"/>
      <c r="N3" s="715"/>
      <c r="O3" s="715"/>
      <c r="P3" s="712"/>
      <c r="Q3" s="711"/>
      <c r="R3" s="716"/>
      <c r="S3" s="717"/>
      <c r="T3" s="715"/>
      <c r="U3" s="718"/>
      <c r="V3" s="718"/>
      <c r="W3" s="714"/>
      <c r="X3" s="714"/>
      <c r="Y3" s="714"/>
      <c r="Z3" s="714"/>
      <c r="AA3" s="714"/>
      <c r="AB3" s="714"/>
      <c r="AC3" s="719"/>
      <c r="AD3" s="719"/>
      <c r="AE3" s="719"/>
      <c r="AF3" s="719"/>
      <c r="AG3" s="719"/>
      <c r="AH3" s="720"/>
      <c r="AI3" s="714" t="str">
        <f>IF('Memória TOTAL'!Y3="","",'Memória TOTAL'!Y3)</f>
        <v>REGIÃO DO EQUIPAMENTO</v>
      </c>
      <c r="AK3" s="866" t="s">
        <v>2386</v>
      </c>
      <c r="AL3" s="867"/>
      <c r="AV3" s="12" t="s">
        <v>422</v>
      </c>
    </row>
    <row r="4" spans="1:48" ht="18.75" customHeight="1">
      <c r="A4" s="712"/>
      <c r="B4" s="713"/>
      <c r="C4" s="713"/>
      <c r="K4" s="711"/>
      <c r="L4" s="711"/>
      <c r="M4" s="711"/>
      <c r="N4" s="712"/>
      <c r="O4" s="712"/>
      <c r="P4" s="711"/>
      <c r="Q4" s="711"/>
      <c r="R4" s="711"/>
      <c r="S4" s="711"/>
      <c r="T4" s="711"/>
      <c r="U4" s="711"/>
      <c r="V4" s="711"/>
      <c r="W4" s="711"/>
      <c r="X4" s="711"/>
      <c r="Y4" s="711"/>
      <c r="Z4" s="711"/>
      <c r="AA4" s="711"/>
      <c r="AB4" s="711"/>
      <c r="AC4" s="711"/>
      <c r="AD4" s="711"/>
      <c r="AE4" s="711"/>
      <c r="AF4" s="711"/>
      <c r="AG4" s="711"/>
      <c r="AH4" s="711"/>
      <c r="AI4" s="711"/>
    </row>
  </sheetData>
  <sortState xmlns:xlrd2="http://schemas.microsoft.com/office/spreadsheetml/2017/richdata2" ref="A3:AI4">
    <sortCondition ref="A4"/>
    <sortCondition ref="B4"/>
    <sortCondition ref="F4"/>
  </sortState>
  <mergeCells count="4">
    <mergeCell ref="A1:Q1"/>
    <mergeCell ref="F2:J2"/>
    <mergeCell ref="AK2:AL2"/>
    <mergeCell ref="AK3:AL3"/>
  </mergeCells>
  <phoneticPr fontId="42" type="noConversion"/>
  <conditionalFormatting sqref="A3">
    <cfRule type="expression" dxfId="58" priority="21" stopIfTrue="1">
      <formula>AI3&lt;&gt;""</formula>
    </cfRule>
  </conditionalFormatting>
  <conditionalFormatting sqref="B3">
    <cfRule type="expression" dxfId="57" priority="20" stopIfTrue="1">
      <formula>AI3&lt;&gt;""</formula>
    </cfRule>
  </conditionalFormatting>
  <conditionalFormatting sqref="C3">
    <cfRule type="expression" dxfId="56" priority="19" stopIfTrue="1">
      <formula>AI3&lt;&gt;""</formula>
    </cfRule>
  </conditionalFormatting>
  <conditionalFormatting sqref="D3">
    <cfRule type="expression" dxfId="55" priority="18" stopIfTrue="1">
      <formula>AI3&lt;&gt;""</formula>
    </cfRule>
  </conditionalFormatting>
  <conditionalFormatting sqref="E3">
    <cfRule type="expression" dxfId="54" priority="17" stopIfTrue="1">
      <formula>AI3&lt;&gt;""</formula>
    </cfRule>
  </conditionalFormatting>
  <conditionalFormatting sqref="F3">
    <cfRule type="expression" dxfId="53" priority="16" stopIfTrue="1">
      <formula>AI3&lt;&gt;""</formula>
    </cfRule>
  </conditionalFormatting>
  <conditionalFormatting sqref="G3">
    <cfRule type="expression" dxfId="52" priority="15" stopIfTrue="1">
      <formula>AI3&lt;&gt;""</formula>
    </cfRule>
  </conditionalFormatting>
  <conditionalFormatting sqref="H3">
    <cfRule type="expression" dxfId="51" priority="14" stopIfTrue="1">
      <formula>AI3&lt;&gt;""</formula>
    </cfRule>
  </conditionalFormatting>
  <conditionalFormatting sqref="I3">
    <cfRule type="expression" dxfId="50" priority="13" stopIfTrue="1">
      <formula>AI3&lt;&gt;""</formula>
    </cfRule>
  </conditionalFormatting>
  <conditionalFormatting sqref="J3">
    <cfRule type="expression" dxfId="49" priority="12" stopIfTrue="1">
      <formula>AI3&lt;&gt;""</formula>
    </cfRule>
  </conditionalFormatting>
  <conditionalFormatting sqref="K3">
    <cfRule type="expression" dxfId="48" priority="11" stopIfTrue="1">
      <formula>AI3&lt;&gt;""</formula>
    </cfRule>
  </conditionalFormatting>
  <conditionalFormatting sqref="L3">
    <cfRule type="expression" dxfId="47" priority="10" stopIfTrue="1">
      <formula>AI3&lt;&gt;""</formula>
    </cfRule>
  </conditionalFormatting>
  <conditionalFormatting sqref="M3">
    <cfRule type="expression" dxfId="46" priority="9" stopIfTrue="1">
      <formula>AI3&lt;&gt;""</formula>
    </cfRule>
  </conditionalFormatting>
  <conditionalFormatting sqref="N3">
    <cfRule type="containsErrors" dxfId="45" priority="6" stopIfTrue="1">
      <formula>ISERROR(N3)</formula>
    </cfRule>
    <cfRule type="cellIs" dxfId="44" priority="7" stopIfTrue="1" operator="equal">
      <formula>0</formula>
    </cfRule>
    <cfRule type="expression" dxfId="43" priority="8" stopIfTrue="1">
      <formula>AI3&lt;&gt;""</formula>
    </cfRule>
  </conditionalFormatting>
  <conditionalFormatting sqref="O3">
    <cfRule type="containsErrors" dxfId="42" priority="3" stopIfTrue="1">
      <formula>ISERROR(O3)</formula>
    </cfRule>
    <cfRule type="cellIs" dxfId="41" priority="4" stopIfTrue="1" operator="equal">
      <formula>0</formula>
    </cfRule>
    <cfRule type="expression" dxfId="40" priority="5" stopIfTrue="1">
      <formula>AI3&lt;&gt;""</formula>
    </cfRule>
  </conditionalFormatting>
  <conditionalFormatting sqref="P3">
    <cfRule type="expression" dxfId="39" priority="2" stopIfTrue="1">
      <formula>AI3&lt;&gt;""</formula>
    </cfRule>
  </conditionalFormatting>
  <conditionalFormatting sqref="Q3">
    <cfRule type="expression" dxfId="38" priority="1" stopIfTrue="1">
      <formula>AI3&lt;&gt;""</formula>
    </cfRule>
  </conditionalFormatting>
  <printOptions gridLinesSet="0"/>
  <pageMargins left="0.41" right="0.19" top="0.14000000000000001" bottom="0.56000000000000005" header="0.16" footer="0.49212598499999999"/>
  <pageSetup paperSize="9" orientation="portrait" horizontalDpi="300" verticalDpi="300" r:id="rId1"/>
  <headerFooter alignWithMargins="0">
    <oddFooter>&amp;L
&amp;K808080&amp;"Trebuchet MS"CLASSIFICAÇÃO DO DOCUMENTO: INTERNO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botao_editar_TOTAL">
                <anchor moveWithCells="1" sizeWithCells="1">
                  <from>
                    <xdr:col>38</xdr:col>
                    <xdr:colOff>30480</xdr:colOff>
                    <xdr:row>0</xdr:row>
                    <xdr:rowOff>213360</xdr:rowOff>
                  </from>
                  <to>
                    <xdr:col>40</xdr:col>
                    <xdr:colOff>441960</xdr:colOff>
                    <xdr:row>2</xdr:row>
                    <xdr:rowOff>137160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AS22"/>
  <sheetViews>
    <sheetView showGridLines="0" zoomScaleNormal="100" workbookViewId="0">
      <selection activeCell="J17" sqref="J17:AA17"/>
    </sheetView>
  </sheetViews>
  <sheetFormatPr defaultColWidth="3.6640625" defaultRowHeight="13.2"/>
  <cols>
    <col min="1" max="1" width="4.5546875" customWidth="1"/>
    <col min="29" max="31" width="0" hidden="1" customWidth="1"/>
    <col min="32" max="32" width="14.44140625" style="1" customWidth="1"/>
    <col min="33" max="62" width="14.44140625" customWidth="1"/>
  </cols>
  <sheetData>
    <row r="1" spans="1:45" ht="12.75" customHeight="1">
      <c r="A1" s="910"/>
      <c r="B1" s="911"/>
      <c r="C1" s="911"/>
      <c r="D1" s="911"/>
      <c r="E1" s="911"/>
      <c r="F1" s="911"/>
      <c r="G1" s="911"/>
      <c r="H1" s="912"/>
      <c r="I1" s="885" t="str">
        <f>AG2&amp;" - "&amp;AH2</f>
        <v xml:space="preserve"> - </v>
      </c>
      <c r="J1" s="886"/>
      <c r="K1" s="886"/>
      <c r="L1" s="886"/>
      <c r="M1" s="886"/>
      <c r="N1" s="886"/>
      <c r="O1" s="886"/>
      <c r="P1" s="886"/>
      <c r="Q1" s="886"/>
      <c r="R1" s="886"/>
      <c r="S1" s="886"/>
      <c r="T1" s="886"/>
      <c r="U1" s="886"/>
      <c r="V1" s="886"/>
      <c r="W1" s="886"/>
      <c r="X1" s="886"/>
      <c r="Y1" s="886"/>
      <c r="Z1" s="886"/>
      <c r="AA1" s="887"/>
      <c r="AF1" s="122" t="s">
        <v>666</v>
      </c>
      <c r="AG1" s="122" t="s">
        <v>676</v>
      </c>
      <c r="AH1" s="122" t="s">
        <v>677</v>
      </c>
      <c r="AI1" s="291" t="s">
        <v>1009</v>
      </c>
      <c r="AJ1" s="122" t="s">
        <v>678</v>
      </c>
    </row>
    <row r="2" spans="1:45" ht="12.75" customHeight="1">
      <c r="A2" s="913"/>
      <c r="B2" s="914"/>
      <c r="C2" s="914"/>
      <c r="D2" s="914"/>
      <c r="E2" s="914"/>
      <c r="F2" s="914"/>
      <c r="G2" s="914"/>
      <c r="H2" s="915"/>
      <c r="I2" s="888"/>
      <c r="J2" s="889"/>
      <c r="K2" s="889"/>
      <c r="L2" s="889"/>
      <c r="M2" s="889"/>
      <c r="N2" s="889"/>
      <c r="O2" s="889"/>
      <c r="P2" s="889"/>
      <c r="Q2" s="889"/>
      <c r="R2" s="889"/>
      <c r="S2" s="889"/>
      <c r="T2" s="889"/>
      <c r="U2" s="889"/>
      <c r="V2" s="889"/>
      <c r="W2" s="889"/>
      <c r="X2" s="889"/>
      <c r="Y2" s="889"/>
      <c r="Z2" s="889"/>
      <c r="AA2" s="890"/>
      <c r="AF2" s="291"/>
      <c r="AG2" s="291"/>
      <c r="AH2" s="291"/>
      <c r="AI2" s="291"/>
      <c r="AJ2" s="291"/>
    </row>
    <row r="3" spans="1:45" ht="12.75" customHeight="1">
      <c r="A3" s="913"/>
      <c r="B3" s="914"/>
      <c r="C3" s="914"/>
      <c r="D3" s="914"/>
      <c r="E3" s="914"/>
      <c r="F3" s="914"/>
      <c r="G3" s="914"/>
      <c r="H3" s="915"/>
      <c r="I3" s="885" t="str">
        <f>AI2&amp;" - "&amp;AJ2&amp;""</f>
        <v xml:space="preserve"> - </v>
      </c>
      <c r="J3" s="902"/>
      <c r="K3" s="902"/>
      <c r="L3" s="902"/>
      <c r="M3" s="902"/>
      <c r="N3" s="902"/>
      <c r="O3" s="902"/>
      <c r="P3" s="902"/>
      <c r="Q3" s="902"/>
      <c r="R3" s="902"/>
      <c r="S3" s="902"/>
      <c r="T3" s="902"/>
      <c r="U3" s="902"/>
      <c r="V3" s="902"/>
      <c r="W3" s="902"/>
      <c r="X3" s="902"/>
      <c r="Y3" s="902"/>
      <c r="Z3" s="902"/>
      <c r="AA3" s="903"/>
      <c r="AF3" s="267"/>
      <c r="AS3" s="55"/>
    </row>
    <row r="4" spans="1:45" ht="12.75" customHeight="1">
      <c r="A4" s="913"/>
      <c r="B4" s="914"/>
      <c r="C4" s="914"/>
      <c r="D4" s="914"/>
      <c r="E4" s="914"/>
      <c r="F4" s="914"/>
      <c r="G4" s="914"/>
      <c r="H4" s="915"/>
      <c r="I4" s="904"/>
      <c r="J4" s="905"/>
      <c r="K4" s="905"/>
      <c r="L4" s="905"/>
      <c r="M4" s="905"/>
      <c r="N4" s="905"/>
      <c r="O4" s="905"/>
      <c r="P4" s="905"/>
      <c r="Q4" s="905"/>
      <c r="R4" s="905"/>
      <c r="S4" s="905"/>
      <c r="T4" s="905"/>
      <c r="U4" s="905"/>
      <c r="V4" s="905"/>
      <c r="W4" s="905"/>
      <c r="X4" s="905"/>
      <c r="Y4" s="905"/>
      <c r="Z4" s="905"/>
      <c r="AA4" s="906"/>
      <c r="AR4" s="55"/>
    </row>
    <row r="5" spans="1:45" ht="5.0999999999999996" customHeight="1">
      <c r="A5" s="913"/>
      <c r="B5" s="914"/>
      <c r="C5" s="914"/>
      <c r="D5" s="914"/>
      <c r="E5" s="914"/>
      <c r="F5" s="914"/>
      <c r="G5" s="914"/>
      <c r="H5" s="915"/>
      <c r="I5" s="907"/>
      <c r="J5" s="908"/>
      <c r="K5" s="908"/>
      <c r="L5" s="908"/>
      <c r="M5" s="908"/>
      <c r="N5" s="908"/>
      <c r="O5" s="908"/>
      <c r="P5" s="908"/>
      <c r="Q5" s="908"/>
      <c r="R5" s="908"/>
      <c r="S5" s="908"/>
      <c r="T5" s="908"/>
      <c r="U5" s="908"/>
      <c r="V5" s="908"/>
      <c r="W5" s="908"/>
      <c r="X5" s="908"/>
      <c r="Y5" s="908"/>
      <c r="Z5" s="908"/>
      <c r="AA5" s="909"/>
    </row>
    <row r="6" spans="1:45" ht="16.5" customHeight="1">
      <c r="A6" s="913"/>
      <c r="B6" s="914"/>
      <c r="C6" s="914"/>
      <c r="D6" s="914"/>
      <c r="E6" s="914"/>
      <c r="F6" s="914"/>
      <c r="G6" s="914"/>
      <c r="H6" s="915"/>
      <c r="I6" s="894" t="s">
        <v>663</v>
      </c>
      <c r="J6" s="895"/>
      <c r="K6" s="895"/>
      <c r="L6" s="895"/>
      <c r="M6" s="895"/>
      <c r="N6" s="895"/>
      <c r="O6" s="895"/>
      <c r="P6" s="895"/>
      <c r="Q6" s="895"/>
      <c r="R6" s="895"/>
      <c r="S6" s="895"/>
      <c r="T6" s="895"/>
      <c r="U6" s="896"/>
      <c r="V6" s="919" t="s">
        <v>664</v>
      </c>
      <c r="W6" s="919"/>
      <c r="X6" s="920"/>
      <c r="Y6" s="894" t="s">
        <v>665</v>
      </c>
      <c r="Z6" s="895"/>
      <c r="AA6" s="896"/>
    </row>
    <row r="7" spans="1:45" ht="16.5" customHeight="1">
      <c r="A7" s="916"/>
      <c r="B7" s="917"/>
      <c r="C7" s="917"/>
      <c r="D7" s="917"/>
      <c r="E7" s="917"/>
      <c r="F7" s="917"/>
      <c r="G7" s="917"/>
      <c r="H7" s="918"/>
      <c r="I7" s="891" t="str">
        <f>"CS"&amp;AF2</f>
        <v>CS</v>
      </c>
      <c r="J7" s="892"/>
      <c r="K7" s="892"/>
      <c r="L7" s="892"/>
      <c r="M7" s="892"/>
      <c r="N7" s="892"/>
      <c r="O7" s="892"/>
      <c r="P7" s="892"/>
      <c r="Q7" s="892"/>
      <c r="R7" s="892"/>
      <c r="S7" s="892"/>
      <c r="T7" s="892"/>
      <c r="U7" s="893"/>
      <c r="V7" s="900" t="s">
        <v>675</v>
      </c>
      <c r="W7" s="901"/>
      <c r="X7" s="901"/>
      <c r="Y7" s="897" t="s">
        <v>1870</v>
      </c>
      <c r="Z7" s="898"/>
      <c r="AA7" s="899"/>
    </row>
    <row r="8" spans="1:45" ht="5.0999999999999996" customHeight="1">
      <c r="A8" s="872"/>
      <c r="B8" s="872"/>
      <c r="C8" s="872"/>
      <c r="D8" s="872"/>
      <c r="E8" s="872"/>
      <c r="F8" s="872"/>
      <c r="G8" s="872"/>
      <c r="H8" s="872"/>
      <c r="I8" s="872"/>
      <c r="J8" s="872"/>
      <c r="K8" s="872"/>
      <c r="L8" s="872"/>
      <c r="M8" s="872"/>
      <c r="N8" s="872"/>
      <c r="O8" s="872"/>
      <c r="P8" s="872"/>
      <c r="Q8" s="872"/>
      <c r="R8" s="872"/>
      <c r="S8" s="872"/>
      <c r="T8" s="872"/>
      <c r="U8" s="872"/>
      <c r="V8" s="872"/>
      <c r="W8" s="872"/>
      <c r="X8" s="872"/>
      <c r="Y8" s="872"/>
      <c r="Z8" s="872"/>
      <c r="AA8" s="872"/>
    </row>
    <row r="9" spans="1:45" ht="15.6">
      <c r="A9" s="6" t="s">
        <v>23</v>
      </c>
      <c r="B9" s="921" t="s">
        <v>497</v>
      </c>
      <c r="C9" s="922"/>
      <c r="D9" s="923"/>
      <c r="E9" s="883" t="s">
        <v>498</v>
      </c>
      <c r="F9" s="883"/>
      <c r="G9" s="883"/>
      <c r="H9" s="884" t="s">
        <v>662</v>
      </c>
      <c r="I9" s="884"/>
      <c r="J9" s="884" t="s">
        <v>496</v>
      </c>
      <c r="K9" s="884"/>
      <c r="L9" s="884"/>
      <c r="M9" s="884"/>
      <c r="N9" s="884"/>
      <c r="O9" s="884"/>
      <c r="P9" s="884"/>
      <c r="Q9" s="884"/>
      <c r="R9" s="884"/>
      <c r="S9" s="884"/>
      <c r="T9" s="884"/>
      <c r="U9" s="884"/>
      <c r="V9" s="884"/>
      <c r="W9" s="884"/>
      <c r="X9" s="884"/>
      <c r="Y9" s="884"/>
      <c r="Z9" s="884"/>
      <c r="AA9" s="884"/>
    </row>
    <row r="10" spans="1:45" ht="25.5" customHeight="1">
      <c r="A10" s="7"/>
      <c r="B10" s="875"/>
      <c r="C10" s="876"/>
      <c r="D10" s="876"/>
      <c r="E10" s="878"/>
      <c r="F10" s="879"/>
      <c r="G10" s="880"/>
      <c r="H10" s="881"/>
      <c r="I10" s="882"/>
      <c r="J10" s="877"/>
      <c r="K10" s="874"/>
      <c r="L10" s="874"/>
      <c r="M10" s="874"/>
      <c r="N10" s="874"/>
      <c r="O10" s="874"/>
      <c r="P10" s="874"/>
      <c r="Q10" s="874"/>
      <c r="R10" s="874"/>
      <c r="S10" s="874"/>
      <c r="T10" s="874"/>
      <c r="U10" s="874"/>
      <c r="V10" s="874"/>
      <c r="W10" s="874"/>
      <c r="X10" s="874"/>
      <c r="Y10" s="874"/>
      <c r="Z10" s="874"/>
      <c r="AA10" s="874"/>
    </row>
    <row r="11" spans="1:45" ht="25.5" customHeight="1">
      <c r="A11" s="7"/>
      <c r="B11" s="868"/>
      <c r="C11" s="869"/>
      <c r="D11" s="870"/>
      <c r="E11" s="871"/>
      <c r="F11" s="872"/>
      <c r="G11" s="873"/>
      <c r="H11" s="874"/>
      <c r="I11" s="874"/>
      <c r="J11" s="874"/>
      <c r="K11" s="874"/>
      <c r="L11" s="874"/>
      <c r="M11" s="874"/>
      <c r="N11" s="874"/>
      <c r="O11" s="874"/>
      <c r="P11" s="874"/>
      <c r="Q11" s="874"/>
      <c r="R11" s="874"/>
      <c r="S11" s="874"/>
      <c r="T11" s="874"/>
      <c r="U11" s="874"/>
      <c r="V11" s="874"/>
      <c r="W11" s="874"/>
      <c r="X11" s="874"/>
      <c r="Y11" s="874"/>
      <c r="Z11" s="874"/>
      <c r="AA11" s="874"/>
    </row>
    <row r="12" spans="1:45" ht="25.5" customHeight="1">
      <c r="A12" s="7"/>
      <c r="B12" s="868"/>
      <c r="C12" s="869"/>
      <c r="D12" s="870"/>
      <c r="E12" s="871"/>
      <c r="F12" s="872"/>
      <c r="G12" s="873"/>
      <c r="H12" s="874"/>
      <c r="I12" s="874"/>
      <c r="J12" s="874"/>
      <c r="K12" s="874"/>
      <c r="L12" s="874"/>
      <c r="M12" s="874"/>
      <c r="N12" s="874"/>
      <c r="O12" s="874"/>
      <c r="P12" s="874"/>
      <c r="Q12" s="874"/>
      <c r="R12" s="874"/>
      <c r="S12" s="874"/>
      <c r="T12" s="874"/>
      <c r="U12" s="874"/>
      <c r="V12" s="874"/>
      <c r="W12" s="874"/>
      <c r="X12" s="874"/>
      <c r="Y12" s="874"/>
      <c r="Z12" s="874"/>
      <c r="AA12" s="874"/>
    </row>
    <row r="13" spans="1:45" ht="25.5" customHeight="1">
      <c r="A13" s="7"/>
      <c r="B13" s="868"/>
      <c r="C13" s="869"/>
      <c r="D13" s="870"/>
      <c r="E13" s="871"/>
      <c r="F13" s="872"/>
      <c r="G13" s="873"/>
      <c r="H13" s="874"/>
      <c r="I13" s="874"/>
      <c r="J13" s="874"/>
      <c r="K13" s="874"/>
      <c r="L13" s="874"/>
      <c r="M13" s="874"/>
      <c r="N13" s="874"/>
      <c r="O13" s="874"/>
      <c r="P13" s="874"/>
      <c r="Q13" s="874"/>
      <c r="R13" s="874"/>
      <c r="S13" s="874"/>
      <c r="T13" s="874"/>
      <c r="U13" s="874"/>
      <c r="V13" s="874"/>
      <c r="W13" s="874"/>
      <c r="X13" s="874"/>
      <c r="Y13" s="874"/>
      <c r="Z13" s="874"/>
      <c r="AA13" s="874"/>
    </row>
    <row r="14" spans="1:45" ht="25.5" customHeight="1">
      <c r="A14" s="7"/>
      <c r="B14" s="868"/>
      <c r="C14" s="869"/>
      <c r="D14" s="870"/>
      <c r="E14" s="871"/>
      <c r="F14" s="872"/>
      <c r="G14" s="873"/>
      <c r="H14" s="874"/>
      <c r="I14" s="874"/>
      <c r="J14" s="874"/>
      <c r="K14" s="874"/>
      <c r="L14" s="874"/>
      <c r="M14" s="874"/>
      <c r="N14" s="874"/>
      <c r="O14" s="874"/>
      <c r="P14" s="874"/>
      <c r="Q14" s="874"/>
      <c r="R14" s="874"/>
      <c r="S14" s="874"/>
      <c r="T14" s="874"/>
      <c r="U14" s="874"/>
      <c r="V14" s="874"/>
      <c r="W14" s="874"/>
      <c r="X14" s="874"/>
      <c r="Y14" s="874"/>
      <c r="Z14" s="874"/>
      <c r="AA14" s="874"/>
    </row>
    <row r="15" spans="1:45" ht="25.5" customHeight="1">
      <c r="A15" s="7"/>
      <c r="B15" s="868"/>
      <c r="C15" s="869"/>
      <c r="D15" s="870"/>
      <c r="E15" s="871"/>
      <c r="F15" s="872"/>
      <c r="G15" s="873"/>
      <c r="H15" s="874"/>
      <c r="I15" s="874"/>
      <c r="J15" s="874"/>
      <c r="K15" s="874"/>
      <c r="L15" s="874"/>
      <c r="M15" s="874"/>
      <c r="N15" s="874"/>
      <c r="O15" s="874"/>
      <c r="P15" s="874"/>
      <c r="Q15" s="874"/>
      <c r="R15" s="874"/>
      <c r="S15" s="874"/>
      <c r="T15" s="874"/>
      <c r="U15" s="874"/>
      <c r="V15" s="874"/>
      <c r="W15" s="874"/>
      <c r="X15" s="874"/>
      <c r="Y15" s="874"/>
      <c r="Z15" s="874"/>
      <c r="AA15" s="874"/>
    </row>
    <row r="16" spans="1:45" ht="25.5" customHeight="1">
      <c r="A16" s="7"/>
      <c r="B16" s="868"/>
      <c r="C16" s="869"/>
      <c r="D16" s="870"/>
      <c r="E16" s="871"/>
      <c r="F16" s="872"/>
      <c r="G16" s="873"/>
      <c r="H16" s="874"/>
      <c r="I16" s="874"/>
      <c r="J16" s="874"/>
      <c r="K16" s="874"/>
      <c r="L16" s="874"/>
      <c r="M16" s="874"/>
      <c r="N16" s="874"/>
      <c r="O16" s="874"/>
      <c r="P16" s="874"/>
      <c r="Q16" s="874"/>
      <c r="R16" s="874"/>
      <c r="S16" s="874"/>
      <c r="T16" s="874"/>
      <c r="U16" s="874"/>
      <c r="V16" s="874"/>
      <c r="W16" s="874"/>
      <c r="X16" s="874"/>
      <c r="Y16" s="874"/>
      <c r="Z16" s="874"/>
      <c r="AA16" s="874"/>
    </row>
    <row r="17" spans="1:27" ht="25.5" customHeight="1">
      <c r="A17" s="7"/>
      <c r="B17" s="868"/>
      <c r="C17" s="869"/>
      <c r="D17" s="870"/>
      <c r="E17" s="871"/>
      <c r="F17" s="872"/>
      <c r="G17" s="873"/>
      <c r="H17" s="874"/>
      <c r="I17" s="874"/>
      <c r="J17" s="874"/>
      <c r="K17" s="874"/>
      <c r="L17" s="874"/>
      <c r="M17" s="874"/>
      <c r="N17" s="874"/>
      <c r="O17" s="874"/>
      <c r="P17" s="874"/>
      <c r="Q17" s="874"/>
      <c r="R17" s="874"/>
      <c r="S17" s="874"/>
      <c r="T17" s="874"/>
      <c r="U17" s="874"/>
      <c r="V17" s="874"/>
      <c r="W17" s="874"/>
      <c r="X17" s="874"/>
      <c r="Y17" s="874"/>
      <c r="Z17" s="874"/>
      <c r="AA17" s="874"/>
    </row>
    <row r="18" spans="1:27" ht="25.5" customHeight="1">
      <c r="A18" s="7"/>
      <c r="B18" s="868"/>
      <c r="C18" s="869"/>
      <c r="D18" s="870"/>
      <c r="E18" s="871"/>
      <c r="F18" s="872"/>
      <c r="G18" s="873"/>
      <c r="H18" s="874"/>
      <c r="I18" s="874"/>
      <c r="J18" s="874"/>
      <c r="K18" s="874"/>
      <c r="L18" s="874"/>
      <c r="M18" s="874"/>
      <c r="N18" s="874"/>
      <c r="O18" s="874"/>
      <c r="P18" s="874"/>
      <c r="Q18" s="874"/>
      <c r="R18" s="874"/>
      <c r="S18" s="874"/>
      <c r="T18" s="874"/>
      <c r="U18" s="874"/>
      <c r="V18" s="874"/>
      <c r="W18" s="874"/>
      <c r="X18" s="874"/>
      <c r="Y18" s="874"/>
      <c r="Z18" s="874"/>
      <c r="AA18" s="874"/>
    </row>
    <row r="19" spans="1:27" ht="25.5" customHeight="1">
      <c r="A19" s="7"/>
      <c r="B19" s="868"/>
      <c r="C19" s="869"/>
      <c r="D19" s="870"/>
      <c r="E19" s="871"/>
      <c r="F19" s="872"/>
      <c r="G19" s="873"/>
      <c r="H19" s="874"/>
      <c r="I19" s="874"/>
      <c r="J19" s="874"/>
      <c r="K19" s="874"/>
      <c r="L19" s="874"/>
      <c r="M19" s="874"/>
      <c r="N19" s="874"/>
      <c r="O19" s="874"/>
      <c r="P19" s="874"/>
      <c r="Q19" s="874"/>
      <c r="R19" s="874"/>
      <c r="S19" s="874"/>
      <c r="T19" s="874"/>
      <c r="U19" s="874"/>
      <c r="V19" s="874"/>
      <c r="W19" s="874"/>
      <c r="X19" s="874"/>
      <c r="Y19" s="874"/>
      <c r="Z19" s="874"/>
      <c r="AA19" s="874"/>
    </row>
    <row r="20" spans="1:27" ht="25.5" customHeight="1">
      <c r="A20" s="7"/>
      <c r="B20" s="868"/>
      <c r="C20" s="869"/>
      <c r="D20" s="870"/>
      <c r="E20" s="871"/>
      <c r="F20" s="872"/>
      <c r="G20" s="873"/>
      <c r="H20" s="874"/>
      <c r="I20" s="874"/>
      <c r="J20" s="874"/>
      <c r="K20" s="874"/>
      <c r="L20" s="874"/>
      <c r="M20" s="874"/>
      <c r="N20" s="874"/>
      <c r="O20" s="874"/>
      <c r="P20" s="874"/>
      <c r="Q20" s="874"/>
      <c r="R20" s="874"/>
      <c r="S20" s="874"/>
      <c r="T20" s="874"/>
      <c r="U20" s="874"/>
      <c r="V20" s="874"/>
      <c r="W20" s="874"/>
      <c r="X20" s="874"/>
      <c r="Y20" s="874"/>
      <c r="Z20" s="874"/>
      <c r="AA20" s="874"/>
    </row>
    <row r="21" spans="1:27" ht="25.5" customHeight="1">
      <c r="A21" s="7"/>
      <c r="B21" s="868"/>
      <c r="C21" s="869"/>
      <c r="D21" s="870"/>
      <c r="E21" s="871"/>
      <c r="F21" s="872"/>
      <c r="G21" s="873"/>
      <c r="H21" s="874"/>
      <c r="I21" s="874"/>
      <c r="J21" s="874"/>
      <c r="K21" s="874"/>
      <c r="L21" s="874"/>
      <c r="M21" s="874"/>
      <c r="N21" s="874"/>
      <c r="O21" s="874"/>
      <c r="P21" s="874"/>
      <c r="Q21" s="874"/>
      <c r="R21" s="874"/>
      <c r="S21" s="874"/>
      <c r="T21" s="874"/>
      <c r="U21" s="874"/>
      <c r="V21" s="874"/>
      <c r="W21" s="874"/>
      <c r="X21" s="874"/>
      <c r="Y21" s="874"/>
      <c r="Z21" s="874"/>
      <c r="AA21" s="874"/>
    </row>
    <row r="22" spans="1:27" ht="25.5" customHeight="1">
      <c r="A22" s="7"/>
      <c r="B22" s="868"/>
      <c r="C22" s="869"/>
      <c r="D22" s="870"/>
      <c r="E22" s="871"/>
      <c r="F22" s="872"/>
      <c r="G22" s="873"/>
      <c r="H22" s="874"/>
      <c r="I22" s="874"/>
      <c r="J22" s="874"/>
      <c r="K22" s="874"/>
      <c r="L22" s="874"/>
      <c r="M22" s="874"/>
      <c r="N22" s="874"/>
      <c r="O22" s="874"/>
      <c r="P22" s="874"/>
      <c r="Q22" s="874"/>
      <c r="R22" s="874"/>
      <c r="S22" s="874"/>
      <c r="T22" s="874"/>
      <c r="U22" s="874"/>
      <c r="V22" s="874"/>
      <c r="W22" s="874"/>
      <c r="X22" s="874"/>
      <c r="Y22" s="874"/>
      <c r="Z22" s="874"/>
      <c r="AA22" s="874"/>
    </row>
  </sheetData>
  <mergeCells count="66">
    <mergeCell ref="E9:G9"/>
    <mergeCell ref="J9:AA9"/>
    <mergeCell ref="I1:AA2"/>
    <mergeCell ref="I7:U7"/>
    <mergeCell ref="H9:I9"/>
    <mergeCell ref="Y6:AA6"/>
    <mergeCell ref="Y7:AA7"/>
    <mergeCell ref="V7:X7"/>
    <mergeCell ref="I3:AA5"/>
    <mergeCell ref="A1:H7"/>
    <mergeCell ref="I6:U6"/>
    <mergeCell ref="V6:X6"/>
    <mergeCell ref="B9:D9"/>
    <mergeCell ref="A8:AA8"/>
    <mergeCell ref="B11:D11"/>
    <mergeCell ref="B10:D10"/>
    <mergeCell ref="B12:D12"/>
    <mergeCell ref="J12:AA12"/>
    <mergeCell ref="E11:G11"/>
    <mergeCell ref="H11:I11"/>
    <mergeCell ref="J11:AA11"/>
    <mergeCell ref="E12:G12"/>
    <mergeCell ref="H12:I12"/>
    <mergeCell ref="J10:AA10"/>
    <mergeCell ref="E10:G10"/>
    <mergeCell ref="H10:I10"/>
    <mergeCell ref="J13:AA13"/>
    <mergeCell ref="B14:D14"/>
    <mergeCell ref="E14:G14"/>
    <mergeCell ref="H14:I14"/>
    <mergeCell ref="J14:AA14"/>
    <mergeCell ref="B13:D13"/>
    <mergeCell ref="E13:G13"/>
    <mergeCell ref="H13:I13"/>
    <mergeCell ref="J17:AA17"/>
    <mergeCell ref="J18:AA18"/>
    <mergeCell ref="H15:I15"/>
    <mergeCell ref="J15:AA15"/>
    <mergeCell ref="E16:G16"/>
    <mergeCell ref="H16:I16"/>
    <mergeCell ref="J16:AA16"/>
    <mergeCell ref="H17:I17"/>
    <mergeCell ref="H18:I18"/>
    <mergeCell ref="J21:AA21"/>
    <mergeCell ref="E22:G22"/>
    <mergeCell ref="H22:I22"/>
    <mergeCell ref="J22:AA22"/>
    <mergeCell ref="E19:G19"/>
    <mergeCell ref="H19:I19"/>
    <mergeCell ref="J19:AA19"/>
    <mergeCell ref="J20:AA20"/>
    <mergeCell ref="H21:I21"/>
    <mergeCell ref="E20:G20"/>
    <mergeCell ref="H20:I20"/>
    <mergeCell ref="B22:D22"/>
    <mergeCell ref="B20:D20"/>
    <mergeCell ref="B19:D19"/>
    <mergeCell ref="B18:D18"/>
    <mergeCell ref="B17:D17"/>
    <mergeCell ref="B16:D16"/>
    <mergeCell ref="B21:D21"/>
    <mergeCell ref="E21:G21"/>
    <mergeCell ref="B15:D15"/>
    <mergeCell ref="E15:G15"/>
    <mergeCell ref="E17:G17"/>
    <mergeCell ref="E18:G18"/>
  </mergeCells>
  <phoneticPr fontId="0" type="noConversion"/>
  <conditionalFormatting sqref="I1 I3">
    <cfRule type="cellIs" dxfId="37" priority="49" stopIfTrue="1" operator="equal">
      <formula>"CLIENTE"</formula>
    </cfRule>
  </conditionalFormatting>
  <conditionalFormatting sqref="I3">
    <cfRule type="cellIs" dxfId="36" priority="48" stopIfTrue="1" operator="equal">
      <formula>"EQUIPAMENTO"</formula>
    </cfRule>
  </conditionalFormatting>
  <conditionalFormatting sqref="E10 H10:I10">
    <cfRule type="cellIs" dxfId="35" priority="43" stopIfTrue="1" operator="equal">
      <formula>"XXXXXX"</formula>
    </cfRule>
  </conditionalFormatting>
  <conditionalFormatting sqref="B10">
    <cfRule type="cellIs" dxfId="34" priority="42" stopIfTrue="1" operator="equal">
      <formula>"XX/XX/20XX"</formula>
    </cfRule>
  </conditionalFormatting>
  <conditionalFormatting sqref="E10">
    <cfRule type="cellIs" dxfId="33" priority="41" stopIfTrue="1" operator="equal">
      <formula>"RP-XX"</formula>
    </cfRule>
  </conditionalFormatting>
  <conditionalFormatting sqref="I3 I1">
    <cfRule type="cellIs" dxfId="32" priority="33" stopIfTrue="1" operator="equal">
      <formula>""</formula>
    </cfRule>
  </conditionalFormatting>
  <conditionalFormatting sqref="I3 V6 I1">
    <cfRule type="cellIs" dxfId="31" priority="24" stopIfTrue="1" operator="equal">
      <formula>"880............."</formula>
    </cfRule>
  </conditionalFormatting>
  <conditionalFormatting sqref="H10">
    <cfRule type="cellIs" dxfId="30" priority="10" stopIfTrue="1" operator="equal">
      <formula>"RP-XX"</formula>
    </cfRule>
  </conditionalFormatting>
  <conditionalFormatting sqref="E10">
    <cfRule type="cellIs" dxfId="29" priority="9" stopIfTrue="1" operator="equal">
      <formula>"CLIENTE"</formula>
    </cfRule>
  </conditionalFormatting>
  <conditionalFormatting sqref="E10">
    <cfRule type="cellIs" dxfId="28" priority="8" stopIfTrue="1" operator="equal">
      <formula>""</formula>
    </cfRule>
  </conditionalFormatting>
  <conditionalFormatting sqref="E10">
    <cfRule type="cellIs" dxfId="27" priority="7" stopIfTrue="1" operator="equal">
      <formula>"880............."</formula>
    </cfRule>
  </conditionalFormatting>
  <conditionalFormatting sqref="H10">
    <cfRule type="cellIs" dxfId="26" priority="6" stopIfTrue="1" operator="equal">
      <formula>"CLIENTE"</formula>
    </cfRule>
  </conditionalFormatting>
  <conditionalFormatting sqref="H10">
    <cfRule type="cellIs" dxfId="25" priority="5" stopIfTrue="1" operator="equal">
      <formula>""</formula>
    </cfRule>
  </conditionalFormatting>
  <conditionalFormatting sqref="H10">
    <cfRule type="cellIs" dxfId="24" priority="4" stopIfTrue="1" operator="equal">
      <formula>"880............."</formula>
    </cfRule>
  </conditionalFormatting>
  <conditionalFormatting sqref="B10">
    <cfRule type="cellIs" dxfId="23" priority="3" stopIfTrue="1" operator="equal">
      <formula>"CLIENTE"</formula>
    </cfRule>
  </conditionalFormatting>
  <conditionalFormatting sqref="B10">
    <cfRule type="cellIs" dxfId="22" priority="2" stopIfTrue="1" operator="equal">
      <formula>""</formula>
    </cfRule>
  </conditionalFormatting>
  <conditionalFormatting sqref="B10">
    <cfRule type="cellIs" dxfId="21" priority="1" stopIfTrue="1" operator="equal">
      <formula>"880............."</formula>
    </cfRule>
  </conditionalFormatting>
  <pageMargins left="0.59055118110236204" right="0.59055118110236204" top="0.78740157480314998" bottom="0.78740157480314998" header="0" footer="0.511811023622047"/>
  <pageSetup paperSize="9" scale="90" orientation="portrait" r:id="rId1"/>
  <headerFooter alignWithMargins="0">
    <oddFooter>&amp;L&amp;D - &amp;T
&amp;K808080&amp;"Trebuchet MS"CLASSIFICAÇÃO DO DOCUMENTO: INTERNO&amp;C&amp;F - &amp;A&amp;RPag.: &amp;P de &amp;N</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AR14"/>
  <sheetViews>
    <sheetView showGridLines="0" zoomScaleNormal="100" workbookViewId="0">
      <selection activeCell="AA39" sqref="AA39"/>
    </sheetView>
  </sheetViews>
  <sheetFormatPr defaultColWidth="3.6640625" defaultRowHeight="13.2"/>
  <cols>
    <col min="1" max="1" width="4.5546875" customWidth="1"/>
    <col min="2" max="28" width="3.6640625" customWidth="1"/>
    <col min="29" max="29" width="7.6640625" customWidth="1"/>
  </cols>
  <sheetData>
    <row r="1" spans="1:44" ht="12.75" customHeight="1">
      <c r="A1" s="910"/>
      <c r="B1" s="911"/>
      <c r="C1" s="911"/>
      <c r="D1" s="911"/>
      <c r="E1" s="911"/>
      <c r="F1" s="911"/>
      <c r="G1" s="911"/>
      <c r="H1" s="912"/>
      <c r="I1" s="885" t="str">
        <f>'FRONT SHEET'!I1:AA2</f>
        <v xml:space="preserve"> - </v>
      </c>
      <c r="J1" s="886"/>
      <c r="K1" s="886"/>
      <c r="L1" s="886"/>
      <c r="M1" s="886"/>
      <c r="N1" s="886"/>
      <c r="O1" s="886"/>
      <c r="P1" s="886"/>
      <c r="Q1" s="886"/>
      <c r="R1" s="886"/>
      <c r="S1" s="886"/>
      <c r="T1" s="886"/>
      <c r="U1" s="886"/>
      <c r="V1" s="886"/>
      <c r="W1" s="886"/>
      <c r="X1" s="886"/>
      <c r="Y1" s="886"/>
      <c r="Z1" s="886"/>
      <c r="AA1" s="887"/>
    </row>
    <row r="2" spans="1:44" ht="12.75" customHeight="1">
      <c r="A2" s="913"/>
      <c r="B2" s="914"/>
      <c r="C2" s="914"/>
      <c r="D2" s="914"/>
      <c r="E2" s="914"/>
      <c r="F2" s="914"/>
      <c r="G2" s="914"/>
      <c r="H2" s="915"/>
      <c r="I2" s="888"/>
      <c r="J2" s="889"/>
      <c r="K2" s="889"/>
      <c r="L2" s="889"/>
      <c r="M2" s="889"/>
      <c r="N2" s="889"/>
      <c r="O2" s="889"/>
      <c r="P2" s="889"/>
      <c r="Q2" s="889"/>
      <c r="R2" s="889"/>
      <c r="S2" s="889"/>
      <c r="T2" s="889"/>
      <c r="U2" s="889"/>
      <c r="V2" s="889"/>
      <c r="W2" s="889"/>
      <c r="X2" s="889"/>
      <c r="Y2" s="889"/>
      <c r="Z2" s="889"/>
      <c r="AA2" s="890"/>
    </row>
    <row r="3" spans="1:44" ht="12.75" customHeight="1">
      <c r="A3" s="913"/>
      <c r="B3" s="914"/>
      <c r="C3" s="914"/>
      <c r="D3" s="914"/>
      <c r="E3" s="914"/>
      <c r="F3" s="914"/>
      <c r="G3" s="914"/>
      <c r="H3" s="915"/>
      <c r="I3" s="885" t="str">
        <f>'FRONT SHEET'!I3:AA5</f>
        <v xml:space="preserve"> - </v>
      </c>
      <c r="J3" s="902"/>
      <c r="K3" s="902"/>
      <c r="L3" s="902"/>
      <c r="M3" s="902"/>
      <c r="N3" s="902"/>
      <c r="O3" s="902"/>
      <c r="P3" s="902"/>
      <c r="Q3" s="902"/>
      <c r="R3" s="902"/>
      <c r="S3" s="902"/>
      <c r="T3" s="902"/>
      <c r="U3" s="902"/>
      <c r="V3" s="902"/>
      <c r="W3" s="902"/>
      <c r="X3" s="902"/>
      <c r="Y3" s="902"/>
      <c r="Z3" s="902"/>
      <c r="AA3" s="903"/>
      <c r="AR3" s="55"/>
    </row>
    <row r="4" spans="1:44" ht="12.75" customHeight="1">
      <c r="A4" s="913"/>
      <c r="B4" s="914"/>
      <c r="C4" s="914"/>
      <c r="D4" s="914"/>
      <c r="E4" s="914"/>
      <c r="F4" s="914"/>
      <c r="G4" s="914"/>
      <c r="H4" s="915"/>
      <c r="I4" s="904"/>
      <c r="J4" s="905"/>
      <c r="K4" s="905"/>
      <c r="L4" s="905"/>
      <c r="M4" s="905"/>
      <c r="N4" s="905"/>
      <c r="O4" s="905"/>
      <c r="P4" s="905"/>
      <c r="Q4" s="905"/>
      <c r="R4" s="905"/>
      <c r="S4" s="905"/>
      <c r="T4" s="905"/>
      <c r="U4" s="905"/>
      <c r="V4" s="905"/>
      <c r="W4" s="905"/>
      <c r="X4" s="905"/>
      <c r="Y4" s="905"/>
      <c r="Z4" s="905"/>
      <c r="AA4" s="906"/>
      <c r="AF4" s="1"/>
      <c r="AQ4" s="55"/>
    </row>
    <row r="5" spans="1:44" ht="5.0999999999999996" customHeight="1">
      <c r="A5" s="913"/>
      <c r="B5" s="914"/>
      <c r="C5" s="914"/>
      <c r="D5" s="914"/>
      <c r="E5" s="914"/>
      <c r="F5" s="914"/>
      <c r="G5" s="914"/>
      <c r="H5" s="915"/>
      <c r="I5" s="907"/>
      <c r="J5" s="908"/>
      <c r="K5" s="908"/>
      <c r="L5" s="908"/>
      <c r="M5" s="908"/>
      <c r="N5" s="908"/>
      <c r="O5" s="908"/>
      <c r="P5" s="908"/>
      <c r="Q5" s="908"/>
      <c r="R5" s="908"/>
      <c r="S5" s="908"/>
      <c r="T5" s="908"/>
      <c r="U5" s="908"/>
      <c r="V5" s="908"/>
      <c r="W5" s="908"/>
      <c r="X5" s="908"/>
      <c r="Y5" s="908"/>
      <c r="Z5" s="908"/>
      <c r="AA5" s="909"/>
      <c r="AF5" s="1"/>
    </row>
    <row r="6" spans="1:44" ht="16.5" customHeight="1">
      <c r="A6" s="913"/>
      <c r="B6" s="914"/>
      <c r="C6" s="914"/>
      <c r="D6" s="914"/>
      <c r="E6" s="914"/>
      <c r="F6" s="914"/>
      <c r="G6" s="914"/>
      <c r="H6" s="915"/>
      <c r="I6" s="894" t="str">
        <f>'FRONT SHEET'!I6:U6</f>
        <v>Drawing number</v>
      </c>
      <c r="J6" s="895"/>
      <c r="K6" s="895"/>
      <c r="L6" s="895"/>
      <c r="M6" s="895"/>
      <c r="N6" s="895"/>
      <c r="O6" s="895"/>
      <c r="P6" s="895"/>
      <c r="Q6" s="895"/>
      <c r="R6" s="895"/>
      <c r="S6" s="895"/>
      <c r="T6" s="895"/>
      <c r="U6" s="896"/>
      <c r="V6" s="919" t="str">
        <f>'FRONT SHEET'!V6:X6</f>
        <v>Revision</v>
      </c>
      <c r="W6" s="919"/>
      <c r="X6" s="920"/>
      <c r="Y6" s="894" t="str">
        <f>'FRONT SHEET'!Y6:AA6</f>
        <v>State</v>
      </c>
      <c r="Z6" s="895"/>
      <c r="AA6" s="896"/>
      <c r="AF6" s="1"/>
    </row>
    <row r="7" spans="1:44" ht="16.5" customHeight="1">
      <c r="A7" s="916"/>
      <c r="B7" s="917"/>
      <c r="C7" s="917"/>
      <c r="D7" s="917"/>
      <c r="E7" s="917"/>
      <c r="F7" s="917"/>
      <c r="G7" s="917"/>
      <c r="H7" s="918"/>
      <c r="I7" s="930" t="str">
        <f>'FRONT SHEET'!I7:U7</f>
        <v>CS</v>
      </c>
      <c r="J7" s="892"/>
      <c r="K7" s="892"/>
      <c r="L7" s="892"/>
      <c r="M7" s="892"/>
      <c r="N7" s="892"/>
      <c r="O7" s="892"/>
      <c r="P7" s="892"/>
      <c r="Q7" s="892"/>
      <c r="R7" s="892"/>
      <c r="S7" s="892"/>
      <c r="T7" s="892"/>
      <c r="U7" s="893"/>
      <c r="V7" s="900" t="str">
        <f>'FRONT SHEET'!V7:X7</f>
        <v>A00</v>
      </c>
      <c r="W7" s="901"/>
      <c r="X7" s="901"/>
      <c r="Y7" s="897" t="str">
        <f>'FRONT SHEET'!Y7:AA7</f>
        <v>V</v>
      </c>
      <c r="Z7" s="898"/>
      <c r="AA7" s="899"/>
      <c r="AF7" s="1"/>
    </row>
    <row r="8" spans="1:44" ht="5.0999999999999996" customHeight="1">
      <c r="A8" s="924"/>
      <c r="B8" s="924"/>
      <c r="C8" s="924"/>
      <c r="D8" s="924"/>
      <c r="E8" s="924"/>
      <c r="F8" s="924"/>
      <c r="G8" s="924"/>
      <c r="H8" s="924"/>
      <c r="I8" s="924"/>
      <c r="J8" s="924"/>
      <c r="K8" s="924"/>
      <c r="L8" s="924"/>
      <c r="M8" s="924"/>
      <c r="N8" s="924"/>
      <c r="O8" s="924"/>
      <c r="P8" s="924"/>
      <c r="Q8" s="924"/>
      <c r="R8" s="924"/>
      <c r="S8" s="924"/>
      <c r="T8" s="924"/>
      <c r="U8" s="924"/>
      <c r="V8" s="924"/>
      <c r="W8" s="924"/>
      <c r="X8" s="924"/>
      <c r="Y8" s="924"/>
      <c r="Z8" s="924"/>
      <c r="AA8" s="924"/>
    </row>
    <row r="9" spans="1:44" ht="12.75" customHeight="1">
      <c r="A9" s="925" t="s">
        <v>96</v>
      </c>
      <c r="B9" s="874" t="s">
        <v>499</v>
      </c>
      <c r="C9" s="874"/>
      <c r="D9" s="874"/>
      <c r="E9" s="874"/>
      <c r="F9" s="874"/>
      <c r="G9" s="874" t="s">
        <v>500</v>
      </c>
      <c r="H9" s="874"/>
      <c r="I9" s="874"/>
      <c r="J9" s="874"/>
      <c r="K9" s="874"/>
      <c r="L9" s="874"/>
      <c r="M9" s="874"/>
      <c r="N9" s="926" t="s">
        <v>661</v>
      </c>
      <c r="O9" s="927"/>
      <c r="P9" s="874" t="s">
        <v>501</v>
      </c>
      <c r="Q9" s="874"/>
      <c r="R9" s="874"/>
      <c r="S9" s="874"/>
      <c r="T9" s="874" t="s">
        <v>25</v>
      </c>
      <c r="U9" s="877" t="s">
        <v>660</v>
      </c>
      <c r="V9" s="874"/>
      <c r="W9" s="874"/>
      <c r="X9" s="874"/>
      <c r="Y9" s="874"/>
      <c r="Z9" s="874"/>
      <c r="AA9" s="925" t="s">
        <v>503</v>
      </c>
      <c r="AB9" s="933" t="s">
        <v>10</v>
      </c>
      <c r="AC9" s="937"/>
      <c r="AD9" s="933" t="s">
        <v>101</v>
      </c>
      <c r="AE9" s="934"/>
    </row>
    <row r="10" spans="1:44">
      <c r="A10" s="925"/>
      <c r="B10" s="874"/>
      <c r="C10" s="874"/>
      <c r="D10" s="874"/>
      <c r="E10" s="874"/>
      <c r="F10" s="874"/>
      <c r="G10" s="874"/>
      <c r="H10" s="874"/>
      <c r="I10" s="874"/>
      <c r="J10" s="874"/>
      <c r="K10" s="874"/>
      <c r="L10" s="874"/>
      <c r="M10" s="874"/>
      <c r="N10" s="928"/>
      <c r="O10" s="929"/>
      <c r="P10" s="874" t="s">
        <v>502</v>
      </c>
      <c r="Q10" s="874"/>
      <c r="R10" s="874" t="s">
        <v>27</v>
      </c>
      <c r="S10" s="874"/>
      <c r="T10" s="874"/>
      <c r="U10" s="874" t="s">
        <v>502</v>
      </c>
      <c r="V10" s="874"/>
      <c r="W10" s="874"/>
      <c r="X10" s="874" t="s">
        <v>27</v>
      </c>
      <c r="Y10" s="874"/>
      <c r="Z10" s="874"/>
      <c r="AA10" s="925"/>
      <c r="AB10" s="931" t="s">
        <v>29</v>
      </c>
      <c r="AC10" s="938"/>
      <c r="AD10" s="931" t="s">
        <v>56</v>
      </c>
      <c r="AE10" s="932"/>
    </row>
    <row r="11" spans="1:44" ht="5.0999999999999996" customHeight="1">
      <c r="A11" s="924"/>
      <c r="B11" s="924"/>
      <c r="C11" s="924"/>
      <c r="D11" s="924"/>
      <c r="E11" s="924"/>
      <c r="F11" s="924"/>
      <c r="G11" s="924"/>
      <c r="H11" s="924"/>
      <c r="I11" s="924"/>
      <c r="J11" s="924"/>
      <c r="K11" s="924"/>
      <c r="L11" s="924"/>
      <c r="M11" s="924"/>
      <c r="N11" s="924"/>
      <c r="O11" s="924"/>
      <c r="P11" s="924"/>
      <c r="Q11" s="924"/>
      <c r="R11" s="924"/>
      <c r="S11" s="924"/>
      <c r="T11" s="924"/>
      <c r="U11" s="924"/>
      <c r="V11" s="924"/>
      <c r="W11" s="924"/>
      <c r="X11" s="924"/>
      <c r="Y11" s="924"/>
      <c r="Z11" s="924"/>
      <c r="AA11" s="924"/>
    </row>
    <row r="12" spans="1:44" ht="15.6">
      <c r="A12" s="939" t="s">
        <v>979</v>
      </c>
      <c r="B12" s="940"/>
      <c r="C12" s="940"/>
      <c r="D12" s="940"/>
      <c r="E12" s="940"/>
      <c r="F12" s="31" t="s">
        <v>657</v>
      </c>
      <c r="G12" s="31"/>
      <c r="H12" s="31"/>
      <c r="I12" s="31"/>
      <c r="J12" s="31"/>
      <c r="K12" s="31"/>
      <c r="L12" s="31"/>
      <c r="M12" s="31"/>
      <c r="N12" s="31"/>
      <c r="O12" s="31"/>
      <c r="P12" s="8"/>
      <c r="Q12" s="8"/>
      <c r="R12" s="8"/>
      <c r="S12" s="9"/>
      <c r="T12" s="4"/>
      <c r="U12" s="4"/>
      <c r="V12" s="4"/>
      <c r="W12" s="4"/>
      <c r="X12" s="4"/>
      <c r="Y12" s="4"/>
      <c r="Z12" s="4"/>
      <c r="AA12" s="5"/>
    </row>
    <row r="13" spans="1:44" ht="15.75" customHeight="1">
      <c r="A13" s="935" t="s">
        <v>654</v>
      </c>
      <c r="B13" s="935"/>
      <c r="C13" s="935"/>
      <c r="D13" s="935"/>
      <c r="E13" s="935"/>
      <c r="F13" s="936" t="s">
        <v>2386</v>
      </c>
      <c r="G13" s="936"/>
      <c r="H13" s="936"/>
      <c r="I13" s="936"/>
      <c r="J13" s="936"/>
      <c r="K13" s="936"/>
      <c r="L13" s="936"/>
      <c r="M13" s="936"/>
      <c r="N13" s="936"/>
      <c r="O13" s="936"/>
      <c r="P13" s="936"/>
      <c r="Q13" s="936"/>
      <c r="R13" s="936"/>
      <c r="S13" s="936"/>
      <c r="T13" s="936"/>
      <c r="U13" s="936"/>
      <c r="V13" s="936"/>
      <c r="W13" s="936"/>
      <c r="X13" s="936"/>
      <c r="Y13" s="936"/>
      <c r="Z13" s="936"/>
      <c r="AA13" s="936"/>
    </row>
    <row r="14" spans="1:44">
      <c r="A14" s="943" t="s">
        <v>294</v>
      </c>
      <c r="B14" s="943"/>
      <c r="C14" s="943"/>
      <c r="D14" s="943"/>
      <c r="E14" s="943"/>
      <c r="F14" s="943"/>
      <c r="G14" s="943"/>
      <c r="H14" s="943"/>
      <c r="I14" s="943"/>
      <c r="J14" s="943"/>
      <c r="K14" s="943"/>
      <c r="L14" s="943"/>
      <c r="M14" s="943"/>
      <c r="N14" s="943"/>
      <c r="O14" s="943"/>
      <c r="P14" s="943"/>
      <c r="Q14" s="943"/>
      <c r="R14" s="943"/>
      <c r="S14" s="943"/>
      <c r="T14" s="943"/>
      <c r="U14" s="941">
        <v>0</v>
      </c>
      <c r="V14" s="942"/>
      <c r="W14" s="942"/>
      <c r="X14" s="941">
        <v>0</v>
      </c>
      <c r="Y14" s="942"/>
      <c r="Z14" s="942"/>
    </row>
  </sheetData>
  <mergeCells count="33">
    <mergeCell ref="U14:W14"/>
    <mergeCell ref="P10:Q10"/>
    <mergeCell ref="V7:X7"/>
    <mergeCell ref="Y7:AA7"/>
    <mergeCell ref="A14:T14"/>
    <mergeCell ref="X14:Z14"/>
    <mergeCell ref="AD10:AE10"/>
    <mergeCell ref="X10:Z10"/>
    <mergeCell ref="P9:S9"/>
    <mergeCell ref="AD9:AE9"/>
    <mergeCell ref="A13:E13"/>
    <mergeCell ref="F13:AA13"/>
    <mergeCell ref="AB9:AC9"/>
    <mergeCell ref="AB10:AC10"/>
    <mergeCell ref="R10:S10"/>
    <mergeCell ref="U9:Z9"/>
    <mergeCell ref="A12:E12"/>
    <mergeCell ref="A11:AA11"/>
    <mergeCell ref="I1:AA2"/>
    <mergeCell ref="A8:AA8"/>
    <mergeCell ref="A9:A10"/>
    <mergeCell ref="B9:F10"/>
    <mergeCell ref="N9:O10"/>
    <mergeCell ref="U10:W10"/>
    <mergeCell ref="A1:H7"/>
    <mergeCell ref="I3:AA5"/>
    <mergeCell ref="I6:U6"/>
    <mergeCell ref="V6:X6"/>
    <mergeCell ref="Y6:AA6"/>
    <mergeCell ref="I7:U7"/>
    <mergeCell ref="G9:M10"/>
    <mergeCell ref="T9:T10"/>
    <mergeCell ref="AA9:AA10"/>
  </mergeCells>
  <phoneticPr fontId="0" type="noConversion"/>
  <conditionalFormatting sqref="I1:AA2 I3">
    <cfRule type="cellIs" dxfId="20" priority="24" stopIfTrue="1" operator="equal">
      <formula>"CLIENTE"</formula>
    </cfRule>
  </conditionalFormatting>
  <conditionalFormatting sqref="I3:AA4">
    <cfRule type="cellIs" dxfId="19" priority="23" stopIfTrue="1" operator="equal">
      <formula>"EQUIPAMENTO"</formula>
    </cfRule>
  </conditionalFormatting>
  <conditionalFormatting sqref="F7 D6 N6 I3 I1">
    <cfRule type="cellIs" dxfId="18" priority="22" stopIfTrue="1" operator="equal">
      <formula>""</formula>
    </cfRule>
  </conditionalFormatting>
  <conditionalFormatting sqref="D6 AA6 I3 N6:X6 I1">
    <cfRule type="cellIs" dxfId="17" priority="21" stopIfTrue="1" operator="equal">
      <formula>"880............."</formula>
    </cfRule>
  </conditionalFormatting>
  <conditionalFormatting sqref="AA6">
    <cfRule type="cellIs" dxfId="16" priority="19"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HF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2"/>
  <dimension ref="A1:BB25"/>
  <sheetViews>
    <sheetView showGridLines="0" zoomScaleNormal="100" workbookViewId="0">
      <selection activeCell="AK33" sqref="AK33"/>
    </sheetView>
  </sheetViews>
  <sheetFormatPr defaultColWidth="3.6640625" defaultRowHeight="13.2"/>
  <cols>
    <col min="1" max="1" width="4.5546875" customWidth="1"/>
    <col min="18" max="18" width="3.6640625" customWidth="1"/>
    <col min="23" max="23" width="3.6640625" customWidth="1"/>
  </cols>
  <sheetData>
    <row r="1" spans="1:54" ht="12.75" customHeight="1">
      <c r="A1" s="910"/>
      <c r="B1" s="911"/>
      <c r="C1" s="911"/>
      <c r="D1" s="911"/>
      <c r="E1" s="911"/>
      <c r="F1" s="911"/>
      <c r="G1" s="911"/>
      <c r="H1" s="912"/>
      <c r="I1" s="885" t="str">
        <f>TOTAL!I1</f>
        <v xml:space="preserve"> - </v>
      </c>
      <c r="J1" s="886"/>
      <c r="K1" s="886"/>
      <c r="L1" s="886"/>
      <c r="M1" s="886"/>
      <c r="N1" s="886"/>
      <c r="O1" s="886"/>
      <c r="P1" s="886"/>
      <c r="Q1" s="886"/>
      <c r="R1" s="886"/>
      <c r="S1" s="886"/>
      <c r="T1" s="886"/>
      <c r="U1" s="886"/>
      <c r="V1" s="886"/>
      <c r="W1" s="886"/>
      <c r="X1" s="886"/>
      <c r="Y1" s="886"/>
      <c r="Z1" s="886"/>
      <c r="AA1" s="887"/>
    </row>
    <row r="2" spans="1:54" ht="12.75" customHeight="1" thickBot="1">
      <c r="A2" s="913"/>
      <c r="B2" s="914"/>
      <c r="C2" s="914"/>
      <c r="D2" s="914"/>
      <c r="E2" s="914"/>
      <c r="F2" s="914"/>
      <c r="G2" s="914"/>
      <c r="H2" s="915"/>
      <c r="I2" s="888"/>
      <c r="J2" s="889"/>
      <c r="K2" s="889"/>
      <c r="L2" s="889"/>
      <c r="M2" s="889"/>
      <c r="N2" s="889"/>
      <c r="O2" s="889"/>
      <c r="P2" s="889"/>
      <c r="Q2" s="889"/>
      <c r="R2" s="889"/>
      <c r="S2" s="889"/>
      <c r="T2" s="889"/>
      <c r="U2" s="889"/>
      <c r="V2" s="889"/>
      <c r="W2" s="889"/>
      <c r="X2" s="889"/>
      <c r="Y2" s="889"/>
      <c r="Z2" s="889"/>
      <c r="AA2" s="890"/>
    </row>
    <row r="3" spans="1:54" ht="12.75" customHeight="1">
      <c r="A3" s="913"/>
      <c r="B3" s="914"/>
      <c r="C3" s="914"/>
      <c r="D3" s="914"/>
      <c r="E3" s="914"/>
      <c r="F3" s="914"/>
      <c r="G3" s="914"/>
      <c r="H3" s="915"/>
      <c r="I3" s="885" t="str">
        <f>TOTAL!I3</f>
        <v xml:space="preserve"> - </v>
      </c>
      <c r="J3" s="902"/>
      <c r="K3" s="902"/>
      <c r="L3" s="902"/>
      <c r="M3" s="902"/>
      <c r="N3" s="902"/>
      <c r="O3" s="902"/>
      <c r="P3" s="902"/>
      <c r="Q3" s="902"/>
      <c r="R3" s="902"/>
      <c r="S3" s="902"/>
      <c r="T3" s="902"/>
      <c r="U3" s="902"/>
      <c r="V3" s="902"/>
      <c r="W3" s="902"/>
      <c r="X3" s="902"/>
      <c r="Y3" s="902"/>
      <c r="Z3" s="902"/>
      <c r="AA3" s="903"/>
      <c r="AF3" s="954" t="s">
        <v>421</v>
      </c>
      <c r="AG3" s="955"/>
      <c r="AH3" s="955"/>
      <c r="AI3" s="955"/>
      <c r="AJ3" s="955"/>
      <c r="AK3" s="955"/>
      <c r="AL3" s="955"/>
      <c r="AM3" s="955"/>
      <c r="AN3" s="955"/>
      <c r="AO3" s="955"/>
      <c r="AP3" s="955"/>
      <c r="AQ3" s="955"/>
      <c r="AR3" s="955"/>
      <c r="AS3" s="955"/>
      <c r="AT3" s="955"/>
      <c r="AU3" s="956"/>
      <c r="AV3" s="944" t="s">
        <v>422</v>
      </c>
      <c r="AW3" s="945"/>
      <c r="AX3" s="945"/>
      <c r="AY3" s="945"/>
      <c r="AZ3" s="945"/>
      <c r="BA3" s="945"/>
      <c r="BB3" s="946"/>
    </row>
    <row r="4" spans="1:54" ht="12.75" customHeight="1" thickBot="1">
      <c r="A4" s="913"/>
      <c r="B4" s="914"/>
      <c r="C4" s="914"/>
      <c r="D4" s="914"/>
      <c r="E4" s="914"/>
      <c r="F4" s="914"/>
      <c r="G4" s="914"/>
      <c r="H4" s="915"/>
      <c r="I4" s="904"/>
      <c r="J4" s="905"/>
      <c r="K4" s="905"/>
      <c r="L4" s="905"/>
      <c r="M4" s="905"/>
      <c r="N4" s="905"/>
      <c r="O4" s="905"/>
      <c r="P4" s="905"/>
      <c r="Q4" s="905"/>
      <c r="R4" s="905"/>
      <c r="S4" s="905"/>
      <c r="T4" s="905"/>
      <c r="U4" s="905"/>
      <c r="V4" s="905"/>
      <c r="W4" s="905"/>
      <c r="X4" s="905"/>
      <c r="Y4" s="905"/>
      <c r="Z4" s="905"/>
      <c r="AA4" s="906"/>
      <c r="AF4" s="957"/>
      <c r="AG4" s="958"/>
      <c r="AH4" s="958"/>
      <c r="AI4" s="958"/>
      <c r="AJ4" s="958"/>
      <c r="AK4" s="958"/>
      <c r="AL4" s="958"/>
      <c r="AM4" s="958"/>
      <c r="AN4" s="958"/>
      <c r="AO4" s="958"/>
      <c r="AP4" s="958"/>
      <c r="AQ4" s="958"/>
      <c r="AR4" s="958"/>
      <c r="AS4" s="958"/>
      <c r="AT4" s="958"/>
      <c r="AU4" s="959"/>
      <c r="AV4" s="947"/>
      <c r="AW4" s="948"/>
      <c r="AX4" s="948"/>
      <c r="AY4" s="948"/>
      <c r="AZ4" s="948"/>
      <c r="BA4" s="948"/>
      <c r="BB4" s="949"/>
    </row>
    <row r="5" spans="1:54" ht="5.0999999999999996" customHeight="1">
      <c r="A5" s="913"/>
      <c r="B5" s="914"/>
      <c r="C5" s="914"/>
      <c r="D5" s="914"/>
      <c r="E5" s="914"/>
      <c r="F5" s="914"/>
      <c r="G5" s="914"/>
      <c r="H5" s="915"/>
      <c r="I5" s="907"/>
      <c r="J5" s="908"/>
      <c r="K5" s="908"/>
      <c r="L5" s="908"/>
      <c r="M5" s="908"/>
      <c r="N5" s="908"/>
      <c r="O5" s="908"/>
      <c r="P5" s="908"/>
      <c r="Q5" s="908"/>
      <c r="R5" s="908"/>
      <c r="S5" s="908"/>
      <c r="T5" s="908"/>
      <c r="U5" s="908"/>
      <c r="V5" s="908"/>
      <c r="W5" s="908"/>
      <c r="X5" s="908"/>
      <c r="Y5" s="908"/>
      <c r="Z5" s="908"/>
      <c r="AA5" s="909"/>
    </row>
    <row r="6" spans="1:54" ht="16.5" customHeight="1">
      <c r="A6" s="913"/>
      <c r="B6" s="914"/>
      <c r="C6" s="914"/>
      <c r="D6" s="914"/>
      <c r="E6" s="914"/>
      <c r="F6" s="914"/>
      <c r="G6" s="914"/>
      <c r="H6" s="915"/>
      <c r="I6" s="894" t="str">
        <f>TOTAL!I6</f>
        <v>Drawing number</v>
      </c>
      <c r="J6" s="895"/>
      <c r="K6" s="895"/>
      <c r="L6" s="895"/>
      <c r="M6" s="895"/>
      <c r="N6" s="895"/>
      <c r="O6" s="895"/>
      <c r="P6" s="895"/>
      <c r="Q6" s="895"/>
      <c r="R6" s="895"/>
      <c r="S6" s="895"/>
      <c r="T6" s="895"/>
      <c r="U6" s="896"/>
      <c r="V6" s="919" t="str">
        <f>TOTAL!V6</f>
        <v>Revision</v>
      </c>
      <c r="W6" s="919"/>
      <c r="X6" s="920"/>
      <c r="Y6" s="894" t="str">
        <f>TOTAL!Y6</f>
        <v>State</v>
      </c>
      <c r="Z6" s="895"/>
      <c r="AA6" s="896"/>
    </row>
    <row r="7" spans="1:54" ht="15">
      <c r="A7" s="916"/>
      <c r="B7" s="917"/>
      <c r="C7" s="917"/>
      <c r="D7" s="917"/>
      <c r="E7" s="917"/>
      <c r="F7" s="917"/>
      <c r="G7" s="917"/>
      <c r="H7" s="918"/>
      <c r="I7" s="891" t="str">
        <f>TOTAL!I7</f>
        <v>CS</v>
      </c>
      <c r="J7" s="892"/>
      <c r="K7" s="892"/>
      <c r="L7" s="892"/>
      <c r="M7" s="892"/>
      <c r="N7" s="892"/>
      <c r="O7" s="892"/>
      <c r="P7" s="892"/>
      <c r="Q7" s="892"/>
      <c r="R7" s="892"/>
      <c r="S7" s="892"/>
      <c r="T7" s="892"/>
      <c r="U7" s="893"/>
      <c r="V7" s="900" t="str">
        <f>TOTAL!V7</f>
        <v>A00</v>
      </c>
      <c r="W7" s="901"/>
      <c r="X7" s="901"/>
      <c r="Y7" s="897" t="str">
        <f>TOTAL!Y7</f>
        <v>V</v>
      </c>
      <c r="Z7" s="898"/>
      <c r="AA7" s="899"/>
    </row>
    <row r="8" spans="1:54" ht="5.0999999999999996" customHeight="1">
      <c r="A8" s="924"/>
      <c r="B8" s="924"/>
      <c r="C8" s="924"/>
      <c r="D8" s="924"/>
      <c r="E8" s="924"/>
      <c r="F8" s="924"/>
      <c r="G8" s="924"/>
      <c r="H8" s="924"/>
      <c r="I8" s="924"/>
      <c r="J8" s="924"/>
      <c r="K8" s="924"/>
      <c r="L8" s="924"/>
      <c r="M8" s="924"/>
      <c r="N8" s="924"/>
      <c r="O8" s="924"/>
      <c r="P8" s="924"/>
      <c r="Q8" s="924"/>
      <c r="R8" s="924"/>
      <c r="S8" s="924"/>
      <c r="T8" s="924"/>
      <c r="U8" s="924"/>
      <c r="V8" s="924"/>
      <c r="W8" s="924"/>
      <c r="X8" s="924"/>
      <c r="Y8" s="924"/>
      <c r="Z8" s="924"/>
      <c r="AA8" s="924"/>
    </row>
    <row r="9" spans="1:54" ht="15.6">
      <c r="A9" s="884" t="s">
        <v>504</v>
      </c>
      <c r="B9" s="952"/>
      <c r="C9" s="952"/>
      <c r="D9" s="952"/>
      <c r="E9" s="952"/>
      <c r="F9" s="952"/>
      <c r="G9" s="952"/>
      <c r="H9" s="952"/>
      <c r="I9" s="952"/>
      <c r="J9" s="952"/>
      <c r="K9" s="952"/>
      <c r="L9" s="952"/>
      <c r="M9" s="952"/>
      <c r="N9" s="952"/>
      <c r="O9" s="952"/>
      <c r="P9" s="952"/>
      <c r="Q9" s="952"/>
      <c r="R9" s="952"/>
      <c r="S9" s="952"/>
      <c r="T9" s="952"/>
      <c r="U9" s="952"/>
      <c r="V9" s="952"/>
      <c r="W9" s="952"/>
      <c r="X9" s="952"/>
      <c r="Y9" s="952"/>
      <c r="Z9" s="952"/>
      <c r="AA9" s="952"/>
    </row>
    <row r="10" spans="1:54" ht="13.8">
      <c r="A10" s="10"/>
      <c r="B10" s="950"/>
      <c r="C10" s="950"/>
      <c r="D10" s="950"/>
      <c r="E10" s="950"/>
      <c r="F10" s="950"/>
      <c r="G10" s="950"/>
      <c r="H10" s="950"/>
      <c r="I10" s="950"/>
      <c r="J10" s="950"/>
      <c r="K10" s="950"/>
      <c r="L10" s="950"/>
      <c r="M10" s="950"/>
      <c r="N10" s="950"/>
      <c r="O10" s="950"/>
      <c r="P10" s="950"/>
      <c r="Q10" s="950"/>
      <c r="R10" s="950"/>
      <c r="S10" s="950"/>
      <c r="T10" s="950"/>
      <c r="U10" s="950"/>
      <c r="V10" s="950"/>
      <c r="W10" s="950"/>
      <c r="X10" s="950"/>
      <c r="Y10" s="950"/>
      <c r="Z10" s="950"/>
      <c r="AA10" s="950"/>
    </row>
    <row r="11" spans="1:54" ht="13.8">
      <c r="A11" s="10"/>
      <c r="B11" s="950"/>
      <c r="C11" s="950"/>
      <c r="D11" s="950"/>
      <c r="E11" s="950"/>
      <c r="F11" s="950"/>
      <c r="G11" s="950"/>
      <c r="H11" s="950"/>
      <c r="I11" s="950"/>
      <c r="J11" s="950"/>
      <c r="K11" s="950"/>
      <c r="L11" s="950"/>
      <c r="M11" s="950"/>
      <c r="N11" s="950"/>
      <c r="O11" s="950"/>
      <c r="P11" s="950"/>
      <c r="Q11" s="950"/>
      <c r="R11" s="950"/>
      <c r="S11" s="950"/>
      <c r="T11" s="950"/>
      <c r="U11" s="950"/>
      <c r="V11" s="950"/>
      <c r="W11" s="950"/>
      <c r="X11" s="950"/>
      <c r="Y11" s="950"/>
      <c r="Z11" s="950"/>
      <c r="AA11" s="950"/>
    </row>
    <row r="12" spans="1:54" ht="13.8">
      <c r="A12" s="10"/>
      <c r="B12" s="950"/>
      <c r="C12" s="950"/>
      <c r="D12" s="950"/>
      <c r="E12" s="950"/>
      <c r="F12" s="950"/>
      <c r="G12" s="950"/>
      <c r="H12" s="950"/>
      <c r="I12" s="950"/>
      <c r="J12" s="950"/>
      <c r="K12" s="950"/>
      <c r="L12" s="950"/>
      <c r="M12" s="950"/>
      <c r="N12" s="950"/>
      <c r="O12" s="950"/>
      <c r="P12" s="950"/>
      <c r="Q12" s="950"/>
      <c r="R12" s="950"/>
      <c r="S12" s="950"/>
      <c r="T12" s="950"/>
      <c r="U12" s="950"/>
      <c r="V12" s="950"/>
      <c r="W12" s="950"/>
      <c r="X12" s="950"/>
      <c r="Y12" s="950"/>
      <c r="Z12" s="950"/>
      <c r="AA12" s="950"/>
    </row>
    <row r="13" spans="1:54" ht="13.8">
      <c r="A13" s="10"/>
      <c r="B13" s="950"/>
      <c r="C13" s="950"/>
      <c r="D13" s="950"/>
      <c r="E13" s="950"/>
      <c r="F13" s="950"/>
      <c r="G13" s="950"/>
      <c r="H13" s="950"/>
      <c r="I13" s="950"/>
      <c r="J13" s="950"/>
      <c r="K13" s="950"/>
      <c r="L13" s="950"/>
      <c r="M13" s="950"/>
      <c r="N13" s="950"/>
      <c r="O13" s="950"/>
      <c r="P13" s="950"/>
      <c r="Q13" s="950"/>
      <c r="R13" s="950"/>
      <c r="S13" s="950"/>
      <c r="T13" s="950"/>
      <c r="U13" s="950"/>
      <c r="V13" s="950"/>
      <c r="W13" s="950"/>
      <c r="X13" s="950"/>
      <c r="Y13" s="950"/>
      <c r="Z13" s="950"/>
      <c r="AA13" s="950"/>
    </row>
    <row r="14" spans="1:54" ht="15" customHeight="1">
      <c r="A14" s="10"/>
      <c r="B14" s="950"/>
      <c r="C14" s="950"/>
      <c r="D14" s="950"/>
      <c r="E14" s="950"/>
      <c r="F14" s="950"/>
      <c r="G14" s="950"/>
      <c r="H14" s="950"/>
      <c r="I14" s="950"/>
      <c r="J14" s="950"/>
      <c r="K14" s="950"/>
      <c r="L14" s="950"/>
      <c r="M14" s="950"/>
      <c r="N14" s="950"/>
      <c r="O14" s="950"/>
      <c r="P14" s="950"/>
      <c r="Q14" s="950"/>
      <c r="R14" s="950"/>
      <c r="S14" s="950"/>
      <c r="T14" s="950"/>
      <c r="U14" s="950"/>
      <c r="V14" s="950"/>
      <c r="W14" s="950"/>
      <c r="X14" s="950"/>
      <c r="Y14" s="950"/>
      <c r="Z14" s="950"/>
      <c r="AA14" s="950"/>
    </row>
    <row r="15" spans="1:54" ht="15" customHeight="1">
      <c r="A15" s="10"/>
      <c r="B15" s="950"/>
      <c r="C15" s="950"/>
      <c r="D15" s="950"/>
      <c r="E15" s="950"/>
      <c r="F15" s="950"/>
      <c r="G15" s="950"/>
      <c r="H15" s="950"/>
      <c r="I15" s="950"/>
      <c r="J15" s="950"/>
      <c r="K15" s="950"/>
      <c r="L15" s="950"/>
      <c r="M15" s="950"/>
      <c r="N15" s="950"/>
      <c r="O15" s="950"/>
      <c r="P15" s="950"/>
      <c r="Q15" s="950"/>
      <c r="R15" s="950"/>
      <c r="S15" s="950"/>
      <c r="T15" s="950"/>
      <c r="U15" s="950"/>
      <c r="V15" s="950"/>
      <c r="W15" s="950"/>
      <c r="X15" s="950"/>
      <c r="Y15" s="950"/>
      <c r="Z15" s="950"/>
      <c r="AA15" s="950"/>
    </row>
    <row r="16" spans="1:54" ht="15" customHeight="1">
      <c r="A16" s="10"/>
      <c r="B16" s="950"/>
      <c r="C16" s="950"/>
      <c r="D16" s="950"/>
      <c r="E16" s="950"/>
      <c r="F16" s="950"/>
      <c r="G16" s="950"/>
      <c r="H16" s="950"/>
      <c r="I16" s="950"/>
      <c r="J16" s="950"/>
      <c r="K16" s="950"/>
      <c r="L16" s="950"/>
      <c r="M16" s="950"/>
      <c r="N16" s="950"/>
      <c r="O16" s="950"/>
      <c r="P16" s="950"/>
      <c r="Q16" s="950"/>
      <c r="R16" s="950"/>
      <c r="S16" s="950"/>
      <c r="T16" s="950"/>
      <c r="U16" s="950"/>
      <c r="V16" s="950"/>
      <c r="W16" s="950"/>
      <c r="X16" s="950"/>
      <c r="Y16" s="950"/>
      <c r="Z16" s="950"/>
      <c r="AA16" s="950"/>
    </row>
    <row r="17" spans="1:27" ht="15" customHeight="1">
      <c r="A17" s="924"/>
      <c r="B17" s="924"/>
      <c r="C17" s="924"/>
      <c r="D17" s="924"/>
      <c r="E17" s="924"/>
      <c r="F17" s="924"/>
      <c r="G17" s="924"/>
      <c r="H17" s="924"/>
      <c r="I17" s="924"/>
      <c r="J17" s="924"/>
      <c r="K17" s="924"/>
      <c r="L17" s="924"/>
      <c r="M17" s="924"/>
      <c r="N17" s="924"/>
      <c r="O17" s="924"/>
      <c r="P17" s="924"/>
      <c r="Q17" s="924"/>
      <c r="R17" s="924"/>
      <c r="S17" s="924"/>
      <c r="T17" s="924"/>
      <c r="U17" s="924"/>
      <c r="V17" s="924"/>
      <c r="W17" s="924"/>
      <c r="X17" s="924"/>
      <c r="Y17" s="924"/>
      <c r="Z17" s="924"/>
      <c r="AA17" s="924"/>
    </row>
    <row r="18" spans="1:27" ht="15" customHeight="1">
      <c r="A18" s="935" t="s">
        <v>652</v>
      </c>
      <c r="B18" s="951"/>
      <c r="C18" s="951"/>
      <c r="D18" s="951"/>
      <c r="E18" s="951"/>
      <c r="F18" s="951"/>
      <c r="G18" s="951"/>
      <c r="H18" s="951"/>
      <c r="I18" s="951"/>
      <c r="J18" s="951"/>
      <c r="K18" s="951"/>
      <c r="L18" s="951"/>
      <c r="M18" s="951"/>
      <c r="N18" s="951"/>
      <c r="O18" s="951"/>
      <c r="P18" s="951"/>
      <c r="Q18" s="951"/>
      <c r="R18" s="953" t="s">
        <v>655</v>
      </c>
      <c r="S18" s="953"/>
      <c r="T18" s="953"/>
      <c r="U18" s="953"/>
      <c r="V18" s="953"/>
      <c r="W18" s="953" t="s">
        <v>656</v>
      </c>
      <c r="X18" s="953"/>
      <c r="Y18" s="953"/>
      <c r="Z18" s="953"/>
      <c r="AA18" s="953"/>
    </row>
    <row r="19" spans="1:27" ht="15" customHeight="1">
      <c r="A19" s="936" t="s">
        <v>657</v>
      </c>
      <c r="B19" s="936"/>
      <c r="C19" s="936"/>
      <c r="D19" s="936"/>
      <c r="E19" s="936"/>
      <c r="F19" s="936"/>
      <c r="G19" s="936"/>
      <c r="H19" s="936"/>
      <c r="I19" s="936"/>
      <c r="J19" s="936"/>
      <c r="K19" s="936"/>
      <c r="L19" s="936"/>
      <c r="M19" s="936"/>
      <c r="N19" s="936"/>
      <c r="O19" s="936"/>
      <c r="P19" s="936"/>
      <c r="Q19" s="936"/>
      <c r="R19" s="960">
        <v>0</v>
      </c>
      <c r="S19" s="961"/>
      <c r="T19" s="961"/>
      <c r="U19" s="961"/>
      <c r="V19" s="961"/>
      <c r="W19" s="960">
        <v>0</v>
      </c>
      <c r="X19" s="961"/>
      <c r="Y19" s="961"/>
      <c r="Z19" s="961"/>
      <c r="AA19" s="961"/>
    </row>
    <row r="20" spans="1:27" ht="15" customHeight="1">
      <c r="A20" s="966" t="s">
        <v>657</v>
      </c>
      <c r="B20" s="967"/>
      <c r="C20" s="967"/>
      <c r="D20" s="967"/>
      <c r="E20" s="967"/>
      <c r="F20" s="967"/>
      <c r="G20" s="967"/>
      <c r="H20" s="967"/>
      <c r="I20" s="967"/>
      <c r="J20" s="967"/>
      <c r="K20" s="967"/>
      <c r="L20" s="967"/>
      <c r="M20" s="967"/>
      <c r="N20" s="967"/>
      <c r="O20" s="967"/>
      <c r="P20" s="967"/>
      <c r="Q20" s="968"/>
      <c r="R20" s="963">
        <v>0</v>
      </c>
      <c r="S20" s="964"/>
      <c r="T20" s="964"/>
      <c r="U20" s="964"/>
      <c r="V20" s="964"/>
      <c r="W20" s="963">
        <v>0</v>
      </c>
      <c r="X20" s="964"/>
      <c r="Y20" s="964"/>
      <c r="Z20" s="964"/>
      <c r="AA20" s="964"/>
    </row>
    <row r="21" spans="1:27" ht="15" customHeight="1">
      <c r="A21" s="924"/>
      <c r="B21" s="924"/>
      <c r="C21" s="924"/>
      <c r="D21" s="924"/>
      <c r="E21" s="924"/>
      <c r="F21" s="924"/>
      <c r="G21" s="924"/>
      <c r="H21" s="924"/>
      <c r="I21" s="924"/>
      <c r="J21" s="924"/>
      <c r="K21" s="924"/>
      <c r="L21" s="924"/>
      <c r="M21" s="924"/>
      <c r="N21" s="924"/>
      <c r="O21" s="924"/>
      <c r="P21" s="924"/>
      <c r="Q21" s="924"/>
      <c r="R21" s="962"/>
      <c r="S21" s="924"/>
      <c r="T21" s="924"/>
      <c r="U21" s="924"/>
      <c r="V21" s="924"/>
      <c r="W21" s="962"/>
      <c r="X21" s="924"/>
      <c r="Y21" s="924"/>
      <c r="Z21" s="924"/>
      <c r="AA21" s="924"/>
    </row>
    <row r="22" spans="1:27" ht="15" customHeight="1">
      <c r="A22" s="969" t="s">
        <v>653</v>
      </c>
      <c r="B22" s="970"/>
      <c r="C22" s="970"/>
      <c r="D22" s="970"/>
      <c r="E22" s="970"/>
      <c r="F22" s="970"/>
      <c r="G22" s="970"/>
      <c r="H22" s="970"/>
      <c r="I22" s="970"/>
      <c r="J22" s="970"/>
      <c r="K22" s="970"/>
      <c r="L22" s="970"/>
      <c r="M22" s="970"/>
      <c r="N22" s="970"/>
      <c r="O22" s="970"/>
      <c r="P22" s="970"/>
      <c r="Q22" s="970"/>
      <c r="R22" s="965" t="s">
        <v>655</v>
      </c>
      <c r="S22" s="965"/>
      <c r="T22" s="965"/>
      <c r="U22" s="965"/>
      <c r="V22" s="965"/>
      <c r="W22" s="965" t="s">
        <v>656</v>
      </c>
      <c r="X22" s="965"/>
      <c r="Y22" s="965"/>
      <c r="Z22" s="965"/>
      <c r="AA22" s="965"/>
    </row>
    <row r="23" spans="1:27" ht="15" customHeight="1">
      <c r="A23" s="936"/>
      <c r="B23" s="936"/>
      <c r="C23" s="936"/>
      <c r="D23" s="936"/>
      <c r="E23" s="936"/>
      <c r="F23" s="936"/>
      <c r="G23" s="936"/>
      <c r="H23" s="936"/>
      <c r="I23" s="936"/>
      <c r="J23" s="936"/>
      <c r="K23" s="936"/>
      <c r="L23" s="936"/>
      <c r="M23" s="936"/>
      <c r="N23" s="936"/>
      <c r="O23" s="936"/>
      <c r="P23" s="936"/>
      <c r="Q23" s="936"/>
      <c r="R23" s="972"/>
      <c r="S23" s="972"/>
      <c r="T23" s="972"/>
      <c r="U23" s="972"/>
      <c r="V23" s="972"/>
      <c r="W23" s="972"/>
      <c r="X23" s="972"/>
      <c r="Y23" s="972"/>
      <c r="Z23" s="972"/>
      <c r="AA23" s="972"/>
    </row>
    <row r="24" spans="1:27" ht="15" customHeight="1">
      <c r="A24" s="936"/>
      <c r="B24" s="936"/>
      <c r="C24" s="936"/>
      <c r="D24" s="936"/>
      <c r="E24" s="936"/>
      <c r="F24" s="936"/>
      <c r="G24" s="936"/>
      <c r="H24" s="936"/>
      <c r="I24" s="936"/>
      <c r="J24" s="936"/>
      <c r="K24" s="936"/>
      <c r="L24" s="936"/>
      <c r="M24" s="936"/>
      <c r="N24" s="936"/>
      <c r="O24" s="936"/>
      <c r="P24" s="936"/>
      <c r="Q24" s="936"/>
      <c r="R24" s="972"/>
      <c r="S24" s="972"/>
      <c r="T24" s="972"/>
      <c r="U24" s="972"/>
      <c r="V24" s="972"/>
      <c r="W24" s="972"/>
      <c r="X24" s="972"/>
      <c r="Y24" s="972"/>
      <c r="Z24" s="972"/>
      <c r="AA24" s="972"/>
    </row>
    <row r="25" spans="1:27" ht="15" customHeight="1">
      <c r="A25" s="971" t="s">
        <v>657</v>
      </c>
      <c r="B25" s="971"/>
      <c r="C25" s="971"/>
      <c r="D25" s="971"/>
      <c r="E25" s="971"/>
      <c r="F25" s="971"/>
      <c r="G25" s="971"/>
      <c r="H25" s="971"/>
      <c r="I25" s="971"/>
      <c r="J25" s="971"/>
      <c r="K25" s="971"/>
      <c r="L25" s="971"/>
      <c r="M25" s="971"/>
      <c r="N25" s="971"/>
      <c r="O25" s="971"/>
      <c r="P25" s="971"/>
      <c r="Q25" s="971"/>
      <c r="R25" s="963">
        <v>0</v>
      </c>
      <c r="S25" s="935"/>
      <c r="T25" s="935"/>
      <c r="U25" s="935"/>
      <c r="V25" s="935"/>
      <c r="W25" s="963">
        <v>0</v>
      </c>
      <c r="X25" s="935"/>
      <c r="Y25" s="935"/>
      <c r="Z25" s="935"/>
      <c r="AA25" s="935"/>
    </row>
  </sheetData>
  <sortState xmlns:xlrd2="http://schemas.microsoft.com/office/spreadsheetml/2017/richdata2" ref="A23:AA25">
    <sortCondition ref="A23"/>
  </sortState>
  <mergeCells count="43">
    <mergeCell ref="A25:Q25"/>
    <mergeCell ref="R25:V25"/>
    <mergeCell ref="W25:AA25"/>
    <mergeCell ref="A23:Q23"/>
    <mergeCell ref="R23:V23"/>
    <mergeCell ref="W23:AA23"/>
    <mergeCell ref="A24:Q24"/>
    <mergeCell ref="R24:V24"/>
    <mergeCell ref="W24:AA24"/>
    <mergeCell ref="W19:AA19"/>
    <mergeCell ref="A21:AA21"/>
    <mergeCell ref="R20:V20"/>
    <mergeCell ref="B12:AA12"/>
    <mergeCell ref="R22:V22"/>
    <mergeCell ref="W22:AA22"/>
    <mergeCell ref="A20:Q20"/>
    <mergeCell ref="A22:Q22"/>
    <mergeCell ref="W20:AA20"/>
    <mergeCell ref="A19:Q19"/>
    <mergeCell ref="R19:V19"/>
    <mergeCell ref="AV3:BB4"/>
    <mergeCell ref="B15:AA15"/>
    <mergeCell ref="A18:Q18"/>
    <mergeCell ref="B14:AA14"/>
    <mergeCell ref="B13:AA13"/>
    <mergeCell ref="A9:AA9"/>
    <mergeCell ref="R18:V18"/>
    <mergeCell ref="B16:AA16"/>
    <mergeCell ref="B11:AA11"/>
    <mergeCell ref="W18:AA18"/>
    <mergeCell ref="Y7:AA7"/>
    <mergeCell ref="A17:AA17"/>
    <mergeCell ref="A8:AA8"/>
    <mergeCell ref="AF3:AU4"/>
    <mergeCell ref="B10:AA10"/>
    <mergeCell ref="I1:AA2"/>
    <mergeCell ref="A1:H7"/>
    <mergeCell ref="I3:AA5"/>
    <mergeCell ref="I6:U6"/>
    <mergeCell ref="V6:X6"/>
    <mergeCell ref="Y6:AA6"/>
    <mergeCell ref="I7:U7"/>
    <mergeCell ref="V7:X7"/>
  </mergeCells>
  <phoneticPr fontId="0" type="noConversion"/>
  <conditionalFormatting sqref="I1:AA2 I3">
    <cfRule type="cellIs" dxfId="15" priority="29" stopIfTrue="1" operator="equal">
      <formula>"CLIENTE"</formula>
    </cfRule>
  </conditionalFormatting>
  <conditionalFormatting sqref="I3:AA4">
    <cfRule type="cellIs" dxfId="14" priority="28" stopIfTrue="1" operator="equal">
      <formula>"EQUIPAMENTO"</formula>
    </cfRule>
  </conditionalFormatting>
  <conditionalFormatting sqref="F7 D6 N6 I3 I1">
    <cfRule type="cellIs" dxfId="13" priority="27" stopIfTrue="1" operator="equal">
      <formula>""</formula>
    </cfRule>
  </conditionalFormatting>
  <conditionalFormatting sqref="D6 AA6 I3 N6:X6 I1">
    <cfRule type="cellIs" dxfId="12" priority="26" stopIfTrue="1" operator="equal">
      <formula>"880............."</formula>
    </cfRule>
  </conditionalFormatting>
  <conditionalFormatting sqref="AA6">
    <cfRule type="cellIs" dxfId="11" priority="24" stopIfTrue="1" operator="equal">
      <formula>"x"</formula>
    </cfRule>
  </conditionalFormatting>
  <pageMargins left="0.59055118110236227" right="0.59055118110236227" top="0.78740157480314965" bottom="0.78740157480314965" header="0" footer="0.51181102362204722"/>
  <pageSetup paperSize="9" scale="90" orientation="portrait" r:id="rId1"/>
  <headerFooter alignWithMargins="0">
    <oddFooter>&amp;C&amp;F - &amp;A&amp;RPag.: &amp;P de &amp;N&amp;L&amp;D - &amp;T
&amp;K808080&amp;"Trebuchet MS"CLASSIFICAÇÃO DO DOCUMENTO: INTERNO</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8124" r:id="rId5" name="Button 780">
              <controlPr defaultSize="0" print="0" autoFill="0" autoPict="0" macro="[0]!botao_converterSIparaINGLESAS">
                <anchor moveWithCells="1" sizeWithCells="1">
                  <from>
                    <xdr:col>30</xdr:col>
                    <xdr:colOff>251460</xdr:colOff>
                    <xdr:row>5</xdr:row>
                    <xdr:rowOff>152400</xdr:rowOff>
                  </from>
                  <to>
                    <xdr:col>48</xdr:col>
                    <xdr:colOff>251460</xdr:colOff>
                    <xdr:row>8</xdr:row>
                    <xdr:rowOff>106680</xdr:rowOff>
                  </to>
                </anchor>
              </controlPr>
            </control>
          </mc:Choice>
        </mc:AlternateContent>
        <mc:AlternateContent xmlns:mc="http://schemas.openxmlformats.org/markup-compatibility/2006">
          <mc:Choice Requires="x14">
            <control shapeId="58125" r:id="rId6" name="Button 781">
              <controlPr defaultSize="0" print="0" autoFill="0" autoPict="0" macro="[0]!botao_converterINGLESASparaSI">
                <anchor moveWithCells="1" sizeWithCells="1">
                  <from>
                    <xdr:col>30</xdr:col>
                    <xdr:colOff>251460</xdr:colOff>
                    <xdr:row>9</xdr:row>
                    <xdr:rowOff>60960</xdr:rowOff>
                  </from>
                  <to>
                    <xdr:col>48</xdr:col>
                    <xdr:colOff>251460</xdr:colOff>
                    <xdr:row>11</xdr:row>
                    <xdr:rowOff>106680</xdr:rowOff>
                  </to>
                </anchor>
              </controlPr>
            </control>
          </mc:Choice>
        </mc:AlternateContent>
        <mc:AlternateContent xmlns:mc="http://schemas.openxmlformats.org/markup-compatibility/2006">
          <mc:Choice Requires="x14">
            <control shapeId="80537" r:id="rId7" name="Button 1689">
              <controlPr defaultSize="0" print="0" autoFill="0" autoPict="0" macro="[0]!salvarListaSemMemoria">
                <anchor moveWithCells="1" sizeWithCells="1">
                  <from>
                    <xdr:col>35</xdr:col>
                    <xdr:colOff>228600</xdr:colOff>
                    <xdr:row>13</xdr:row>
                    <xdr:rowOff>30480</xdr:rowOff>
                  </from>
                  <to>
                    <xdr:col>42</xdr:col>
                    <xdr:colOff>137160</xdr:colOff>
                    <xdr:row>16</xdr:row>
                    <xdr:rowOff>99060</xdr:rowOff>
                  </to>
                </anchor>
              </controlPr>
            </control>
          </mc:Choice>
        </mc:AlternateContent>
        <mc:AlternateContent xmlns:mc="http://schemas.openxmlformats.org/markup-compatibility/2006">
          <mc:Choice Requires="x14">
            <control shapeId="80538" r:id="rId8" name="Button 1690">
              <controlPr defaultSize="0" print="0" autoFill="0" autoPict="0" macro="[0]!CompiledBom">
                <anchor moveWithCells="1" sizeWithCells="1">
                  <from>
                    <xdr:col>35</xdr:col>
                    <xdr:colOff>228600</xdr:colOff>
                    <xdr:row>17</xdr:row>
                    <xdr:rowOff>30480</xdr:rowOff>
                  </from>
                  <to>
                    <xdr:col>42</xdr:col>
                    <xdr:colOff>137160</xdr:colOff>
                    <xdr:row>20</xdr:row>
                    <xdr:rowOff>99060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19C45-F965-4EE0-B31A-20D6876FC8FA}">
  <sheetPr codeName="Planilha2"/>
  <dimension ref="A1:F32"/>
  <sheetViews>
    <sheetView showGridLines="0" workbookViewId="0">
      <selection activeCell="B2" sqref="B2"/>
    </sheetView>
  </sheetViews>
  <sheetFormatPr defaultRowHeight="13.2"/>
  <cols>
    <col min="1" max="1" width="29.33203125" customWidth="1"/>
    <col min="2" max="3" width="16.109375" customWidth="1"/>
    <col min="5" max="5" width="29.33203125" customWidth="1"/>
    <col min="6" max="6" width="16.109375" customWidth="1"/>
  </cols>
  <sheetData>
    <row r="1" spans="1:6">
      <c r="A1" s="627" t="s">
        <v>499</v>
      </c>
      <c r="B1" s="627" t="s">
        <v>665</v>
      </c>
      <c r="C1" s="628" t="s">
        <v>2179</v>
      </c>
      <c r="D1" s="627"/>
      <c r="E1" s="627" t="s">
        <v>2180</v>
      </c>
      <c r="F1" s="627" t="s">
        <v>665</v>
      </c>
    </row>
    <row r="2" spans="1:6">
      <c r="A2" s="982" t="s">
        <v>667</v>
      </c>
      <c r="B2" s="977" t="s">
        <v>13160</v>
      </c>
      <c r="C2" s="983"/>
      <c r="E2" s="981" t="s">
        <v>484</v>
      </c>
      <c r="F2" s="977"/>
    </row>
    <row r="3" spans="1:6">
      <c r="A3" s="981" t="s">
        <v>2263</v>
      </c>
      <c r="B3" s="977"/>
      <c r="C3" s="983"/>
      <c r="E3" s="981" t="s">
        <v>2194</v>
      </c>
      <c r="F3" s="977"/>
    </row>
    <row r="4" spans="1:6">
      <c r="A4" s="981" t="s">
        <v>2274</v>
      </c>
      <c r="B4" s="977"/>
      <c r="C4" s="983"/>
      <c r="E4" s="981" t="s">
        <v>253</v>
      </c>
      <c r="F4" s="977"/>
    </row>
    <row r="5" spans="1:6">
      <c r="A5" s="981" t="s">
        <v>2271</v>
      </c>
      <c r="B5" s="977"/>
      <c r="C5" s="983"/>
      <c r="E5" s="981" t="s">
        <v>2275</v>
      </c>
      <c r="F5" s="977"/>
    </row>
    <row r="6" spans="1:6">
      <c r="A6" s="981" t="s">
        <v>2276</v>
      </c>
      <c r="B6" s="977"/>
      <c r="C6" s="983"/>
      <c r="E6" s="981" t="s">
        <v>252</v>
      </c>
      <c r="F6" s="977"/>
    </row>
    <row r="7" spans="1:6">
      <c r="A7" s="981" t="s">
        <v>2269</v>
      </c>
      <c r="B7" s="977"/>
      <c r="C7" s="983"/>
      <c r="E7" s="981" t="s">
        <v>2054</v>
      </c>
      <c r="F7" s="977"/>
    </row>
    <row r="8" spans="1:6">
      <c r="A8" s="981" t="s">
        <v>2267</v>
      </c>
      <c r="B8" s="977"/>
      <c r="C8" s="983"/>
      <c r="E8" s="981" t="s">
        <v>225</v>
      </c>
      <c r="F8" s="977"/>
    </row>
    <row r="9" spans="1:6">
      <c r="A9" s="981" t="s">
        <v>2264</v>
      </c>
      <c r="B9" s="977"/>
      <c r="C9" s="983"/>
      <c r="E9" s="981" t="s">
        <v>226</v>
      </c>
      <c r="F9" s="977"/>
    </row>
    <row r="10" spans="1:6">
      <c r="A10" s="981" t="s">
        <v>2277</v>
      </c>
      <c r="B10" s="977"/>
      <c r="C10" s="977"/>
      <c r="E10" s="981" t="s">
        <v>232</v>
      </c>
      <c r="F10" s="977"/>
    </row>
    <row r="11" spans="1:6">
      <c r="B11" s="627"/>
      <c r="C11" s="627"/>
      <c r="E11" s="981" t="s">
        <v>2272</v>
      </c>
      <c r="F11" s="977"/>
    </row>
    <row r="12" spans="1:6">
      <c r="B12" s="627"/>
      <c r="C12" s="627"/>
      <c r="E12" s="981" t="s">
        <v>240</v>
      </c>
      <c r="F12" s="977"/>
    </row>
    <row r="13" spans="1:6">
      <c r="B13" s="627"/>
      <c r="C13" s="627"/>
      <c r="E13" s="981" t="s">
        <v>2009</v>
      </c>
      <c r="F13" s="977"/>
    </row>
    <row r="14" spans="1:6">
      <c r="B14" s="627"/>
      <c r="C14" s="627"/>
      <c r="E14" s="981" t="s">
        <v>2008</v>
      </c>
      <c r="F14" s="977"/>
    </row>
    <row r="15" spans="1:6">
      <c r="E15" s="981" t="s">
        <v>2007</v>
      </c>
      <c r="F15" s="977"/>
    </row>
    <row r="16" spans="1:6">
      <c r="E16" s="981" t="s">
        <v>13097</v>
      </c>
      <c r="F16" s="977"/>
    </row>
    <row r="17" spans="5:6">
      <c r="E17" s="981" t="s">
        <v>1982</v>
      </c>
      <c r="F17" s="977"/>
    </row>
    <row r="18" spans="5:6">
      <c r="E18" s="981" t="s">
        <v>1983</v>
      </c>
      <c r="F18" s="977"/>
    </row>
    <row r="19" spans="5:6">
      <c r="E19" s="981" t="s">
        <v>1991</v>
      </c>
      <c r="F19" s="977"/>
    </row>
    <row r="20" spans="5:6">
      <c r="E20" s="981" t="s">
        <v>1989</v>
      </c>
      <c r="F20" s="977"/>
    </row>
    <row r="21" spans="5:6">
      <c r="E21" s="981" t="s">
        <v>1990</v>
      </c>
      <c r="F21" s="977"/>
    </row>
    <row r="22" spans="5:6">
      <c r="E22" s="981" t="s">
        <v>1995</v>
      </c>
      <c r="F22" s="977"/>
    </row>
    <row r="23" spans="5:6">
      <c r="E23" s="981" t="s">
        <v>1994</v>
      </c>
      <c r="F23" s="977"/>
    </row>
    <row r="24" spans="5:6">
      <c r="E24" s="981" t="s">
        <v>1998</v>
      </c>
      <c r="F24" s="977"/>
    </row>
    <row r="25" spans="5:6">
      <c r="E25" s="981" t="s">
        <v>1997</v>
      </c>
      <c r="F25" s="977"/>
    </row>
    <row r="26" spans="5:6">
      <c r="E26" s="981" t="s">
        <v>2001</v>
      </c>
      <c r="F26" s="977"/>
    </row>
    <row r="27" spans="5:6">
      <c r="E27" s="981" t="s">
        <v>2000</v>
      </c>
      <c r="F27" s="977"/>
    </row>
    <row r="28" spans="5:6">
      <c r="E28" s="981" t="s">
        <v>2005</v>
      </c>
      <c r="F28" s="977"/>
    </row>
    <row r="29" spans="5:6">
      <c r="E29" s="981" t="s">
        <v>2003</v>
      </c>
      <c r="F29" s="977"/>
    </row>
    <row r="30" spans="5:6">
      <c r="E30" s="981" t="s">
        <v>2270</v>
      </c>
      <c r="F30" s="977"/>
    </row>
    <row r="31" spans="5:6">
      <c r="E31" s="981" t="s">
        <v>2273</v>
      </c>
      <c r="F31" s="977"/>
    </row>
    <row r="32" spans="5:6">
      <c r="E32" s="981" t="s">
        <v>1399</v>
      </c>
      <c r="F32" s="977"/>
    </row>
  </sheetData>
  <conditionalFormatting sqref="A2:C14">
    <cfRule type="expression" dxfId="10" priority="2">
      <formula>$B2="Manual"</formula>
    </cfRule>
  </conditionalFormatting>
  <conditionalFormatting sqref="A2:C10">
    <cfRule type="expression" dxfId="9" priority="3">
      <formula>$C2="Add-On"</formula>
    </cfRule>
  </conditionalFormatting>
  <conditionalFormatting sqref="E2:F32">
    <cfRule type="expression" dxfId="8" priority="1">
      <formula>$F2="Manual"</formula>
    </cfRule>
  </conditionalFormatting>
  <conditionalFormatting sqref="B2:C10">
    <cfRule type="containsBlanks" dxfId="7" priority="4">
      <formula>LEN(TRIM(B2))=0</formula>
    </cfRule>
  </conditionalFormatting>
  <dataValidations count="2">
    <dataValidation type="list" allowBlank="1" showInputMessage="1" showErrorMessage="1" sqref="F2:F32 B2:B10" xr:uid="{2EB916F9-B5D4-4678-8E05-F25EB9C5033A}">
      <formula1>"Manual"</formula1>
    </dataValidation>
    <dataValidation type="list" allowBlank="1" showInputMessage="1" showErrorMessage="1" sqref="C2:C10" xr:uid="{DB3C9384-7DBF-4A54-868B-123A0D784D93}">
      <formula1>"Add-On"</formula1>
    </dataValidation>
  </dataValidations>
  <pageMargins left="0.511811024" right="0.511811024" top="0.78740157499999996" bottom="0.78740157499999996" header="0.31496062000000002" footer="0.31496062000000002"/>
  <pageSetup paperSize="9" orientation="portrait" r:id="rId1"/>
  <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87AD9-92DF-4C0F-955A-810D050AB4A2}">
  <sheetPr codeName="Planilha3"/>
  <dimension ref="A1:O996"/>
  <sheetViews>
    <sheetView showGridLines="0" zoomScale="85" zoomScaleNormal="85" workbookViewId="0">
      <selection activeCell="I15" sqref="I15"/>
    </sheetView>
  </sheetViews>
  <sheetFormatPr defaultRowHeight="13.2"/>
  <cols>
    <col min="1" max="1" width="78.88671875" bestFit="1" customWidth="1"/>
    <col min="2" max="2" width="8.5546875" customWidth="1"/>
    <col min="3" max="3" width="16.109375" bestFit="1" customWidth="1"/>
    <col min="4" max="4" width="8.5546875" customWidth="1"/>
    <col min="5" max="5" width="10" bestFit="1" customWidth="1"/>
    <col min="6" max="6" width="11.88671875" bestFit="1" customWidth="1"/>
    <col min="7" max="7" width="11.6640625" bestFit="1" customWidth="1"/>
    <col min="8" max="8" width="12.88671875" bestFit="1" customWidth="1"/>
    <col min="9" max="9" width="24.5546875" bestFit="1" customWidth="1"/>
    <col min="10" max="10" width="19.44140625" bestFit="1" customWidth="1"/>
    <col min="11" max="12" width="12.88671875" bestFit="1" customWidth="1"/>
    <col min="13" max="13" width="16.6640625" bestFit="1" customWidth="1"/>
    <col min="14" max="14" width="13.33203125" bestFit="1" customWidth="1"/>
    <col min="15" max="15" width="8.109375" bestFit="1" customWidth="1"/>
  </cols>
  <sheetData>
    <row r="1" spans="1:15">
      <c r="A1" t="s">
        <v>2195</v>
      </c>
      <c r="E1" s="973" t="s">
        <v>2196</v>
      </c>
      <c r="F1" s="974"/>
      <c r="G1" s="974"/>
      <c r="H1" s="974"/>
      <c r="I1" s="974"/>
      <c r="J1" s="974"/>
      <c r="K1" s="974"/>
      <c r="L1" s="974"/>
      <c r="M1" s="975"/>
      <c r="N1" s="722"/>
      <c r="O1" s="723"/>
    </row>
    <row r="2" spans="1:15">
      <c r="A2" s="976" t="s">
        <v>2197</v>
      </c>
      <c r="E2" s="627" t="s">
        <v>96</v>
      </c>
      <c r="F2" s="627" t="s">
        <v>2180</v>
      </c>
      <c r="G2" s="627" t="s">
        <v>499</v>
      </c>
      <c r="H2" s="627" t="s">
        <v>2186</v>
      </c>
      <c r="I2" s="627" t="s">
        <v>2198</v>
      </c>
      <c r="J2" s="627" t="s">
        <v>2199</v>
      </c>
      <c r="K2" s="627" t="s">
        <v>10</v>
      </c>
      <c r="L2" s="628" t="s">
        <v>12974</v>
      </c>
      <c r="M2" s="628" t="s">
        <v>12975</v>
      </c>
    </row>
    <row r="3" spans="1:15">
      <c r="A3" s="976" t="s">
        <v>2200</v>
      </c>
      <c r="B3" s="340"/>
      <c r="E3" s="627"/>
      <c r="F3" s="627"/>
      <c r="G3" s="627"/>
      <c r="H3" s="627"/>
      <c r="I3" s="627"/>
      <c r="J3" s="627"/>
      <c r="K3" s="724"/>
      <c r="L3" s="627"/>
      <c r="M3" s="627"/>
    </row>
    <row r="4" spans="1:15">
      <c r="A4" s="976" t="s">
        <v>2201</v>
      </c>
    </row>
    <row r="5" spans="1:15">
      <c r="A5" s="976" t="s">
        <v>2202</v>
      </c>
    </row>
    <row r="6" spans="1:15" ht="13.8" thickBot="1">
      <c r="A6" s="976" t="s">
        <v>2203</v>
      </c>
    </row>
    <row r="7" spans="1:15" ht="13.8" thickTop="1">
      <c r="A7" s="976" t="s">
        <v>2204</v>
      </c>
      <c r="C7" s="631" t="s">
        <v>2205</v>
      </c>
    </row>
    <row r="8" spans="1:15" ht="13.8" thickBot="1">
      <c r="A8" s="976" t="s">
        <v>2206</v>
      </c>
      <c r="C8" s="632">
        <v>10</v>
      </c>
    </row>
    <row r="9" spans="1:15" ht="14.4" thickTop="1" thickBot="1">
      <c r="A9" s="976" t="s">
        <v>2206</v>
      </c>
    </row>
    <row r="10" spans="1:15" ht="13.8" thickTop="1">
      <c r="A10" s="976" t="s">
        <v>2206</v>
      </c>
      <c r="C10" s="633" t="s">
        <v>2207</v>
      </c>
    </row>
    <row r="11" spans="1:15" ht="13.8" thickBot="1">
      <c r="A11" s="976" t="s">
        <v>2280</v>
      </c>
      <c r="C11" s="634" t="s">
        <v>2208</v>
      </c>
    </row>
    <row r="12" spans="1:15" ht="13.8" thickTop="1">
      <c r="A12" s="976" t="s">
        <v>2209</v>
      </c>
    </row>
    <row r="13" spans="1:15">
      <c r="A13" s="976" t="s">
        <v>2210</v>
      </c>
    </row>
    <row r="14" spans="1:15">
      <c r="A14" s="976" t="s">
        <v>2211</v>
      </c>
    </row>
    <row r="15" spans="1:15">
      <c r="A15" s="976" t="s">
        <v>2212</v>
      </c>
    </row>
    <row r="16" spans="1:15">
      <c r="A16" s="976" t="s">
        <v>2206</v>
      </c>
    </row>
    <row r="17" spans="1:1">
      <c r="A17" s="976" t="s">
        <v>2213</v>
      </c>
    </row>
    <row r="18" spans="1:1">
      <c r="A18" s="976" t="s">
        <v>2209</v>
      </c>
    </row>
    <row r="19" spans="1:1">
      <c r="A19" s="976" t="s">
        <v>2214</v>
      </c>
    </row>
    <row r="20" spans="1:1">
      <c r="A20" s="976" t="s">
        <v>2215</v>
      </c>
    </row>
    <row r="21" spans="1:1">
      <c r="A21" s="976" t="s">
        <v>2237</v>
      </c>
    </row>
    <row r="22" spans="1:1">
      <c r="A22" s="976" t="s">
        <v>2216</v>
      </c>
    </row>
    <row r="23" spans="1:1">
      <c r="A23" s="976" t="s">
        <v>2216</v>
      </c>
    </row>
    <row r="24" spans="1:1">
      <c r="A24" s="976" t="s">
        <v>2216</v>
      </c>
    </row>
    <row r="25" spans="1:1">
      <c r="A25" s="976" t="s">
        <v>2216</v>
      </c>
    </row>
    <row r="26" spans="1:1">
      <c r="A26" s="976" t="s">
        <v>2284</v>
      </c>
    </row>
    <row r="27" spans="1:1">
      <c r="A27" s="976" t="s">
        <v>2216</v>
      </c>
    </row>
    <row r="28" spans="1:1">
      <c r="A28" s="976" t="s">
        <v>2216</v>
      </c>
    </row>
    <row r="29" spans="1:1">
      <c r="A29" s="976" t="s">
        <v>2216</v>
      </c>
    </row>
    <row r="30" spans="1:1">
      <c r="A30" s="976" t="s">
        <v>2216</v>
      </c>
    </row>
    <row r="31" spans="1:1">
      <c r="A31" s="976" t="s">
        <v>2216</v>
      </c>
    </row>
    <row r="32" spans="1:1">
      <c r="A32" s="976" t="s">
        <v>2216</v>
      </c>
    </row>
    <row r="33" spans="1:1">
      <c r="A33" s="976" t="s">
        <v>2216</v>
      </c>
    </row>
    <row r="34" spans="1:1">
      <c r="A34" s="976" t="s">
        <v>2216</v>
      </c>
    </row>
    <row r="35" spans="1:1">
      <c r="A35" s="976" t="s">
        <v>2216</v>
      </c>
    </row>
    <row r="36" spans="1:1">
      <c r="A36" s="984" t="s">
        <v>2285</v>
      </c>
    </row>
    <row r="37" spans="1:1">
      <c r="A37" s="976" t="s">
        <v>2216</v>
      </c>
    </row>
    <row r="38" spans="1:1">
      <c r="A38" s="976" t="s">
        <v>2216</v>
      </c>
    </row>
    <row r="39" spans="1:1">
      <c r="A39" s="976" t="s">
        <v>2286</v>
      </c>
    </row>
    <row r="40" spans="1:1">
      <c r="A40" s="976" t="s">
        <v>2218</v>
      </c>
    </row>
    <row r="41" spans="1:1">
      <c r="A41" s="976" t="s">
        <v>2214</v>
      </c>
    </row>
    <row r="42" spans="1:1">
      <c r="A42" s="976" t="s">
        <v>2211</v>
      </c>
    </row>
    <row r="43" spans="1:1">
      <c r="A43" s="976" t="s">
        <v>2249</v>
      </c>
    </row>
    <row r="44" spans="1:1">
      <c r="A44" s="976" t="s">
        <v>2206</v>
      </c>
    </row>
    <row r="45" spans="1:1">
      <c r="A45" s="976" t="s">
        <v>2213</v>
      </c>
    </row>
    <row r="46" spans="1:1">
      <c r="A46" s="976" t="s">
        <v>2209</v>
      </c>
    </row>
    <row r="47" spans="1:1">
      <c r="A47" s="976" t="s">
        <v>2214</v>
      </c>
    </row>
    <row r="48" spans="1:1">
      <c r="A48" s="976" t="s">
        <v>2229</v>
      </c>
    </row>
    <row r="49" spans="1:1">
      <c r="A49" s="976" t="s">
        <v>2216</v>
      </c>
    </row>
    <row r="50" spans="1:1">
      <c r="A50" s="976" t="s">
        <v>2216</v>
      </c>
    </row>
    <row r="51" spans="1:1">
      <c r="A51" s="976" t="s">
        <v>2216</v>
      </c>
    </row>
    <row r="52" spans="1:1">
      <c r="A52" s="976" t="s">
        <v>2216</v>
      </c>
    </row>
    <row r="53" spans="1:1">
      <c r="A53" s="976" t="s">
        <v>2216</v>
      </c>
    </row>
    <row r="54" spans="1:1">
      <c r="A54" s="976" t="s">
        <v>2216</v>
      </c>
    </row>
    <row r="55" spans="1:1">
      <c r="A55" s="976" t="s">
        <v>2287</v>
      </c>
    </row>
    <row r="56" spans="1:1">
      <c r="A56" s="976" t="s">
        <v>2216</v>
      </c>
    </row>
    <row r="57" spans="1:1">
      <c r="A57" s="976" t="s">
        <v>2216</v>
      </c>
    </row>
    <row r="58" spans="1:1">
      <c r="A58" s="976" t="s">
        <v>2216</v>
      </c>
    </row>
    <row r="59" spans="1:1">
      <c r="A59" s="976" t="s">
        <v>2216</v>
      </c>
    </row>
    <row r="60" spans="1:1">
      <c r="A60" s="976" t="s">
        <v>2216</v>
      </c>
    </row>
    <row r="61" spans="1:1">
      <c r="A61" s="976" t="s">
        <v>2216</v>
      </c>
    </row>
    <row r="62" spans="1:1">
      <c r="A62" s="976" t="s">
        <v>2216</v>
      </c>
    </row>
    <row r="63" spans="1:1">
      <c r="A63" s="976" t="s">
        <v>2216</v>
      </c>
    </row>
    <row r="64" spans="1:1">
      <c r="A64" s="976" t="s">
        <v>2216</v>
      </c>
    </row>
    <row r="65" spans="1:1">
      <c r="A65" s="976" t="s">
        <v>2288</v>
      </c>
    </row>
    <row r="66" spans="1:1">
      <c r="A66" s="976" t="s">
        <v>2216</v>
      </c>
    </row>
    <row r="67" spans="1:1">
      <c r="A67" s="976" t="s">
        <v>2216</v>
      </c>
    </row>
    <row r="68" spans="1:1">
      <c r="A68" s="976" t="s">
        <v>2289</v>
      </c>
    </row>
    <row r="69" spans="1:1">
      <c r="A69" s="976" t="s">
        <v>2218</v>
      </c>
    </row>
    <row r="70" spans="1:1">
      <c r="A70" s="976" t="s">
        <v>2214</v>
      </c>
    </row>
    <row r="71" spans="1:1">
      <c r="A71" s="976" t="s">
        <v>2211</v>
      </c>
    </row>
    <row r="72" spans="1:1">
      <c r="A72" s="976" t="s">
        <v>2219</v>
      </c>
    </row>
    <row r="73" spans="1:1">
      <c r="A73" s="976" t="s">
        <v>2206</v>
      </c>
    </row>
    <row r="74" spans="1:1">
      <c r="A74" s="976" t="s">
        <v>2206</v>
      </c>
    </row>
    <row r="75" spans="1:1">
      <c r="A75" s="976" t="s">
        <v>2206</v>
      </c>
    </row>
    <row r="76" spans="1:1">
      <c r="A76" s="976" t="s">
        <v>2281</v>
      </c>
    </row>
    <row r="77" spans="1:1">
      <c r="A77" s="976" t="s">
        <v>2209</v>
      </c>
    </row>
    <row r="78" spans="1:1">
      <c r="A78" s="976" t="s">
        <v>2210</v>
      </c>
    </row>
    <row r="79" spans="1:1">
      <c r="A79" s="976" t="s">
        <v>2211</v>
      </c>
    </row>
    <row r="80" spans="1:1">
      <c r="A80" s="976" t="s">
        <v>2220</v>
      </c>
    </row>
    <row r="81" spans="1:1">
      <c r="A81" s="976" t="s">
        <v>2206</v>
      </c>
    </row>
    <row r="82" spans="1:1">
      <c r="A82" s="976" t="s">
        <v>2213</v>
      </c>
    </row>
    <row r="83" spans="1:1">
      <c r="A83" s="976" t="s">
        <v>2209</v>
      </c>
    </row>
    <row r="84" spans="1:1">
      <c r="A84" s="976" t="s">
        <v>2214</v>
      </c>
    </row>
    <row r="85" spans="1:1">
      <c r="A85" s="976" t="s">
        <v>2215</v>
      </c>
    </row>
    <row r="86" spans="1:1">
      <c r="A86" s="976" t="s">
        <v>2290</v>
      </c>
    </row>
    <row r="87" spans="1:1">
      <c r="A87" s="976" t="s">
        <v>2216</v>
      </c>
    </row>
    <row r="88" spans="1:1">
      <c r="A88" s="976" t="s">
        <v>2216</v>
      </c>
    </row>
    <row r="89" spans="1:1">
      <c r="A89" s="976" t="s">
        <v>2216</v>
      </c>
    </row>
    <row r="90" spans="1:1">
      <c r="A90" s="976" t="s">
        <v>2216</v>
      </c>
    </row>
    <row r="91" spans="1:1">
      <c r="A91" s="976" t="s">
        <v>2284</v>
      </c>
    </row>
    <row r="92" spans="1:1">
      <c r="A92" s="976" t="s">
        <v>2216</v>
      </c>
    </row>
    <row r="93" spans="1:1">
      <c r="A93" s="976" t="s">
        <v>2216</v>
      </c>
    </row>
    <row r="94" spans="1:1">
      <c r="A94" s="976" t="s">
        <v>2216</v>
      </c>
    </row>
    <row r="95" spans="1:1">
      <c r="A95" s="976" t="s">
        <v>2216</v>
      </c>
    </row>
    <row r="96" spans="1:1">
      <c r="A96" s="976" t="s">
        <v>2216</v>
      </c>
    </row>
    <row r="97" spans="1:1">
      <c r="A97" s="976" t="s">
        <v>2216</v>
      </c>
    </row>
    <row r="98" spans="1:1">
      <c r="A98" s="976" t="s">
        <v>2216</v>
      </c>
    </row>
    <row r="99" spans="1:1">
      <c r="A99" s="976" t="s">
        <v>2216</v>
      </c>
    </row>
    <row r="100" spans="1:1">
      <c r="A100" s="976" t="s">
        <v>2216</v>
      </c>
    </row>
    <row r="101" spans="1:1">
      <c r="A101" s="976" t="s">
        <v>2291</v>
      </c>
    </row>
    <row r="102" spans="1:1">
      <c r="A102" s="976" t="s">
        <v>2216</v>
      </c>
    </row>
    <row r="103" spans="1:1">
      <c r="A103" s="976" t="s">
        <v>2216</v>
      </c>
    </row>
    <row r="104" spans="1:1">
      <c r="A104" s="976" t="s">
        <v>2292</v>
      </c>
    </row>
    <row r="105" spans="1:1">
      <c r="A105" s="976" t="s">
        <v>2218</v>
      </c>
    </row>
    <row r="106" spans="1:1">
      <c r="A106" s="976" t="s">
        <v>2214</v>
      </c>
    </row>
    <row r="107" spans="1:1">
      <c r="A107" s="976" t="s">
        <v>2211</v>
      </c>
    </row>
    <row r="108" spans="1:1">
      <c r="A108" s="976" t="s">
        <v>2221</v>
      </c>
    </row>
    <row r="109" spans="1:1">
      <c r="A109" s="976" t="s">
        <v>2206</v>
      </c>
    </row>
    <row r="110" spans="1:1">
      <c r="A110" s="976" t="s">
        <v>2213</v>
      </c>
    </row>
    <row r="111" spans="1:1">
      <c r="A111" s="976" t="s">
        <v>2209</v>
      </c>
    </row>
    <row r="112" spans="1:1">
      <c r="A112" s="976" t="s">
        <v>2214</v>
      </c>
    </row>
    <row r="113" spans="1:1">
      <c r="A113" s="976" t="s">
        <v>2215</v>
      </c>
    </row>
    <row r="114" spans="1:1">
      <c r="A114" s="976" t="s">
        <v>2293</v>
      </c>
    </row>
    <row r="115" spans="1:1">
      <c r="A115" s="976" t="s">
        <v>2216</v>
      </c>
    </row>
    <row r="116" spans="1:1">
      <c r="A116" s="976" t="s">
        <v>2216</v>
      </c>
    </row>
    <row r="117" spans="1:1">
      <c r="A117" s="976" t="s">
        <v>2216</v>
      </c>
    </row>
    <row r="118" spans="1:1">
      <c r="A118" s="976" t="s">
        <v>2216</v>
      </c>
    </row>
    <row r="119" spans="1:1">
      <c r="A119" s="976" t="s">
        <v>2284</v>
      </c>
    </row>
    <row r="120" spans="1:1">
      <c r="A120" s="976" t="s">
        <v>2216</v>
      </c>
    </row>
    <row r="121" spans="1:1">
      <c r="A121" s="976" t="s">
        <v>2216</v>
      </c>
    </row>
    <row r="122" spans="1:1">
      <c r="A122" s="976" t="s">
        <v>2216</v>
      </c>
    </row>
    <row r="123" spans="1:1">
      <c r="A123" s="976" t="s">
        <v>2216</v>
      </c>
    </row>
    <row r="124" spans="1:1">
      <c r="A124" s="976" t="s">
        <v>2216</v>
      </c>
    </row>
    <row r="125" spans="1:1">
      <c r="A125" s="976" t="s">
        <v>2216</v>
      </c>
    </row>
    <row r="126" spans="1:1">
      <c r="A126" s="976" t="s">
        <v>2216</v>
      </c>
    </row>
    <row r="127" spans="1:1">
      <c r="A127" s="976" t="s">
        <v>2216</v>
      </c>
    </row>
    <row r="128" spans="1:1">
      <c r="A128" s="976" t="s">
        <v>2216</v>
      </c>
    </row>
    <row r="129" spans="1:1">
      <c r="A129" s="976" t="s">
        <v>2294</v>
      </c>
    </row>
    <row r="130" spans="1:1">
      <c r="A130" s="976" t="s">
        <v>2216</v>
      </c>
    </row>
    <row r="131" spans="1:1">
      <c r="A131" s="976" t="s">
        <v>2216</v>
      </c>
    </row>
    <row r="132" spans="1:1">
      <c r="A132" s="976" t="s">
        <v>2295</v>
      </c>
    </row>
    <row r="133" spans="1:1">
      <c r="A133" s="976" t="s">
        <v>2218</v>
      </c>
    </row>
    <row r="134" spans="1:1">
      <c r="A134" s="976" t="s">
        <v>2214</v>
      </c>
    </row>
    <row r="135" spans="1:1">
      <c r="A135" s="976" t="s">
        <v>2211</v>
      </c>
    </row>
    <row r="136" spans="1:1">
      <c r="A136" s="976" t="s">
        <v>2222</v>
      </c>
    </row>
    <row r="137" spans="1:1">
      <c r="A137" s="976" t="s">
        <v>2206</v>
      </c>
    </row>
    <row r="138" spans="1:1">
      <c r="A138" s="976" t="s">
        <v>2213</v>
      </c>
    </row>
    <row r="139" spans="1:1">
      <c r="A139" s="976" t="s">
        <v>2209</v>
      </c>
    </row>
    <row r="140" spans="1:1">
      <c r="A140" s="976" t="s">
        <v>2214</v>
      </c>
    </row>
    <row r="141" spans="1:1">
      <c r="A141" s="976" t="s">
        <v>2229</v>
      </c>
    </row>
    <row r="142" spans="1:1">
      <c r="A142" s="976" t="s">
        <v>2216</v>
      </c>
    </row>
    <row r="143" spans="1:1">
      <c r="A143" s="976" t="s">
        <v>2216</v>
      </c>
    </row>
    <row r="144" spans="1:1">
      <c r="A144" s="976" t="s">
        <v>2216</v>
      </c>
    </row>
    <row r="145" spans="1:1">
      <c r="A145" s="976" t="s">
        <v>2216</v>
      </c>
    </row>
    <row r="146" spans="1:1">
      <c r="A146" s="976" t="s">
        <v>2216</v>
      </c>
    </row>
    <row r="147" spans="1:1">
      <c r="A147" s="976" t="s">
        <v>2216</v>
      </c>
    </row>
    <row r="148" spans="1:1">
      <c r="A148" s="976" t="s">
        <v>2287</v>
      </c>
    </row>
    <row r="149" spans="1:1">
      <c r="A149" s="976" t="s">
        <v>2216</v>
      </c>
    </row>
    <row r="150" spans="1:1">
      <c r="A150" s="976" t="s">
        <v>2216</v>
      </c>
    </row>
    <row r="151" spans="1:1">
      <c r="A151" s="976" t="s">
        <v>2216</v>
      </c>
    </row>
    <row r="152" spans="1:1">
      <c r="A152" s="976" t="s">
        <v>2216</v>
      </c>
    </row>
    <row r="153" spans="1:1">
      <c r="A153" s="976" t="s">
        <v>2216</v>
      </c>
    </row>
    <row r="154" spans="1:1">
      <c r="A154" s="976" t="s">
        <v>2216</v>
      </c>
    </row>
    <row r="155" spans="1:1">
      <c r="A155" s="976" t="s">
        <v>2216</v>
      </c>
    </row>
    <row r="156" spans="1:1">
      <c r="A156" s="976" t="s">
        <v>2216</v>
      </c>
    </row>
    <row r="157" spans="1:1">
      <c r="A157" s="976" t="s">
        <v>2216</v>
      </c>
    </row>
    <row r="158" spans="1:1">
      <c r="A158" s="976" t="s">
        <v>2296</v>
      </c>
    </row>
    <row r="159" spans="1:1">
      <c r="A159" s="976" t="s">
        <v>2216</v>
      </c>
    </row>
    <row r="160" spans="1:1">
      <c r="A160" s="976" t="s">
        <v>2216</v>
      </c>
    </row>
    <row r="161" spans="1:1">
      <c r="A161" s="976" t="s">
        <v>2297</v>
      </c>
    </row>
    <row r="162" spans="1:1">
      <c r="A162" s="976" t="s">
        <v>2218</v>
      </c>
    </row>
    <row r="163" spans="1:1">
      <c r="A163" s="976" t="s">
        <v>2214</v>
      </c>
    </row>
    <row r="164" spans="1:1">
      <c r="A164" s="976" t="s">
        <v>2211</v>
      </c>
    </row>
    <row r="165" spans="1:1">
      <c r="A165" s="976" t="s">
        <v>2240</v>
      </c>
    </row>
    <row r="166" spans="1:1">
      <c r="A166" s="976" t="s">
        <v>2206</v>
      </c>
    </row>
    <row r="167" spans="1:1">
      <c r="A167" s="976" t="s">
        <v>2206</v>
      </c>
    </row>
    <row r="168" spans="1:1">
      <c r="A168" s="976" t="s">
        <v>2206</v>
      </c>
    </row>
    <row r="169" spans="1:1">
      <c r="A169" s="976" t="s">
        <v>2282</v>
      </c>
    </row>
    <row r="170" spans="1:1">
      <c r="A170" s="976" t="s">
        <v>2209</v>
      </c>
    </row>
    <row r="171" spans="1:1">
      <c r="A171" s="976" t="s">
        <v>2210</v>
      </c>
    </row>
    <row r="172" spans="1:1">
      <c r="A172" s="976" t="s">
        <v>2211</v>
      </c>
    </row>
    <row r="173" spans="1:1">
      <c r="A173" s="976" t="s">
        <v>2223</v>
      </c>
    </row>
    <row r="174" spans="1:1">
      <c r="A174" s="976" t="s">
        <v>2206</v>
      </c>
    </row>
    <row r="175" spans="1:1">
      <c r="A175" s="976" t="s">
        <v>2213</v>
      </c>
    </row>
    <row r="176" spans="1:1">
      <c r="A176" s="976" t="s">
        <v>2209</v>
      </c>
    </row>
    <row r="177" spans="1:1">
      <c r="A177" s="976" t="s">
        <v>2214</v>
      </c>
    </row>
    <row r="178" spans="1:1">
      <c r="A178" s="976" t="s">
        <v>2215</v>
      </c>
    </row>
    <row r="179" spans="1:1">
      <c r="A179" s="976" t="s">
        <v>2298</v>
      </c>
    </row>
    <row r="180" spans="1:1">
      <c r="A180" s="976" t="s">
        <v>2216</v>
      </c>
    </row>
    <row r="181" spans="1:1">
      <c r="A181" s="976" t="s">
        <v>2216</v>
      </c>
    </row>
    <row r="182" spans="1:1">
      <c r="A182" s="976" t="s">
        <v>2216</v>
      </c>
    </row>
    <row r="183" spans="1:1">
      <c r="A183" s="976" t="s">
        <v>2216</v>
      </c>
    </row>
    <row r="184" spans="1:1">
      <c r="A184" s="976" t="s">
        <v>2299</v>
      </c>
    </row>
    <row r="185" spans="1:1">
      <c r="A185" s="976" t="s">
        <v>2216</v>
      </c>
    </row>
    <row r="186" spans="1:1">
      <c r="A186" s="976" t="s">
        <v>2216</v>
      </c>
    </row>
    <row r="187" spans="1:1">
      <c r="A187" s="976" t="s">
        <v>2216</v>
      </c>
    </row>
    <row r="188" spans="1:1">
      <c r="A188" s="976" t="s">
        <v>2216</v>
      </c>
    </row>
    <row r="189" spans="1:1">
      <c r="A189" s="976" t="s">
        <v>2216</v>
      </c>
    </row>
    <row r="190" spans="1:1">
      <c r="A190" s="976" t="s">
        <v>2216</v>
      </c>
    </row>
    <row r="191" spans="1:1">
      <c r="A191" s="976" t="s">
        <v>2216</v>
      </c>
    </row>
    <row r="192" spans="1:1">
      <c r="A192" s="976" t="s">
        <v>2216</v>
      </c>
    </row>
    <row r="193" spans="1:1">
      <c r="A193" s="976" t="s">
        <v>2216</v>
      </c>
    </row>
    <row r="194" spans="1:1">
      <c r="A194" s="976" t="s">
        <v>2300</v>
      </c>
    </row>
    <row r="195" spans="1:1">
      <c r="A195" s="976" t="s">
        <v>2216</v>
      </c>
    </row>
    <row r="196" spans="1:1">
      <c r="A196" s="976" t="s">
        <v>2216</v>
      </c>
    </row>
    <row r="197" spans="1:1">
      <c r="A197" s="976" t="s">
        <v>2301</v>
      </c>
    </row>
    <row r="198" spans="1:1">
      <c r="A198" s="976" t="s">
        <v>2218</v>
      </c>
    </row>
    <row r="199" spans="1:1">
      <c r="A199" s="976" t="s">
        <v>2214</v>
      </c>
    </row>
    <row r="200" spans="1:1">
      <c r="A200" s="976" t="s">
        <v>2211</v>
      </c>
    </row>
    <row r="201" spans="1:1">
      <c r="A201" s="976" t="s">
        <v>2224</v>
      </c>
    </row>
    <row r="202" spans="1:1">
      <c r="A202" s="976" t="s">
        <v>2206</v>
      </c>
    </row>
    <row r="203" spans="1:1">
      <c r="A203" s="976" t="s">
        <v>2213</v>
      </c>
    </row>
    <row r="204" spans="1:1">
      <c r="A204" s="976" t="s">
        <v>2209</v>
      </c>
    </row>
    <row r="205" spans="1:1">
      <c r="A205" s="976" t="s">
        <v>2214</v>
      </c>
    </row>
    <row r="206" spans="1:1">
      <c r="A206" s="976" t="s">
        <v>2215</v>
      </c>
    </row>
    <row r="207" spans="1:1">
      <c r="A207" s="976" t="s">
        <v>2302</v>
      </c>
    </row>
    <row r="208" spans="1:1">
      <c r="A208" s="976" t="s">
        <v>2216</v>
      </c>
    </row>
    <row r="209" spans="1:1">
      <c r="A209" s="976" t="s">
        <v>2216</v>
      </c>
    </row>
    <row r="210" spans="1:1">
      <c r="A210" s="976" t="s">
        <v>2216</v>
      </c>
    </row>
    <row r="211" spans="1:1">
      <c r="A211" s="976" t="s">
        <v>2216</v>
      </c>
    </row>
    <row r="212" spans="1:1">
      <c r="A212" s="976" t="s">
        <v>2299</v>
      </c>
    </row>
    <row r="213" spans="1:1">
      <c r="A213" s="976" t="s">
        <v>2216</v>
      </c>
    </row>
    <row r="214" spans="1:1">
      <c r="A214" s="976" t="s">
        <v>2216</v>
      </c>
    </row>
    <row r="215" spans="1:1">
      <c r="A215" s="976" t="s">
        <v>2216</v>
      </c>
    </row>
    <row r="216" spans="1:1">
      <c r="A216" s="976" t="s">
        <v>2216</v>
      </c>
    </row>
    <row r="217" spans="1:1">
      <c r="A217" s="976" t="s">
        <v>2216</v>
      </c>
    </row>
    <row r="218" spans="1:1">
      <c r="A218" s="976" t="s">
        <v>2216</v>
      </c>
    </row>
    <row r="219" spans="1:1">
      <c r="A219" s="976" t="s">
        <v>2216</v>
      </c>
    </row>
    <row r="220" spans="1:1">
      <c r="A220" s="976" t="s">
        <v>2216</v>
      </c>
    </row>
    <row r="221" spans="1:1">
      <c r="A221" s="976" t="s">
        <v>2216</v>
      </c>
    </row>
    <row r="222" spans="1:1">
      <c r="A222" s="976" t="s">
        <v>2303</v>
      </c>
    </row>
    <row r="223" spans="1:1">
      <c r="A223" s="976" t="s">
        <v>2216</v>
      </c>
    </row>
    <row r="224" spans="1:1">
      <c r="A224" s="976" t="s">
        <v>2216</v>
      </c>
    </row>
    <row r="225" spans="1:1">
      <c r="A225" s="976" t="s">
        <v>2304</v>
      </c>
    </row>
    <row r="226" spans="1:1">
      <c r="A226" s="976" t="s">
        <v>2218</v>
      </c>
    </row>
    <row r="227" spans="1:1">
      <c r="A227" s="976" t="s">
        <v>2214</v>
      </c>
    </row>
    <row r="228" spans="1:1">
      <c r="A228" s="976" t="s">
        <v>2211</v>
      </c>
    </row>
    <row r="229" spans="1:1">
      <c r="A229" s="976" t="s">
        <v>2225</v>
      </c>
    </row>
    <row r="230" spans="1:1">
      <c r="A230" s="976" t="s">
        <v>2206</v>
      </c>
    </row>
    <row r="231" spans="1:1">
      <c r="A231" s="976" t="s">
        <v>2206</v>
      </c>
    </row>
    <row r="232" spans="1:1">
      <c r="A232" s="976" t="s">
        <v>2206</v>
      </c>
    </row>
    <row r="233" spans="1:1">
      <c r="A233" s="976" t="s">
        <v>2283</v>
      </c>
    </row>
    <row r="234" spans="1:1">
      <c r="A234" s="976" t="s">
        <v>2209</v>
      </c>
    </row>
    <row r="235" spans="1:1">
      <c r="A235" s="976" t="s">
        <v>2210</v>
      </c>
    </row>
    <row r="236" spans="1:1">
      <c r="A236" s="976" t="s">
        <v>2211</v>
      </c>
    </row>
    <row r="237" spans="1:1">
      <c r="A237" s="976" t="s">
        <v>2243</v>
      </c>
    </row>
    <row r="238" spans="1:1">
      <c r="A238" s="976" t="s">
        <v>2206</v>
      </c>
    </row>
    <row r="239" spans="1:1">
      <c r="A239" s="976" t="s">
        <v>2213</v>
      </c>
    </row>
    <row r="240" spans="1:1">
      <c r="A240" s="976" t="s">
        <v>2209</v>
      </c>
    </row>
    <row r="241" spans="1:1">
      <c r="A241" s="976" t="s">
        <v>2214</v>
      </c>
    </row>
    <row r="242" spans="1:1">
      <c r="A242" s="976" t="s">
        <v>2215</v>
      </c>
    </row>
    <row r="243" spans="1:1">
      <c r="A243" s="976" t="s">
        <v>2305</v>
      </c>
    </row>
    <row r="244" spans="1:1">
      <c r="A244" s="976" t="s">
        <v>2216</v>
      </c>
    </row>
    <row r="245" spans="1:1">
      <c r="A245" s="976" t="s">
        <v>2216</v>
      </c>
    </row>
    <row r="246" spans="1:1">
      <c r="A246" s="976" t="s">
        <v>2216</v>
      </c>
    </row>
    <row r="247" spans="1:1">
      <c r="A247" s="976" t="s">
        <v>2216</v>
      </c>
    </row>
    <row r="248" spans="1:1">
      <c r="A248" s="976" t="s">
        <v>2306</v>
      </c>
    </row>
    <row r="249" spans="1:1">
      <c r="A249" s="976" t="s">
        <v>2216</v>
      </c>
    </row>
    <row r="250" spans="1:1">
      <c r="A250" s="976" t="s">
        <v>2216</v>
      </c>
    </row>
    <row r="251" spans="1:1">
      <c r="A251" s="976" t="s">
        <v>2216</v>
      </c>
    </row>
    <row r="252" spans="1:1">
      <c r="A252" s="976" t="s">
        <v>2216</v>
      </c>
    </row>
    <row r="253" spans="1:1">
      <c r="A253" s="976" t="s">
        <v>2216</v>
      </c>
    </row>
    <row r="254" spans="1:1">
      <c r="A254" s="976" t="s">
        <v>2216</v>
      </c>
    </row>
    <row r="255" spans="1:1">
      <c r="A255" s="976" t="s">
        <v>2216</v>
      </c>
    </row>
    <row r="256" spans="1:1">
      <c r="A256" s="976" t="s">
        <v>2216</v>
      </c>
    </row>
    <row r="257" spans="1:1">
      <c r="A257" s="976" t="s">
        <v>2216</v>
      </c>
    </row>
    <row r="258" spans="1:1">
      <c r="A258" s="976" t="s">
        <v>2307</v>
      </c>
    </row>
    <row r="259" spans="1:1">
      <c r="A259" s="976" t="s">
        <v>2216</v>
      </c>
    </row>
    <row r="260" spans="1:1">
      <c r="A260" s="976" t="s">
        <v>2216</v>
      </c>
    </row>
    <row r="261" spans="1:1">
      <c r="A261" s="976" t="s">
        <v>2308</v>
      </c>
    </row>
    <row r="262" spans="1:1">
      <c r="A262" s="976" t="s">
        <v>2218</v>
      </c>
    </row>
    <row r="263" spans="1:1">
      <c r="A263" s="976" t="s">
        <v>2214</v>
      </c>
    </row>
    <row r="264" spans="1:1">
      <c r="A264" s="976" t="s">
        <v>2211</v>
      </c>
    </row>
    <row r="265" spans="1:1">
      <c r="A265" s="976" t="s">
        <v>2226</v>
      </c>
    </row>
    <row r="266" spans="1:1">
      <c r="A266" s="976" t="s">
        <v>2206</v>
      </c>
    </row>
    <row r="267" spans="1:1">
      <c r="A267" s="976" t="s">
        <v>2213</v>
      </c>
    </row>
    <row r="268" spans="1:1">
      <c r="A268" s="976" t="s">
        <v>2209</v>
      </c>
    </row>
    <row r="269" spans="1:1">
      <c r="A269" s="976" t="s">
        <v>2214</v>
      </c>
    </row>
    <row r="270" spans="1:1">
      <c r="A270" s="976" t="s">
        <v>2215</v>
      </c>
    </row>
    <row r="271" spans="1:1">
      <c r="A271" s="976" t="s">
        <v>2309</v>
      </c>
    </row>
    <row r="272" spans="1:1">
      <c r="A272" s="976" t="s">
        <v>2216</v>
      </c>
    </row>
    <row r="273" spans="1:1">
      <c r="A273" s="976" t="s">
        <v>2216</v>
      </c>
    </row>
    <row r="274" spans="1:1">
      <c r="A274" s="976" t="s">
        <v>2216</v>
      </c>
    </row>
    <row r="275" spans="1:1">
      <c r="A275" s="976" t="s">
        <v>2216</v>
      </c>
    </row>
    <row r="276" spans="1:1">
      <c r="A276" s="976" t="s">
        <v>2306</v>
      </c>
    </row>
    <row r="277" spans="1:1">
      <c r="A277" s="976" t="s">
        <v>2216</v>
      </c>
    </row>
    <row r="278" spans="1:1">
      <c r="A278" s="976" t="s">
        <v>2216</v>
      </c>
    </row>
    <row r="279" spans="1:1">
      <c r="A279" s="976" t="s">
        <v>2216</v>
      </c>
    </row>
    <row r="280" spans="1:1">
      <c r="A280" s="976" t="s">
        <v>2216</v>
      </c>
    </row>
    <row r="281" spans="1:1">
      <c r="A281" s="976" t="s">
        <v>2216</v>
      </c>
    </row>
    <row r="282" spans="1:1">
      <c r="A282" s="976" t="s">
        <v>2216</v>
      </c>
    </row>
    <row r="283" spans="1:1">
      <c r="A283" s="976" t="s">
        <v>2216</v>
      </c>
    </row>
    <row r="284" spans="1:1">
      <c r="A284" s="976" t="s">
        <v>2216</v>
      </c>
    </row>
    <row r="285" spans="1:1">
      <c r="A285" s="976" t="s">
        <v>2216</v>
      </c>
    </row>
    <row r="286" spans="1:1">
      <c r="A286" s="976" t="s">
        <v>2310</v>
      </c>
    </row>
    <row r="287" spans="1:1">
      <c r="A287" s="976" t="s">
        <v>2216</v>
      </c>
    </row>
    <row r="288" spans="1:1">
      <c r="A288" s="976" t="s">
        <v>2216</v>
      </c>
    </row>
    <row r="289" spans="1:1">
      <c r="A289" s="976" t="s">
        <v>2311</v>
      </c>
    </row>
    <row r="290" spans="1:1">
      <c r="A290" s="976" t="s">
        <v>2218</v>
      </c>
    </row>
    <row r="291" spans="1:1">
      <c r="A291" s="976" t="s">
        <v>2214</v>
      </c>
    </row>
    <row r="292" spans="1:1">
      <c r="A292" s="976" t="s">
        <v>2211</v>
      </c>
    </row>
    <row r="293" spans="1:1">
      <c r="A293" s="976" t="s">
        <v>2227</v>
      </c>
    </row>
    <row r="294" spans="1:1">
      <c r="A294" s="976" t="s">
        <v>2206</v>
      </c>
    </row>
    <row r="295" spans="1:1">
      <c r="A295" s="976" t="s">
        <v>2213</v>
      </c>
    </row>
    <row r="296" spans="1:1">
      <c r="A296" s="976" t="s">
        <v>2209</v>
      </c>
    </row>
    <row r="297" spans="1:1">
      <c r="A297" s="976" t="s">
        <v>2214</v>
      </c>
    </row>
    <row r="298" spans="1:1">
      <c r="A298" s="976" t="s">
        <v>2215</v>
      </c>
    </row>
    <row r="299" spans="1:1">
      <c r="A299" s="976" t="s">
        <v>2312</v>
      </c>
    </row>
    <row r="300" spans="1:1">
      <c r="A300" s="976" t="s">
        <v>2216</v>
      </c>
    </row>
    <row r="301" spans="1:1">
      <c r="A301" s="976" t="s">
        <v>2216</v>
      </c>
    </row>
    <row r="302" spans="1:1">
      <c r="A302" s="976" t="s">
        <v>2216</v>
      </c>
    </row>
    <row r="303" spans="1:1">
      <c r="A303" s="976" t="s">
        <v>2216</v>
      </c>
    </row>
    <row r="304" spans="1:1">
      <c r="A304" s="976" t="s">
        <v>2306</v>
      </c>
    </row>
    <row r="305" spans="1:1">
      <c r="A305" s="976" t="s">
        <v>2216</v>
      </c>
    </row>
    <row r="306" spans="1:1">
      <c r="A306" s="976" t="s">
        <v>2216</v>
      </c>
    </row>
    <row r="307" spans="1:1">
      <c r="A307" s="976" t="s">
        <v>2216</v>
      </c>
    </row>
    <row r="308" spans="1:1">
      <c r="A308" s="976" t="s">
        <v>2216</v>
      </c>
    </row>
    <row r="309" spans="1:1">
      <c r="A309" s="976" t="s">
        <v>2216</v>
      </c>
    </row>
    <row r="310" spans="1:1">
      <c r="A310" s="976" t="s">
        <v>2216</v>
      </c>
    </row>
    <row r="311" spans="1:1">
      <c r="A311" s="976" t="s">
        <v>2216</v>
      </c>
    </row>
    <row r="312" spans="1:1">
      <c r="A312" s="976" t="s">
        <v>2216</v>
      </c>
    </row>
    <row r="313" spans="1:1">
      <c r="A313" s="976" t="s">
        <v>2216</v>
      </c>
    </row>
    <row r="314" spans="1:1">
      <c r="A314" s="976" t="s">
        <v>2242</v>
      </c>
    </row>
    <row r="315" spans="1:1">
      <c r="A315" s="976" t="s">
        <v>2216</v>
      </c>
    </row>
    <row r="316" spans="1:1">
      <c r="A316" s="976" t="s">
        <v>2216</v>
      </c>
    </row>
    <row r="317" spans="1:1">
      <c r="A317" s="976" t="s">
        <v>2313</v>
      </c>
    </row>
    <row r="318" spans="1:1">
      <c r="A318" s="976" t="s">
        <v>2218</v>
      </c>
    </row>
    <row r="319" spans="1:1">
      <c r="A319" s="976" t="s">
        <v>2214</v>
      </c>
    </row>
    <row r="320" spans="1:1">
      <c r="A320" s="976" t="s">
        <v>2211</v>
      </c>
    </row>
    <row r="321" spans="1:1">
      <c r="A321" s="976" t="s">
        <v>2228</v>
      </c>
    </row>
    <row r="322" spans="1:1">
      <c r="A322" s="976" t="s">
        <v>2206</v>
      </c>
    </row>
    <row r="323" spans="1:1">
      <c r="A323" s="976" t="s">
        <v>2213</v>
      </c>
    </row>
    <row r="324" spans="1:1">
      <c r="A324" s="976" t="s">
        <v>2209</v>
      </c>
    </row>
    <row r="325" spans="1:1">
      <c r="A325" s="976" t="s">
        <v>2214</v>
      </c>
    </row>
    <row r="326" spans="1:1">
      <c r="A326" s="976" t="s">
        <v>2215</v>
      </c>
    </row>
    <row r="327" spans="1:1">
      <c r="A327" s="976" t="s">
        <v>2314</v>
      </c>
    </row>
    <row r="328" spans="1:1">
      <c r="A328" s="976" t="s">
        <v>2216</v>
      </c>
    </row>
    <row r="329" spans="1:1">
      <c r="A329" s="976" t="s">
        <v>2216</v>
      </c>
    </row>
    <row r="330" spans="1:1">
      <c r="A330" s="976" t="s">
        <v>2216</v>
      </c>
    </row>
    <row r="331" spans="1:1">
      <c r="A331" s="976" t="s">
        <v>2216</v>
      </c>
    </row>
    <row r="332" spans="1:1">
      <c r="A332" s="976" t="s">
        <v>2315</v>
      </c>
    </row>
    <row r="333" spans="1:1">
      <c r="A333" s="976" t="s">
        <v>2216</v>
      </c>
    </row>
    <row r="334" spans="1:1">
      <c r="A334" s="976" t="s">
        <v>2216</v>
      </c>
    </row>
    <row r="335" spans="1:1">
      <c r="A335" s="976" t="s">
        <v>2216</v>
      </c>
    </row>
    <row r="336" spans="1:1">
      <c r="A336" s="976" t="s">
        <v>2216</v>
      </c>
    </row>
    <row r="337" spans="1:1">
      <c r="A337" s="976" t="s">
        <v>2216</v>
      </c>
    </row>
    <row r="338" spans="1:1">
      <c r="A338" s="976" t="s">
        <v>2216</v>
      </c>
    </row>
    <row r="339" spans="1:1">
      <c r="A339" s="976" t="s">
        <v>2216</v>
      </c>
    </row>
    <row r="340" spans="1:1">
      <c r="A340" s="976" t="s">
        <v>2216</v>
      </c>
    </row>
    <row r="341" spans="1:1">
      <c r="A341" s="976" t="s">
        <v>2216</v>
      </c>
    </row>
    <row r="342" spans="1:1">
      <c r="A342" s="976" t="s">
        <v>2232</v>
      </c>
    </row>
    <row r="343" spans="1:1">
      <c r="A343" s="976" t="s">
        <v>2216</v>
      </c>
    </row>
    <row r="344" spans="1:1">
      <c r="A344" s="976" t="s">
        <v>2216</v>
      </c>
    </row>
    <row r="345" spans="1:1">
      <c r="A345" s="976" t="s">
        <v>2241</v>
      </c>
    </row>
    <row r="346" spans="1:1">
      <c r="A346" s="976" t="s">
        <v>2218</v>
      </c>
    </row>
    <row r="347" spans="1:1">
      <c r="A347" s="976" t="s">
        <v>2214</v>
      </c>
    </row>
    <row r="348" spans="1:1">
      <c r="A348" s="976" t="s">
        <v>2211</v>
      </c>
    </row>
    <row r="349" spans="1:1">
      <c r="A349" s="976" t="s">
        <v>2230</v>
      </c>
    </row>
    <row r="350" spans="1:1">
      <c r="A350" s="976" t="s">
        <v>2206</v>
      </c>
    </row>
    <row r="351" spans="1:1">
      <c r="A351" s="976" t="s">
        <v>2213</v>
      </c>
    </row>
    <row r="352" spans="1:1">
      <c r="A352" s="976" t="s">
        <v>2209</v>
      </c>
    </row>
    <row r="353" spans="1:1">
      <c r="A353" s="976" t="s">
        <v>2214</v>
      </c>
    </row>
    <row r="354" spans="1:1">
      <c r="A354" s="976" t="s">
        <v>2215</v>
      </c>
    </row>
    <row r="355" spans="1:1">
      <c r="A355" s="976" t="s">
        <v>2316</v>
      </c>
    </row>
    <row r="356" spans="1:1">
      <c r="A356" s="976" t="s">
        <v>2216</v>
      </c>
    </row>
    <row r="357" spans="1:1">
      <c r="A357" s="976" t="s">
        <v>2216</v>
      </c>
    </row>
    <row r="358" spans="1:1">
      <c r="A358" s="976" t="s">
        <v>2216</v>
      </c>
    </row>
    <row r="359" spans="1:1">
      <c r="A359" s="976" t="s">
        <v>2216</v>
      </c>
    </row>
    <row r="360" spans="1:1">
      <c r="A360" s="976" t="s">
        <v>2315</v>
      </c>
    </row>
    <row r="361" spans="1:1">
      <c r="A361" s="976" t="s">
        <v>2216</v>
      </c>
    </row>
    <row r="362" spans="1:1">
      <c r="A362" s="976" t="s">
        <v>2216</v>
      </c>
    </row>
    <row r="363" spans="1:1">
      <c r="A363" s="976" t="s">
        <v>2216</v>
      </c>
    </row>
    <row r="364" spans="1:1">
      <c r="A364" s="976" t="s">
        <v>2216</v>
      </c>
    </row>
    <row r="365" spans="1:1">
      <c r="A365" s="976" t="s">
        <v>2216</v>
      </c>
    </row>
    <row r="366" spans="1:1">
      <c r="A366" s="976" t="s">
        <v>2216</v>
      </c>
    </row>
    <row r="367" spans="1:1">
      <c r="A367" s="976" t="s">
        <v>2216</v>
      </c>
    </row>
    <row r="368" spans="1:1">
      <c r="A368" s="976" t="s">
        <v>2216</v>
      </c>
    </row>
    <row r="369" spans="1:1">
      <c r="A369" s="976" t="s">
        <v>2216</v>
      </c>
    </row>
    <row r="370" spans="1:1">
      <c r="A370" s="976" t="s">
        <v>2317</v>
      </c>
    </row>
    <row r="371" spans="1:1">
      <c r="A371" s="976" t="s">
        <v>2216</v>
      </c>
    </row>
    <row r="372" spans="1:1">
      <c r="A372" s="976" t="s">
        <v>2216</v>
      </c>
    </row>
    <row r="373" spans="1:1">
      <c r="A373" s="976" t="s">
        <v>2318</v>
      </c>
    </row>
    <row r="374" spans="1:1">
      <c r="A374" s="976" t="s">
        <v>2218</v>
      </c>
    </row>
    <row r="375" spans="1:1">
      <c r="A375" s="976" t="s">
        <v>2214</v>
      </c>
    </row>
    <row r="376" spans="1:1">
      <c r="A376" s="976" t="s">
        <v>2211</v>
      </c>
    </row>
    <row r="377" spans="1:1">
      <c r="A377" s="976" t="s">
        <v>2245</v>
      </c>
    </row>
    <row r="378" spans="1:1">
      <c r="A378" s="976" t="s">
        <v>2206</v>
      </c>
    </row>
    <row r="379" spans="1:1">
      <c r="A379" s="976" t="s">
        <v>2213</v>
      </c>
    </row>
    <row r="380" spans="1:1">
      <c r="A380" s="976" t="s">
        <v>2209</v>
      </c>
    </row>
    <row r="381" spans="1:1">
      <c r="A381" s="976" t="s">
        <v>2214</v>
      </c>
    </row>
    <row r="382" spans="1:1">
      <c r="A382" s="976" t="s">
        <v>2215</v>
      </c>
    </row>
    <row r="383" spans="1:1">
      <c r="A383" s="976" t="s">
        <v>2319</v>
      </c>
    </row>
    <row r="384" spans="1:1">
      <c r="A384" s="976" t="s">
        <v>2216</v>
      </c>
    </row>
    <row r="385" spans="1:1">
      <c r="A385" s="976" t="s">
        <v>2216</v>
      </c>
    </row>
    <row r="386" spans="1:1">
      <c r="A386" s="976" t="s">
        <v>2216</v>
      </c>
    </row>
    <row r="387" spans="1:1">
      <c r="A387" s="976" t="s">
        <v>2216</v>
      </c>
    </row>
    <row r="388" spans="1:1">
      <c r="A388" s="976" t="s">
        <v>2315</v>
      </c>
    </row>
    <row r="389" spans="1:1">
      <c r="A389" s="976" t="s">
        <v>2216</v>
      </c>
    </row>
    <row r="390" spans="1:1">
      <c r="A390" s="976" t="s">
        <v>2216</v>
      </c>
    </row>
    <row r="391" spans="1:1">
      <c r="A391" s="976" t="s">
        <v>2216</v>
      </c>
    </row>
    <row r="392" spans="1:1">
      <c r="A392" s="976" t="s">
        <v>2216</v>
      </c>
    </row>
    <row r="393" spans="1:1">
      <c r="A393" s="976" t="s">
        <v>2216</v>
      </c>
    </row>
    <row r="394" spans="1:1">
      <c r="A394" s="976" t="s">
        <v>2216</v>
      </c>
    </row>
    <row r="395" spans="1:1">
      <c r="A395" s="976" t="s">
        <v>2216</v>
      </c>
    </row>
    <row r="396" spans="1:1">
      <c r="A396" s="976" t="s">
        <v>2216</v>
      </c>
    </row>
    <row r="397" spans="1:1">
      <c r="A397" s="976" t="s">
        <v>2216</v>
      </c>
    </row>
    <row r="398" spans="1:1">
      <c r="A398" s="976" t="s">
        <v>2320</v>
      </c>
    </row>
    <row r="399" spans="1:1">
      <c r="A399" s="976" t="s">
        <v>2216</v>
      </c>
    </row>
    <row r="400" spans="1:1">
      <c r="A400" s="976" t="s">
        <v>2216</v>
      </c>
    </row>
    <row r="401" spans="1:1">
      <c r="A401" s="976" t="s">
        <v>2321</v>
      </c>
    </row>
    <row r="402" spans="1:1">
      <c r="A402" s="976" t="s">
        <v>2218</v>
      </c>
    </row>
    <row r="403" spans="1:1">
      <c r="A403" s="976" t="s">
        <v>2214</v>
      </c>
    </row>
    <row r="404" spans="1:1">
      <c r="A404" s="976" t="s">
        <v>2211</v>
      </c>
    </row>
    <row r="405" spans="1:1">
      <c r="A405" s="976" t="s">
        <v>2246</v>
      </c>
    </row>
    <row r="406" spans="1:1">
      <c r="A406" s="976" t="s">
        <v>2206</v>
      </c>
    </row>
    <row r="407" spans="1:1">
      <c r="A407" s="976" t="s">
        <v>2213</v>
      </c>
    </row>
    <row r="408" spans="1:1">
      <c r="A408" s="976" t="s">
        <v>2209</v>
      </c>
    </row>
    <row r="409" spans="1:1">
      <c r="A409" s="976" t="s">
        <v>2214</v>
      </c>
    </row>
    <row r="410" spans="1:1">
      <c r="A410" s="976" t="s">
        <v>2215</v>
      </c>
    </row>
    <row r="411" spans="1:1">
      <c r="A411" s="976" t="s">
        <v>2322</v>
      </c>
    </row>
    <row r="412" spans="1:1">
      <c r="A412" s="976" t="s">
        <v>2216</v>
      </c>
    </row>
    <row r="413" spans="1:1">
      <c r="A413" s="976" t="s">
        <v>2216</v>
      </c>
    </row>
    <row r="414" spans="1:1">
      <c r="A414" s="976" t="s">
        <v>2216</v>
      </c>
    </row>
    <row r="415" spans="1:1">
      <c r="A415" s="976" t="s">
        <v>2216</v>
      </c>
    </row>
    <row r="416" spans="1:1">
      <c r="A416" s="976" t="s">
        <v>2315</v>
      </c>
    </row>
    <row r="417" spans="1:1">
      <c r="A417" s="976" t="s">
        <v>2216</v>
      </c>
    </row>
    <row r="418" spans="1:1">
      <c r="A418" s="976" t="s">
        <v>2216</v>
      </c>
    </row>
    <row r="419" spans="1:1">
      <c r="A419" s="976" t="s">
        <v>2216</v>
      </c>
    </row>
    <row r="420" spans="1:1">
      <c r="A420" s="976" t="s">
        <v>2216</v>
      </c>
    </row>
    <row r="421" spans="1:1">
      <c r="A421" s="976" t="s">
        <v>2216</v>
      </c>
    </row>
    <row r="422" spans="1:1">
      <c r="A422" s="976" t="s">
        <v>2216</v>
      </c>
    </row>
    <row r="423" spans="1:1">
      <c r="A423" s="976" t="s">
        <v>2216</v>
      </c>
    </row>
    <row r="424" spans="1:1">
      <c r="A424" s="976" t="s">
        <v>2216</v>
      </c>
    </row>
    <row r="425" spans="1:1">
      <c r="A425" s="976" t="s">
        <v>2216</v>
      </c>
    </row>
    <row r="426" spans="1:1">
      <c r="A426" s="976" t="s">
        <v>2323</v>
      </c>
    </row>
    <row r="427" spans="1:1">
      <c r="A427" s="976" t="s">
        <v>2216</v>
      </c>
    </row>
    <row r="428" spans="1:1">
      <c r="A428" s="976" t="s">
        <v>2216</v>
      </c>
    </row>
    <row r="429" spans="1:1">
      <c r="A429" s="976" t="s">
        <v>2324</v>
      </c>
    </row>
    <row r="430" spans="1:1">
      <c r="A430" s="976" t="s">
        <v>2218</v>
      </c>
    </row>
    <row r="431" spans="1:1">
      <c r="A431" s="976" t="s">
        <v>2214</v>
      </c>
    </row>
    <row r="432" spans="1:1">
      <c r="A432" s="976" t="s">
        <v>2211</v>
      </c>
    </row>
    <row r="433" spans="1:1">
      <c r="A433" s="976" t="s">
        <v>2247</v>
      </c>
    </row>
    <row r="434" spans="1:1">
      <c r="A434" s="976" t="s">
        <v>2206</v>
      </c>
    </row>
    <row r="435" spans="1:1">
      <c r="A435" s="976" t="s">
        <v>2213</v>
      </c>
    </row>
    <row r="436" spans="1:1">
      <c r="A436" s="976" t="s">
        <v>2209</v>
      </c>
    </row>
    <row r="437" spans="1:1">
      <c r="A437" s="976" t="s">
        <v>2214</v>
      </c>
    </row>
    <row r="438" spans="1:1">
      <c r="A438" s="976" t="s">
        <v>2215</v>
      </c>
    </row>
    <row r="439" spans="1:1">
      <c r="A439" s="976" t="s">
        <v>2325</v>
      </c>
    </row>
    <row r="440" spans="1:1">
      <c r="A440" s="976" t="s">
        <v>2216</v>
      </c>
    </row>
    <row r="441" spans="1:1">
      <c r="A441" s="976" t="s">
        <v>2216</v>
      </c>
    </row>
    <row r="442" spans="1:1">
      <c r="A442" s="976" t="s">
        <v>2216</v>
      </c>
    </row>
    <row r="443" spans="1:1">
      <c r="A443" s="976" t="s">
        <v>2216</v>
      </c>
    </row>
    <row r="444" spans="1:1">
      <c r="A444" s="976" t="s">
        <v>2315</v>
      </c>
    </row>
    <row r="445" spans="1:1">
      <c r="A445" s="976" t="s">
        <v>2216</v>
      </c>
    </row>
    <row r="446" spans="1:1">
      <c r="A446" s="976" t="s">
        <v>2216</v>
      </c>
    </row>
    <row r="447" spans="1:1">
      <c r="A447" s="976" t="s">
        <v>2216</v>
      </c>
    </row>
    <row r="448" spans="1:1">
      <c r="A448" s="976" t="s">
        <v>2216</v>
      </c>
    </row>
    <row r="449" spans="1:1">
      <c r="A449" s="976" t="s">
        <v>2216</v>
      </c>
    </row>
    <row r="450" spans="1:1">
      <c r="A450" s="976" t="s">
        <v>2216</v>
      </c>
    </row>
    <row r="451" spans="1:1">
      <c r="A451" s="976" t="s">
        <v>2216</v>
      </c>
    </row>
    <row r="452" spans="1:1">
      <c r="A452" s="976" t="s">
        <v>2216</v>
      </c>
    </row>
    <row r="453" spans="1:1">
      <c r="A453" s="976" t="s">
        <v>2216</v>
      </c>
    </row>
    <row r="454" spans="1:1">
      <c r="A454" s="976" t="s">
        <v>2326</v>
      </c>
    </row>
    <row r="455" spans="1:1">
      <c r="A455" s="976" t="s">
        <v>2216</v>
      </c>
    </row>
    <row r="456" spans="1:1">
      <c r="A456" s="976" t="s">
        <v>2216</v>
      </c>
    </row>
    <row r="457" spans="1:1">
      <c r="A457" s="976" t="s">
        <v>2327</v>
      </c>
    </row>
    <row r="458" spans="1:1">
      <c r="A458" s="976" t="s">
        <v>2218</v>
      </c>
    </row>
    <row r="459" spans="1:1">
      <c r="A459" s="976" t="s">
        <v>2214</v>
      </c>
    </row>
    <row r="460" spans="1:1">
      <c r="A460" s="976" t="s">
        <v>2211</v>
      </c>
    </row>
    <row r="461" spans="1:1">
      <c r="A461" s="976" t="s">
        <v>2248</v>
      </c>
    </row>
    <row r="462" spans="1:1">
      <c r="A462" s="976" t="s">
        <v>2206</v>
      </c>
    </row>
    <row r="463" spans="1:1">
      <c r="A463" s="976" t="s">
        <v>2213</v>
      </c>
    </row>
    <row r="464" spans="1:1">
      <c r="A464" s="976" t="s">
        <v>2209</v>
      </c>
    </row>
    <row r="465" spans="1:1">
      <c r="A465" s="976" t="s">
        <v>2214</v>
      </c>
    </row>
    <row r="466" spans="1:1">
      <c r="A466" s="976" t="s">
        <v>2215</v>
      </c>
    </row>
    <row r="467" spans="1:1">
      <c r="A467" s="976" t="s">
        <v>2328</v>
      </c>
    </row>
    <row r="468" spans="1:1">
      <c r="A468" s="976" t="s">
        <v>2216</v>
      </c>
    </row>
    <row r="469" spans="1:1">
      <c r="A469" s="976" t="s">
        <v>2216</v>
      </c>
    </row>
    <row r="470" spans="1:1">
      <c r="A470" s="976" t="s">
        <v>2216</v>
      </c>
    </row>
    <row r="471" spans="1:1">
      <c r="A471" s="976" t="s">
        <v>2216</v>
      </c>
    </row>
    <row r="472" spans="1:1">
      <c r="A472" s="976" t="s">
        <v>2329</v>
      </c>
    </row>
    <row r="473" spans="1:1">
      <c r="A473" s="976" t="s">
        <v>2216</v>
      </c>
    </row>
    <row r="474" spans="1:1">
      <c r="A474" s="976" t="s">
        <v>2216</v>
      </c>
    </row>
    <row r="475" spans="1:1">
      <c r="A475" s="976" t="s">
        <v>2216</v>
      </c>
    </row>
    <row r="476" spans="1:1">
      <c r="A476" s="976" t="s">
        <v>2216</v>
      </c>
    </row>
    <row r="477" spans="1:1">
      <c r="A477" s="976" t="s">
        <v>2216</v>
      </c>
    </row>
    <row r="478" spans="1:1">
      <c r="A478" s="976" t="s">
        <v>2216</v>
      </c>
    </row>
    <row r="479" spans="1:1">
      <c r="A479" s="976" t="s">
        <v>2216</v>
      </c>
    </row>
    <row r="480" spans="1:1">
      <c r="A480" s="976" t="s">
        <v>2216</v>
      </c>
    </row>
    <row r="481" spans="1:1">
      <c r="A481" s="976" t="s">
        <v>2216</v>
      </c>
    </row>
    <row r="482" spans="1:1">
      <c r="A482" s="976" t="s">
        <v>2330</v>
      </c>
    </row>
    <row r="483" spans="1:1">
      <c r="A483" s="976" t="s">
        <v>2216</v>
      </c>
    </row>
    <row r="484" spans="1:1">
      <c r="A484" s="976" t="s">
        <v>2216</v>
      </c>
    </row>
    <row r="485" spans="1:1">
      <c r="A485" s="976" t="s">
        <v>2331</v>
      </c>
    </row>
    <row r="486" spans="1:1">
      <c r="A486" s="976" t="s">
        <v>2218</v>
      </c>
    </row>
    <row r="487" spans="1:1">
      <c r="A487" s="976" t="s">
        <v>2214</v>
      </c>
    </row>
    <row r="488" spans="1:1">
      <c r="A488" s="976" t="s">
        <v>2211</v>
      </c>
    </row>
    <row r="489" spans="1:1">
      <c r="A489" s="976" t="s">
        <v>2217</v>
      </c>
    </row>
    <row r="490" spans="1:1">
      <c r="A490" s="976" t="s">
        <v>2206</v>
      </c>
    </row>
    <row r="491" spans="1:1">
      <c r="A491" s="976" t="s">
        <v>2213</v>
      </c>
    </row>
    <row r="492" spans="1:1">
      <c r="A492" s="976" t="s">
        <v>2209</v>
      </c>
    </row>
    <row r="493" spans="1:1">
      <c r="A493" s="976" t="s">
        <v>2214</v>
      </c>
    </row>
    <row r="494" spans="1:1">
      <c r="A494" s="976" t="s">
        <v>2215</v>
      </c>
    </row>
    <row r="495" spans="1:1">
      <c r="A495" s="976" t="s">
        <v>2332</v>
      </c>
    </row>
    <row r="496" spans="1:1">
      <c r="A496" s="976" t="s">
        <v>2216</v>
      </c>
    </row>
    <row r="497" spans="1:1">
      <c r="A497" s="976" t="s">
        <v>2216</v>
      </c>
    </row>
    <row r="498" spans="1:1">
      <c r="A498" s="976" t="s">
        <v>2216</v>
      </c>
    </row>
    <row r="499" spans="1:1">
      <c r="A499" s="976" t="s">
        <v>2216</v>
      </c>
    </row>
    <row r="500" spans="1:1">
      <c r="A500" s="976" t="s">
        <v>2329</v>
      </c>
    </row>
    <row r="501" spans="1:1">
      <c r="A501" s="976" t="s">
        <v>2216</v>
      </c>
    </row>
    <row r="502" spans="1:1">
      <c r="A502" s="976" t="s">
        <v>2216</v>
      </c>
    </row>
    <row r="503" spans="1:1">
      <c r="A503" s="976" t="s">
        <v>2216</v>
      </c>
    </row>
    <row r="504" spans="1:1">
      <c r="A504" s="976" t="s">
        <v>2216</v>
      </c>
    </row>
    <row r="505" spans="1:1">
      <c r="A505" s="976" t="s">
        <v>2216</v>
      </c>
    </row>
    <row r="506" spans="1:1">
      <c r="A506" s="976" t="s">
        <v>2216</v>
      </c>
    </row>
    <row r="507" spans="1:1">
      <c r="A507" s="976" t="s">
        <v>2216</v>
      </c>
    </row>
    <row r="508" spans="1:1">
      <c r="A508" s="976" t="s">
        <v>2216</v>
      </c>
    </row>
    <row r="509" spans="1:1">
      <c r="A509" s="976" t="s">
        <v>2216</v>
      </c>
    </row>
    <row r="510" spans="1:1">
      <c r="A510" s="976" t="s">
        <v>2333</v>
      </c>
    </row>
    <row r="511" spans="1:1">
      <c r="A511" s="976" t="s">
        <v>2216</v>
      </c>
    </row>
    <row r="512" spans="1:1">
      <c r="A512" s="976" t="s">
        <v>2216</v>
      </c>
    </row>
    <row r="513" spans="1:1">
      <c r="A513" s="976" t="s">
        <v>2334</v>
      </c>
    </row>
    <row r="514" spans="1:1">
      <c r="A514" s="976" t="s">
        <v>2218</v>
      </c>
    </row>
    <row r="515" spans="1:1">
      <c r="A515" s="976" t="s">
        <v>2214</v>
      </c>
    </row>
    <row r="516" spans="1:1">
      <c r="A516" s="976" t="s">
        <v>2211</v>
      </c>
    </row>
    <row r="517" spans="1:1">
      <c r="A517" s="976" t="s">
        <v>2231</v>
      </c>
    </row>
    <row r="518" spans="1:1">
      <c r="A518" s="976" t="s">
        <v>2206</v>
      </c>
    </row>
    <row r="519" spans="1:1">
      <c r="A519" s="976" t="s">
        <v>2213</v>
      </c>
    </row>
    <row r="520" spans="1:1">
      <c r="A520" s="976" t="s">
        <v>2209</v>
      </c>
    </row>
    <row r="521" spans="1:1">
      <c r="A521" s="976" t="s">
        <v>2214</v>
      </c>
    </row>
    <row r="522" spans="1:1">
      <c r="A522" s="976" t="s">
        <v>2215</v>
      </c>
    </row>
    <row r="523" spans="1:1">
      <c r="A523" s="976" t="s">
        <v>2335</v>
      </c>
    </row>
    <row r="524" spans="1:1">
      <c r="A524" s="976" t="s">
        <v>2216</v>
      </c>
    </row>
    <row r="525" spans="1:1">
      <c r="A525" s="976" t="s">
        <v>2216</v>
      </c>
    </row>
    <row r="526" spans="1:1">
      <c r="A526" s="976" t="s">
        <v>2216</v>
      </c>
    </row>
    <row r="527" spans="1:1">
      <c r="A527" s="976" t="s">
        <v>2216</v>
      </c>
    </row>
    <row r="528" spans="1:1">
      <c r="A528" s="976" t="s">
        <v>2329</v>
      </c>
    </row>
    <row r="529" spans="1:1">
      <c r="A529" s="976" t="s">
        <v>2216</v>
      </c>
    </row>
    <row r="530" spans="1:1">
      <c r="A530" s="976" t="s">
        <v>2216</v>
      </c>
    </row>
    <row r="531" spans="1:1">
      <c r="A531" s="976" t="s">
        <v>2216</v>
      </c>
    </row>
    <row r="532" spans="1:1">
      <c r="A532" s="976" t="s">
        <v>2216</v>
      </c>
    </row>
    <row r="533" spans="1:1">
      <c r="A533" s="976" t="s">
        <v>2216</v>
      </c>
    </row>
    <row r="534" spans="1:1">
      <c r="A534" s="976" t="s">
        <v>2216</v>
      </c>
    </row>
    <row r="535" spans="1:1">
      <c r="A535" s="976" t="s">
        <v>2216</v>
      </c>
    </row>
    <row r="536" spans="1:1">
      <c r="A536" s="976" t="s">
        <v>2216</v>
      </c>
    </row>
    <row r="537" spans="1:1">
      <c r="A537" s="976" t="s">
        <v>2216</v>
      </c>
    </row>
    <row r="538" spans="1:1">
      <c r="A538" s="976" t="s">
        <v>2327</v>
      </c>
    </row>
    <row r="539" spans="1:1">
      <c r="A539" s="976" t="s">
        <v>2216</v>
      </c>
    </row>
    <row r="540" spans="1:1">
      <c r="A540" s="976" t="s">
        <v>2216</v>
      </c>
    </row>
    <row r="541" spans="1:1">
      <c r="A541" s="976" t="s">
        <v>2336</v>
      </c>
    </row>
    <row r="542" spans="1:1">
      <c r="A542" s="976" t="s">
        <v>2218</v>
      </c>
    </row>
    <row r="543" spans="1:1">
      <c r="A543" s="976" t="s">
        <v>2214</v>
      </c>
    </row>
    <row r="544" spans="1:1">
      <c r="A544" s="976" t="s">
        <v>2211</v>
      </c>
    </row>
    <row r="545" spans="1:1">
      <c r="A545" s="976" t="s">
        <v>2250</v>
      </c>
    </row>
    <row r="546" spans="1:1">
      <c r="A546" s="976" t="s">
        <v>2206</v>
      </c>
    </row>
    <row r="547" spans="1:1">
      <c r="A547" s="976" t="s">
        <v>2213</v>
      </c>
    </row>
    <row r="548" spans="1:1">
      <c r="A548" s="976" t="s">
        <v>2209</v>
      </c>
    </row>
    <row r="549" spans="1:1">
      <c r="A549" s="976" t="s">
        <v>2214</v>
      </c>
    </row>
    <row r="550" spans="1:1">
      <c r="A550" s="976" t="s">
        <v>2215</v>
      </c>
    </row>
    <row r="551" spans="1:1">
      <c r="A551" s="976" t="s">
        <v>2337</v>
      </c>
    </row>
    <row r="552" spans="1:1">
      <c r="A552" s="976" t="s">
        <v>2216</v>
      </c>
    </row>
    <row r="553" spans="1:1">
      <c r="A553" s="976" t="s">
        <v>2216</v>
      </c>
    </row>
    <row r="554" spans="1:1">
      <c r="A554" s="976" t="s">
        <v>2216</v>
      </c>
    </row>
    <row r="555" spans="1:1">
      <c r="A555" s="976" t="s">
        <v>2216</v>
      </c>
    </row>
    <row r="556" spans="1:1">
      <c r="A556" s="976" t="s">
        <v>2329</v>
      </c>
    </row>
    <row r="557" spans="1:1">
      <c r="A557" s="976" t="s">
        <v>2216</v>
      </c>
    </row>
    <row r="558" spans="1:1">
      <c r="A558" s="976" t="s">
        <v>2216</v>
      </c>
    </row>
    <row r="559" spans="1:1">
      <c r="A559" s="976" t="s">
        <v>2216</v>
      </c>
    </row>
    <row r="560" spans="1:1">
      <c r="A560" s="976" t="s">
        <v>2216</v>
      </c>
    </row>
    <row r="561" spans="1:1">
      <c r="A561" s="976" t="s">
        <v>2216</v>
      </c>
    </row>
    <row r="562" spans="1:1">
      <c r="A562" s="976" t="s">
        <v>2216</v>
      </c>
    </row>
    <row r="563" spans="1:1">
      <c r="A563" s="976" t="s">
        <v>2216</v>
      </c>
    </row>
    <row r="564" spans="1:1">
      <c r="A564" s="976" t="s">
        <v>2216</v>
      </c>
    </row>
    <row r="565" spans="1:1">
      <c r="A565" s="976" t="s">
        <v>2216</v>
      </c>
    </row>
    <row r="566" spans="1:1">
      <c r="A566" s="976" t="s">
        <v>2338</v>
      </c>
    </row>
    <row r="567" spans="1:1">
      <c r="A567" s="976" t="s">
        <v>2216</v>
      </c>
    </row>
    <row r="568" spans="1:1">
      <c r="A568" s="976" t="s">
        <v>2216</v>
      </c>
    </row>
    <row r="569" spans="1:1">
      <c r="A569" s="976" t="s">
        <v>2339</v>
      </c>
    </row>
    <row r="570" spans="1:1">
      <c r="A570" s="976" t="s">
        <v>2218</v>
      </c>
    </row>
    <row r="571" spans="1:1">
      <c r="A571" s="976" t="s">
        <v>2214</v>
      </c>
    </row>
    <row r="572" spans="1:1">
      <c r="A572" s="976" t="s">
        <v>2211</v>
      </c>
    </row>
    <row r="573" spans="1:1">
      <c r="A573" s="976" t="s">
        <v>2340</v>
      </c>
    </row>
    <row r="574" spans="1:1">
      <c r="A574" s="976" t="s">
        <v>2206</v>
      </c>
    </row>
    <row r="575" spans="1:1">
      <c r="A575" s="976" t="s">
        <v>2213</v>
      </c>
    </row>
    <row r="576" spans="1:1">
      <c r="A576" s="976" t="s">
        <v>2209</v>
      </c>
    </row>
    <row r="577" spans="1:1">
      <c r="A577" s="976" t="s">
        <v>2214</v>
      </c>
    </row>
    <row r="578" spans="1:1">
      <c r="A578" s="976" t="s">
        <v>2215</v>
      </c>
    </row>
    <row r="579" spans="1:1">
      <c r="A579" s="976" t="s">
        <v>2341</v>
      </c>
    </row>
    <row r="580" spans="1:1">
      <c r="A580" s="976" t="s">
        <v>2216</v>
      </c>
    </row>
    <row r="581" spans="1:1">
      <c r="A581" s="976" t="s">
        <v>2216</v>
      </c>
    </row>
    <row r="582" spans="1:1">
      <c r="A582" s="976" t="s">
        <v>2216</v>
      </c>
    </row>
    <row r="583" spans="1:1">
      <c r="A583" s="976" t="s">
        <v>2216</v>
      </c>
    </row>
    <row r="584" spans="1:1">
      <c r="A584" s="976" t="s">
        <v>2329</v>
      </c>
    </row>
    <row r="585" spans="1:1">
      <c r="A585" s="976" t="s">
        <v>2216</v>
      </c>
    </row>
    <row r="586" spans="1:1">
      <c r="A586" s="976" t="s">
        <v>2216</v>
      </c>
    </row>
    <row r="587" spans="1:1">
      <c r="A587" s="976" t="s">
        <v>2216</v>
      </c>
    </row>
    <row r="588" spans="1:1">
      <c r="A588" s="976" t="s">
        <v>2216</v>
      </c>
    </row>
    <row r="589" spans="1:1">
      <c r="A589" s="976" t="s">
        <v>2216</v>
      </c>
    </row>
    <row r="590" spans="1:1">
      <c r="A590" s="976" t="s">
        <v>2216</v>
      </c>
    </row>
    <row r="591" spans="1:1">
      <c r="A591" s="976" t="s">
        <v>2216</v>
      </c>
    </row>
    <row r="592" spans="1:1">
      <c r="A592" s="976" t="s">
        <v>2216</v>
      </c>
    </row>
    <row r="593" spans="1:1">
      <c r="A593" s="976" t="s">
        <v>2216</v>
      </c>
    </row>
    <row r="594" spans="1:1">
      <c r="A594" s="976" t="s">
        <v>2342</v>
      </c>
    </row>
    <row r="595" spans="1:1">
      <c r="A595" s="976" t="s">
        <v>2216</v>
      </c>
    </row>
    <row r="596" spans="1:1">
      <c r="A596" s="976" t="s">
        <v>2216</v>
      </c>
    </row>
    <row r="597" spans="1:1">
      <c r="A597" s="976" t="s">
        <v>2343</v>
      </c>
    </row>
    <row r="598" spans="1:1">
      <c r="A598" s="976" t="s">
        <v>2218</v>
      </c>
    </row>
    <row r="599" spans="1:1">
      <c r="A599" s="976" t="s">
        <v>2214</v>
      </c>
    </row>
    <row r="600" spans="1:1">
      <c r="A600" s="976" t="s">
        <v>2211</v>
      </c>
    </row>
    <row r="601" spans="1:1">
      <c r="A601" s="976" t="s">
        <v>2344</v>
      </c>
    </row>
    <row r="602" spans="1:1">
      <c r="A602" s="976" t="s">
        <v>2206</v>
      </c>
    </row>
    <row r="603" spans="1:1">
      <c r="A603" s="976" t="s">
        <v>2213</v>
      </c>
    </row>
    <row r="604" spans="1:1">
      <c r="A604" s="976" t="s">
        <v>2209</v>
      </c>
    </row>
    <row r="605" spans="1:1">
      <c r="A605" s="976" t="s">
        <v>2214</v>
      </c>
    </row>
    <row r="606" spans="1:1">
      <c r="A606" s="976" t="s">
        <v>2215</v>
      </c>
    </row>
    <row r="607" spans="1:1">
      <c r="A607" s="976" t="s">
        <v>2345</v>
      </c>
    </row>
    <row r="608" spans="1:1">
      <c r="A608" s="976" t="s">
        <v>2216</v>
      </c>
    </row>
    <row r="609" spans="1:1">
      <c r="A609" s="976" t="s">
        <v>2216</v>
      </c>
    </row>
    <row r="610" spans="1:1">
      <c r="A610" s="976" t="s">
        <v>2216</v>
      </c>
    </row>
    <row r="611" spans="1:1">
      <c r="A611" s="976" t="s">
        <v>2216</v>
      </c>
    </row>
    <row r="612" spans="1:1">
      <c r="A612" s="976" t="s">
        <v>2329</v>
      </c>
    </row>
    <row r="613" spans="1:1">
      <c r="A613" s="976" t="s">
        <v>2216</v>
      </c>
    </row>
    <row r="614" spans="1:1">
      <c r="A614" s="976" t="s">
        <v>2216</v>
      </c>
    </row>
    <row r="615" spans="1:1">
      <c r="A615" s="976" t="s">
        <v>2216</v>
      </c>
    </row>
    <row r="616" spans="1:1">
      <c r="A616" s="976" t="s">
        <v>2216</v>
      </c>
    </row>
    <row r="617" spans="1:1">
      <c r="A617" s="976" t="s">
        <v>2216</v>
      </c>
    </row>
    <row r="618" spans="1:1">
      <c r="A618" s="976" t="s">
        <v>2216</v>
      </c>
    </row>
    <row r="619" spans="1:1">
      <c r="A619" s="976" t="s">
        <v>2216</v>
      </c>
    </row>
    <row r="620" spans="1:1">
      <c r="A620" s="976" t="s">
        <v>2216</v>
      </c>
    </row>
    <row r="621" spans="1:1">
      <c r="A621" s="976" t="s">
        <v>2216</v>
      </c>
    </row>
    <row r="622" spans="1:1">
      <c r="A622" s="976" t="s">
        <v>2346</v>
      </c>
    </row>
    <row r="623" spans="1:1">
      <c r="A623" s="976" t="s">
        <v>2216</v>
      </c>
    </row>
    <row r="624" spans="1:1">
      <c r="A624" s="976" t="s">
        <v>2216</v>
      </c>
    </row>
    <row r="625" spans="1:1">
      <c r="A625" s="976" t="s">
        <v>2347</v>
      </c>
    </row>
    <row r="626" spans="1:1">
      <c r="A626" s="976" t="s">
        <v>2218</v>
      </c>
    </row>
    <row r="627" spans="1:1">
      <c r="A627" s="976" t="s">
        <v>2214</v>
      </c>
    </row>
    <row r="628" spans="1:1">
      <c r="A628" s="976" t="s">
        <v>2211</v>
      </c>
    </row>
    <row r="629" spans="1:1">
      <c r="A629" s="976" t="s">
        <v>2348</v>
      </c>
    </row>
    <row r="630" spans="1:1">
      <c r="A630" s="976" t="s">
        <v>2206</v>
      </c>
    </row>
    <row r="631" spans="1:1">
      <c r="A631" s="976" t="s">
        <v>2213</v>
      </c>
    </row>
    <row r="632" spans="1:1">
      <c r="A632" s="976" t="s">
        <v>2209</v>
      </c>
    </row>
    <row r="633" spans="1:1">
      <c r="A633" s="976" t="s">
        <v>2214</v>
      </c>
    </row>
    <row r="634" spans="1:1">
      <c r="A634" s="976" t="s">
        <v>2215</v>
      </c>
    </row>
    <row r="635" spans="1:1">
      <c r="A635" s="976" t="s">
        <v>2349</v>
      </c>
    </row>
    <row r="636" spans="1:1">
      <c r="A636" s="976" t="s">
        <v>2216</v>
      </c>
    </row>
    <row r="637" spans="1:1">
      <c r="A637" s="976" t="s">
        <v>2216</v>
      </c>
    </row>
    <row r="638" spans="1:1">
      <c r="A638" s="976" t="s">
        <v>2216</v>
      </c>
    </row>
    <row r="639" spans="1:1">
      <c r="A639" s="976" t="s">
        <v>2216</v>
      </c>
    </row>
    <row r="640" spans="1:1">
      <c r="A640" s="976" t="s">
        <v>2329</v>
      </c>
    </row>
    <row r="641" spans="1:1">
      <c r="A641" s="976" t="s">
        <v>2216</v>
      </c>
    </row>
    <row r="642" spans="1:1">
      <c r="A642" s="976" t="s">
        <v>2216</v>
      </c>
    </row>
    <row r="643" spans="1:1">
      <c r="A643" s="976" t="s">
        <v>2216</v>
      </c>
    </row>
    <row r="644" spans="1:1">
      <c r="A644" s="976" t="s">
        <v>2216</v>
      </c>
    </row>
    <row r="645" spans="1:1">
      <c r="A645" s="976" t="s">
        <v>2216</v>
      </c>
    </row>
    <row r="646" spans="1:1">
      <c r="A646" s="976" t="s">
        <v>2216</v>
      </c>
    </row>
    <row r="647" spans="1:1">
      <c r="A647" s="976" t="s">
        <v>2216</v>
      </c>
    </row>
    <row r="648" spans="1:1">
      <c r="A648" s="976" t="s">
        <v>2216</v>
      </c>
    </row>
    <row r="649" spans="1:1">
      <c r="A649" s="976" t="s">
        <v>2216</v>
      </c>
    </row>
    <row r="650" spans="1:1">
      <c r="A650" s="976" t="s">
        <v>2350</v>
      </c>
    </row>
    <row r="651" spans="1:1">
      <c r="A651" s="976" t="s">
        <v>2216</v>
      </c>
    </row>
    <row r="652" spans="1:1">
      <c r="A652" s="976" t="s">
        <v>2216</v>
      </c>
    </row>
    <row r="653" spans="1:1">
      <c r="A653" s="976" t="s">
        <v>2351</v>
      </c>
    </row>
    <row r="654" spans="1:1">
      <c r="A654" s="976" t="s">
        <v>2218</v>
      </c>
    </row>
    <row r="655" spans="1:1">
      <c r="A655" s="976" t="s">
        <v>2214</v>
      </c>
    </row>
    <row r="656" spans="1:1">
      <c r="A656" s="976" t="s">
        <v>2211</v>
      </c>
    </row>
    <row r="657" spans="1:1">
      <c r="A657" s="976" t="s">
        <v>2352</v>
      </c>
    </row>
    <row r="658" spans="1:1">
      <c r="A658" s="976" t="s">
        <v>2206</v>
      </c>
    </row>
    <row r="659" spans="1:1">
      <c r="A659" s="976" t="s">
        <v>2213</v>
      </c>
    </row>
    <row r="660" spans="1:1">
      <c r="A660" s="976" t="s">
        <v>2209</v>
      </c>
    </row>
    <row r="661" spans="1:1">
      <c r="A661" s="976" t="s">
        <v>2214</v>
      </c>
    </row>
    <row r="662" spans="1:1">
      <c r="A662" s="976" t="s">
        <v>2215</v>
      </c>
    </row>
    <row r="663" spans="1:1">
      <c r="A663" s="976" t="s">
        <v>2353</v>
      </c>
    </row>
    <row r="664" spans="1:1">
      <c r="A664" s="976" t="s">
        <v>2216</v>
      </c>
    </row>
    <row r="665" spans="1:1">
      <c r="A665" s="976" t="s">
        <v>2216</v>
      </c>
    </row>
    <row r="666" spans="1:1">
      <c r="A666" s="976" t="s">
        <v>2216</v>
      </c>
    </row>
    <row r="667" spans="1:1">
      <c r="A667" s="976" t="s">
        <v>2216</v>
      </c>
    </row>
    <row r="668" spans="1:1">
      <c r="A668" s="976" t="s">
        <v>2329</v>
      </c>
    </row>
    <row r="669" spans="1:1">
      <c r="A669" s="976" t="s">
        <v>2216</v>
      </c>
    </row>
    <row r="670" spans="1:1">
      <c r="A670" s="976" t="s">
        <v>2216</v>
      </c>
    </row>
    <row r="671" spans="1:1">
      <c r="A671" s="976" t="s">
        <v>2216</v>
      </c>
    </row>
    <row r="672" spans="1:1">
      <c r="A672" s="976" t="s">
        <v>2216</v>
      </c>
    </row>
    <row r="673" spans="1:1">
      <c r="A673" s="976" t="s">
        <v>2216</v>
      </c>
    </row>
    <row r="674" spans="1:1">
      <c r="A674" s="976" t="s">
        <v>2216</v>
      </c>
    </row>
    <row r="675" spans="1:1">
      <c r="A675" s="976" t="s">
        <v>2216</v>
      </c>
    </row>
    <row r="676" spans="1:1">
      <c r="A676" s="976" t="s">
        <v>2216</v>
      </c>
    </row>
    <row r="677" spans="1:1">
      <c r="A677" s="976" t="s">
        <v>2216</v>
      </c>
    </row>
    <row r="678" spans="1:1">
      <c r="A678" s="976" t="s">
        <v>2354</v>
      </c>
    </row>
    <row r="679" spans="1:1">
      <c r="A679" s="976" t="s">
        <v>2216</v>
      </c>
    </row>
    <row r="680" spans="1:1">
      <c r="A680" s="976" t="s">
        <v>2216</v>
      </c>
    </row>
    <row r="681" spans="1:1">
      <c r="A681" s="976" t="s">
        <v>2355</v>
      </c>
    </row>
    <row r="682" spans="1:1">
      <c r="A682" s="976" t="s">
        <v>2218</v>
      </c>
    </row>
    <row r="683" spans="1:1">
      <c r="A683" s="976" t="s">
        <v>2214</v>
      </c>
    </row>
    <row r="684" spans="1:1">
      <c r="A684" s="976" t="s">
        <v>2211</v>
      </c>
    </row>
    <row r="685" spans="1:1">
      <c r="A685" s="976" t="s">
        <v>2338</v>
      </c>
    </row>
    <row r="686" spans="1:1">
      <c r="A686" s="976" t="s">
        <v>2206</v>
      </c>
    </row>
    <row r="687" spans="1:1">
      <c r="A687" s="976" t="s">
        <v>2213</v>
      </c>
    </row>
    <row r="688" spans="1:1">
      <c r="A688" s="976" t="s">
        <v>2209</v>
      </c>
    </row>
    <row r="689" spans="1:1">
      <c r="A689" s="976" t="s">
        <v>2214</v>
      </c>
    </row>
    <row r="690" spans="1:1">
      <c r="A690" s="976" t="s">
        <v>2215</v>
      </c>
    </row>
    <row r="691" spans="1:1">
      <c r="A691" s="976" t="s">
        <v>2356</v>
      </c>
    </row>
    <row r="692" spans="1:1">
      <c r="A692" s="976" t="s">
        <v>2216</v>
      </c>
    </row>
    <row r="693" spans="1:1">
      <c r="A693" s="976" t="s">
        <v>2216</v>
      </c>
    </row>
    <row r="694" spans="1:1">
      <c r="A694" s="976" t="s">
        <v>2216</v>
      </c>
    </row>
    <row r="695" spans="1:1">
      <c r="A695" s="976" t="s">
        <v>2216</v>
      </c>
    </row>
    <row r="696" spans="1:1">
      <c r="A696" s="976" t="s">
        <v>2329</v>
      </c>
    </row>
    <row r="697" spans="1:1">
      <c r="A697" s="976" t="s">
        <v>2216</v>
      </c>
    </row>
    <row r="698" spans="1:1">
      <c r="A698" s="976" t="s">
        <v>2216</v>
      </c>
    </row>
    <row r="699" spans="1:1">
      <c r="A699" s="976" t="s">
        <v>2216</v>
      </c>
    </row>
    <row r="700" spans="1:1">
      <c r="A700" s="976" t="s">
        <v>2216</v>
      </c>
    </row>
    <row r="701" spans="1:1">
      <c r="A701" s="976" t="s">
        <v>2216</v>
      </c>
    </row>
    <row r="702" spans="1:1">
      <c r="A702" s="976" t="s">
        <v>2216</v>
      </c>
    </row>
    <row r="703" spans="1:1">
      <c r="A703" s="976" t="s">
        <v>2216</v>
      </c>
    </row>
    <row r="704" spans="1:1">
      <c r="A704" s="976" t="s">
        <v>2216</v>
      </c>
    </row>
    <row r="705" spans="1:1">
      <c r="A705" s="976" t="s">
        <v>2216</v>
      </c>
    </row>
    <row r="706" spans="1:1">
      <c r="A706" s="976" t="s">
        <v>2357</v>
      </c>
    </row>
    <row r="707" spans="1:1">
      <c r="A707" s="976" t="s">
        <v>2216</v>
      </c>
    </row>
    <row r="708" spans="1:1">
      <c r="A708" s="976" t="s">
        <v>2216</v>
      </c>
    </row>
    <row r="709" spans="1:1">
      <c r="A709" s="976" t="s">
        <v>2358</v>
      </c>
    </row>
    <row r="710" spans="1:1">
      <c r="A710" s="976" t="s">
        <v>2218</v>
      </c>
    </row>
    <row r="711" spans="1:1">
      <c r="A711" s="976" t="s">
        <v>2214</v>
      </c>
    </row>
    <row r="712" spans="1:1">
      <c r="A712" s="976" t="s">
        <v>2211</v>
      </c>
    </row>
    <row r="713" spans="1:1">
      <c r="A713" s="976" t="s">
        <v>2358</v>
      </c>
    </row>
    <row r="714" spans="1:1">
      <c r="A714" s="976" t="s">
        <v>2206</v>
      </c>
    </row>
    <row r="715" spans="1:1">
      <c r="A715" s="976" t="s">
        <v>2213</v>
      </c>
    </row>
    <row r="716" spans="1:1">
      <c r="A716" s="976" t="s">
        <v>2209</v>
      </c>
    </row>
    <row r="717" spans="1:1">
      <c r="A717" s="976" t="s">
        <v>2214</v>
      </c>
    </row>
    <row r="718" spans="1:1">
      <c r="A718" s="976" t="s">
        <v>2215</v>
      </c>
    </row>
    <row r="719" spans="1:1">
      <c r="A719" s="976" t="s">
        <v>2359</v>
      </c>
    </row>
    <row r="720" spans="1:1">
      <c r="A720" s="976" t="s">
        <v>2216</v>
      </c>
    </row>
    <row r="721" spans="1:1">
      <c r="A721" s="976" t="s">
        <v>2216</v>
      </c>
    </row>
    <row r="722" spans="1:1">
      <c r="A722" s="976" t="s">
        <v>2216</v>
      </c>
    </row>
    <row r="723" spans="1:1">
      <c r="A723" s="976" t="s">
        <v>2216</v>
      </c>
    </row>
    <row r="724" spans="1:1">
      <c r="A724" s="976" t="s">
        <v>2360</v>
      </c>
    </row>
    <row r="725" spans="1:1">
      <c r="A725" s="976" t="s">
        <v>2216</v>
      </c>
    </row>
    <row r="726" spans="1:1">
      <c r="A726" s="976" t="s">
        <v>2216</v>
      </c>
    </row>
    <row r="727" spans="1:1">
      <c r="A727" s="976" t="s">
        <v>2216</v>
      </c>
    </row>
    <row r="728" spans="1:1">
      <c r="A728" s="976" t="s">
        <v>2216</v>
      </c>
    </row>
    <row r="729" spans="1:1">
      <c r="A729" s="976" t="s">
        <v>2216</v>
      </c>
    </row>
    <row r="730" spans="1:1">
      <c r="A730" s="976" t="s">
        <v>2216</v>
      </c>
    </row>
    <row r="731" spans="1:1">
      <c r="A731" s="976" t="s">
        <v>2216</v>
      </c>
    </row>
    <row r="732" spans="1:1">
      <c r="A732" s="976" t="s">
        <v>2216</v>
      </c>
    </row>
    <row r="733" spans="1:1">
      <c r="A733" s="976" t="s">
        <v>2216</v>
      </c>
    </row>
    <row r="734" spans="1:1">
      <c r="A734" s="976" t="s">
        <v>2361</v>
      </c>
    </row>
    <row r="735" spans="1:1">
      <c r="A735" s="976" t="s">
        <v>2216</v>
      </c>
    </row>
    <row r="736" spans="1:1">
      <c r="A736" s="976" t="s">
        <v>2216</v>
      </c>
    </row>
    <row r="737" spans="1:1">
      <c r="A737" s="976" t="s">
        <v>2362</v>
      </c>
    </row>
    <row r="738" spans="1:1">
      <c r="A738" s="976" t="s">
        <v>2218</v>
      </c>
    </row>
    <row r="739" spans="1:1">
      <c r="A739" s="976" t="s">
        <v>2214</v>
      </c>
    </row>
    <row r="740" spans="1:1">
      <c r="A740" s="976" t="s">
        <v>2211</v>
      </c>
    </row>
    <row r="741" spans="1:1">
      <c r="A741" s="976" t="s">
        <v>2363</v>
      </c>
    </row>
    <row r="742" spans="1:1">
      <c r="A742" s="976" t="s">
        <v>2206</v>
      </c>
    </row>
    <row r="743" spans="1:1">
      <c r="A743" s="976" t="s">
        <v>2213</v>
      </c>
    </row>
    <row r="744" spans="1:1">
      <c r="A744" s="976" t="s">
        <v>2209</v>
      </c>
    </row>
    <row r="745" spans="1:1">
      <c r="A745" s="976" t="s">
        <v>2214</v>
      </c>
    </row>
    <row r="746" spans="1:1">
      <c r="A746" s="976" t="s">
        <v>2215</v>
      </c>
    </row>
    <row r="747" spans="1:1">
      <c r="A747" s="976" t="s">
        <v>2364</v>
      </c>
    </row>
    <row r="748" spans="1:1">
      <c r="A748" s="976" t="s">
        <v>2216</v>
      </c>
    </row>
    <row r="749" spans="1:1">
      <c r="A749" s="976" t="s">
        <v>2216</v>
      </c>
    </row>
    <row r="750" spans="1:1">
      <c r="A750" s="976" t="s">
        <v>2216</v>
      </c>
    </row>
    <row r="751" spans="1:1">
      <c r="A751" s="976" t="s">
        <v>2216</v>
      </c>
    </row>
    <row r="752" spans="1:1">
      <c r="A752" s="976" t="s">
        <v>2360</v>
      </c>
    </row>
    <row r="753" spans="1:1">
      <c r="A753" s="976" t="s">
        <v>2216</v>
      </c>
    </row>
    <row r="754" spans="1:1">
      <c r="A754" s="976" t="s">
        <v>2216</v>
      </c>
    </row>
    <row r="755" spans="1:1">
      <c r="A755" s="976" t="s">
        <v>2216</v>
      </c>
    </row>
    <row r="756" spans="1:1">
      <c r="A756" s="976" t="s">
        <v>2216</v>
      </c>
    </row>
    <row r="757" spans="1:1">
      <c r="A757" s="976" t="s">
        <v>2216</v>
      </c>
    </row>
    <row r="758" spans="1:1">
      <c r="A758" s="976" t="s">
        <v>2216</v>
      </c>
    </row>
    <row r="759" spans="1:1">
      <c r="A759" s="976" t="s">
        <v>2216</v>
      </c>
    </row>
    <row r="760" spans="1:1">
      <c r="A760" s="976" t="s">
        <v>2216</v>
      </c>
    </row>
    <row r="761" spans="1:1">
      <c r="A761" s="976" t="s">
        <v>2216</v>
      </c>
    </row>
    <row r="762" spans="1:1">
      <c r="A762" s="976" t="s">
        <v>2365</v>
      </c>
    </row>
    <row r="763" spans="1:1">
      <c r="A763" s="976" t="s">
        <v>2216</v>
      </c>
    </row>
    <row r="764" spans="1:1">
      <c r="A764" s="976" t="s">
        <v>2216</v>
      </c>
    </row>
    <row r="765" spans="1:1">
      <c r="A765" s="976" t="s">
        <v>2366</v>
      </c>
    </row>
    <row r="766" spans="1:1">
      <c r="A766" s="976" t="s">
        <v>2218</v>
      </c>
    </row>
    <row r="767" spans="1:1">
      <c r="A767" s="976" t="s">
        <v>2214</v>
      </c>
    </row>
    <row r="768" spans="1:1">
      <c r="A768" s="976" t="s">
        <v>2211</v>
      </c>
    </row>
    <row r="769" spans="1:1">
      <c r="A769" s="976" t="s">
        <v>2367</v>
      </c>
    </row>
    <row r="770" spans="1:1">
      <c r="A770" s="976" t="s">
        <v>2206</v>
      </c>
    </row>
    <row r="771" spans="1:1">
      <c r="A771" s="976" t="s">
        <v>2213</v>
      </c>
    </row>
    <row r="772" spans="1:1">
      <c r="A772" s="976" t="s">
        <v>2209</v>
      </c>
    </row>
    <row r="773" spans="1:1">
      <c r="A773" s="976" t="s">
        <v>2214</v>
      </c>
    </row>
    <row r="774" spans="1:1">
      <c r="A774" s="976" t="s">
        <v>2215</v>
      </c>
    </row>
    <row r="775" spans="1:1">
      <c r="A775" s="976" t="s">
        <v>2368</v>
      </c>
    </row>
    <row r="776" spans="1:1">
      <c r="A776" s="976" t="s">
        <v>2216</v>
      </c>
    </row>
    <row r="777" spans="1:1">
      <c r="A777" s="976" t="s">
        <v>2216</v>
      </c>
    </row>
    <row r="778" spans="1:1">
      <c r="A778" s="976" t="s">
        <v>2216</v>
      </c>
    </row>
    <row r="779" spans="1:1">
      <c r="A779" s="976" t="s">
        <v>2216</v>
      </c>
    </row>
    <row r="780" spans="1:1">
      <c r="A780" s="976" t="s">
        <v>2360</v>
      </c>
    </row>
    <row r="781" spans="1:1">
      <c r="A781" s="976" t="s">
        <v>2216</v>
      </c>
    </row>
    <row r="782" spans="1:1">
      <c r="A782" s="976" t="s">
        <v>2216</v>
      </c>
    </row>
    <row r="783" spans="1:1">
      <c r="A783" s="976" t="s">
        <v>2216</v>
      </c>
    </row>
    <row r="784" spans="1:1">
      <c r="A784" s="976" t="s">
        <v>2216</v>
      </c>
    </row>
    <row r="785" spans="1:1">
      <c r="A785" s="976" t="s">
        <v>2216</v>
      </c>
    </row>
    <row r="786" spans="1:1">
      <c r="A786" s="976" t="s">
        <v>2216</v>
      </c>
    </row>
    <row r="787" spans="1:1">
      <c r="A787" s="976" t="s">
        <v>2216</v>
      </c>
    </row>
    <row r="788" spans="1:1">
      <c r="A788" s="976" t="s">
        <v>2216</v>
      </c>
    </row>
    <row r="789" spans="1:1">
      <c r="A789" s="976" t="s">
        <v>2216</v>
      </c>
    </row>
    <row r="790" spans="1:1">
      <c r="A790" s="976" t="s">
        <v>2369</v>
      </c>
    </row>
    <row r="791" spans="1:1">
      <c r="A791" s="976" t="s">
        <v>2216</v>
      </c>
    </row>
    <row r="792" spans="1:1">
      <c r="A792" s="976" t="s">
        <v>2216</v>
      </c>
    </row>
    <row r="793" spans="1:1">
      <c r="A793" s="976" t="s">
        <v>2370</v>
      </c>
    </row>
    <row r="794" spans="1:1">
      <c r="A794" s="976" t="s">
        <v>2218</v>
      </c>
    </row>
    <row r="795" spans="1:1">
      <c r="A795" s="976" t="s">
        <v>2214</v>
      </c>
    </row>
    <row r="796" spans="1:1">
      <c r="A796" s="976" t="s">
        <v>2211</v>
      </c>
    </row>
    <row r="797" spans="1:1">
      <c r="A797" s="976" t="s">
        <v>2371</v>
      </c>
    </row>
    <row r="798" spans="1:1">
      <c r="A798" s="976" t="s">
        <v>2206</v>
      </c>
    </row>
    <row r="799" spans="1:1">
      <c r="A799" s="976" t="s">
        <v>2213</v>
      </c>
    </row>
    <row r="800" spans="1:1">
      <c r="A800" s="976" t="s">
        <v>2209</v>
      </c>
    </row>
    <row r="801" spans="1:1">
      <c r="A801" s="976" t="s">
        <v>2214</v>
      </c>
    </row>
    <row r="802" spans="1:1">
      <c r="A802" s="976" t="s">
        <v>2215</v>
      </c>
    </row>
    <row r="803" spans="1:1">
      <c r="A803" s="976" t="s">
        <v>2372</v>
      </c>
    </row>
    <row r="804" spans="1:1">
      <c r="A804" s="976" t="s">
        <v>2216</v>
      </c>
    </row>
    <row r="805" spans="1:1">
      <c r="A805" s="976" t="s">
        <v>2216</v>
      </c>
    </row>
    <row r="806" spans="1:1">
      <c r="A806" s="976" t="s">
        <v>2216</v>
      </c>
    </row>
    <row r="807" spans="1:1">
      <c r="A807" s="976" t="s">
        <v>2216</v>
      </c>
    </row>
    <row r="808" spans="1:1">
      <c r="A808" s="976" t="s">
        <v>2360</v>
      </c>
    </row>
    <row r="809" spans="1:1">
      <c r="A809" s="976" t="s">
        <v>2216</v>
      </c>
    </row>
    <row r="810" spans="1:1">
      <c r="A810" s="976" t="s">
        <v>2216</v>
      </c>
    </row>
    <row r="811" spans="1:1">
      <c r="A811" s="976" t="s">
        <v>2216</v>
      </c>
    </row>
    <row r="812" spans="1:1">
      <c r="A812" s="976" t="s">
        <v>2216</v>
      </c>
    </row>
    <row r="813" spans="1:1">
      <c r="A813" s="976" t="s">
        <v>2216</v>
      </c>
    </row>
    <row r="814" spans="1:1">
      <c r="A814" s="976" t="s">
        <v>2216</v>
      </c>
    </row>
    <row r="815" spans="1:1">
      <c r="A815" s="976" t="s">
        <v>2216</v>
      </c>
    </row>
    <row r="816" spans="1:1">
      <c r="A816" s="976" t="s">
        <v>2216</v>
      </c>
    </row>
    <row r="817" spans="1:1">
      <c r="A817" s="976" t="s">
        <v>2216</v>
      </c>
    </row>
    <row r="818" spans="1:1">
      <c r="A818" s="976" t="s">
        <v>2219</v>
      </c>
    </row>
    <row r="819" spans="1:1">
      <c r="A819" s="976" t="s">
        <v>2216</v>
      </c>
    </row>
    <row r="820" spans="1:1">
      <c r="A820" s="976" t="s">
        <v>2216</v>
      </c>
    </row>
    <row r="821" spans="1:1">
      <c r="A821" s="976" t="s">
        <v>2323</v>
      </c>
    </row>
    <row r="822" spans="1:1">
      <c r="A822" s="976" t="s">
        <v>2218</v>
      </c>
    </row>
    <row r="823" spans="1:1">
      <c r="A823" s="976" t="s">
        <v>2214</v>
      </c>
    </row>
    <row r="824" spans="1:1">
      <c r="A824" s="976" t="s">
        <v>2211</v>
      </c>
    </row>
    <row r="825" spans="1:1">
      <c r="A825" s="976" t="s">
        <v>2373</v>
      </c>
    </row>
    <row r="826" spans="1:1">
      <c r="A826" s="976" t="s">
        <v>2206</v>
      </c>
    </row>
    <row r="827" spans="1:1">
      <c r="A827" s="976" t="s">
        <v>2213</v>
      </c>
    </row>
    <row r="828" spans="1:1">
      <c r="A828" s="976" t="s">
        <v>2209</v>
      </c>
    </row>
    <row r="829" spans="1:1">
      <c r="A829" s="976" t="s">
        <v>2214</v>
      </c>
    </row>
    <row r="830" spans="1:1">
      <c r="A830" s="976" t="s">
        <v>2215</v>
      </c>
    </row>
    <row r="831" spans="1:1">
      <c r="A831" s="976" t="s">
        <v>2374</v>
      </c>
    </row>
    <row r="832" spans="1:1">
      <c r="A832" s="976" t="s">
        <v>2216</v>
      </c>
    </row>
    <row r="833" spans="1:1">
      <c r="A833" s="976" t="s">
        <v>2216</v>
      </c>
    </row>
    <row r="834" spans="1:1">
      <c r="A834" s="976" t="s">
        <v>2216</v>
      </c>
    </row>
    <row r="835" spans="1:1">
      <c r="A835" s="976" t="s">
        <v>2216</v>
      </c>
    </row>
    <row r="836" spans="1:1">
      <c r="A836" s="976" t="s">
        <v>2360</v>
      </c>
    </row>
    <row r="837" spans="1:1">
      <c r="A837" s="976" t="s">
        <v>2216</v>
      </c>
    </row>
    <row r="838" spans="1:1">
      <c r="A838" s="976" t="s">
        <v>2216</v>
      </c>
    </row>
    <row r="839" spans="1:1">
      <c r="A839" s="976" t="s">
        <v>2216</v>
      </c>
    </row>
    <row r="840" spans="1:1">
      <c r="A840" s="976" t="s">
        <v>2216</v>
      </c>
    </row>
    <row r="841" spans="1:1">
      <c r="A841" s="976" t="s">
        <v>2216</v>
      </c>
    </row>
    <row r="842" spans="1:1">
      <c r="A842" s="976" t="s">
        <v>2216</v>
      </c>
    </row>
    <row r="843" spans="1:1">
      <c r="A843" s="976" t="s">
        <v>2216</v>
      </c>
    </row>
    <row r="844" spans="1:1">
      <c r="A844" s="976" t="s">
        <v>2216</v>
      </c>
    </row>
    <row r="845" spans="1:1">
      <c r="A845" s="976" t="s">
        <v>2216</v>
      </c>
    </row>
    <row r="846" spans="1:1">
      <c r="A846" s="976" t="s">
        <v>2244</v>
      </c>
    </row>
    <row r="847" spans="1:1">
      <c r="A847" s="976" t="s">
        <v>2216</v>
      </c>
    </row>
    <row r="848" spans="1:1">
      <c r="A848" s="976" t="s">
        <v>2216</v>
      </c>
    </row>
    <row r="849" spans="1:1">
      <c r="A849" s="976" t="s">
        <v>2375</v>
      </c>
    </row>
    <row r="850" spans="1:1">
      <c r="A850" s="976" t="s">
        <v>2218</v>
      </c>
    </row>
    <row r="851" spans="1:1">
      <c r="A851" s="976" t="s">
        <v>2214</v>
      </c>
    </row>
    <row r="852" spans="1:1">
      <c r="A852" s="976" t="s">
        <v>2211</v>
      </c>
    </row>
    <row r="853" spans="1:1">
      <c r="A853" s="976" t="s">
        <v>2376</v>
      </c>
    </row>
    <row r="854" spans="1:1">
      <c r="A854" s="976" t="s">
        <v>2206</v>
      </c>
    </row>
    <row r="855" spans="1:1">
      <c r="A855" s="976" t="s">
        <v>2213</v>
      </c>
    </row>
    <row r="856" spans="1:1">
      <c r="A856" s="976" t="s">
        <v>2209</v>
      </c>
    </row>
    <row r="857" spans="1:1">
      <c r="A857" s="976" t="s">
        <v>2214</v>
      </c>
    </row>
    <row r="858" spans="1:1">
      <c r="A858" s="976" t="s">
        <v>2215</v>
      </c>
    </row>
    <row r="859" spans="1:1">
      <c r="A859" s="976" t="s">
        <v>2377</v>
      </c>
    </row>
    <row r="860" spans="1:1">
      <c r="A860" s="976" t="s">
        <v>2216</v>
      </c>
    </row>
    <row r="861" spans="1:1">
      <c r="A861" s="976" t="s">
        <v>2216</v>
      </c>
    </row>
    <row r="862" spans="1:1">
      <c r="A862" s="976" t="s">
        <v>2216</v>
      </c>
    </row>
    <row r="863" spans="1:1">
      <c r="A863" s="976" t="s">
        <v>2216</v>
      </c>
    </row>
    <row r="864" spans="1:1">
      <c r="A864" s="976" t="s">
        <v>2360</v>
      </c>
    </row>
    <row r="865" spans="1:1">
      <c r="A865" s="976" t="s">
        <v>2216</v>
      </c>
    </row>
    <row r="866" spans="1:1">
      <c r="A866" s="976" t="s">
        <v>2216</v>
      </c>
    </row>
    <row r="867" spans="1:1">
      <c r="A867" s="976" t="s">
        <v>2216</v>
      </c>
    </row>
    <row r="868" spans="1:1">
      <c r="A868" s="976" t="s">
        <v>2216</v>
      </c>
    </row>
    <row r="869" spans="1:1">
      <c r="A869" s="976" t="s">
        <v>2216</v>
      </c>
    </row>
    <row r="870" spans="1:1">
      <c r="A870" s="976" t="s">
        <v>2216</v>
      </c>
    </row>
    <row r="871" spans="1:1">
      <c r="A871" s="976" t="s">
        <v>2216</v>
      </c>
    </row>
    <row r="872" spans="1:1">
      <c r="A872" s="976" t="s">
        <v>2216</v>
      </c>
    </row>
    <row r="873" spans="1:1">
      <c r="A873" s="976" t="s">
        <v>2216</v>
      </c>
    </row>
    <row r="874" spans="1:1">
      <c r="A874" s="976" t="s">
        <v>2350</v>
      </c>
    </row>
    <row r="875" spans="1:1">
      <c r="A875" s="976" t="s">
        <v>2216</v>
      </c>
    </row>
    <row r="876" spans="1:1">
      <c r="A876" s="976" t="s">
        <v>2216</v>
      </c>
    </row>
    <row r="877" spans="1:1">
      <c r="A877" s="976" t="s">
        <v>2351</v>
      </c>
    </row>
    <row r="878" spans="1:1">
      <c r="A878" s="976" t="s">
        <v>2218</v>
      </c>
    </row>
    <row r="879" spans="1:1">
      <c r="A879" s="976" t="s">
        <v>2214</v>
      </c>
    </row>
    <row r="880" spans="1:1">
      <c r="A880" s="976" t="s">
        <v>2211</v>
      </c>
    </row>
    <row r="881" spans="1:1">
      <c r="A881" s="976" t="s">
        <v>2378</v>
      </c>
    </row>
    <row r="882" spans="1:1">
      <c r="A882" s="976" t="s">
        <v>2206</v>
      </c>
    </row>
    <row r="883" spans="1:1">
      <c r="A883" s="976" t="s">
        <v>2213</v>
      </c>
    </row>
    <row r="884" spans="1:1">
      <c r="A884" s="976" t="s">
        <v>2209</v>
      </c>
    </row>
    <row r="885" spans="1:1">
      <c r="A885" s="976" t="s">
        <v>2214</v>
      </c>
    </row>
    <row r="886" spans="1:1">
      <c r="A886" s="976" t="s">
        <v>2215</v>
      </c>
    </row>
    <row r="887" spans="1:1">
      <c r="A887" s="976" t="s">
        <v>2379</v>
      </c>
    </row>
    <row r="888" spans="1:1">
      <c r="A888" s="976" t="s">
        <v>2216</v>
      </c>
    </row>
    <row r="889" spans="1:1">
      <c r="A889" s="976" t="s">
        <v>2216</v>
      </c>
    </row>
    <row r="890" spans="1:1">
      <c r="A890" s="976" t="s">
        <v>2216</v>
      </c>
    </row>
    <row r="891" spans="1:1">
      <c r="A891" s="976" t="s">
        <v>2216</v>
      </c>
    </row>
    <row r="892" spans="1:1">
      <c r="A892" s="976" t="s">
        <v>2360</v>
      </c>
    </row>
    <row r="893" spans="1:1">
      <c r="A893" s="976" t="s">
        <v>2216</v>
      </c>
    </row>
    <row r="894" spans="1:1">
      <c r="A894" s="976" t="s">
        <v>2216</v>
      </c>
    </row>
    <row r="895" spans="1:1">
      <c r="A895" s="976" t="s">
        <v>2216</v>
      </c>
    </row>
    <row r="896" spans="1:1">
      <c r="A896" s="976" t="s">
        <v>2216</v>
      </c>
    </row>
    <row r="897" spans="1:1">
      <c r="A897" s="976" t="s">
        <v>2216</v>
      </c>
    </row>
    <row r="898" spans="1:1">
      <c r="A898" s="976" t="s">
        <v>2216</v>
      </c>
    </row>
    <row r="899" spans="1:1">
      <c r="A899" s="976" t="s">
        <v>2216</v>
      </c>
    </row>
    <row r="900" spans="1:1">
      <c r="A900" s="976" t="s">
        <v>2216</v>
      </c>
    </row>
    <row r="901" spans="1:1">
      <c r="A901" s="976" t="s">
        <v>2216</v>
      </c>
    </row>
    <row r="902" spans="1:1">
      <c r="A902" s="976" t="s">
        <v>2380</v>
      </c>
    </row>
    <row r="903" spans="1:1">
      <c r="A903" s="976" t="s">
        <v>2216</v>
      </c>
    </row>
    <row r="904" spans="1:1">
      <c r="A904" s="976" t="s">
        <v>2216</v>
      </c>
    </row>
    <row r="905" spans="1:1">
      <c r="A905" s="976" t="s">
        <v>2381</v>
      </c>
    </row>
    <row r="906" spans="1:1">
      <c r="A906" s="976" t="s">
        <v>2218</v>
      </c>
    </row>
    <row r="907" spans="1:1">
      <c r="A907" s="976" t="s">
        <v>2214</v>
      </c>
    </row>
    <row r="908" spans="1:1">
      <c r="A908" s="976" t="s">
        <v>2211</v>
      </c>
    </row>
    <row r="909" spans="1:1">
      <c r="A909" s="976" t="s">
        <v>2382</v>
      </c>
    </row>
    <row r="910" spans="1:1">
      <c r="A910" s="976" t="s">
        <v>2206</v>
      </c>
    </row>
    <row r="911" spans="1:1">
      <c r="A911" s="976" t="s">
        <v>2213</v>
      </c>
    </row>
    <row r="912" spans="1:1">
      <c r="A912" s="976" t="s">
        <v>2209</v>
      </c>
    </row>
    <row r="913" spans="1:1">
      <c r="A913" s="976" t="s">
        <v>2214</v>
      </c>
    </row>
    <row r="914" spans="1:1">
      <c r="A914" s="976" t="s">
        <v>2215</v>
      </c>
    </row>
    <row r="915" spans="1:1">
      <c r="A915" s="976" t="s">
        <v>2383</v>
      </c>
    </row>
    <row r="916" spans="1:1">
      <c r="A916" s="976" t="s">
        <v>2216</v>
      </c>
    </row>
    <row r="917" spans="1:1">
      <c r="A917" s="976" t="s">
        <v>2216</v>
      </c>
    </row>
    <row r="918" spans="1:1">
      <c r="A918" s="976" t="s">
        <v>2216</v>
      </c>
    </row>
    <row r="919" spans="1:1">
      <c r="A919" s="976" t="s">
        <v>2216</v>
      </c>
    </row>
    <row r="920" spans="1:1">
      <c r="A920" s="976" t="s">
        <v>2360</v>
      </c>
    </row>
    <row r="921" spans="1:1">
      <c r="A921" s="976" t="s">
        <v>2216</v>
      </c>
    </row>
    <row r="922" spans="1:1">
      <c r="A922" s="976" t="s">
        <v>2216</v>
      </c>
    </row>
    <row r="923" spans="1:1">
      <c r="A923" s="976" t="s">
        <v>2216</v>
      </c>
    </row>
    <row r="924" spans="1:1">
      <c r="A924" s="976" t="s">
        <v>2216</v>
      </c>
    </row>
    <row r="925" spans="1:1">
      <c r="A925" s="976" t="s">
        <v>2216</v>
      </c>
    </row>
    <row r="926" spans="1:1">
      <c r="A926" s="976" t="s">
        <v>2216</v>
      </c>
    </row>
    <row r="927" spans="1:1">
      <c r="A927" s="976" t="s">
        <v>2216</v>
      </c>
    </row>
    <row r="928" spans="1:1">
      <c r="A928" s="976" t="s">
        <v>2216</v>
      </c>
    </row>
    <row r="929" spans="1:1">
      <c r="A929" s="976" t="s">
        <v>2216</v>
      </c>
    </row>
    <row r="930" spans="1:1">
      <c r="A930" s="976" t="s">
        <v>2226</v>
      </c>
    </row>
    <row r="931" spans="1:1">
      <c r="A931" s="976" t="s">
        <v>2216</v>
      </c>
    </row>
    <row r="932" spans="1:1">
      <c r="A932" s="976" t="s">
        <v>2216</v>
      </c>
    </row>
    <row r="933" spans="1:1">
      <c r="A933" s="976" t="s">
        <v>2227</v>
      </c>
    </row>
    <row r="934" spans="1:1">
      <c r="A934" s="976" t="s">
        <v>2218</v>
      </c>
    </row>
    <row r="935" spans="1:1">
      <c r="A935" s="976" t="s">
        <v>2214</v>
      </c>
    </row>
    <row r="936" spans="1:1">
      <c r="A936" s="976" t="s">
        <v>2211</v>
      </c>
    </row>
    <row r="937" spans="1:1">
      <c r="A937" s="976" t="s">
        <v>2384</v>
      </c>
    </row>
    <row r="938" spans="1:1">
      <c r="A938" s="976" t="s">
        <v>2206</v>
      </c>
    </row>
    <row r="939" spans="1:1">
      <c r="A939" s="976" t="s">
        <v>2213</v>
      </c>
    </row>
    <row r="940" spans="1:1">
      <c r="A940" s="976" t="s">
        <v>2209</v>
      </c>
    </row>
    <row r="941" spans="1:1">
      <c r="A941" s="976" t="s">
        <v>2214</v>
      </c>
    </row>
    <row r="942" spans="1:1">
      <c r="A942" s="976" t="s">
        <v>2229</v>
      </c>
    </row>
    <row r="943" spans="1:1">
      <c r="A943" s="976" t="s">
        <v>2216</v>
      </c>
    </row>
    <row r="944" spans="1:1">
      <c r="A944" s="976" t="s">
        <v>2216</v>
      </c>
    </row>
    <row r="945" spans="1:1">
      <c r="A945" s="976" t="s">
        <v>2216</v>
      </c>
    </row>
    <row r="946" spans="1:1">
      <c r="A946" s="976" t="s">
        <v>2216</v>
      </c>
    </row>
    <row r="947" spans="1:1">
      <c r="A947" s="976" t="s">
        <v>2216</v>
      </c>
    </row>
    <row r="948" spans="1:1">
      <c r="A948" s="976" t="s">
        <v>2216</v>
      </c>
    </row>
    <row r="949" spans="1:1">
      <c r="A949" s="976" t="s">
        <v>2385</v>
      </c>
    </row>
    <row r="950" spans="1:1">
      <c r="A950" s="976" t="s">
        <v>2216</v>
      </c>
    </row>
    <row r="951" spans="1:1">
      <c r="A951" s="976" t="s">
        <v>2216</v>
      </c>
    </row>
    <row r="952" spans="1:1">
      <c r="A952" s="976" t="s">
        <v>2216</v>
      </c>
    </row>
    <row r="953" spans="1:1">
      <c r="A953" s="976" t="s">
        <v>2216</v>
      </c>
    </row>
    <row r="954" spans="1:1">
      <c r="A954" s="976" t="s">
        <v>2216</v>
      </c>
    </row>
    <row r="955" spans="1:1">
      <c r="A955" s="976" t="s">
        <v>2216</v>
      </c>
    </row>
    <row r="956" spans="1:1">
      <c r="A956" s="976" t="s">
        <v>2216</v>
      </c>
    </row>
    <row r="957" spans="1:1">
      <c r="A957" s="976" t="s">
        <v>2216</v>
      </c>
    </row>
    <row r="958" spans="1:1">
      <c r="A958" s="976" t="s">
        <v>2216</v>
      </c>
    </row>
    <row r="959" spans="1:1">
      <c r="A959" s="976" t="s">
        <v>2238</v>
      </c>
    </row>
    <row r="960" spans="1:1">
      <c r="A960" s="976" t="s">
        <v>2216</v>
      </c>
    </row>
    <row r="961" spans="1:1">
      <c r="A961" s="976" t="s">
        <v>2216</v>
      </c>
    </row>
    <row r="962" spans="1:1">
      <c r="A962" s="976" t="s">
        <v>2239</v>
      </c>
    </row>
    <row r="963" spans="1:1">
      <c r="A963" s="976" t="s">
        <v>2218</v>
      </c>
    </row>
    <row r="964" spans="1:1">
      <c r="A964" s="976" t="s">
        <v>2214</v>
      </c>
    </row>
    <row r="965" spans="1:1">
      <c r="A965" s="976" t="s">
        <v>2211</v>
      </c>
    </row>
    <row r="966" spans="1:1">
      <c r="A966" s="976" t="s">
        <v>13156</v>
      </c>
    </row>
    <row r="967" spans="1:1">
      <c r="A967" s="976" t="s">
        <v>2206</v>
      </c>
    </row>
    <row r="968" spans="1:1">
      <c r="A968" s="976" t="s">
        <v>2213</v>
      </c>
    </row>
    <row r="969" spans="1:1">
      <c r="A969" s="976" t="s">
        <v>2209</v>
      </c>
    </row>
    <row r="970" spans="1:1">
      <c r="A970" s="976" t="s">
        <v>2214</v>
      </c>
    </row>
    <row r="971" spans="1:1">
      <c r="A971" s="976" t="s">
        <v>13157</v>
      </c>
    </row>
    <row r="972" spans="1:1">
      <c r="A972" s="976" t="s">
        <v>2209</v>
      </c>
    </row>
    <row r="973" spans="1:1">
      <c r="A973" s="976" t="s">
        <v>2214</v>
      </c>
    </row>
    <row r="974" spans="1:1">
      <c r="A974" s="976" t="s">
        <v>2216</v>
      </c>
    </row>
    <row r="975" spans="1:1">
      <c r="A975" s="976" t="s">
        <v>2216</v>
      </c>
    </row>
    <row r="976" spans="1:1">
      <c r="A976" s="976" t="s">
        <v>2216</v>
      </c>
    </row>
    <row r="977" spans="1:1">
      <c r="A977" s="976" t="s">
        <v>2216</v>
      </c>
    </row>
    <row r="978" spans="1:1">
      <c r="A978" s="976" t="s">
        <v>2216</v>
      </c>
    </row>
    <row r="979" spans="1:1">
      <c r="A979" s="976" t="s">
        <v>2216</v>
      </c>
    </row>
    <row r="980" spans="1:1">
      <c r="A980" s="976" t="s">
        <v>2216</v>
      </c>
    </row>
    <row r="981" spans="1:1">
      <c r="A981" s="976" t="s">
        <v>2216</v>
      </c>
    </row>
    <row r="982" spans="1:1">
      <c r="A982" s="976" t="s">
        <v>2216</v>
      </c>
    </row>
    <row r="983" spans="1:1">
      <c r="A983" s="976" t="s">
        <v>13158</v>
      </c>
    </row>
    <row r="984" spans="1:1">
      <c r="A984" s="976" t="s">
        <v>2216</v>
      </c>
    </row>
    <row r="985" spans="1:1">
      <c r="A985" s="976" t="s">
        <v>2216</v>
      </c>
    </row>
    <row r="986" spans="1:1">
      <c r="A986" s="976" t="s">
        <v>13159</v>
      </c>
    </row>
    <row r="987" spans="1:1">
      <c r="A987" s="976" t="s">
        <v>2216</v>
      </c>
    </row>
    <row r="988" spans="1:1">
      <c r="A988" s="976" t="s">
        <v>2216</v>
      </c>
    </row>
    <row r="989" spans="1:1">
      <c r="A989" s="976" t="s">
        <v>2216</v>
      </c>
    </row>
    <row r="990" spans="1:1">
      <c r="A990" s="976" t="s">
        <v>2216</v>
      </c>
    </row>
    <row r="991" spans="1:1">
      <c r="A991" s="976" t="s">
        <v>2216</v>
      </c>
    </row>
    <row r="992" spans="1:1">
      <c r="A992" s="976" t="s">
        <v>2216</v>
      </c>
    </row>
    <row r="993" spans="1:1">
      <c r="A993" s="976" t="s">
        <v>2233</v>
      </c>
    </row>
    <row r="994" spans="1:1">
      <c r="A994" s="976" t="s">
        <v>2234</v>
      </c>
    </row>
    <row r="995" spans="1:1">
      <c r="A995" s="976" t="s">
        <v>2235</v>
      </c>
    </row>
    <row r="996" spans="1:1">
      <c r="A996" s="976" t="s">
        <v>2236</v>
      </c>
    </row>
  </sheetData>
  <mergeCells count="1">
    <mergeCell ref="E1:M1"/>
  </mergeCells>
  <phoneticPr fontId="4" type="noConversion"/>
  <conditionalFormatting sqref="E3:M3">
    <cfRule type="expression" dxfId="6" priority="2">
      <formula>$E3=""</formula>
    </cfRule>
  </conditionalFormatting>
  <dataValidations disablePrompts="1" count="1">
    <dataValidation type="list" allowBlank="1" showInputMessage="1" showErrorMessage="1" sqref="C11" xr:uid="{8411342B-21EA-41B7-A4BD-C4981C8D3576}">
      <formula1>"Office,VPN,Slower"</formula1>
    </dataValidation>
  </dataValidations>
  <pageMargins left="0.511811024" right="0.511811024" top="0.78740157499999996" bottom="0.78740157499999996" header="0.31496062000000002" footer="0.31496062000000002"/>
  <pageSetup paperSize="9" orientation="portrait" r:id="rId1"/>
  <drawing r:id="rId2"/>
  <legacyDrawing r:id="rId3"/>
  <tableParts count="2">
    <tablePart r:id="rId4"/>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7915651-F22E-451B-A225-F4C944FCD7D7}">
          <x14:formula1>
            <xm:f>ITEM_REFERENCE!$A:$A</xm:f>
          </x14:formula1>
          <xm:sqref>C8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6F2A7-130C-4618-9D7E-F28C7ACD00B6}">
  <sheetPr codeName="Planilha1"/>
  <dimension ref="A1:U39"/>
  <sheetViews>
    <sheetView showGridLines="0" topLeftCell="B1" zoomScale="85" zoomScaleNormal="85" workbookViewId="0">
      <selection activeCell="X24" sqref="X24"/>
    </sheetView>
  </sheetViews>
  <sheetFormatPr defaultRowHeight="13.2"/>
  <cols>
    <col min="1" max="1" width="20.109375" hidden="1" customWidth="1"/>
    <col min="2" max="2" width="9.33203125" bestFit="1" customWidth="1"/>
    <col min="3" max="3" width="11" hidden="1" customWidth="1"/>
    <col min="4" max="4" width="15.5546875" hidden="1" customWidth="1"/>
    <col min="5" max="5" width="27" bestFit="1" customWidth="1"/>
    <col min="6" max="6" width="13.33203125" bestFit="1" customWidth="1"/>
    <col min="7" max="8" width="10.21875" bestFit="1" customWidth="1"/>
    <col min="9" max="10" width="21" hidden="1" customWidth="1"/>
    <col min="11" max="11" width="27" hidden="1" customWidth="1"/>
    <col min="12" max="13" width="12.109375" hidden="1" customWidth="1"/>
    <col min="14" max="15" width="11.33203125" hidden="1" customWidth="1"/>
    <col min="16" max="21" width="18.88671875" hidden="1" customWidth="1"/>
  </cols>
  <sheetData>
    <row r="1" spans="1:21">
      <c r="A1" s="627" t="s">
        <v>2178</v>
      </c>
      <c r="B1" s="627" t="s">
        <v>96</v>
      </c>
      <c r="C1" s="627" t="s">
        <v>665</v>
      </c>
      <c r="D1" s="628" t="s">
        <v>2179</v>
      </c>
      <c r="E1" s="627" t="s">
        <v>499</v>
      </c>
      <c r="F1" s="629" t="s">
        <v>2180</v>
      </c>
      <c r="G1" s="627" t="s">
        <v>2181</v>
      </c>
      <c r="H1" s="630" t="s">
        <v>2182</v>
      </c>
      <c r="I1" s="627" t="s">
        <v>2183</v>
      </c>
      <c r="J1" s="627" t="s">
        <v>2184</v>
      </c>
      <c r="K1" s="628" t="s">
        <v>2185</v>
      </c>
      <c r="L1" s="628" t="s">
        <v>2186</v>
      </c>
      <c r="M1" s="628" t="s">
        <v>8184</v>
      </c>
      <c r="N1" s="628" t="s">
        <v>2187</v>
      </c>
      <c r="O1" s="628" t="s">
        <v>2188</v>
      </c>
      <c r="P1" s="627" t="s">
        <v>2189</v>
      </c>
      <c r="Q1" s="627" t="s">
        <v>2190</v>
      </c>
      <c r="R1" s="627" t="s">
        <v>2191</v>
      </c>
      <c r="S1" s="627" t="s">
        <v>2192</v>
      </c>
      <c r="T1" s="627" t="s">
        <v>12973</v>
      </c>
      <c r="U1" s="627" t="s">
        <v>2193</v>
      </c>
    </row>
    <row r="2" spans="1:21">
      <c r="A2" t="str" cm="1">
        <f t="array" ref="A2">IFERROR(IF(Tabela2[[#This Row],[State]]="Automatico",IF(Tabela2[[#This Row],[Shape]]="","",(ROW()-1)*10),INDEX(Tabela2[[#All],[Item (Reference)]],ROW()-1)),"")</f>
        <v/>
      </c>
      <c r="B2" s="627">
        <f>IFERROR((ROW()-1)*10,"")</f>
        <v>10</v>
      </c>
      <c r="C2"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 s="628" t="str">
        <f>IFERROR(IF(Tabela2[[#This Row],[Shape]]="","Normal",IF(_xlfn.XLOOKUP(Tabela2[[#This Row],[Brand]],BRANDS[Brand],BRANDS[Brand Type])="","Normal",_xlfn.XLOOKUP(Tabela2[[#This Row],[Brand]],BRANDS[Brand],BRANDS[Brand Type]))),"")</f>
        <v>Normal</v>
      </c>
      <c r="E2" s="627" t="s">
        <v>2262</v>
      </c>
      <c r="F2" s="629"/>
      <c r="G2" s="627"/>
      <c r="H2" s="630"/>
      <c r="I2" t="str">
        <f>IFERROR(IF(Tabela2[[#This Row],[Shape]]="","",IF(Tabela2[[#This Row],[Shape]]="-",Tabela2[[#This Row],[Qnt 1]]/1000,Tabela2[[#This Row],[Qnt 1]])),"")</f>
        <v/>
      </c>
      <c r="J2" t="str">
        <f>IFERROR(IF(Tabela2[[#This Row],[Shape]]="","",IF(Tabela2[[#This Row],[Shape]]="-",Tabela2[[#This Row],[Qnt 2]]/1000,Tabela2[[#This Row],[Qnt 2]])),"")</f>
        <v/>
      </c>
      <c r="K2" t="str" cm="1">
        <f t="array" aca="1" ref="K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BOTTOM SAFETY</v>
      </c>
      <c r="L2" t="str" cm="1">
        <f t="array" aca="1" ref="L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 t="str">
        <f>_xlfn.XLOOKUP(Tabela2[[#This Row],[Shape]]&amp;Tabela2[[#This Row],[Brand]],Material_Code[Shape &amp; Brand],Material_Code[Material Code],"",0)</f>
        <v/>
      </c>
      <c r="N2">
        <f>IFERROR(IF(SAP_FINAL!$C$11="Office",2000,IF(SAP_FINAL!$C$11="VPN",3500,5000)),"")</f>
        <v>2000</v>
      </c>
      <c r="O2">
        <f>IFERROR(IF(SAP_FINAL!$C$11="Office",2500,IF(SAP_FINAL!$C$11="VPN",4000,5000)),"")</f>
        <v>2500</v>
      </c>
      <c r="P2" t="str" cm="1">
        <f t="array" ref="P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Send, 10|Send, ^{Right}|Send, ^{Right}|Send, ^{Right}|Send, BOTTOM SAFETY|Send, {Enter}</v>
      </c>
      <c r="Q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BOTTOM SAFETY|Send, {Tab}|Send, {Tab}|Send, {Tab}|Send, {Tab}|Send, {Tab}|Send, {Tab}|Send, {Tab}|Send, {Tab}|Send, {Tab}|Send, |Send, {Tab}|Send, {Tab}|Send, |Send, {F3}</v>
      </c>
      <c r="R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BOTTOM SAFETY|Send, {Tab}|Send, {Tab}|Send, {Tab}|Send, {Tab}|Send, {Tab}|Send, {Tab}|Send, {Tab}|Send, {Tab}|Send, {Tab}|Send, |Send, {Tab}|Send, {Tab}|Send, |Send, {F3}</v>
      </c>
      <c r="S2" t="str">
        <f>IFERROR(IF(Tabela2[[#This Row],[Item (Reference)]]="","",IF(Tabela2[[#This Row],[Shape]]="-",Tabela2[[#This Row],[Reference2]],Tabela2[[#This Row],[Reference3]])),"")</f>
        <v/>
      </c>
      <c r="T2"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|Send, {Tab}|Send, {Tab}|Send, |Send, {Tab}|Send, {Tab}|Send, {Tab}|Send, {Tab}|Send, {Tab}|Send, {Tab}|Send, |Send, {F3}</v>
      </c>
      <c r="U2" t="str">
        <f>IFERROR(IF(Tabela2[[#This Row],[State]]="Automatico",Tabela2[[#This Row],[Reference1]]&amp;"|"&amp;IF(Tabela2[[#This Row],[Material Code]]="",Tabela2[[#This Row],[Reference4]],Tabela2[[#This Row],[Reference5]]),""),"")</f>
        <v>Send, 10|Send, ^{Right}|Send, ^{Right}|Send, ^{Right}|Send, BOTTOM SAFETY|Send, {Enter}|</v>
      </c>
    </row>
    <row r="3" spans="1:21">
      <c r="A3" cm="1">
        <f t="array" ref="A3">IFERROR(IF(Tabela2[[#This Row],[State]]="Automatico",IF(Tabela2[[#This Row],[Shape]]="","",(ROW()-1)*10),INDEX(Tabela2[[#All],[Item (Reference)]],ROW()-1)),"")</f>
        <v>20</v>
      </c>
      <c r="B3" s="627">
        <f t="shared" ref="B3:B38" si="0">IFERROR((ROW()-1)*10,"")</f>
        <v>20</v>
      </c>
      <c r="C3"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 s="627" t="str">
        <f>IFERROR(IF(Tabela2[[#This Row],[Shape]]="","Normal",IF(_xlfn.XLOOKUP(Tabela2[[#This Row],[Brand]],BRANDS[Brand],BRANDS[Brand Type])="","Normal",_xlfn.XLOOKUP(Tabela2[[#This Row],[Brand]],BRANDS[Brand],BRANDS[Brand Type]))),"")</f>
        <v>Normal</v>
      </c>
      <c r="E3" s="627" t="s">
        <v>2263</v>
      </c>
      <c r="F3" s="629" t="s">
        <v>2194</v>
      </c>
      <c r="G3" s="627">
        <v>312</v>
      </c>
      <c r="H3" s="630">
        <v>325</v>
      </c>
      <c r="I3">
        <f>IFERROR(IF(Tabela2[[#This Row],[Shape]]="","",IF(Tabela2[[#This Row],[Shape]]="-",Tabela2[[#This Row],[Qnt 1]]/1000,Tabela2[[#This Row],[Qnt 1]])),"")</f>
        <v>312</v>
      </c>
      <c r="J3">
        <f>IFERROR(IF(Tabela2[[#This Row],[Shape]]="","",IF(Tabela2[[#This Row],[Shape]]="-",Tabela2[[#This Row],[Qnt 2]]/1000,Tabela2[[#This Row],[Qnt 2]])),"")</f>
        <v>325</v>
      </c>
      <c r="K3" t="str" cm="1">
        <f t="array" aca="1" ref="K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RADEX E12</v>
      </c>
      <c r="L3" t="str" cm="1">
        <f t="array" aca="1" ref="L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 t="str">
        <f>_xlfn.XLOOKUP(Tabela2[[#This Row],[Shape]]&amp;Tabela2[[#This Row],[Brand]],Material_Code[Shape &amp; Brand],Material_Code[Material Code],"",0)</f>
        <v/>
      </c>
      <c r="N3">
        <f>IFERROR(IF(SAP_FINAL!$C$11="Office",2000,IF(SAP_FINAL!$C$11="VPN",3500,5000)),"")</f>
        <v>2000</v>
      </c>
      <c r="O3">
        <f>IFERROR(IF(SAP_FINAL!$C$11="Office",2500,IF(SAP_FINAL!$C$11="VPN",4000,5000)),"")</f>
        <v>2500</v>
      </c>
      <c r="P3" t="str" cm="1">
        <f t="array" ref="P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20|Send, ^{Right}|Send, MAT_KONFIG|Send, {Enter}</v>
      </c>
      <c r="Q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RADEX E12|Send, {Tab}|Send, {Tab}|Send, {Tab}|Send, {Tab}|Send, {Tab}|Send, {Tab}|Send, {Tab}|Send, {Tab}|Send, {Tab}|Send, 312|Send, {Tab}|Send, {Tab}|Send, 325|Send, {F3}</v>
      </c>
      <c r="R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1|Send, {Tab}|Send, {Tab}|Send, {Tab}|Send, {Tab}|Send, RADEX E12|Send, {Tab}|Send, {Tab}|Send, {Tab}|Send, {Tab}|Send, {Tab}|Send, {Tab}|Send, {Tab}|Send, {Tab}|Send, {Tab}|Send, 312|Send, {Tab}|Send, {Tab}|Send, 325|Send, {F3}</v>
      </c>
      <c r="S3" t="str">
        <f ca="1">IFERROR(IF(Tabela2[[#This Row],[Item (Reference)]]="","",IF(Tabela2[[#This Row],[Shape]]="-",Tabela2[[#This Row],[Reference2]],Tabela2[[#This Row],[Reference3]])),"")</f>
        <v>Sleep, 2500|Send, {Down}|Send, 1|Send, {Tab}|Send, {Tab}|Send, {Tab}|Send, {Tab}|Send, RADEX E12|Send, {Tab}|Send, {Tab}|Send, {Tab}|Send, {Tab}|Send, {Tab}|Send, {Tab}|Send, {Tab}|Send, {Tab}|Send, {Tab}|Send, 312|Send, {Tab}|Send, {Tab}|Send, 325|Send, {F3}</v>
      </c>
      <c r="T3"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312|Send, {Tab}|Send, {Tab}|Send, 325|Send, {Tab}|Send, {Tab}|Send, {Tab}|Send, {Tab}|Send, {Tab}|Send, {Tab}|Send, |Send, {F3}</v>
      </c>
      <c r="U3" t="str">
        <f ca="1">IFERROR(IF(Tabela2[[#This Row],[State]]="Automatico",Tabela2[[#This Row],[Reference1]]&amp;"|"&amp;IF(Tabela2[[#This Row],[Material Code]]="",Tabela2[[#This Row],[Reference4]],Tabela2[[#This Row],[Reference5]]),""),"")</f>
        <v>Sleep, 2000|Send, ^{Left}|Send, 20|Send, ^{Right}|Send, MAT_KONFIG|Send, {Enter}|Sleep, 2500|Send, {Down}|Send, 1|Send, {Tab}|Send, {Tab}|Send, {Tab}|Send, {Tab}|Send, RADEX E12|Send, {Tab}|Send, {Tab}|Send, {Tab}|Send, {Tab}|Send, {Tab}|Send, {Tab}|Send, {Tab}|Send, {Tab}|Send, {Tab}|Send, 312|Send, {Tab}|Send, {Tab}|Send, 325|Send, {F3}</v>
      </c>
    </row>
    <row r="4" spans="1:21">
      <c r="A4" cm="1">
        <f t="array" ref="A4">IFERROR(IF(Tabela2[[#This Row],[State]]="Automatico",IF(Tabela2[[#This Row],[Shape]]="","",(ROW()-1)*10),INDEX(Tabela2[[#All],[Item (Reference)]],ROW()-1)),"")</f>
        <v>30</v>
      </c>
      <c r="B4" s="627">
        <f t="shared" si="0"/>
        <v>30</v>
      </c>
      <c r="C4"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4" s="627" t="str">
        <f>IFERROR(IF(Tabela2[[#This Row],[Shape]]="","Normal",IF(_xlfn.XLOOKUP(Tabela2[[#This Row],[Brand]],BRANDS[Brand],BRANDS[Brand Type])="","Normal",_xlfn.XLOOKUP(Tabela2[[#This Row],[Brand]],BRANDS[Brand],BRANDS[Brand Type]))),"")</f>
        <v>Normal</v>
      </c>
      <c r="E4" s="627" t="s">
        <v>2264</v>
      </c>
      <c r="F4" s="629" t="s">
        <v>16</v>
      </c>
      <c r="G4" s="627">
        <v>1300</v>
      </c>
      <c r="H4" s="630">
        <v>1400</v>
      </c>
      <c r="I4">
        <f>IFERROR(IF(Tabela2[[#This Row],[Shape]]="","",IF(Tabela2[[#This Row],[Shape]]="-",Tabela2[[#This Row],[Qnt 1]]/1000,Tabela2[[#This Row],[Qnt 1]])),"")</f>
        <v>1.3</v>
      </c>
      <c r="J4">
        <f>IFERROR(IF(Tabela2[[#This Row],[Shape]]="","",IF(Tabela2[[#This Row],[Shape]]="-",Tabela2[[#This Row],[Qnt 2]]/1000,Tabela2[[#This Row],[Qnt 2]])),"")</f>
        <v>1.4</v>
      </c>
      <c r="K4" t="str" cm="1">
        <f t="array" aca="1" ref="K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JEBCO RAM D1-EU</v>
      </c>
      <c r="L4" t="str" cm="1">
        <f t="array" aca="1" ref="L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4" t="str">
        <f>_xlfn.XLOOKUP(Tabela2[[#This Row],[Shape]]&amp;Tabela2[[#This Row],[Brand]],Material_Code[Shape &amp; Brand],Material_Code[Material Code],"",0)</f>
        <v/>
      </c>
      <c r="N4">
        <f>IFERROR(IF(SAP_FINAL!$C$11="Office",2000,IF(SAP_FINAL!$C$11="VPN",3500,5000)),"")</f>
        <v>2000</v>
      </c>
      <c r="O4">
        <f>IFERROR(IF(SAP_FINAL!$C$11="Office",2500,IF(SAP_FINAL!$C$11="VPN",4000,5000)),"")</f>
        <v>2500</v>
      </c>
      <c r="P4" t="str" cm="1">
        <f t="array" ref="P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30|Send, ^{Right}|Send, MAT_KONFIG|Send, {Enter}</v>
      </c>
      <c r="Q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JEBCO RAM D1-EU|Send, {Tab}|Send, {Tab}|Send, {Tab}|Send, {Tab}|Send, {Tab}|Send, {Tab}|Send, {Tab}|Send, {Tab}|Send, {Tab}|Send, 1,3|Send, {Tab}|Send, {Tab}|Send, 1,4|Send, {F3}</v>
      </c>
      <c r="R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JEBCO RAM D1-EU|Send, {Tab}|Send, {Tab}|Send, {Tab}|Send, {Tab}|Send, {Tab}|Send, {Tab}|Send, {Tab}|Send, {Tab}|Send, {Tab}|Send, 1,3|Send, {Tab}|Send, {Tab}|Send, 1,4|Send, {F3}</v>
      </c>
      <c r="S4" t="str">
        <f>IFERROR(IF(Tabela2[[#This Row],[Item (Reference)]]="","",IF(Tabela2[[#This Row],[Shape]]="-",Tabela2[[#This Row],[Reference2]],Tabela2[[#This Row],[Reference3]])),"")</f>
        <v>Sleep, 2500|Send, U|Send, {Tab}|Send, {Tab}|Send, {Tab}|Send, {Tab}|Send, {Tab}|Send, {Tab}|Send, JEBCO RAM D1-EU|Send, {Tab}|Send, {Tab}|Send, {Tab}|Send, {Tab}|Send, {Tab}|Send, {Tab}|Send, {Tab}|Send, {Tab}|Send, {Tab}|Send, 1,3|Send, {Tab}|Send, {Tab}|Send, 1,4|Send, {F3}</v>
      </c>
      <c r="T4"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1,3|Send, {Tab}|Send, {Tab}|Send, 1,4|Send, {Tab}|Send, {Tab}|Send, {Tab}|Send, {Tab}|Send, {Tab}|Send, {Tab}|Send, |Send, {F3}</v>
      </c>
      <c r="U4" t="str">
        <f>IFERROR(IF(Tabela2[[#This Row],[State]]="Automatico",Tabela2[[#This Row],[Reference1]]&amp;"|"&amp;IF(Tabela2[[#This Row],[Material Code]]="",Tabela2[[#This Row],[Reference4]],Tabela2[[#This Row],[Reference5]]),""),"")</f>
        <v>Sleep, 2500|Send, ^{Left}|Send, 30|Send, ^{Right}|Send, MAT_KONFIG|Send, {Enter}|Sleep, 2500|Send, U|Send, {Tab}|Send, {Tab}|Send, {Tab}|Send, {Tab}|Send, {Tab}|Send, {Tab}|Send, JEBCO RAM D1-EU|Send, {Tab}|Send, {Tab}|Send, {Tab}|Send, {Tab}|Send, {Tab}|Send, {Tab}|Send, {Tab}|Send, {Tab}|Send, {Tab}|Send, 1,3|Send, {Tab}|Send, {Tab}|Send, 1,4|Send, {F3}</v>
      </c>
    </row>
    <row r="5" spans="1:21">
      <c r="A5" t="str" cm="1">
        <f t="array" ref="A5">IFERROR(IF(Tabela2[[#This Row],[State]]="Automatico",IF(Tabela2[[#This Row],[Shape]]="","",(ROW()-1)*10),INDEX(Tabela2[[#All],[Item (Reference)]],ROW()-1)),"")</f>
        <v/>
      </c>
      <c r="B5" s="627">
        <f t="shared" si="0"/>
        <v>40</v>
      </c>
      <c r="C5"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5" s="627" t="str">
        <f>IFERROR(IF(Tabela2[[#This Row],[Shape]]="","Normal",IF(_xlfn.XLOOKUP(Tabela2[[#This Row],[Brand]],BRANDS[Brand],BRANDS[Brand Type])="","Normal",_xlfn.XLOOKUP(Tabela2[[#This Row],[Brand]],BRANDS[Brand],BRANDS[Brand Type]))),"")</f>
        <v>Normal</v>
      </c>
      <c r="E5" s="627" t="s">
        <v>2265</v>
      </c>
      <c r="F5" s="629"/>
      <c r="G5" s="627"/>
      <c r="H5" s="630"/>
      <c r="I5" t="str">
        <f>IFERROR(IF(Tabela2[[#This Row],[Shape]]="","",IF(Tabela2[[#This Row],[Shape]]="-",Tabela2[[#This Row],[Qnt 1]]/1000,Tabela2[[#This Row],[Qnt 1]])),"")</f>
        <v/>
      </c>
      <c r="J5" t="str">
        <f>IFERROR(IF(Tabela2[[#This Row],[Shape]]="","",IF(Tabela2[[#This Row],[Shape]]="-",Tabela2[[#This Row],[Qnt 2]]/1000,Tabela2[[#This Row],[Qnt 2]])),"")</f>
        <v/>
      </c>
      <c r="K5" t="str" cm="1">
        <f t="array" aca="1" ref="K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WALL SAFETY</v>
      </c>
      <c r="L5" t="str" cm="1">
        <f t="array" aca="1" ref="L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5" t="str">
        <f>_xlfn.XLOOKUP(Tabela2[[#This Row],[Shape]]&amp;Tabela2[[#This Row],[Brand]],Material_Code[Shape &amp; Brand],Material_Code[Material Code],"",0)</f>
        <v/>
      </c>
      <c r="N5">
        <f>IFERROR(IF(SAP_FINAL!$C$11="Office",2000,IF(SAP_FINAL!$C$11="VPN",3500,5000)),"")</f>
        <v>2000</v>
      </c>
      <c r="O5">
        <f>IFERROR(IF(SAP_FINAL!$C$11="Office",2500,IF(SAP_FINAL!$C$11="VPN",4000,5000)),"")</f>
        <v>2500</v>
      </c>
      <c r="P5" t="str" cm="1">
        <f t="array" ref="P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40|Send, ^{Right}|Send, ^{Right}|Send, ^{Right}|Send, WALL SAFETY|Send, {Enter}</v>
      </c>
      <c r="Q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WALL SAFETY|Send, {Tab}|Send, {Tab}|Send, {Tab}|Send, {Tab}|Send, {Tab}|Send, {Tab}|Send, {Tab}|Send, {Tab}|Send, {Tab}|Send, |Send, {Tab}|Send, {Tab}|Send, |Send, {F3}</v>
      </c>
      <c r="R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WALL SAFETY|Send, {Tab}|Send, {Tab}|Send, {Tab}|Send, {Tab}|Send, {Tab}|Send, {Tab}|Send, {Tab}|Send, {Tab}|Send, {Tab}|Send, |Send, {Tab}|Send, {Tab}|Send, |Send, {F3}</v>
      </c>
      <c r="S5" t="str">
        <f>IFERROR(IF(Tabela2[[#This Row],[Item (Reference)]]="","",IF(Tabela2[[#This Row],[Shape]]="-",Tabela2[[#This Row],[Reference2]],Tabela2[[#This Row],[Reference3]])),"")</f>
        <v/>
      </c>
      <c r="T5"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|Send, {Tab}|Send, {Tab}|Send, |Send, {Tab}|Send, {Tab}|Send, {Tab}|Send, {Tab}|Send, {Tab}|Send, {Tab}|Send, |Send, {F3}</v>
      </c>
      <c r="U5" t="str">
        <f>IFERROR(IF(Tabela2[[#This Row],[State]]="Automatico",Tabela2[[#This Row],[Reference1]]&amp;"|"&amp;IF(Tabela2[[#This Row],[Material Code]]="",Tabela2[[#This Row],[Reference4]],Tabela2[[#This Row],[Reference5]]),""),"")</f>
        <v>Sleep, 2500|Send, ^{Left}|Send, 40|Send, ^{Right}|Send, ^{Right}|Send, ^{Right}|Send, WALL SAFETY|Send, {Enter}|</v>
      </c>
    </row>
    <row r="6" spans="1:21">
      <c r="A6" cm="1">
        <f t="array" ref="A6">IFERROR(IF(Tabela2[[#This Row],[State]]="Automatico",IF(Tabela2[[#This Row],[Shape]]="","",(ROW()-1)*10),INDEX(Tabela2[[#All],[Item (Reference)]],ROW()-1)),"")</f>
        <v>50</v>
      </c>
      <c r="B6" s="627">
        <f t="shared" si="0"/>
        <v>50</v>
      </c>
      <c r="C6"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6" s="627" t="str">
        <f>IFERROR(IF(Tabela2[[#This Row],[Shape]]="","Normal",IF(_xlfn.XLOOKUP(Tabela2[[#This Row],[Brand]],BRANDS[Brand],BRANDS[Brand Type])="","Normal",_xlfn.XLOOKUP(Tabela2[[#This Row],[Brand]],BRANDS[Brand],BRANDS[Brand Type]))),"")</f>
        <v>Normal</v>
      </c>
      <c r="E6" s="627" t="s">
        <v>2263</v>
      </c>
      <c r="F6" s="629" t="s">
        <v>484</v>
      </c>
      <c r="G6" s="627">
        <v>2262</v>
      </c>
      <c r="H6" s="630">
        <v>2308</v>
      </c>
      <c r="I6">
        <f>IFERROR(IF(Tabela2[[#This Row],[Shape]]="","",IF(Tabela2[[#This Row],[Shape]]="-",Tabela2[[#This Row],[Qnt 1]]/1000,Tabela2[[#This Row],[Qnt 1]])),"")</f>
        <v>2262</v>
      </c>
      <c r="J6">
        <f>IFERROR(IF(Tabela2[[#This Row],[Shape]]="","",IF(Tabela2[[#This Row],[Shape]]="-",Tabela2[[#This Row],[Qnt 2]]/1000,Tabela2[[#This Row],[Qnt 2]])),"")</f>
        <v>2308</v>
      </c>
      <c r="K6" t="str" cm="1">
        <f t="array" aca="1" ref="K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RADEX E12</v>
      </c>
      <c r="L6" t="str" cm="1">
        <f t="array" aca="1" ref="L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6" t="str">
        <f>_xlfn.XLOOKUP(Tabela2[[#This Row],[Shape]]&amp;Tabela2[[#This Row],[Brand]],Material_Code[Shape &amp; Brand],Material_Code[Material Code],"",0)</f>
        <v/>
      </c>
      <c r="N6">
        <f>IFERROR(IF(SAP_FINAL!$C$11="Office",2000,IF(SAP_FINAL!$C$11="VPN",3500,5000)),"")</f>
        <v>2000</v>
      </c>
      <c r="O6">
        <f>IFERROR(IF(SAP_FINAL!$C$11="Office",2500,IF(SAP_FINAL!$C$11="VPN",4000,5000)),"")</f>
        <v>2500</v>
      </c>
      <c r="P6" t="str" cm="1">
        <f t="array" ref="P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50|Send, ^{Right}|Send, MAT_KONFIG|Send, {Enter}</v>
      </c>
      <c r="Q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RADEX E12|Send, {Tab}|Send, {Tab}|Send, {Tab}|Send, {Tab}|Send, {Tab}|Send, {Tab}|Send, {Tab}|Send, {Tab}|Send, {Tab}|Send, 2262|Send, {Tab}|Send, {Tab}|Send, 2308|Send, {F3}</v>
      </c>
      <c r="R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1-76|Send, {Tab}|Send, {Tab}|Send, {Tab}|Send, {Tab}|Send, RADEX E12|Send, {Tab}|Send, {Tab}|Send, {Tab}|Send, {Tab}|Send, {Tab}|Send, {Tab}|Send, {Tab}|Send, {Tab}|Send, {Tab}|Send, 2262|Send, {Tab}|Send, {Tab}|Send, 2308|Send, {F3}</v>
      </c>
      <c r="S6" t="str">
        <f ca="1">IFERROR(IF(Tabela2[[#This Row],[Item (Reference)]]="","",IF(Tabela2[[#This Row],[Shape]]="-",Tabela2[[#This Row],[Reference2]],Tabela2[[#This Row],[Reference3]])),"")</f>
        <v>Sleep, 2500|Send, {Down}|Send, 1-76|Send, {Tab}|Send, {Tab}|Send, {Tab}|Send, {Tab}|Send, RADEX E12|Send, {Tab}|Send, {Tab}|Send, {Tab}|Send, {Tab}|Send, {Tab}|Send, {Tab}|Send, {Tab}|Send, {Tab}|Send, {Tab}|Send, 2262|Send, {Tab}|Send, {Tab}|Send, 2308|Send, {F3}</v>
      </c>
      <c r="T6"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2262|Send, {Tab}|Send, {Tab}|Send, 2308|Send, {Tab}|Send, {Tab}|Send, {Tab}|Send, {Tab}|Send, {Tab}|Send, {Tab}|Send, |Send, {F3}</v>
      </c>
      <c r="U6" t="str">
        <f ca="1">IFERROR(IF(Tabela2[[#This Row],[State]]="Automatico",Tabela2[[#This Row],[Reference1]]&amp;"|"&amp;IF(Tabela2[[#This Row],[Material Code]]="",Tabela2[[#This Row],[Reference4]],Tabela2[[#This Row],[Reference5]]),""),"")</f>
        <v>Sleep, 2000|Send, ^{Left}|Send, 50|Send, ^{Right}|Send, MAT_KONFIG|Send, {Enter}|Sleep, 2500|Send, {Down}|Send, 1-76|Send, {Tab}|Send, {Tab}|Send, {Tab}|Send, {Tab}|Send, RADEX E12|Send, {Tab}|Send, {Tab}|Send, {Tab}|Send, {Tab}|Send, {Tab}|Send, {Tab}|Send, {Tab}|Send, {Tab}|Send, {Tab}|Send, 2262|Send, {Tab}|Send, {Tab}|Send, 2308|Send, {F3}</v>
      </c>
    </row>
    <row r="7" spans="1:21">
      <c r="A7" cm="1">
        <f t="array" ref="A7">IFERROR(IF(Tabela2[[#This Row],[State]]="Automatico",IF(Tabela2[[#This Row],[Shape]]="","",(ROW()-1)*10),INDEX(Tabela2[[#All],[Item (Reference)]],ROW()-1)),"")</f>
        <v>60</v>
      </c>
      <c r="B7" s="627">
        <f t="shared" si="0"/>
        <v>60</v>
      </c>
      <c r="C7"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7" s="627" t="str">
        <f>IFERROR(IF(Tabela2[[#This Row],[Shape]]="","Normal",IF(_xlfn.XLOOKUP(Tabela2[[#This Row],[Brand]],BRANDS[Brand],BRANDS[Brand Type])="","Normal",_xlfn.XLOOKUP(Tabela2[[#This Row],[Brand]],BRANDS[Brand],BRANDS[Brand Type]))),"")</f>
        <v>Normal</v>
      </c>
      <c r="E7" s="627" t="s">
        <v>2263</v>
      </c>
      <c r="F7" s="629" t="s">
        <v>2054</v>
      </c>
      <c r="G7" s="627">
        <v>1491</v>
      </c>
      <c r="H7" s="630">
        <v>1521</v>
      </c>
      <c r="I7">
        <f>IFERROR(IF(Tabela2[[#This Row],[Shape]]="","",IF(Tabela2[[#This Row],[Shape]]="-",Tabela2[[#This Row],[Qnt 1]]/1000,Tabela2[[#This Row],[Qnt 1]])),"")</f>
        <v>1491</v>
      </c>
      <c r="J7">
        <f>IFERROR(IF(Tabela2[[#This Row],[Shape]]="","",IF(Tabela2[[#This Row],[Shape]]="-",Tabela2[[#This Row],[Qnt 2]]/1000,Tabela2[[#This Row],[Qnt 2]])),"")</f>
        <v>1521</v>
      </c>
      <c r="K7" t="str" cm="1">
        <f t="array" aca="1" ref="K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RADEX E12</v>
      </c>
      <c r="L7" t="str" cm="1">
        <f t="array" aca="1" ref="L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7" t="str">
        <f>_xlfn.XLOOKUP(Tabela2[[#This Row],[Shape]]&amp;Tabela2[[#This Row],[Brand]],Material_Code[Shape &amp; Brand],Material_Code[Material Code],"",0)</f>
        <v/>
      </c>
      <c r="N7">
        <f>IFERROR(IF(SAP_FINAL!$C$11="Office",2000,IF(SAP_FINAL!$C$11="VPN",3500,5000)),"")</f>
        <v>2000</v>
      </c>
      <c r="O7">
        <f>IFERROR(IF(SAP_FINAL!$C$11="Office",2500,IF(SAP_FINAL!$C$11="VPN",4000,5000)),"")</f>
        <v>2500</v>
      </c>
      <c r="P7" t="str" cm="1">
        <f t="array" ref="P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60|Send, ^{Right}|Send, MAT_KONFIG|Send, {Enter}</v>
      </c>
      <c r="Q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RADEX E12|Send, {Tab}|Send, {Tab}|Send, {Tab}|Send, {Tab}|Send, {Tab}|Send, {Tab}|Send, {Tab}|Send, {Tab}|Send, {Tab}|Send, 1491|Send, {Tab}|Send, {Tab}|Send, 1521|Send, {F3}</v>
      </c>
      <c r="R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1H10-76|Send, {Tab}|Send, {Tab}|Send, {Tab}|Send, {Tab}|Send, RADEX E12|Send, {Tab}|Send, {Tab}|Send, {Tab}|Send, {Tab}|Send, {Tab}|Send, {Tab}|Send, {Tab}|Send, {Tab}|Send, {Tab}|Send, 1491|Send, {Tab}|Send, {Tab}|Send, 1521|Send, {F3}</v>
      </c>
      <c r="S7" t="str">
        <f ca="1">IFERROR(IF(Tabela2[[#This Row],[Item (Reference)]]="","",IF(Tabela2[[#This Row],[Shape]]="-",Tabela2[[#This Row],[Reference2]],Tabela2[[#This Row],[Reference3]])),"")</f>
        <v>Sleep, 2500|Send, {Down}|Send, 1H10-76|Send, {Tab}|Send, {Tab}|Send, {Tab}|Send, {Tab}|Send, RADEX E12|Send, {Tab}|Send, {Tab}|Send, {Tab}|Send, {Tab}|Send, {Tab}|Send, {Tab}|Send, {Tab}|Send, {Tab}|Send, {Tab}|Send, 1491|Send, {Tab}|Send, {Tab}|Send, 1521|Send, {F3}</v>
      </c>
      <c r="T7"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1491|Send, {Tab}|Send, {Tab}|Send, 1521|Send, {Tab}|Send, {Tab}|Send, {Tab}|Send, {Tab}|Send, {Tab}|Send, {Tab}|Send, |Send, {F3}</v>
      </c>
      <c r="U7" t="str">
        <f ca="1">IFERROR(IF(Tabela2[[#This Row],[State]]="Automatico",Tabela2[[#This Row],[Reference1]]&amp;"|"&amp;IF(Tabela2[[#This Row],[Material Code]]="",Tabela2[[#This Row],[Reference4]],Tabela2[[#This Row],[Reference5]]),""),"")</f>
        <v>Sleep, 2500|Send, ^{Left}|Send, 60|Send, ^{Right}|Send, MAT_KONFIG|Send, {Enter}|Sleep, 2500|Send, {Down}|Send, 1H10-76|Send, {Tab}|Send, {Tab}|Send, {Tab}|Send, {Tab}|Send, RADEX E12|Send, {Tab}|Send, {Tab}|Send, {Tab}|Send, {Tab}|Send, {Tab}|Send, {Tab}|Send, {Tab}|Send, {Tab}|Send, {Tab}|Send, 1491|Send, {Tab}|Send, {Tab}|Send, 1521|Send, {F3}</v>
      </c>
    </row>
    <row r="8" spans="1:21">
      <c r="A8" cm="1">
        <f t="array" ref="A8">IFERROR(IF(Tabela2[[#This Row],[State]]="Automatico",IF(Tabela2[[#This Row],[Shape]]="","",(ROW()-1)*10),INDEX(Tabela2[[#All],[Item (Reference)]],ROW()-1)),"")</f>
        <v>70</v>
      </c>
      <c r="B8" s="627">
        <f t="shared" si="0"/>
        <v>70</v>
      </c>
      <c r="C8"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8" s="627" t="str">
        <f>IFERROR(IF(Tabela2[[#This Row],[Shape]]="","Normal",IF(_xlfn.XLOOKUP(Tabela2[[#This Row],[Brand]],BRANDS[Brand],BRANDS[Brand Type])="","Normal",_xlfn.XLOOKUP(Tabela2[[#This Row],[Brand]],BRANDS[Brand],BRANDS[Brand Type]))),"")</f>
        <v>Normal</v>
      </c>
      <c r="E8" s="627" t="s">
        <v>2264</v>
      </c>
      <c r="F8" s="629" t="s">
        <v>16</v>
      </c>
      <c r="G8" s="627">
        <v>1950</v>
      </c>
      <c r="H8" s="630">
        <v>2100</v>
      </c>
      <c r="I8">
        <f>IFERROR(IF(Tabela2[[#This Row],[Shape]]="","",IF(Tabela2[[#This Row],[Shape]]="-",Tabela2[[#This Row],[Qnt 1]]/1000,Tabela2[[#This Row],[Qnt 1]])),"")</f>
        <v>1.95</v>
      </c>
      <c r="J8">
        <f>IFERROR(IF(Tabela2[[#This Row],[Shape]]="","",IF(Tabela2[[#This Row],[Shape]]="-",Tabela2[[#This Row],[Qnt 2]]/1000,Tabela2[[#This Row],[Qnt 2]])),"")</f>
        <v>2.1</v>
      </c>
      <c r="K8" t="str" cm="1">
        <f t="array" aca="1" ref="K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JEBCO RAM D1-EU</v>
      </c>
      <c r="L8" t="str" cm="1">
        <f t="array" aca="1" ref="L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8" t="str">
        <f>_xlfn.XLOOKUP(Tabela2[[#This Row],[Shape]]&amp;Tabela2[[#This Row],[Brand]],Material_Code[Shape &amp; Brand],Material_Code[Material Code],"",0)</f>
        <v/>
      </c>
      <c r="N8">
        <f>IFERROR(IF(SAP_FINAL!$C$11="Office",2000,IF(SAP_FINAL!$C$11="VPN",3500,5000)),"")</f>
        <v>2000</v>
      </c>
      <c r="O8">
        <f>IFERROR(IF(SAP_FINAL!$C$11="Office",2500,IF(SAP_FINAL!$C$11="VPN",4000,5000)),"")</f>
        <v>2500</v>
      </c>
      <c r="P8" t="str" cm="1">
        <f t="array" ref="P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70|Send, ^{Right}|Send, MAT_KONFIG|Send, {Enter}</v>
      </c>
      <c r="Q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JEBCO RAM D1-EU|Send, {Tab}|Send, {Tab}|Send, {Tab}|Send, {Tab}|Send, {Tab}|Send, {Tab}|Send, {Tab}|Send, {Tab}|Send, {Tab}|Send, 1,95|Send, {Tab}|Send, {Tab}|Send, 2,1|Send, {F3}</v>
      </c>
      <c r="R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JEBCO RAM D1-EU|Send, {Tab}|Send, {Tab}|Send, {Tab}|Send, {Tab}|Send, {Tab}|Send, {Tab}|Send, {Tab}|Send, {Tab}|Send, {Tab}|Send, 1,95|Send, {Tab}|Send, {Tab}|Send, 2,1|Send, {F3}</v>
      </c>
      <c r="S8" t="str">
        <f>IFERROR(IF(Tabela2[[#This Row],[Item (Reference)]]="","",IF(Tabela2[[#This Row],[Shape]]="-",Tabela2[[#This Row],[Reference2]],Tabela2[[#This Row],[Reference3]])),"")</f>
        <v>Sleep, 2500|Send, U|Send, {Tab}|Send, {Tab}|Send, {Tab}|Send, {Tab}|Send, {Tab}|Send, {Tab}|Send, JEBCO RAM D1-EU|Send, {Tab}|Send, {Tab}|Send, {Tab}|Send, {Tab}|Send, {Tab}|Send, {Tab}|Send, {Tab}|Send, {Tab}|Send, {Tab}|Send, 1,95|Send, {Tab}|Send, {Tab}|Send, 2,1|Send, {F3}</v>
      </c>
      <c r="T8"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1,95|Send, {Tab}|Send, {Tab}|Send, 2,1|Send, {Tab}|Send, {Tab}|Send, {Tab}|Send, {Tab}|Send, {Tab}|Send, {Tab}|Send, |Send, {F3}</v>
      </c>
      <c r="U8" t="str">
        <f>IFERROR(IF(Tabela2[[#This Row],[State]]="Automatico",Tabela2[[#This Row],[Reference1]]&amp;"|"&amp;IF(Tabela2[[#This Row],[Material Code]]="",Tabela2[[#This Row],[Reference4]],Tabela2[[#This Row],[Reference5]]),""),"")</f>
        <v>Sleep, 2500|Send, ^{Left}|Send, 70|Send, ^{Right}|Send, MAT_KONFIG|Send, {Enter}|Sleep, 2500|Send, U|Send, {Tab}|Send, {Tab}|Send, {Tab}|Send, {Tab}|Send, {Tab}|Send, {Tab}|Send, JEBCO RAM D1-EU|Send, {Tab}|Send, {Tab}|Send, {Tab}|Send, {Tab}|Send, {Tab}|Send, {Tab}|Send, {Tab}|Send, {Tab}|Send, {Tab}|Send, 1,95|Send, {Tab}|Send, {Tab}|Send, 2,1|Send, {F3}</v>
      </c>
    </row>
    <row r="9" spans="1:21">
      <c r="A9" t="str" cm="1">
        <f t="array" ref="A9">IFERROR(IF(Tabela2[[#This Row],[State]]="Automatico",IF(Tabela2[[#This Row],[Shape]]="","",(ROW()-1)*10),INDEX(Tabela2[[#All],[Item (Reference)]],ROW()-1)),"")</f>
        <v/>
      </c>
      <c r="B9" s="627">
        <f t="shared" si="0"/>
        <v>80</v>
      </c>
      <c r="C9"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9" s="627" t="str">
        <f>IFERROR(IF(Tabela2[[#This Row],[Shape]]="","Normal",IF(_xlfn.XLOOKUP(Tabela2[[#This Row],[Brand]],BRANDS[Brand],BRANDS[Brand Type])="","Normal",_xlfn.XLOOKUP(Tabela2[[#This Row],[Brand]],BRANDS[Brand],BRANDS[Brand Type]))),"")</f>
        <v>Normal</v>
      </c>
      <c r="E9" s="627" t="s">
        <v>2266</v>
      </c>
      <c r="F9" s="629"/>
      <c r="G9" s="627"/>
      <c r="H9" s="630"/>
      <c r="I9" t="str">
        <f>IFERROR(IF(Tabela2[[#This Row],[Shape]]="","",IF(Tabela2[[#This Row],[Shape]]="-",Tabela2[[#This Row],[Qnt 1]]/1000,Tabela2[[#This Row],[Qnt 1]])),"")</f>
        <v/>
      </c>
      <c r="J9" t="str">
        <f>IFERROR(IF(Tabela2[[#This Row],[Shape]]="","",IF(Tabela2[[#This Row],[Shape]]="-",Tabela2[[#This Row],[Qnt 2]]/1000,Tabela2[[#This Row],[Qnt 2]])),"")</f>
        <v/>
      </c>
      <c r="K9" t="str" cm="1">
        <f t="array" aca="1" ref="K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BOTTOM WORKING</v>
      </c>
      <c r="L9" t="str" cm="1">
        <f t="array" aca="1" ref="L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9" t="str">
        <f>_xlfn.XLOOKUP(Tabela2[[#This Row],[Shape]]&amp;Tabela2[[#This Row],[Brand]],Material_Code[Shape &amp; Brand],Material_Code[Material Code],"",0)</f>
        <v/>
      </c>
      <c r="N9">
        <f>IFERROR(IF(SAP_FINAL!$C$11="Office",2000,IF(SAP_FINAL!$C$11="VPN",3500,5000)),"")</f>
        <v>2000</v>
      </c>
      <c r="O9">
        <f>IFERROR(IF(SAP_FINAL!$C$11="Office",2500,IF(SAP_FINAL!$C$11="VPN",4000,5000)),"")</f>
        <v>2500</v>
      </c>
      <c r="P9" t="str" cm="1">
        <f t="array" ref="P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80|Send, ^{Right}|Send, ^{Right}|Send, ^{Right}|Send, BOTTOM WORKING|Send, {Enter}</v>
      </c>
      <c r="Q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BOTTOM WORKING|Send, {Tab}|Send, {Tab}|Send, {Tab}|Send, {Tab}|Send, {Tab}|Send, {Tab}|Send, {Tab}|Send, {Tab}|Send, {Tab}|Send, |Send, {Tab}|Send, {Tab}|Send, |Send, {F3}</v>
      </c>
      <c r="R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BOTTOM WORKING|Send, {Tab}|Send, {Tab}|Send, {Tab}|Send, {Tab}|Send, {Tab}|Send, {Tab}|Send, {Tab}|Send, {Tab}|Send, {Tab}|Send, |Send, {Tab}|Send, {Tab}|Send, |Send, {F3}</v>
      </c>
      <c r="S9" t="str">
        <f>IFERROR(IF(Tabela2[[#This Row],[Item (Reference)]]="","",IF(Tabela2[[#This Row],[Shape]]="-",Tabela2[[#This Row],[Reference2]],Tabela2[[#This Row],[Reference3]])),"")</f>
        <v/>
      </c>
      <c r="T9"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|Send, {Tab}|Send, {Tab}|Send, |Send, {Tab}|Send, {Tab}|Send, {Tab}|Send, {Tab}|Send, {Tab}|Send, {Tab}|Send, |Send, {F3}</v>
      </c>
      <c r="U9" t="str">
        <f>IFERROR(IF(Tabela2[[#This Row],[State]]="Automatico",Tabela2[[#This Row],[Reference1]]&amp;"|"&amp;IF(Tabela2[[#This Row],[Material Code]]="",Tabela2[[#This Row],[Reference4]],Tabela2[[#This Row],[Reference5]]),""),"")</f>
        <v>Sleep, 2500|Send, ^{Left}|Send, 80|Send, ^{Right}|Send, ^{Right}|Send, ^{Right}|Send, BOTTOM WORKING|Send, {Enter}|</v>
      </c>
    </row>
    <row r="10" spans="1:21">
      <c r="A10" cm="1">
        <f t="array" ref="A10">IFERROR(IF(Tabela2[[#This Row],[State]]="Automatico",IF(Tabela2[[#This Row],[Shape]]="","",(ROW()-1)*10),INDEX(Tabela2[[#All],[Item (Reference)]],ROW()-1)),"")</f>
        <v>90</v>
      </c>
      <c r="B10" s="627">
        <f t="shared" si="0"/>
        <v>90</v>
      </c>
      <c r="C10"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0" s="627" t="str">
        <f>IFERROR(IF(Tabela2[[#This Row],[Shape]]="","Normal",IF(_xlfn.XLOOKUP(Tabela2[[#This Row],[Brand]],BRANDS[Brand],BRANDS[Brand Type])="","Normal",_xlfn.XLOOKUP(Tabela2[[#This Row],[Brand]],BRANDS[Brand],BRANDS[Brand Type]))),"")</f>
        <v>Normal</v>
      </c>
      <c r="E10" s="627" t="s">
        <v>2267</v>
      </c>
      <c r="F10" s="629" t="s">
        <v>1989</v>
      </c>
      <c r="G10" s="627">
        <v>129</v>
      </c>
      <c r="H10" s="630">
        <v>138</v>
      </c>
      <c r="I10">
        <f>IFERROR(IF(Tabela2[[#This Row],[Shape]]="","",IF(Tabela2[[#This Row],[Shape]]="-",Tabela2[[#This Row],[Qnt 1]]/1000,Tabela2[[#This Row],[Qnt 1]])),"")</f>
        <v>129</v>
      </c>
      <c r="J10">
        <f>IFERROR(IF(Tabela2[[#This Row],[Shape]]="","",IF(Tabela2[[#This Row],[Shape]]="-",Tabela2[[#This Row],[Qnt 2]]/1000,Tabela2[[#This Row],[Qnt 2]])),"")</f>
        <v>138</v>
      </c>
      <c r="K10" t="str" cm="1">
        <f t="array" aca="1" ref="K1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K66-US</v>
      </c>
      <c r="L10" t="str" cm="1">
        <f t="array" aca="1" ref="L1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0" t="str">
        <f>_xlfn.XLOOKUP(Tabela2[[#This Row],[Shape]]&amp;Tabela2[[#This Row],[Brand]],Material_Code[Shape &amp; Brand],Material_Code[Material Code],"",0)</f>
        <v/>
      </c>
      <c r="N10">
        <f>IFERROR(IF(SAP_FINAL!$C$11="Office",2000,IF(SAP_FINAL!$C$11="VPN",3500,5000)),"")</f>
        <v>2000</v>
      </c>
      <c r="O10">
        <f>IFERROR(IF(SAP_FINAL!$C$11="Office",2500,IF(SAP_FINAL!$C$11="VPN",4000,5000)),"")</f>
        <v>2500</v>
      </c>
      <c r="P10" t="str" cm="1">
        <f t="array" ref="P1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90|Send, ^{Right}|Send, MAT_KONFIG|Send, {Enter}</v>
      </c>
      <c r="Q1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K66-US|Send, {Tab}|Send, {Tab}|Send, {Tab}|Send, {Tab}|Send, {Tab}|Send, {Tab}|Send, {Tab}|Send, {Tab}|Send, {Tab}|Send, 129|Send, {Tab}|Send, {Tab}|Send, 138|Send, {F3}</v>
      </c>
      <c r="R1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K15X6-51/2X100|Send, {Tab}|Send, {Tab}|Send, {Tab}|Send, {Tab}|Send, SINDOFORM K66-US|Send, {Tab}|Send, {Tab}|Send, {Tab}|Send, {Tab}|Send, {Tab}|Send, {Tab}|Send, {Tab}|Send, {Tab}|Send, {Tab}|Send, 129|Send, {Tab}|Send, {Tab}|Send, 138|Send, {F3}</v>
      </c>
      <c r="S10" t="str">
        <f ca="1">IFERROR(IF(Tabela2[[#This Row],[Item (Reference)]]="","",IF(Tabela2[[#This Row],[Shape]]="-",Tabela2[[#This Row],[Reference2]],Tabela2[[#This Row],[Reference3]])),"")</f>
        <v>Sleep, 2500|Send, {Down}|Send, K15X6-51/2X100|Send, {Tab}|Send, {Tab}|Send, {Tab}|Send, {Tab}|Send, SINDOFORM K66-US|Send, {Tab}|Send, {Tab}|Send, {Tab}|Send, {Tab}|Send, {Tab}|Send, {Tab}|Send, {Tab}|Send, {Tab}|Send, {Tab}|Send, 129|Send, {Tab}|Send, {Tab}|Send, 138|Send, {F3}</v>
      </c>
      <c r="T10"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129|Send, {Tab}|Send, {Tab}|Send, 138|Send, {Tab}|Send, {Tab}|Send, {Tab}|Send, {Tab}|Send, {Tab}|Send, {Tab}|Send, |Send, {F3}</v>
      </c>
      <c r="U10" t="str">
        <f ca="1">IFERROR(IF(Tabela2[[#This Row],[State]]="Automatico",Tabela2[[#This Row],[Reference1]]&amp;"|"&amp;IF(Tabela2[[#This Row],[Material Code]]="",Tabela2[[#This Row],[Reference4]],Tabela2[[#This Row],[Reference5]]),""),"")</f>
        <v>Sleep, 2000|Send, ^{Left}|Send, 90|Send, ^{Right}|Send, MAT_KONFIG|Send, {Enter}|Sleep, 2500|Send, {Down}|Send, K15X6-51/2X100|Send, {Tab}|Send, {Tab}|Send, {Tab}|Send, {Tab}|Send, SINDOFORM K66-US|Send, {Tab}|Send, {Tab}|Send, {Tab}|Send, {Tab}|Send, {Tab}|Send, {Tab}|Send, {Tab}|Send, {Tab}|Send, {Tab}|Send, 129|Send, {Tab}|Send, {Tab}|Send, 138|Send, {F3}</v>
      </c>
    </row>
    <row r="11" spans="1:21">
      <c r="A11" cm="1">
        <f t="array" ref="A11">IFERROR(IF(Tabela2[[#This Row],[State]]="Automatico",IF(Tabela2[[#This Row],[Shape]]="","",(ROW()-1)*10),INDEX(Tabela2[[#All],[Item (Reference)]],ROW()-1)),"")</f>
        <v>100</v>
      </c>
      <c r="B11" s="627">
        <f t="shared" si="0"/>
        <v>100</v>
      </c>
      <c r="C11"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1" s="627" t="str">
        <f>IFERROR(IF(Tabela2[[#This Row],[Shape]]="","Normal",IF(_xlfn.XLOOKUP(Tabela2[[#This Row],[Brand]],BRANDS[Brand],BRANDS[Brand Type])="","Normal",_xlfn.XLOOKUP(Tabela2[[#This Row],[Brand]],BRANDS[Brand],BRANDS[Brand Type]))),"")</f>
        <v>Normal</v>
      </c>
      <c r="E11" s="627" t="s">
        <v>2267</v>
      </c>
      <c r="F11" s="629" t="s">
        <v>1399</v>
      </c>
      <c r="G11" s="627">
        <v>449</v>
      </c>
      <c r="H11" s="630">
        <v>467</v>
      </c>
      <c r="I11">
        <f>IFERROR(IF(Tabela2[[#This Row],[Shape]]="","",IF(Tabela2[[#This Row],[Shape]]="-",Tabela2[[#This Row],[Qnt 1]]/1000,Tabela2[[#This Row],[Qnt 1]])),"")</f>
        <v>449</v>
      </c>
      <c r="J11">
        <f>IFERROR(IF(Tabela2[[#This Row],[Shape]]="","",IF(Tabela2[[#This Row],[Shape]]="-",Tabela2[[#This Row],[Qnt 2]]/1000,Tabela2[[#This Row],[Qnt 2]])),"")</f>
        <v>467</v>
      </c>
      <c r="K11" t="str" cm="1">
        <f t="array" aca="1" ref="K1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K66-US</v>
      </c>
      <c r="L11" t="str" cm="1">
        <f t="array" aca="1" ref="L1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1" t="str">
        <f>_xlfn.XLOOKUP(Tabela2[[#This Row],[Shape]]&amp;Tabela2[[#This Row],[Brand]],Material_Code[Shape &amp; Brand],Material_Code[Material Code],"",0)</f>
        <v/>
      </c>
      <c r="N11">
        <f>IFERROR(IF(SAP_FINAL!$C$11="Office",2000,IF(SAP_FINAL!$C$11="VPN",3500,5000)),"")</f>
        <v>2000</v>
      </c>
      <c r="O11">
        <f>IFERROR(IF(SAP_FINAL!$C$11="Office",2500,IF(SAP_FINAL!$C$11="VPN",4000,5000)),"")</f>
        <v>2500</v>
      </c>
      <c r="P11" t="str" cm="1">
        <f t="array" ref="P1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100|Send, ^{Right}|Send, MAT_KONFIG|Send, {Enter}</v>
      </c>
      <c r="Q1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K66-US|Send, {Tab}|Send, {Tab}|Send, {Tab}|Send, {Tab}|Send, {Tab}|Send, {Tab}|Send, {Tab}|Send, {Tab}|Send, {Tab}|Send, 449|Send, {Tab}|Send, {Tab}|Send, 467|Send, {F3}</v>
      </c>
      <c r="R1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S15X6X100|Send, {Tab}|Send, {Tab}|Send, {Tab}|Send, {Tab}|Send, SINDOFORM K66-US|Send, {Tab}|Send, {Tab}|Send, {Tab}|Send, {Tab}|Send, {Tab}|Send, {Tab}|Send, {Tab}|Send, {Tab}|Send, {Tab}|Send, 449|Send, {Tab}|Send, {Tab}|Send, 467|Send, {F3}</v>
      </c>
      <c r="S11" t="str">
        <f ca="1">IFERROR(IF(Tabela2[[#This Row],[Item (Reference)]]="","",IF(Tabela2[[#This Row],[Shape]]="-",Tabela2[[#This Row],[Reference2]],Tabela2[[#This Row],[Reference3]])),"")</f>
        <v>Sleep, 2500|Send, {Down}|Send, S15X6X100|Send, {Tab}|Send, {Tab}|Send, {Tab}|Send, {Tab}|Send, SINDOFORM K66-US|Send, {Tab}|Send, {Tab}|Send, {Tab}|Send, {Tab}|Send, {Tab}|Send, {Tab}|Send, {Tab}|Send, {Tab}|Send, {Tab}|Send, 449|Send, {Tab}|Send, {Tab}|Send, 467|Send, {F3}</v>
      </c>
      <c r="T11"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449|Send, {Tab}|Send, {Tab}|Send, 467|Send, {Tab}|Send, {Tab}|Send, {Tab}|Send, {Tab}|Send, {Tab}|Send, {Tab}|Send, |Send, {F3}</v>
      </c>
      <c r="U11" t="str">
        <f ca="1">IFERROR(IF(Tabela2[[#This Row],[State]]="Automatico",Tabela2[[#This Row],[Reference1]]&amp;"|"&amp;IF(Tabela2[[#This Row],[Material Code]]="",Tabela2[[#This Row],[Reference4]],Tabela2[[#This Row],[Reference5]]),""),"")</f>
        <v>Sleep, 2500|Send, ^{Left}|Send, 100|Send, ^{Right}|Send, MAT_KONFIG|Send, {Enter}|Sleep, 2500|Send, {Down}|Send, S15X6X100|Send, {Tab}|Send, {Tab}|Send, {Tab}|Send, {Tab}|Send, SINDOFORM K66-US|Send, {Tab}|Send, {Tab}|Send, {Tab}|Send, {Tab}|Send, {Tab}|Send, {Tab}|Send, {Tab}|Send, {Tab}|Send, {Tab}|Send, 449|Send, {Tab}|Send, {Tab}|Send, 467|Send, {F3}</v>
      </c>
    </row>
    <row r="12" spans="1:21">
      <c r="A12" t="str" cm="1">
        <f t="array" ref="A12">IFERROR(IF(Tabela2[[#This Row],[State]]="Automatico",IF(Tabela2[[#This Row],[Shape]]="","",(ROW()-1)*10),INDEX(Tabela2[[#All],[Item (Reference)]],ROW()-1)),"")</f>
        <v/>
      </c>
      <c r="B12" s="627">
        <f t="shared" si="0"/>
        <v>110</v>
      </c>
      <c r="C12"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2" s="627" t="str">
        <f>IFERROR(IF(Tabela2[[#This Row],[Shape]]="","Normal",IF(_xlfn.XLOOKUP(Tabela2[[#This Row],[Brand]],BRANDS[Brand],BRANDS[Brand Type])="","Normal",_xlfn.XLOOKUP(Tabela2[[#This Row],[Brand]],BRANDS[Brand],BRANDS[Brand Type]))),"")</f>
        <v>Normal</v>
      </c>
      <c r="E12" s="627" t="s">
        <v>2268</v>
      </c>
      <c r="F12" s="629"/>
      <c r="G12" s="627"/>
      <c r="H12" s="630"/>
      <c r="I12" t="str">
        <f>IFERROR(IF(Tabela2[[#This Row],[Shape]]="","",IF(Tabela2[[#This Row],[Shape]]="-",Tabela2[[#This Row],[Qnt 1]]/1000,Tabela2[[#This Row],[Qnt 1]])),"")</f>
        <v/>
      </c>
      <c r="J12" t="str">
        <f>IFERROR(IF(Tabela2[[#This Row],[Shape]]="","",IF(Tabela2[[#This Row],[Shape]]="-",Tabela2[[#This Row],[Qnt 2]]/1000,Tabela2[[#This Row],[Qnt 2]])),"")</f>
        <v/>
      </c>
      <c r="K12" t="str" cm="1">
        <f t="array" aca="1" ref="K1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WALL WORKING</v>
      </c>
      <c r="L12" t="str" cm="1">
        <f t="array" aca="1" ref="L1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2" t="str">
        <f>_xlfn.XLOOKUP(Tabela2[[#This Row],[Shape]]&amp;Tabela2[[#This Row],[Brand]],Material_Code[Shape &amp; Brand],Material_Code[Material Code],"",0)</f>
        <v/>
      </c>
      <c r="N12">
        <f>IFERROR(IF(SAP_FINAL!$C$11="Office",2000,IF(SAP_FINAL!$C$11="VPN",3500,5000)),"")</f>
        <v>2000</v>
      </c>
      <c r="O12">
        <f>IFERROR(IF(SAP_FINAL!$C$11="Office",2500,IF(SAP_FINAL!$C$11="VPN",4000,5000)),"")</f>
        <v>2500</v>
      </c>
      <c r="P12" t="str" cm="1">
        <f t="array" ref="P1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110|Send, ^{Right}|Send, ^{Right}|Send, ^{Right}|Send, WALL WORKING|Send, {Enter}</v>
      </c>
      <c r="Q1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WALL WORKING|Send, {Tab}|Send, {Tab}|Send, {Tab}|Send, {Tab}|Send, {Tab}|Send, {Tab}|Send, {Tab}|Send, {Tab}|Send, {Tab}|Send, |Send, {Tab}|Send, {Tab}|Send, |Send, {F3}</v>
      </c>
      <c r="R1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WALL WORKING|Send, {Tab}|Send, {Tab}|Send, {Tab}|Send, {Tab}|Send, {Tab}|Send, {Tab}|Send, {Tab}|Send, {Tab}|Send, {Tab}|Send, |Send, {Tab}|Send, {Tab}|Send, |Send, {F3}</v>
      </c>
      <c r="S12" t="str">
        <f>IFERROR(IF(Tabela2[[#This Row],[Item (Reference)]]="","",IF(Tabela2[[#This Row],[Shape]]="-",Tabela2[[#This Row],[Reference2]],Tabela2[[#This Row],[Reference3]])),"")</f>
        <v/>
      </c>
      <c r="T12"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|Send, {Tab}|Send, {Tab}|Send, |Send, {Tab}|Send, {Tab}|Send, {Tab}|Send, {Tab}|Send, {Tab}|Send, {Tab}|Send, |Send, {F3}</v>
      </c>
      <c r="U12" t="str">
        <f>IFERROR(IF(Tabela2[[#This Row],[State]]="Automatico",Tabela2[[#This Row],[Reference1]]&amp;"|"&amp;IF(Tabela2[[#This Row],[Material Code]]="",Tabela2[[#This Row],[Reference4]],Tabela2[[#This Row],[Reference5]]),""),"")</f>
        <v>Sleep, 2500|Send, ^{Left}|Send, 110|Send, ^{Right}|Send, ^{Right}|Send, ^{Right}|Send, WALL WORKING|Send, {Enter}|</v>
      </c>
    </row>
    <row r="13" spans="1:21">
      <c r="A13" cm="1">
        <f t="array" ref="A13">IFERROR(IF(Tabela2[[#This Row],[State]]="Automatico",IF(Tabela2[[#This Row],[Shape]]="","",(ROW()-1)*10),INDEX(Tabela2[[#All],[Item (Reference)]],ROW()-1)),"")</f>
        <v>120</v>
      </c>
      <c r="B13" s="627">
        <f t="shared" si="0"/>
        <v>120</v>
      </c>
      <c r="C13"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3" s="627" t="str">
        <f>IFERROR(IF(Tabela2[[#This Row],[Shape]]="","Normal",IF(_xlfn.XLOOKUP(Tabela2[[#This Row],[Brand]],BRANDS[Brand],BRANDS[Brand Type])="","Normal",_xlfn.XLOOKUP(Tabela2[[#This Row],[Brand]],BRANDS[Brand],BRANDS[Brand Type]))),"")</f>
        <v>Normal</v>
      </c>
      <c r="E13" s="627" t="s">
        <v>2274</v>
      </c>
      <c r="F13" s="629" t="s">
        <v>253</v>
      </c>
      <c r="G13" s="627">
        <v>47</v>
      </c>
      <c r="H13" s="630">
        <v>52</v>
      </c>
      <c r="I13">
        <f>IFERROR(IF(Tabela2[[#This Row],[Shape]]="","",IF(Tabela2[[#This Row],[Shape]]="-",Tabela2[[#This Row],[Qnt 1]]/1000,Tabela2[[#This Row],[Qnt 1]])),"")</f>
        <v>47</v>
      </c>
      <c r="J13">
        <f>IFERROR(IF(Tabela2[[#This Row],[Shape]]="","",IF(Tabela2[[#This Row],[Shape]]="-",Tabela2[[#This Row],[Qnt 2]]/1000,Tabela2[[#This Row],[Qnt 2]])),"")</f>
        <v>52</v>
      </c>
      <c r="K13" t="str" cm="1">
        <f t="array" aca="1" ref="K1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HF65-T1-EU</v>
      </c>
      <c r="L13" t="str" cm="1">
        <f t="array" aca="1" ref="L1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3" t="str">
        <f>_xlfn.XLOOKUP(Tabela2[[#This Row],[Shape]]&amp;Tabela2[[#This Row],[Brand]],Material_Code[Shape &amp; Brand],Material_Code[Material Code],"",0)</f>
        <v/>
      </c>
      <c r="N13">
        <f>IFERROR(IF(SAP_FINAL!$C$11="Office",2000,IF(SAP_FINAL!$C$11="VPN",3500,5000)),"")</f>
        <v>2000</v>
      </c>
      <c r="O13">
        <f>IFERROR(IF(SAP_FINAL!$C$11="Office",2500,IF(SAP_FINAL!$C$11="VPN",4000,5000)),"")</f>
        <v>2500</v>
      </c>
      <c r="P13" t="str" cm="1">
        <f t="array" ref="P1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2000|Send, ^{Left}|Send, 120|Send, ^{Right}|Send, MAT_KONFIG|Send, {Enter}</v>
      </c>
      <c r="Q1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HF65-T1-EU|Send, {Tab}|Send, {Tab}|Send, {Tab}|Send, {Tab}|Send, {Tab}|Send, {Tab}|Send, {Tab}|Send, {Tab}|Send, {Tab}|Send, 47|Send, {Tab}|Send, {Tab}|Send, 52|Send, {F3}</v>
      </c>
      <c r="R1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100/120|Send, {Tab}|Send, {Tab}|Send, {Tab}|Send, {Tab}|Send, SINDOFORM HF65-T1-EU|Send, {Tab}|Send, {Tab}|Send, {Tab}|Send, {Tab}|Send, {Tab}|Send, {Tab}|Send, {Tab}|Send, {Tab}|Send, {Tab}|Send, 47|Send, {Tab}|Send, {Tab}|Send, 52|Send, {F3}</v>
      </c>
      <c r="S13" t="str">
        <f ca="1">IFERROR(IF(Tabela2[[#This Row],[Item (Reference)]]="","",IF(Tabela2[[#This Row],[Shape]]="-",Tabela2[[#This Row],[Reference2]],Tabela2[[#This Row],[Reference3]])),"")</f>
        <v>Sleep, 2500|Send, {Down}|Send, 100/120|Send, {Tab}|Send, {Tab}|Send, {Tab}|Send, {Tab}|Send, SINDOFORM HF65-T1-EU|Send, {Tab}|Send, {Tab}|Send, {Tab}|Send, {Tab}|Send, {Tab}|Send, {Tab}|Send, {Tab}|Send, {Tab}|Send, {Tab}|Send, 47|Send, {Tab}|Send, {Tab}|Send, 52|Send, {F3}</v>
      </c>
      <c r="T13"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47|Send, {Tab}|Send, {Tab}|Send, 52|Send, {Tab}|Send, {Tab}|Send, {Tab}|Send, {Tab}|Send, {Tab}|Send, {Tab}|Send, |Send, {F3}</v>
      </c>
      <c r="U13" t="str">
        <f ca="1">IFERROR(IF(Tabela2[[#This Row],[State]]="Automatico",Tabela2[[#This Row],[Reference1]]&amp;"|"&amp;IF(Tabela2[[#This Row],[Material Code]]="",Tabela2[[#This Row],[Reference4]],Tabela2[[#This Row],[Reference5]]),""),"")</f>
        <v>Sleep, 2000|Send, ^{Left}|Send, 120|Send, ^{Right}|Send, MAT_KONFIG|Send, {Enter}|Sleep, 2500|Send, {Down}|Send, 100/120|Send, {Tab}|Send, {Tab}|Send, {Tab}|Send, {Tab}|Send, SINDOFORM HF65-T1-EU|Send, {Tab}|Send, {Tab}|Send, {Tab}|Send, {Tab}|Send, {Tab}|Send, {Tab}|Send, {Tab}|Send, {Tab}|Send, {Tab}|Send, 47|Send, {Tab}|Send, {Tab}|Send, 52|Send, {F3}</v>
      </c>
    </row>
    <row r="14" spans="1:21">
      <c r="A14" cm="1">
        <f t="array" ref="A14">IFERROR(IF(Tabela2[[#This Row],[State]]="Automatico",IF(Tabela2[[#This Row],[Shape]]="","",(ROW()-1)*10),INDEX(Tabela2[[#All],[Item (Reference)]],ROW()-1)),"")</f>
        <v>130</v>
      </c>
      <c r="B14" s="627">
        <f t="shared" si="0"/>
        <v>130</v>
      </c>
      <c r="C14"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4" s="627" t="str">
        <f>IFERROR(IF(Tabela2[[#This Row],[Shape]]="","Normal",IF(_xlfn.XLOOKUP(Tabela2[[#This Row],[Brand]],BRANDS[Brand],BRANDS[Brand Type])="","Normal",_xlfn.XLOOKUP(Tabela2[[#This Row],[Brand]],BRANDS[Brand],BRANDS[Brand Type]))),"")</f>
        <v>Normal</v>
      </c>
      <c r="E14" s="627" t="s">
        <v>2274</v>
      </c>
      <c r="F14" s="629" t="s">
        <v>2275</v>
      </c>
      <c r="G14" s="627">
        <v>6</v>
      </c>
      <c r="H14" s="630">
        <v>7</v>
      </c>
      <c r="I14">
        <f>IFERROR(IF(Tabela2[[#This Row],[Shape]]="","",IF(Tabela2[[#This Row],[Shape]]="-",Tabela2[[#This Row],[Qnt 1]]/1000,Tabela2[[#This Row],[Qnt 1]])),"")</f>
        <v>6</v>
      </c>
      <c r="J14">
        <f>IFERROR(IF(Tabela2[[#This Row],[Shape]]="","",IF(Tabela2[[#This Row],[Shape]]="-",Tabela2[[#This Row],[Qnt 2]]/1000,Tabela2[[#This Row],[Qnt 2]])),"")</f>
        <v>7</v>
      </c>
      <c r="K14" t="str" cm="1">
        <f t="array" aca="1" ref="K1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HF65-T1-EU</v>
      </c>
      <c r="L14" t="str" cm="1">
        <f t="array" aca="1" ref="L1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4" t="str">
        <f>_xlfn.XLOOKUP(Tabela2[[#This Row],[Shape]]&amp;Tabela2[[#This Row],[Brand]],Material_Code[Shape &amp; Brand],Material_Code[Material Code],"",0)</f>
        <v/>
      </c>
      <c r="N14">
        <f>IFERROR(IF(SAP_FINAL!$C$11="Office",2000,IF(SAP_FINAL!$C$11="VPN",3500,5000)),"")</f>
        <v>2000</v>
      </c>
      <c r="O14">
        <f>IFERROR(IF(SAP_FINAL!$C$11="Office",2500,IF(SAP_FINAL!$C$11="VPN",4000,5000)),"")</f>
        <v>2500</v>
      </c>
      <c r="P14" t="str" cm="1">
        <f t="array" ref="P1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130|Send, ^{Right}|Send, MAT_KONFIG|Send, {Enter}</v>
      </c>
      <c r="Q1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HF65-T1-EU|Send, {Tab}|Send, {Tab}|Send, {Tab}|Send, {Tab}|Send, {Tab}|Send, {Tab}|Send, {Tab}|Send, {Tab}|Send, {Tab}|Send, 6|Send, {Tab}|Send, {Tab}|Send, 7|Send, {F3}</v>
      </c>
      <c r="R1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100/20AVE1|Send, {Tab}|Send, {Tab}|Send, {Tab}|Send, {Tab}|Send, SINDOFORM HF65-T1-EU|Send, {Tab}|Send, {Tab}|Send, {Tab}|Send, {Tab}|Send, {Tab}|Send, {Tab}|Send, {Tab}|Send, {Tab}|Send, {Tab}|Send, 6|Send, {Tab}|Send, {Tab}|Send, 7|Send, {F3}</v>
      </c>
      <c r="S14" t="str">
        <f ca="1">IFERROR(IF(Tabela2[[#This Row],[Item (Reference)]]="","",IF(Tabela2[[#This Row],[Shape]]="-",Tabela2[[#This Row],[Reference2]],Tabela2[[#This Row],[Reference3]])),"")</f>
        <v>Sleep, 2500|Send, {Down}|Send, 100/20AVE1|Send, {Tab}|Send, {Tab}|Send, {Tab}|Send, {Tab}|Send, SINDOFORM HF65-T1-EU|Send, {Tab}|Send, {Tab}|Send, {Tab}|Send, {Tab}|Send, {Tab}|Send, {Tab}|Send, {Tab}|Send, {Tab}|Send, {Tab}|Send, 6|Send, {Tab}|Send, {Tab}|Send, 7|Send, {F3}</v>
      </c>
      <c r="T14"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6|Send, {Tab}|Send, {Tab}|Send, 7|Send, {Tab}|Send, {Tab}|Send, {Tab}|Send, {Tab}|Send, {Tab}|Send, {Tab}|Send, |Send, {F3}</v>
      </c>
      <c r="U14" t="str">
        <f ca="1">IFERROR(IF(Tabela2[[#This Row],[State]]="Automatico",Tabela2[[#This Row],[Reference1]]&amp;"|"&amp;IF(Tabela2[[#This Row],[Material Code]]="",Tabela2[[#This Row],[Reference4]],Tabela2[[#This Row],[Reference5]]),""),"")</f>
        <v>Sleep, 2500|Send, ^{Left}|Send, 130|Send, ^{Right}|Send, MAT_KONFIG|Send, {Enter}|Sleep, 2500|Send, {Down}|Send, 100/20AVE1|Send, {Tab}|Send, {Tab}|Send, {Tab}|Send, {Tab}|Send, SINDOFORM HF65-T1-EU|Send, {Tab}|Send, {Tab}|Send, {Tab}|Send, {Tab}|Send, {Tab}|Send, {Tab}|Send, {Tab}|Send, {Tab}|Send, {Tab}|Send, 6|Send, {Tab}|Send, {Tab}|Send, 7|Send, {F3}</v>
      </c>
    </row>
    <row r="15" spans="1:21">
      <c r="A15" cm="1">
        <f t="array" ref="A15">IFERROR(IF(Tabela2[[#This Row],[State]]="Automatico",IF(Tabela2[[#This Row],[Shape]]="","",(ROW()-1)*10),INDEX(Tabela2[[#All],[Item (Reference)]],ROW()-1)),"")</f>
        <v>140</v>
      </c>
      <c r="B15" s="627">
        <f t="shared" si="0"/>
        <v>140</v>
      </c>
      <c r="C15"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5" s="627" t="str">
        <f>IFERROR(IF(Tabela2[[#This Row],[Shape]]="","Normal",IF(_xlfn.XLOOKUP(Tabela2[[#This Row],[Brand]],BRANDS[Brand],BRANDS[Brand Type])="","Normal",_xlfn.XLOOKUP(Tabela2[[#This Row],[Brand]],BRANDS[Brand],BRANDS[Brand Type]))),"")</f>
        <v>Normal</v>
      </c>
      <c r="E15" s="627" t="s">
        <v>2274</v>
      </c>
      <c r="F15" s="629" t="s">
        <v>252</v>
      </c>
      <c r="G15" s="627">
        <v>28</v>
      </c>
      <c r="H15" s="630">
        <v>31</v>
      </c>
      <c r="I15">
        <f>IFERROR(IF(Tabela2[[#This Row],[Shape]]="","",IF(Tabela2[[#This Row],[Shape]]="-",Tabela2[[#This Row],[Qnt 1]]/1000,Tabela2[[#This Row],[Qnt 1]])),"")</f>
        <v>28</v>
      </c>
      <c r="J15">
        <f>IFERROR(IF(Tabela2[[#This Row],[Shape]]="","",IF(Tabela2[[#This Row],[Shape]]="-",Tabela2[[#This Row],[Qnt 2]]/1000,Tabela2[[#This Row],[Qnt 2]])),"")</f>
        <v>31</v>
      </c>
      <c r="K15" t="str" cm="1">
        <f t="array" aca="1" ref="K1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HF65-T1-EU</v>
      </c>
      <c r="L15" t="str" cm="1">
        <f t="array" aca="1" ref="L1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5" t="str">
        <f>_xlfn.XLOOKUP(Tabela2[[#This Row],[Shape]]&amp;Tabela2[[#This Row],[Brand]],Material_Code[Shape &amp; Brand],Material_Code[Material Code],"",0)</f>
        <v/>
      </c>
      <c r="N15">
        <f>IFERROR(IF(SAP_FINAL!$C$11="Office",2000,IF(SAP_FINAL!$C$11="VPN",3500,5000)),"")</f>
        <v>2000</v>
      </c>
      <c r="O15">
        <f>IFERROR(IF(SAP_FINAL!$C$11="Office",2500,IF(SAP_FINAL!$C$11="VPN",4000,5000)),"")</f>
        <v>2500</v>
      </c>
      <c r="P15" t="str" cm="1">
        <f t="array" ref="P1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140|Send, ^{Right}|Send, MAT_KONFIG|Send, {Enter}</v>
      </c>
      <c r="Q1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HF65-T1-EU|Send, {Tab}|Send, {Tab}|Send, {Tab}|Send, {Tab}|Send, {Tab}|Send, {Tab}|Send, {Tab}|Send, {Tab}|Send, {Tab}|Send, 28|Send, {Tab}|Send, {Tab}|Send, 31|Send, {F3}</v>
      </c>
      <c r="R1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100/80|Send, {Tab}|Send, {Tab}|Send, {Tab}|Send, {Tab}|Send, SINDOFORM HF65-T1-EU|Send, {Tab}|Send, {Tab}|Send, {Tab}|Send, {Tab}|Send, {Tab}|Send, {Tab}|Send, {Tab}|Send, {Tab}|Send, {Tab}|Send, 28|Send, {Tab}|Send, {Tab}|Send, 31|Send, {F3}</v>
      </c>
      <c r="S15" t="str">
        <f ca="1">IFERROR(IF(Tabela2[[#This Row],[Item (Reference)]]="","",IF(Tabela2[[#This Row],[Shape]]="-",Tabela2[[#This Row],[Reference2]],Tabela2[[#This Row],[Reference3]])),"")</f>
        <v>Sleep, 2500|Send, {Down}|Send, 100/80|Send, {Tab}|Send, {Tab}|Send, {Tab}|Send, {Tab}|Send, SINDOFORM HF65-T1-EU|Send, {Tab}|Send, {Tab}|Send, {Tab}|Send, {Tab}|Send, {Tab}|Send, {Tab}|Send, {Tab}|Send, {Tab}|Send, {Tab}|Send, 28|Send, {Tab}|Send, {Tab}|Send, 31|Send, {F3}</v>
      </c>
      <c r="T15"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28|Send, {Tab}|Send, {Tab}|Send, 31|Send, {Tab}|Send, {Tab}|Send, {Tab}|Send, {Tab}|Send, {Tab}|Send, {Tab}|Send, |Send, {F3}</v>
      </c>
      <c r="U15" t="str">
        <f ca="1">IFERROR(IF(Tabela2[[#This Row],[State]]="Automatico",Tabela2[[#This Row],[Reference1]]&amp;"|"&amp;IF(Tabela2[[#This Row],[Material Code]]="",Tabela2[[#This Row],[Reference4]],Tabela2[[#This Row],[Reference5]]),""),"")</f>
        <v>Sleep, 2500|Send, ^{Left}|Send, 140|Send, ^{Right}|Send, MAT_KONFIG|Send, {Enter}|Sleep, 2500|Send, {Down}|Send, 100/80|Send, {Tab}|Send, {Tab}|Send, {Tab}|Send, {Tab}|Send, SINDOFORM HF65-T1-EU|Send, {Tab}|Send, {Tab}|Send, {Tab}|Send, {Tab}|Send, {Tab}|Send, {Tab}|Send, {Tab}|Send, {Tab}|Send, {Tab}|Send, 28|Send, {Tab}|Send, {Tab}|Send, 31|Send, {F3}</v>
      </c>
    </row>
    <row r="16" spans="1:21">
      <c r="A16" cm="1">
        <f t="array" ref="A16">IFERROR(IF(Tabela2[[#This Row],[State]]="Automatico",IF(Tabela2[[#This Row],[Shape]]="","",(ROW()-1)*10),INDEX(Tabela2[[#All],[Item (Reference)]],ROW()-1)),"")</f>
        <v>150</v>
      </c>
      <c r="B16" s="627">
        <f t="shared" si="0"/>
        <v>150</v>
      </c>
      <c r="C16"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6" s="627" t="str">
        <f>IFERROR(IF(Tabela2[[#This Row],[Shape]]="","Normal",IF(_xlfn.XLOOKUP(Tabela2[[#This Row],[Brand]],BRANDS[Brand],BRANDS[Brand Type])="","Normal",_xlfn.XLOOKUP(Tabela2[[#This Row],[Brand]],BRANDS[Brand],BRANDS[Brand Type]))),"")</f>
        <v>Normal</v>
      </c>
      <c r="E16" s="627" t="s">
        <v>2271</v>
      </c>
      <c r="F16" s="629" t="s">
        <v>225</v>
      </c>
      <c r="G16" s="627">
        <v>22</v>
      </c>
      <c r="H16" s="630">
        <v>25</v>
      </c>
      <c r="I16">
        <f>IFERROR(IF(Tabela2[[#This Row],[Shape]]="","",IF(Tabela2[[#This Row],[Shape]]="-",Tabela2[[#This Row],[Qnt 1]]/1000,Tabela2[[#This Row],[Qnt 1]])),"")</f>
        <v>22</v>
      </c>
      <c r="J16">
        <f>IFERROR(IF(Tabela2[[#This Row],[Shape]]="","",IF(Tabela2[[#This Row],[Shape]]="-",Tabela2[[#This Row],[Qnt 2]]/1000,Tabela2[[#This Row],[Qnt 2]])),"")</f>
        <v>25</v>
      </c>
      <c r="K16" t="str" cm="1">
        <f t="array" aca="1" ref="K1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6" t="str" cm="1">
        <f t="array" aca="1" ref="L1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6" t="str">
        <f>_xlfn.XLOOKUP(Tabela2[[#This Row],[Shape]]&amp;Tabela2[[#This Row],[Brand]],Material_Code[Shape &amp; Brand],Material_Code[Material Code],"",0)</f>
        <v/>
      </c>
      <c r="N16">
        <f>IFERROR(IF(SAP_FINAL!$C$11="Office",2000,IF(SAP_FINAL!$C$11="VPN",3500,5000)),"")</f>
        <v>2000</v>
      </c>
      <c r="O16">
        <f>IFERROR(IF(SAP_FINAL!$C$11="Office",2500,IF(SAP_FINAL!$C$11="VPN",4000,5000)),"")</f>
        <v>2500</v>
      </c>
      <c r="P16" t="str" cm="1">
        <f t="array" ref="P1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150|Send, ^{Right}|Send, MAT_KONFIG|Send, {Enter}</v>
      </c>
      <c r="Q1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22|Send, {Tab}|Send, {Tab}|Send, 25|Send, {F3}</v>
      </c>
      <c r="R1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80/60|Send, {Tab}|Send, {Tab}|Send, {Tab}|Send, {Tab}|Send, SINDOFORM HF65Z-T2-EU|Send, {Tab}|Send, {Tab}|Send, {Tab}|Send, {Tab}|Send, {Tab}|Send, {Tab}|Send, {Tab}|Send, {Tab}|Send, {Tab}|Send, 22|Send, {Tab}|Send, {Tab}|Send, 25|Send, {F3}</v>
      </c>
      <c r="S16" t="str">
        <f ca="1">IFERROR(IF(Tabela2[[#This Row],[Item (Reference)]]="","",IF(Tabela2[[#This Row],[Shape]]="-",Tabela2[[#This Row],[Reference2]],Tabela2[[#This Row],[Reference3]])),"")</f>
        <v>Sleep, 2500|Send, {Down}|Send, 80/60|Send, {Tab}|Send, {Tab}|Send, {Tab}|Send, {Tab}|Send, SINDOFORM HF65Z-T2-EU|Send, {Tab}|Send, {Tab}|Send, {Tab}|Send, {Tab}|Send, {Tab}|Send, {Tab}|Send, {Tab}|Send, {Tab}|Send, {Tab}|Send, 22|Send, {Tab}|Send, {Tab}|Send, 25|Send, {F3}</v>
      </c>
      <c r="T16"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22|Send, {Tab}|Send, {Tab}|Send, 25|Send, {Tab}|Send, {Tab}|Send, {Tab}|Send, {Tab}|Send, {Tab}|Send, {Tab}|Send, |Send, {F3}</v>
      </c>
      <c r="U16" t="str">
        <f ca="1">IFERROR(IF(Tabela2[[#This Row],[State]]="Automatico",Tabela2[[#This Row],[Reference1]]&amp;"|"&amp;IF(Tabela2[[#This Row],[Material Code]]="",Tabela2[[#This Row],[Reference4]],Tabela2[[#This Row],[Reference5]]),""),"")</f>
        <v>Sleep, 2500|Send, ^{Left}|Send, 150|Send, ^{Right}|Send, MAT_KONFIG|Send, {Enter}|Sleep, 2500|Send, {Down}|Send, 80/60|Send, {Tab}|Send, {Tab}|Send, {Tab}|Send, {Tab}|Send, SINDOFORM HF65Z-T2-EU|Send, {Tab}|Send, {Tab}|Send, {Tab}|Send, {Tab}|Send, {Tab}|Send, {Tab}|Send, {Tab}|Send, {Tab}|Send, {Tab}|Send, 22|Send, {Tab}|Send, {Tab}|Send, 25|Send, {F3}</v>
      </c>
    </row>
    <row r="17" spans="1:21">
      <c r="A17" cm="1">
        <f t="array" ref="A17">IFERROR(IF(Tabela2[[#This Row],[State]]="Automatico",IF(Tabela2[[#This Row],[Shape]]="","",(ROW()-1)*10),INDEX(Tabela2[[#All],[Item (Reference)]],ROW()-1)),"")</f>
        <v>160</v>
      </c>
      <c r="B17" s="627">
        <f t="shared" si="0"/>
        <v>160</v>
      </c>
      <c r="C17"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7" s="627" t="str">
        <f>IFERROR(IF(Tabela2[[#This Row],[Shape]]="","Normal",IF(_xlfn.XLOOKUP(Tabela2[[#This Row],[Brand]],BRANDS[Brand],BRANDS[Brand Type])="","Normal",_xlfn.XLOOKUP(Tabela2[[#This Row],[Brand]],BRANDS[Brand],BRANDS[Brand Type]))),"")</f>
        <v>Normal</v>
      </c>
      <c r="E17" s="627" t="s">
        <v>2271</v>
      </c>
      <c r="F17" s="629" t="s">
        <v>226</v>
      </c>
      <c r="G17" s="627">
        <v>41</v>
      </c>
      <c r="H17" s="630">
        <v>46</v>
      </c>
      <c r="I17">
        <f>IFERROR(IF(Tabela2[[#This Row],[Shape]]="","",IF(Tabela2[[#This Row],[Shape]]="-",Tabela2[[#This Row],[Qnt 1]]/1000,Tabela2[[#This Row],[Qnt 1]])),"")</f>
        <v>41</v>
      </c>
      <c r="J17">
        <f>IFERROR(IF(Tabela2[[#This Row],[Shape]]="","",IF(Tabela2[[#This Row],[Shape]]="-",Tabela2[[#This Row],[Qnt 2]]/1000,Tabela2[[#This Row],[Qnt 2]])),"")</f>
        <v>46</v>
      </c>
      <c r="K17" t="str" cm="1">
        <f t="array" aca="1" ref="K1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7" t="str" cm="1">
        <f t="array" aca="1" ref="L1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7" t="str">
        <f>_xlfn.XLOOKUP(Tabela2[[#This Row],[Shape]]&amp;Tabela2[[#This Row],[Brand]],Material_Code[Shape &amp; Brand],Material_Code[Material Code],"",0)</f>
        <v/>
      </c>
      <c r="N17">
        <f>IFERROR(IF(SAP_FINAL!$C$11="Office",2000,IF(SAP_FINAL!$C$11="VPN",3500,5000)),"")</f>
        <v>2000</v>
      </c>
      <c r="O17">
        <f>IFERROR(IF(SAP_FINAL!$C$11="Office",2500,IF(SAP_FINAL!$C$11="VPN",4000,5000)),"")</f>
        <v>2500</v>
      </c>
      <c r="P17" t="str" cm="1">
        <f t="array" ref="P1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160|Send, ^{Right}|Send, MAT_KONFIG|Send, {Enter}</v>
      </c>
      <c r="Q1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41|Send, {Tab}|Send, {Tab}|Send, 46|Send, {F3}</v>
      </c>
      <c r="R1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80/80|Send, {Tab}|Send, {Tab}|Send, {Tab}|Send, {Tab}|Send, SINDOFORM HF65Z-T2-EU|Send, {Tab}|Send, {Tab}|Send, {Tab}|Send, {Tab}|Send, {Tab}|Send, {Tab}|Send, {Tab}|Send, {Tab}|Send, {Tab}|Send, 41|Send, {Tab}|Send, {Tab}|Send, 46|Send, {F3}</v>
      </c>
      <c r="S17" t="str">
        <f ca="1">IFERROR(IF(Tabela2[[#This Row],[Item (Reference)]]="","",IF(Tabela2[[#This Row],[Shape]]="-",Tabela2[[#This Row],[Reference2]],Tabela2[[#This Row],[Reference3]])),"")</f>
        <v>Sleep, 2500|Send, {Down}|Send, 80/80|Send, {Tab}|Send, {Tab}|Send, {Tab}|Send, {Tab}|Send, SINDOFORM HF65Z-T2-EU|Send, {Tab}|Send, {Tab}|Send, {Tab}|Send, {Tab}|Send, {Tab}|Send, {Tab}|Send, {Tab}|Send, {Tab}|Send, {Tab}|Send, 41|Send, {Tab}|Send, {Tab}|Send, 46|Send, {F3}</v>
      </c>
      <c r="T17"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41|Send, {Tab}|Send, {Tab}|Send, 46|Send, {Tab}|Send, {Tab}|Send, {Tab}|Send, {Tab}|Send, {Tab}|Send, {Tab}|Send, |Send, {F3}</v>
      </c>
      <c r="U17" t="str">
        <f ca="1">IFERROR(IF(Tabela2[[#This Row],[State]]="Automatico",Tabela2[[#This Row],[Reference1]]&amp;"|"&amp;IF(Tabela2[[#This Row],[Material Code]]="",Tabela2[[#This Row],[Reference4]],Tabela2[[#This Row],[Reference5]]),""),"")</f>
        <v>Sleep, 2500|Send, ^{Left}|Send, 160|Send, ^{Right}|Send, MAT_KONFIG|Send, {Enter}|Sleep, 2500|Send, {Down}|Send, 80/80|Send, {Tab}|Send, {Tab}|Send, {Tab}|Send, {Tab}|Send, SINDOFORM HF65Z-T2-EU|Send, {Tab}|Send, {Tab}|Send, {Tab}|Send, {Tab}|Send, {Tab}|Send, {Tab}|Send, {Tab}|Send, {Tab}|Send, {Tab}|Send, 41|Send, {Tab}|Send, {Tab}|Send, 46|Send, {F3}</v>
      </c>
    </row>
    <row r="18" spans="1:21">
      <c r="A18" cm="1">
        <f t="array" ref="A18">IFERROR(IF(Tabela2[[#This Row],[State]]="Automatico",IF(Tabela2[[#This Row],[Shape]]="","",(ROW()-1)*10),INDEX(Tabela2[[#All],[Item (Reference)]],ROW()-1)),"")</f>
        <v>170</v>
      </c>
      <c r="B18" s="627">
        <f t="shared" si="0"/>
        <v>170</v>
      </c>
      <c r="C18"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8" s="627" t="str">
        <f>IFERROR(IF(Tabela2[[#This Row],[Shape]]="","Normal",IF(_xlfn.XLOOKUP(Tabela2[[#This Row],[Brand]],BRANDS[Brand],BRANDS[Brand Type])="","Normal",_xlfn.XLOOKUP(Tabela2[[#This Row],[Brand]],BRANDS[Brand],BRANDS[Brand Type]))),"")</f>
        <v>Normal</v>
      </c>
      <c r="E18" s="627" t="s">
        <v>2271</v>
      </c>
      <c r="F18" s="629" t="s">
        <v>232</v>
      </c>
      <c r="G18" s="627">
        <v>21</v>
      </c>
      <c r="H18" s="630">
        <v>24</v>
      </c>
      <c r="I18">
        <f>IFERROR(IF(Tabela2[[#This Row],[Shape]]="","",IF(Tabela2[[#This Row],[Shape]]="-",Tabela2[[#This Row],[Qnt 1]]/1000,Tabela2[[#This Row],[Qnt 1]])),"")</f>
        <v>21</v>
      </c>
      <c r="J18">
        <f>IFERROR(IF(Tabela2[[#This Row],[Shape]]="","",IF(Tabela2[[#This Row],[Shape]]="-",Tabela2[[#This Row],[Qnt 2]]/1000,Tabela2[[#This Row],[Qnt 2]])),"")</f>
        <v>24</v>
      </c>
      <c r="K18" t="str" cm="1">
        <f t="array" aca="1" ref="K1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8" t="str" cm="1">
        <f t="array" aca="1" ref="L1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8" t="str">
        <f>_xlfn.XLOOKUP(Tabela2[[#This Row],[Shape]]&amp;Tabela2[[#This Row],[Brand]],Material_Code[Shape &amp; Brand],Material_Code[Material Code],"",0)</f>
        <v/>
      </c>
      <c r="N18">
        <f>IFERROR(IF(SAP_FINAL!$C$11="Office",2000,IF(SAP_FINAL!$C$11="VPN",3500,5000)),"")</f>
        <v>2000</v>
      </c>
      <c r="O18">
        <f>IFERROR(IF(SAP_FINAL!$C$11="Office",2500,IF(SAP_FINAL!$C$11="VPN",4000,5000)),"")</f>
        <v>2500</v>
      </c>
      <c r="P18" t="str" cm="1">
        <f t="array" ref="P1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170|Send, ^{Right}|Send, MAT_KONFIG|Send, {Enter}</v>
      </c>
      <c r="Q1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21|Send, {Tab}|Send, {Tab}|Send, 24|Send, {F3}</v>
      </c>
      <c r="R1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85/60|Send, {Tab}|Send, {Tab}|Send, {Tab}|Send, {Tab}|Send, SINDOFORM HF65Z-T2-EU|Send, {Tab}|Send, {Tab}|Send, {Tab}|Send, {Tab}|Send, {Tab}|Send, {Tab}|Send, {Tab}|Send, {Tab}|Send, {Tab}|Send, 21|Send, {Tab}|Send, {Tab}|Send, 24|Send, {F3}</v>
      </c>
      <c r="S18" t="str">
        <f ca="1">IFERROR(IF(Tabela2[[#This Row],[Item (Reference)]]="","",IF(Tabela2[[#This Row],[Shape]]="-",Tabela2[[#This Row],[Reference2]],Tabela2[[#This Row],[Reference3]])),"")</f>
        <v>Sleep, 2500|Send, {Down}|Send, 85/60|Send, {Tab}|Send, {Tab}|Send, {Tab}|Send, {Tab}|Send, SINDOFORM HF65Z-T2-EU|Send, {Tab}|Send, {Tab}|Send, {Tab}|Send, {Tab}|Send, {Tab}|Send, {Tab}|Send, {Tab}|Send, {Tab}|Send, {Tab}|Send, 21|Send, {Tab}|Send, {Tab}|Send, 24|Send, {F3}</v>
      </c>
      <c r="T18"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21|Send, {Tab}|Send, {Tab}|Send, 24|Send, {Tab}|Send, {Tab}|Send, {Tab}|Send, {Tab}|Send, {Tab}|Send, {Tab}|Send, |Send, {F3}</v>
      </c>
      <c r="U18" t="str">
        <f ca="1">IFERROR(IF(Tabela2[[#This Row],[State]]="Automatico",Tabela2[[#This Row],[Reference1]]&amp;"|"&amp;IF(Tabela2[[#This Row],[Material Code]]="",Tabela2[[#This Row],[Reference4]],Tabela2[[#This Row],[Reference5]]),""),"")</f>
        <v>Sleep, 2500|Send, ^{Left}|Send, 170|Send, ^{Right}|Send, MAT_KONFIG|Send, {Enter}|Sleep, 2500|Send, {Down}|Send, 85/60|Send, {Tab}|Send, {Tab}|Send, {Tab}|Send, {Tab}|Send, SINDOFORM HF65Z-T2-EU|Send, {Tab}|Send, {Tab}|Send, {Tab}|Send, {Tab}|Send, {Tab}|Send, {Tab}|Send, {Tab}|Send, {Tab}|Send, {Tab}|Send, 21|Send, {Tab}|Send, {Tab}|Send, 24|Send, {F3}</v>
      </c>
    </row>
    <row r="19" spans="1:21">
      <c r="A19" cm="1">
        <f t="array" ref="A19">IFERROR(IF(Tabela2[[#This Row],[State]]="Automatico",IF(Tabela2[[#This Row],[Shape]]="","",(ROW()-1)*10),INDEX(Tabela2[[#All],[Item (Reference)]],ROW()-1)),"")</f>
        <v>180</v>
      </c>
      <c r="B19" s="627">
        <f t="shared" si="0"/>
        <v>180</v>
      </c>
      <c r="C19"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19" s="627" t="str">
        <f>IFERROR(IF(Tabela2[[#This Row],[Shape]]="","Normal",IF(_xlfn.XLOOKUP(Tabela2[[#This Row],[Brand]],BRANDS[Brand],BRANDS[Brand Type])="","Normal",_xlfn.XLOOKUP(Tabela2[[#This Row],[Brand]],BRANDS[Brand],BRANDS[Brand Type]))),"")</f>
        <v>Normal</v>
      </c>
      <c r="E19" s="627" t="s">
        <v>2271</v>
      </c>
      <c r="F19" s="629" t="s">
        <v>2272</v>
      </c>
      <c r="G19" s="627">
        <v>44</v>
      </c>
      <c r="H19" s="630">
        <v>49</v>
      </c>
      <c r="I19">
        <f>IFERROR(IF(Tabela2[[#This Row],[Shape]]="","",IF(Tabela2[[#This Row],[Shape]]="-",Tabela2[[#This Row],[Qnt 1]]/1000,Tabela2[[#This Row],[Qnt 1]])),"")</f>
        <v>44</v>
      </c>
      <c r="J19">
        <f>IFERROR(IF(Tabela2[[#This Row],[Shape]]="","",IF(Tabela2[[#This Row],[Shape]]="-",Tabela2[[#This Row],[Qnt 2]]/1000,Tabela2[[#This Row],[Qnt 2]])),"")</f>
        <v>49</v>
      </c>
      <c r="K19" t="str" cm="1">
        <f t="array" aca="1" ref="K1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19" t="str" cm="1">
        <f t="array" aca="1" ref="L1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19" t="str">
        <f>_xlfn.XLOOKUP(Tabela2[[#This Row],[Shape]]&amp;Tabela2[[#This Row],[Brand]],Material_Code[Shape &amp; Brand],Material_Code[Material Code],"",0)</f>
        <v/>
      </c>
      <c r="N19">
        <f>IFERROR(IF(SAP_FINAL!$C$11="Office",2000,IF(SAP_FINAL!$C$11="VPN",3500,5000)),"")</f>
        <v>2000</v>
      </c>
      <c r="O19">
        <f>IFERROR(IF(SAP_FINAL!$C$11="Office",2500,IF(SAP_FINAL!$C$11="VPN",4000,5000)),"")</f>
        <v>2500</v>
      </c>
      <c r="P19" t="str" cm="1">
        <f t="array" ref="P1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180|Send, ^{Right}|Send, MAT_KONFIG|Send, {Enter}</v>
      </c>
      <c r="Q1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44|Send, {Tab}|Send, {Tab}|Send, 49|Send, {F3}</v>
      </c>
      <c r="R1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85/80/75|Send, {Tab}|Send, {Tab}|Send, {Tab}|Send, {Tab}|Send, SINDOFORM HF65Z-T2-EU|Send, {Tab}|Send, {Tab}|Send, {Tab}|Send, {Tab}|Send, {Tab}|Send, {Tab}|Send, {Tab}|Send, {Tab}|Send, {Tab}|Send, 44|Send, {Tab}|Send, {Tab}|Send, 49|Send, {F3}</v>
      </c>
      <c r="S19" t="str">
        <f ca="1">IFERROR(IF(Tabela2[[#This Row],[Item (Reference)]]="","",IF(Tabela2[[#This Row],[Shape]]="-",Tabela2[[#This Row],[Reference2]],Tabela2[[#This Row],[Reference3]])),"")</f>
        <v>Sleep, 2500|Send, {Down}|Send, 85/80/75|Send, {Tab}|Send, {Tab}|Send, {Tab}|Send, {Tab}|Send, SINDOFORM HF65Z-T2-EU|Send, {Tab}|Send, {Tab}|Send, {Tab}|Send, {Tab}|Send, {Tab}|Send, {Tab}|Send, {Tab}|Send, {Tab}|Send, {Tab}|Send, 44|Send, {Tab}|Send, {Tab}|Send, 49|Send, {F3}</v>
      </c>
      <c r="T19"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44|Send, {Tab}|Send, {Tab}|Send, 49|Send, {Tab}|Send, {Tab}|Send, {Tab}|Send, {Tab}|Send, {Tab}|Send, {Tab}|Send, |Send, {F3}</v>
      </c>
      <c r="U19" t="str">
        <f ca="1">IFERROR(IF(Tabela2[[#This Row],[State]]="Automatico",Tabela2[[#This Row],[Reference1]]&amp;"|"&amp;IF(Tabela2[[#This Row],[Material Code]]="",Tabela2[[#This Row],[Reference4]],Tabela2[[#This Row],[Reference5]]),""),"")</f>
        <v>Sleep, 2500|Send, ^{Left}|Send, 180|Send, ^{Right}|Send, MAT_KONFIG|Send, {Enter}|Sleep, 2500|Send, {Down}|Send, 85/80/75|Send, {Tab}|Send, {Tab}|Send, {Tab}|Send, {Tab}|Send, SINDOFORM HF65Z-T2-EU|Send, {Tab}|Send, {Tab}|Send, {Tab}|Send, {Tab}|Send, {Tab}|Send, {Tab}|Send, {Tab}|Send, {Tab}|Send, {Tab}|Send, 44|Send, {Tab}|Send, {Tab}|Send, 49|Send, {F3}</v>
      </c>
    </row>
    <row r="20" spans="1:21">
      <c r="A20" cm="1">
        <f t="array" ref="A20">IFERROR(IF(Tabela2[[#This Row],[State]]="Automatico",IF(Tabela2[[#This Row],[Shape]]="","",(ROW()-1)*10),INDEX(Tabela2[[#All],[Item (Reference)]],ROW()-1)),"")</f>
        <v>190</v>
      </c>
      <c r="B20" s="627">
        <f t="shared" si="0"/>
        <v>190</v>
      </c>
      <c r="C20"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0" s="627" t="str">
        <f>IFERROR(IF(Tabela2[[#This Row],[Shape]]="","Normal",IF(_xlfn.XLOOKUP(Tabela2[[#This Row],[Brand]],BRANDS[Brand],BRANDS[Brand Type])="","Normal",_xlfn.XLOOKUP(Tabela2[[#This Row],[Brand]],BRANDS[Brand],BRANDS[Brand Type]))),"")</f>
        <v>Normal</v>
      </c>
      <c r="E20" s="627" t="s">
        <v>2271</v>
      </c>
      <c r="F20" s="629" t="s">
        <v>240</v>
      </c>
      <c r="G20" s="627">
        <v>39</v>
      </c>
      <c r="H20" s="630">
        <v>43</v>
      </c>
      <c r="I20">
        <f>IFERROR(IF(Tabela2[[#This Row],[Shape]]="","",IF(Tabela2[[#This Row],[Shape]]="-",Tabela2[[#This Row],[Qnt 1]]/1000,Tabela2[[#This Row],[Qnt 1]])),"")</f>
        <v>39</v>
      </c>
      <c r="J20">
        <f>IFERROR(IF(Tabela2[[#This Row],[Shape]]="","",IF(Tabela2[[#This Row],[Shape]]="-",Tabela2[[#This Row],[Qnt 2]]/1000,Tabela2[[#This Row],[Qnt 2]])),"")</f>
        <v>43</v>
      </c>
      <c r="K20" t="str" cm="1">
        <f t="array" aca="1" ref="K2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HF65Z-T2-EU</v>
      </c>
      <c r="L20" t="str" cm="1">
        <f t="array" aca="1" ref="L2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0" t="str">
        <f>_xlfn.XLOOKUP(Tabela2[[#This Row],[Shape]]&amp;Tabela2[[#This Row],[Brand]],Material_Code[Shape &amp; Brand],Material_Code[Material Code],"",0)</f>
        <v/>
      </c>
      <c r="N20">
        <f>IFERROR(IF(SAP_FINAL!$C$11="Office",2000,IF(SAP_FINAL!$C$11="VPN",3500,5000)),"")</f>
        <v>2000</v>
      </c>
      <c r="O20">
        <f>IFERROR(IF(SAP_FINAL!$C$11="Office",2500,IF(SAP_FINAL!$C$11="VPN",4000,5000)),"")</f>
        <v>2500</v>
      </c>
      <c r="P20" t="str" cm="1">
        <f t="array" ref="P2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190|Send, ^{Right}|Send, MAT_KONFIG|Send, {Enter}</v>
      </c>
      <c r="Q2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HF65Z-T2-EU|Send, {Tab}|Send, {Tab}|Send, {Tab}|Send, {Tab}|Send, {Tab}|Send, {Tab}|Send, {Tab}|Send, {Tab}|Send, {Tab}|Send, 39|Send, {Tab}|Send, {Tab}|Send, 43|Send, {F3}</v>
      </c>
      <c r="R2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90/80|Send, {Tab}|Send, {Tab}|Send, {Tab}|Send, {Tab}|Send, SINDOFORM HF65Z-T2-EU|Send, {Tab}|Send, {Tab}|Send, {Tab}|Send, {Tab}|Send, {Tab}|Send, {Tab}|Send, {Tab}|Send, {Tab}|Send, {Tab}|Send, 39|Send, {Tab}|Send, {Tab}|Send, 43|Send, {F3}</v>
      </c>
      <c r="S20" t="str">
        <f ca="1">IFERROR(IF(Tabela2[[#This Row],[Item (Reference)]]="","",IF(Tabela2[[#This Row],[Shape]]="-",Tabela2[[#This Row],[Reference2]],Tabela2[[#This Row],[Reference3]])),"")</f>
        <v>Sleep, 2500|Send, {Down}|Send, 90/80|Send, {Tab}|Send, {Tab}|Send, {Tab}|Send, {Tab}|Send, SINDOFORM HF65Z-T2-EU|Send, {Tab}|Send, {Tab}|Send, {Tab}|Send, {Tab}|Send, {Tab}|Send, {Tab}|Send, {Tab}|Send, {Tab}|Send, {Tab}|Send, 39|Send, {Tab}|Send, {Tab}|Send, 43|Send, {F3}</v>
      </c>
      <c r="T20"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39|Send, {Tab}|Send, {Tab}|Send, 43|Send, {Tab}|Send, {Tab}|Send, {Tab}|Send, {Tab}|Send, {Tab}|Send, {Tab}|Send, |Send, {F3}</v>
      </c>
      <c r="U20" t="str">
        <f ca="1">IFERROR(IF(Tabela2[[#This Row],[State]]="Automatico",Tabela2[[#This Row],[Reference1]]&amp;"|"&amp;IF(Tabela2[[#This Row],[Material Code]]="",Tabela2[[#This Row],[Reference4]],Tabela2[[#This Row],[Reference5]]),""),"")</f>
        <v>Sleep, 2500|Send, ^{Left}|Send, 190|Send, ^{Right}|Send, MAT_KONFIG|Send, {Enter}|Sleep, 2500|Send, {Down}|Send, 90/80|Send, {Tab}|Send, {Tab}|Send, {Tab}|Send, {Tab}|Send, SINDOFORM HF65Z-T2-EU|Send, {Tab}|Send, {Tab}|Send, {Tab}|Send, {Tab}|Send, {Tab}|Send, {Tab}|Send, {Tab}|Send, {Tab}|Send, {Tab}|Send, 39|Send, {Tab}|Send, {Tab}|Send, 43|Send, {F3}</v>
      </c>
    </row>
    <row r="21" spans="1:21">
      <c r="A21" cm="1">
        <f t="array" ref="A21">IFERROR(IF(Tabela2[[#This Row],[State]]="Automatico",IF(Tabela2[[#This Row],[Shape]]="","",(ROW()-1)*10),INDEX(Tabela2[[#All],[Item (Reference)]],ROW()-1)),"")</f>
        <v>200</v>
      </c>
      <c r="B21" s="627">
        <f t="shared" si="0"/>
        <v>200</v>
      </c>
      <c r="C21"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1" s="627" t="str">
        <f>IFERROR(IF(Tabela2[[#This Row],[Shape]]="","Normal",IF(_xlfn.XLOOKUP(Tabela2[[#This Row],[Brand]],BRANDS[Brand],BRANDS[Brand Type])="","Normal",_xlfn.XLOOKUP(Tabela2[[#This Row],[Brand]],BRANDS[Brand],BRANDS[Brand Type]))),"")</f>
        <v>Normal</v>
      </c>
      <c r="E21" s="627" t="s">
        <v>2276</v>
      </c>
      <c r="F21" s="629" t="s">
        <v>2009</v>
      </c>
      <c r="G21" s="627">
        <v>82</v>
      </c>
      <c r="H21" s="630">
        <v>88</v>
      </c>
      <c r="I21">
        <f>IFERROR(IF(Tabela2[[#This Row],[Shape]]="","",IF(Tabela2[[#This Row],[Shape]]="-",Tabela2[[#This Row],[Qnt 1]]/1000,Tabela2[[#This Row],[Qnt 1]])),"")</f>
        <v>82</v>
      </c>
      <c r="J21">
        <f>IFERROR(IF(Tabela2[[#This Row],[Shape]]="","",IF(Tabela2[[#This Row],[Shape]]="-",Tabela2[[#This Row],[Qnt 2]]/1000,Tabela2[[#This Row],[Qnt 2]])),"")</f>
        <v>88</v>
      </c>
      <c r="K21" t="str" cm="1">
        <f t="array" aca="1" ref="K2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1" t="str" cm="1">
        <f t="array" aca="1" ref="L2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1" t="str">
        <f>_xlfn.XLOOKUP(Tabela2[[#This Row],[Shape]]&amp;Tabela2[[#This Row],[Brand]],Material_Code[Shape &amp; Brand],Material_Code[Material Code],"",0)</f>
        <v/>
      </c>
      <c r="N21">
        <f>IFERROR(IF(SAP_FINAL!$C$11="Office",2000,IF(SAP_FINAL!$C$11="VPN",3500,5000)),"")</f>
        <v>2000</v>
      </c>
      <c r="O21">
        <f>IFERROR(IF(SAP_FINAL!$C$11="Office",2500,IF(SAP_FINAL!$C$11="VPN",4000,5000)),"")</f>
        <v>2500</v>
      </c>
      <c r="P21" t="str" cm="1">
        <f t="array" ref="P2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200|Send, ^{Right}|Send, MAT_KONFIG|Send, {Enter}</v>
      </c>
      <c r="Q2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82|Send, {Tab}|Send, {Tab}|Send, 88|Send, {F3}</v>
      </c>
      <c r="R2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D252X4,5-3A30|Send, {Tab}|Send, {Tab}|Send, {Tab}|Send, {Tab}|Send, SINDOFORM K40-US|Send, {Tab}|Send, {Tab}|Send, {Tab}|Send, {Tab}|Send, {Tab}|Send, {Tab}|Send, {Tab}|Send, {Tab}|Send, {Tab}|Send, 82|Send, {Tab}|Send, {Tab}|Send, 88|Send, {F3}</v>
      </c>
      <c r="S21" t="str">
        <f ca="1">IFERROR(IF(Tabela2[[#This Row],[Item (Reference)]]="","",IF(Tabela2[[#This Row],[Shape]]="-",Tabela2[[#This Row],[Reference2]],Tabela2[[#This Row],[Reference3]])),"")</f>
        <v>Sleep, 2500|Send, {Down}|Send, D252X4,5-3A30|Send, {Tab}|Send, {Tab}|Send, {Tab}|Send, {Tab}|Send, SINDOFORM K40-US|Send, {Tab}|Send, {Tab}|Send, {Tab}|Send, {Tab}|Send, {Tab}|Send, {Tab}|Send, {Tab}|Send, {Tab}|Send, {Tab}|Send, 82|Send, {Tab}|Send, {Tab}|Send, 88|Send, {F3}</v>
      </c>
      <c r="T21"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82|Send, {Tab}|Send, {Tab}|Send, 88|Send, {Tab}|Send, {Tab}|Send, {Tab}|Send, {Tab}|Send, {Tab}|Send, {Tab}|Send, |Send, {F3}</v>
      </c>
      <c r="U21" t="str">
        <f ca="1">IFERROR(IF(Tabela2[[#This Row],[State]]="Automatico",Tabela2[[#This Row],[Reference1]]&amp;"|"&amp;IF(Tabela2[[#This Row],[Material Code]]="",Tabela2[[#This Row],[Reference4]],Tabela2[[#This Row],[Reference5]]),""),"")</f>
        <v>Sleep, 2500|Send, ^{Left}|Send, 200|Send, ^{Right}|Send, MAT_KONFIG|Send, {Enter}|Sleep, 2500|Send, {Down}|Send, D252X4,5-3A30|Send, {Tab}|Send, {Tab}|Send, {Tab}|Send, {Tab}|Send, SINDOFORM K40-US|Send, {Tab}|Send, {Tab}|Send, {Tab}|Send, {Tab}|Send, {Tab}|Send, {Tab}|Send, {Tab}|Send, {Tab}|Send, {Tab}|Send, 82|Send, {Tab}|Send, {Tab}|Send, 88|Send, {F3}</v>
      </c>
    </row>
    <row r="22" spans="1:21">
      <c r="A22" cm="1">
        <f t="array" ref="A22">IFERROR(IF(Tabela2[[#This Row],[State]]="Automatico",IF(Tabela2[[#This Row],[Shape]]="","",(ROW()-1)*10),INDEX(Tabela2[[#All],[Item (Reference)]],ROW()-1)),"")</f>
        <v>210</v>
      </c>
      <c r="B22" s="627">
        <f t="shared" si="0"/>
        <v>210</v>
      </c>
      <c r="C22"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2" s="627" t="str">
        <f>IFERROR(IF(Tabela2[[#This Row],[Shape]]="","Normal",IF(_xlfn.XLOOKUP(Tabela2[[#This Row],[Brand]],BRANDS[Brand],BRANDS[Brand Type])="","Normal",_xlfn.XLOOKUP(Tabela2[[#This Row],[Brand]],BRANDS[Brand],BRANDS[Brand Type]))),"")</f>
        <v>Normal</v>
      </c>
      <c r="E22" s="627" t="s">
        <v>2276</v>
      </c>
      <c r="F22" s="629" t="s">
        <v>2008</v>
      </c>
      <c r="G22" s="627">
        <v>1203</v>
      </c>
      <c r="H22" s="630">
        <v>1228</v>
      </c>
      <c r="I22">
        <f>IFERROR(IF(Tabela2[[#This Row],[Shape]]="","",IF(Tabela2[[#This Row],[Shape]]="-",Tabela2[[#This Row],[Qnt 1]]/1000,Tabela2[[#This Row],[Qnt 1]])),"")</f>
        <v>1203</v>
      </c>
      <c r="J22">
        <f>IFERROR(IF(Tabela2[[#This Row],[Shape]]="","",IF(Tabela2[[#This Row],[Shape]]="-",Tabela2[[#This Row],[Qnt 2]]/1000,Tabela2[[#This Row],[Qnt 2]])),"")</f>
        <v>1228</v>
      </c>
      <c r="K22" t="str" cm="1">
        <f t="array" aca="1" ref="K2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2" t="str" cm="1">
        <f t="array" aca="1" ref="L2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2" t="str">
        <f>_xlfn.XLOOKUP(Tabela2[[#This Row],[Shape]]&amp;Tabela2[[#This Row],[Brand]],Material_Code[Shape &amp; Brand],Material_Code[Material Code],"",0)</f>
        <v/>
      </c>
      <c r="N22">
        <f>IFERROR(IF(SAP_FINAL!$C$11="Office",2000,IF(SAP_FINAL!$C$11="VPN",3500,5000)),"")</f>
        <v>2000</v>
      </c>
      <c r="O22">
        <f>IFERROR(IF(SAP_FINAL!$C$11="Office",2500,IF(SAP_FINAL!$C$11="VPN",4000,5000)),"")</f>
        <v>2500</v>
      </c>
      <c r="P22" t="str" cm="1">
        <f t="array" ref="P2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210|Send, ^{Right}|Send, MAT_KONFIG|Send, {Enter}</v>
      </c>
      <c r="Q2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1203|Send, {Tab}|Send, {Tab}|Send, 1228|Send, {F3}</v>
      </c>
      <c r="R2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D252X4,5-4A30|Send, {Tab}|Send, {Tab}|Send, {Tab}|Send, {Tab}|Send, SINDOFORM K40-US|Send, {Tab}|Send, {Tab}|Send, {Tab}|Send, {Tab}|Send, {Tab}|Send, {Tab}|Send, {Tab}|Send, {Tab}|Send, {Tab}|Send, 1203|Send, {Tab}|Send, {Tab}|Send, 1228|Send, {F3}</v>
      </c>
      <c r="S22" t="str">
        <f ca="1">IFERROR(IF(Tabela2[[#This Row],[Item (Reference)]]="","",IF(Tabela2[[#This Row],[Shape]]="-",Tabela2[[#This Row],[Reference2]],Tabela2[[#This Row],[Reference3]])),"")</f>
        <v>Sleep, 2500|Send, {Down}|Send, D252X4,5-4A30|Send, {Tab}|Send, {Tab}|Send, {Tab}|Send, {Tab}|Send, SINDOFORM K40-US|Send, {Tab}|Send, {Tab}|Send, {Tab}|Send, {Tab}|Send, {Tab}|Send, {Tab}|Send, {Tab}|Send, {Tab}|Send, {Tab}|Send, 1203|Send, {Tab}|Send, {Tab}|Send, 1228|Send, {F3}</v>
      </c>
      <c r="T22"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1203|Send, {Tab}|Send, {Tab}|Send, 1228|Send, {Tab}|Send, {Tab}|Send, {Tab}|Send, {Tab}|Send, {Tab}|Send, {Tab}|Send, |Send, {F3}</v>
      </c>
      <c r="U22" t="str">
        <f ca="1">IFERROR(IF(Tabela2[[#This Row],[State]]="Automatico",Tabela2[[#This Row],[Reference1]]&amp;"|"&amp;IF(Tabela2[[#This Row],[Material Code]]="",Tabela2[[#This Row],[Reference4]],Tabela2[[#This Row],[Reference5]]),""),"")</f>
        <v>Sleep, 2500|Send, ^{Left}|Send, 210|Send, ^{Right}|Send, MAT_KONFIG|Send, {Enter}|Sleep, 2500|Send, {Down}|Send, D252X4,5-4A30|Send, {Tab}|Send, {Tab}|Send, {Tab}|Send, {Tab}|Send, SINDOFORM K40-US|Send, {Tab}|Send, {Tab}|Send, {Tab}|Send, {Tab}|Send, {Tab}|Send, {Tab}|Send, {Tab}|Send, {Tab}|Send, {Tab}|Send, 1203|Send, {Tab}|Send, {Tab}|Send, 1228|Send, {F3}</v>
      </c>
    </row>
    <row r="23" spans="1:21">
      <c r="A23" cm="1">
        <f t="array" ref="A23">IFERROR(IF(Tabela2[[#This Row],[State]]="Automatico",IF(Tabela2[[#This Row],[Shape]]="","",(ROW()-1)*10),INDEX(Tabela2[[#All],[Item (Reference)]],ROW()-1)),"")</f>
        <v>220</v>
      </c>
      <c r="B23" s="627">
        <f t="shared" si="0"/>
        <v>220</v>
      </c>
      <c r="C23"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3" s="627" t="str">
        <f>IFERROR(IF(Tabela2[[#This Row],[Shape]]="","Normal",IF(_xlfn.XLOOKUP(Tabela2[[#This Row],[Brand]],BRANDS[Brand],BRANDS[Brand Type])="","Normal",_xlfn.XLOOKUP(Tabela2[[#This Row],[Brand]],BRANDS[Brand],BRANDS[Brand Type]))),"")</f>
        <v>Normal</v>
      </c>
      <c r="E23" s="627" t="s">
        <v>2276</v>
      </c>
      <c r="F23" s="629" t="s">
        <v>2007</v>
      </c>
      <c r="G23" s="627">
        <v>43</v>
      </c>
      <c r="H23" s="630">
        <v>48</v>
      </c>
      <c r="I23">
        <f>IFERROR(IF(Tabela2[[#This Row],[Shape]]="","",IF(Tabela2[[#This Row],[Shape]]="-",Tabela2[[#This Row],[Qnt 1]]/1000,Tabela2[[#This Row],[Qnt 1]])),"")</f>
        <v>43</v>
      </c>
      <c r="J23">
        <f>IFERROR(IF(Tabela2[[#This Row],[Shape]]="","",IF(Tabela2[[#This Row],[Shape]]="-",Tabela2[[#This Row],[Qnt 2]]/1000,Tabela2[[#This Row],[Qnt 2]])),"")</f>
        <v>48</v>
      </c>
      <c r="K23" t="str" cm="1">
        <f t="array" aca="1" ref="K2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3" t="str" cm="1">
        <f t="array" aca="1" ref="L2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3" t="str">
        <f>_xlfn.XLOOKUP(Tabela2[[#This Row],[Shape]]&amp;Tabela2[[#This Row],[Brand]],Material_Code[Shape &amp; Brand],Material_Code[Material Code],"",0)</f>
        <v/>
      </c>
      <c r="N23">
        <f>IFERROR(IF(SAP_FINAL!$C$11="Office",2000,IF(SAP_FINAL!$C$11="VPN",3500,5000)),"")</f>
        <v>2000</v>
      </c>
      <c r="O23">
        <f>IFERROR(IF(SAP_FINAL!$C$11="Office",2500,IF(SAP_FINAL!$C$11="VPN",4000,5000)),"")</f>
        <v>2500</v>
      </c>
      <c r="P23" t="str" cm="1">
        <f t="array" ref="P2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220|Send, ^{Right}|Send, MAT_KONFIG|Send, {Enter}</v>
      </c>
      <c r="Q2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43|Send, {Tab}|Send, {Tab}|Send, 48|Send, {F3}</v>
      </c>
      <c r="R2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D252X4,5A30|Send, {Tab}|Send, {Tab}|Send, {Tab}|Send, {Tab}|Send, SINDOFORM K40-US|Send, {Tab}|Send, {Tab}|Send, {Tab}|Send, {Tab}|Send, {Tab}|Send, {Tab}|Send, {Tab}|Send, {Tab}|Send, {Tab}|Send, 43|Send, {Tab}|Send, {Tab}|Send, 48|Send, {F3}</v>
      </c>
      <c r="S23" t="str">
        <f ca="1">IFERROR(IF(Tabela2[[#This Row],[Item (Reference)]]="","",IF(Tabela2[[#This Row],[Shape]]="-",Tabela2[[#This Row],[Reference2]],Tabela2[[#This Row],[Reference3]])),"")</f>
        <v>Sleep, 2500|Send, {Down}|Send, D252X4,5A30|Send, {Tab}|Send, {Tab}|Send, {Tab}|Send, {Tab}|Send, SINDOFORM K40-US|Send, {Tab}|Send, {Tab}|Send, {Tab}|Send, {Tab}|Send, {Tab}|Send, {Tab}|Send, {Tab}|Send, {Tab}|Send, {Tab}|Send, 43|Send, {Tab}|Send, {Tab}|Send, 48|Send, {F3}</v>
      </c>
      <c r="T23"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43|Send, {Tab}|Send, {Tab}|Send, 48|Send, {Tab}|Send, {Tab}|Send, {Tab}|Send, {Tab}|Send, {Tab}|Send, {Tab}|Send, |Send, {F3}</v>
      </c>
      <c r="U23" t="str">
        <f ca="1">IFERROR(IF(Tabela2[[#This Row],[State]]="Automatico",Tabela2[[#This Row],[Reference1]]&amp;"|"&amp;IF(Tabela2[[#This Row],[Material Code]]="",Tabela2[[#This Row],[Reference4]],Tabela2[[#This Row],[Reference5]]),""),"")</f>
        <v>Sleep, 2500|Send, ^{Left}|Send, 220|Send, ^{Right}|Send, MAT_KONFIG|Send, {Enter}|Sleep, 2500|Send, {Down}|Send, D252X4,5A30|Send, {Tab}|Send, {Tab}|Send, {Tab}|Send, {Tab}|Send, SINDOFORM K40-US|Send, {Tab}|Send, {Tab}|Send, {Tab}|Send, {Tab}|Send, {Tab}|Send, {Tab}|Send, {Tab}|Send, {Tab}|Send, {Tab}|Send, 43|Send, {Tab}|Send, {Tab}|Send, 48|Send, {F3}</v>
      </c>
    </row>
    <row r="24" spans="1:21">
      <c r="A24" cm="1">
        <f t="array" ref="A24">IFERROR(IF(Tabela2[[#This Row],[State]]="Automatico",IF(Tabela2[[#This Row],[Shape]]="","",(ROW()-1)*10),INDEX(Tabela2[[#All],[Item (Reference)]],ROW()-1)),"")</f>
        <v>230</v>
      </c>
      <c r="B24" s="627">
        <f t="shared" si="0"/>
        <v>230</v>
      </c>
      <c r="C24"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4" s="627" t="str">
        <f>IFERROR(IF(Tabela2[[#This Row],[Shape]]="","Normal",IF(_xlfn.XLOOKUP(Tabela2[[#This Row],[Brand]],BRANDS[Brand],BRANDS[Brand Type])="","Normal",_xlfn.XLOOKUP(Tabela2[[#This Row],[Brand]],BRANDS[Brand],BRANDS[Brand Type]))),"")</f>
        <v>Normal</v>
      </c>
      <c r="E24" s="627" t="s">
        <v>2276</v>
      </c>
      <c r="F24" s="629" t="s">
        <v>1982</v>
      </c>
      <c r="G24" s="627">
        <v>280</v>
      </c>
      <c r="H24" s="630">
        <v>294</v>
      </c>
      <c r="I24">
        <f>IFERROR(IF(Tabela2[[#This Row],[Shape]]="","",IF(Tabela2[[#This Row],[Shape]]="-",Tabela2[[#This Row],[Qnt 1]]/1000,Tabela2[[#This Row],[Qnt 1]])),"")</f>
        <v>280</v>
      </c>
      <c r="J24">
        <f>IFERROR(IF(Tabela2[[#This Row],[Shape]]="","",IF(Tabela2[[#This Row],[Shape]]="-",Tabela2[[#This Row],[Qnt 2]]/1000,Tabela2[[#This Row],[Qnt 2]])),"")</f>
        <v>294</v>
      </c>
      <c r="K24" t="str" cm="1">
        <f t="array" aca="1" ref="K2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4" t="str" cm="1">
        <f t="array" aca="1" ref="L2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4" t="str">
        <f>_xlfn.XLOOKUP(Tabela2[[#This Row],[Shape]]&amp;Tabela2[[#This Row],[Brand]],Material_Code[Shape &amp; Brand],Material_Code[Material Code],"",0)</f>
        <v/>
      </c>
      <c r="N24">
        <f>IFERROR(IF(SAP_FINAL!$C$11="Office",2000,IF(SAP_FINAL!$C$11="VPN",3500,5000)),"")</f>
        <v>2000</v>
      </c>
      <c r="O24">
        <f>IFERROR(IF(SAP_FINAL!$C$11="Office",2500,IF(SAP_FINAL!$C$11="VPN",4000,5000)),"")</f>
        <v>2500</v>
      </c>
      <c r="P24" t="str" cm="1">
        <f t="array" ref="P2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230|Send, ^{Right}|Send, MAT_KONFIG|Send, {Enter}</v>
      </c>
      <c r="Q2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280|Send, {Tab}|Send, {Tab}|Send, 294|Send, {F3}</v>
      </c>
      <c r="R2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K12X6-51/2X100|Send, {Tab}|Send, {Tab}|Send, {Tab}|Send, {Tab}|Send, SINDOFORM K40-US|Send, {Tab}|Send, {Tab}|Send, {Tab}|Send, {Tab}|Send, {Tab}|Send, {Tab}|Send, {Tab}|Send, {Tab}|Send, {Tab}|Send, 280|Send, {Tab}|Send, {Tab}|Send, 294|Send, {F3}</v>
      </c>
      <c r="S24" t="str">
        <f ca="1">IFERROR(IF(Tabela2[[#This Row],[Item (Reference)]]="","",IF(Tabela2[[#This Row],[Shape]]="-",Tabela2[[#This Row],[Reference2]],Tabela2[[#This Row],[Reference3]])),"")</f>
        <v>Sleep, 2500|Send, {Down}|Send, K12X6-51/2X100|Send, {Tab}|Send, {Tab}|Send, {Tab}|Send, {Tab}|Send, SINDOFORM K40-US|Send, {Tab}|Send, {Tab}|Send, {Tab}|Send, {Tab}|Send, {Tab}|Send, {Tab}|Send, {Tab}|Send, {Tab}|Send, {Tab}|Send, 280|Send, {Tab}|Send, {Tab}|Send, 294|Send, {F3}</v>
      </c>
      <c r="T24"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280|Send, {Tab}|Send, {Tab}|Send, 294|Send, {Tab}|Send, {Tab}|Send, {Tab}|Send, {Tab}|Send, {Tab}|Send, {Tab}|Send, |Send, {F3}</v>
      </c>
      <c r="U24" t="str">
        <f ca="1">IFERROR(IF(Tabela2[[#This Row],[State]]="Automatico",Tabela2[[#This Row],[Reference1]]&amp;"|"&amp;IF(Tabela2[[#This Row],[Material Code]]="",Tabela2[[#This Row],[Reference4]],Tabela2[[#This Row],[Reference5]]),""),"")</f>
        <v>Sleep, 2500|Send, ^{Left}|Send, 230|Send, ^{Right}|Send, MAT_KONFIG|Send, {Enter}|Sleep, 2500|Send, {Down}|Send, K12X6-51/2X100|Send, {Tab}|Send, {Tab}|Send, {Tab}|Send, {Tab}|Send, SINDOFORM K40-US|Send, {Tab}|Send, {Tab}|Send, {Tab}|Send, {Tab}|Send, {Tab}|Send, {Tab}|Send, {Tab}|Send, {Tab}|Send, {Tab}|Send, 280|Send, {Tab}|Send, {Tab}|Send, 294|Send, {F3}</v>
      </c>
    </row>
    <row r="25" spans="1:21">
      <c r="A25" cm="1">
        <f t="array" ref="A25">IFERROR(IF(Tabela2[[#This Row],[State]]="Automatico",IF(Tabela2[[#This Row],[Shape]]="","",(ROW()-1)*10),INDEX(Tabela2[[#All],[Item (Reference)]],ROW()-1)),"")</f>
        <v>240</v>
      </c>
      <c r="B25" s="627">
        <f t="shared" si="0"/>
        <v>240</v>
      </c>
      <c r="C25"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5" s="627" t="str">
        <f>IFERROR(IF(Tabela2[[#This Row],[Shape]]="","Normal",IF(_xlfn.XLOOKUP(Tabela2[[#This Row],[Brand]],BRANDS[Brand],BRANDS[Brand Type])="","Normal",_xlfn.XLOOKUP(Tabela2[[#This Row],[Brand]],BRANDS[Brand],BRANDS[Brand Type]))),"")</f>
        <v>Normal</v>
      </c>
      <c r="E25" s="627" t="s">
        <v>2276</v>
      </c>
      <c r="F25" s="629" t="s">
        <v>1983</v>
      </c>
      <c r="G25" s="627">
        <v>734</v>
      </c>
      <c r="H25" s="630">
        <v>756</v>
      </c>
      <c r="I25">
        <f>IFERROR(IF(Tabela2[[#This Row],[Shape]]="","",IF(Tabela2[[#This Row],[Shape]]="-",Tabela2[[#This Row],[Qnt 1]]/1000,Tabela2[[#This Row],[Qnt 1]])),"")</f>
        <v>734</v>
      </c>
      <c r="J25">
        <f>IFERROR(IF(Tabela2[[#This Row],[Shape]]="","",IF(Tabela2[[#This Row],[Shape]]="-",Tabela2[[#This Row],[Qnt 2]]/1000,Tabela2[[#This Row],[Qnt 2]])),"")</f>
        <v>756</v>
      </c>
      <c r="K25" t="str" cm="1">
        <f t="array" aca="1" ref="K2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5" t="str" cm="1">
        <f t="array" aca="1" ref="L2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5" t="str">
        <f>_xlfn.XLOOKUP(Tabela2[[#This Row],[Shape]]&amp;Tabela2[[#This Row],[Brand]],Material_Code[Shape &amp; Brand],Material_Code[Material Code],"",0)</f>
        <v/>
      </c>
      <c r="N25">
        <f>IFERROR(IF(SAP_FINAL!$C$11="Office",2000,IF(SAP_FINAL!$C$11="VPN",3500,5000)),"")</f>
        <v>2000</v>
      </c>
      <c r="O25">
        <f>IFERROR(IF(SAP_FINAL!$C$11="Office",2500,IF(SAP_FINAL!$C$11="VPN",4000,5000)),"")</f>
        <v>2500</v>
      </c>
      <c r="P25" t="str" cm="1">
        <f t="array" ref="P2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240|Send, ^{Right}|Send, MAT_KONFIG|Send, {Enter}</v>
      </c>
      <c r="Q2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734|Send, {Tab}|Send, {Tab}|Send, 756|Send, {F3}</v>
      </c>
      <c r="R2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K12X6-5X100|Send, {Tab}|Send, {Tab}|Send, {Tab}|Send, {Tab}|Send, SINDOFORM K40-US|Send, {Tab}|Send, {Tab}|Send, {Tab}|Send, {Tab}|Send, {Tab}|Send, {Tab}|Send, {Tab}|Send, {Tab}|Send, {Tab}|Send, 734|Send, {Tab}|Send, {Tab}|Send, 756|Send, {F3}</v>
      </c>
      <c r="S25" t="str">
        <f ca="1">IFERROR(IF(Tabela2[[#This Row],[Item (Reference)]]="","",IF(Tabela2[[#This Row],[Shape]]="-",Tabela2[[#This Row],[Reference2]],Tabela2[[#This Row],[Reference3]])),"")</f>
        <v>Sleep, 2500|Send, {Down}|Send, K12X6-5X100|Send, {Tab}|Send, {Tab}|Send, {Tab}|Send, {Tab}|Send, SINDOFORM K40-US|Send, {Tab}|Send, {Tab}|Send, {Tab}|Send, {Tab}|Send, {Tab}|Send, {Tab}|Send, {Tab}|Send, {Tab}|Send, {Tab}|Send, 734|Send, {Tab}|Send, {Tab}|Send, 756|Send, {F3}</v>
      </c>
      <c r="T25"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734|Send, {Tab}|Send, {Tab}|Send, 756|Send, {Tab}|Send, {Tab}|Send, {Tab}|Send, {Tab}|Send, {Tab}|Send, {Tab}|Send, |Send, {F3}</v>
      </c>
      <c r="U25" t="str">
        <f ca="1">IFERROR(IF(Tabela2[[#This Row],[State]]="Automatico",Tabela2[[#This Row],[Reference1]]&amp;"|"&amp;IF(Tabela2[[#This Row],[Material Code]]="",Tabela2[[#This Row],[Reference4]],Tabela2[[#This Row],[Reference5]]),""),"")</f>
        <v>Sleep, 2500|Send, ^{Left}|Send, 240|Send, ^{Right}|Send, MAT_KONFIG|Send, {Enter}|Sleep, 2500|Send, {Down}|Send, K12X6-5X100|Send, {Tab}|Send, {Tab}|Send, {Tab}|Send, {Tab}|Send, SINDOFORM K40-US|Send, {Tab}|Send, {Tab}|Send, {Tab}|Send, {Tab}|Send, {Tab}|Send, {Tab}|Send, {Tab}|Send, {Tab}|Send, {Tab}|Send, 734|Send, {Tab}|Send, {Tab}|Send, 756|Send, {F3}</v>
      </c>
    </row>
    <row r="26" spans="1:21">
      <c r="A26" cm="1">
        <f t="array" ref="A26">IFERROR(IF(Tabela2[[#This Row],[State]]="Automatico",IF(Tabela2[[#This Row],[Shape]]="","",(ROW()-1)*10),INDEX(Tabela2[[#All],[Item (Reference)]],ROW()-1)),"")</f>
        <v>250</v>
      </c>
      <c r="B26" s="627">
        <f t="shared" si="0"/>
        <v>250</v>
      </c>
      <c r="C26"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6" s="627" t="str">
        <f>IFERROR(IF(Tabela2[[#This Row],[Shape]]="","Normal",IF(_xlfn.XLOOKUP(Tabela2[[#This Row],[Brand]],BRANDS[Brand],BRANDS[Brand Type])="","Normal",_xlfn.XLOOKUP(Tabela2[[#This Row],[Brand]],BRANDS[Brand],BRANDS[Brand Type]))),"")</f>
        <v>Normal</v>
      </c>
      <c r="E26" s="627" t="s">
        <v>2276</v>
      </c>
      <c r="F26" s="629" t="s">
        <v>1991</v>
      </c>
      <c r="G26" s="627">
        <v>26</v>
      </c>
      <c r="H26" s="630">
        <v>29</v>
      </c>
      <c r="I26">
        <f>IFERROR(IF(Tabela2[[#This Row],[Shape]]="","",IF(Tabela2[[#This Row],[Shape]]="-",Tabela2[[#This Row],[Qnt 1]]/1000,Tabela2[[#This Row],[Qnt 1]])),"")</f>
        <v>26</v>
      </c>
      <c r="J26">
        <f>IFERROR(IF(Tabela2[[#This Row],[Shape]]="","",IF(Tabela2[[#This Row],[Shape]]="-",Tabela2[[#This Row],[Qnt 2]]/1000,Tabela2[[#This Row],[Qnt 2]])),"")</f>
        <v>29</v>
      </c>
      <c r="K26" t="str" cm="1">
        <f t="array" aca="1" ref="K2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6" t="str" cm="1">
        <f t="array" aca="1" ref="L2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6" t="str">
        <f>_xlfn.XLOOKUP(Tabela2[[#This Row],[Shape]]&amp;Tabela2[[#This Row],[Brand]],Material_Code[Shape &amp; Brand],Material_Code[Material Code],"",0)</f>
        <v/>
      </c>
      <c r="N26">
        <f>IFERROR(IF(SAP_FINAL!$C$11="Office",2000,IF(SAP_FINAL!$C$11="VPN",3500,5000)),"")</f>
        <v>2000</v>
      </c>
      <c r="O26">
        <f>IFERROR(IF(SAP_FINAL!$C$11="Office",2500,IF(SAP_FINAL!$C$11="VPN",4000,5000)),"")</f>
        <v>2500</v>
      </c>
      <c r="P26" t="str" cm="1">
        <f t="array" ref="P2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250|Send, ^{Right}|Send, MAT_KONFIG|Send, {Enter}</v>
      </c>
      <c r="Q2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26|Send, {Tab}|Send, {Tab}|Send, 29|Send, {F3}</v>
      </c>
      <c r="R2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K15X6-4X100|Send, {Tab}|Send, {Tab}|Send, {Tab}|Send, {Tab}|Send, SINDOFORM K40-US|Send, {Tab}|Send, {Tab}|Send, {Tab}|Send, {Tab}|Send, {Tab}|Send, {Tab}|Send, {Tab}|Send, {Tab}|Send, {Tab}|Send, 26|Send, {Tab}|Send, {Tab}|Send, 29|Send, {F3}</v>
      </c>
      <c r="S26" t="str">
        <f ca="1">IFERROR(IF(Tabela2[[#This Row],[Item (Reference)]]="","",IF(Tabela2[[#This Row],[Shape]]="-",Tabela2[[#This Row],[Reference2]],Tabela2[[#This Row],[Reference3]])),"")</f>
        <v>Sleep, 2500|Send, {Down}|Send, K15X6-4X100|Send, {Tab}|Send, {Tab}|Send, {Tab}|Send, {Tab}|Send, SINDOFORM K40-US|Send, {Tab}|Send, {Tab}|Send, {Tab}|Send, {Tab}|Send, {Tab}|Send, {Tab}|Send, {Tab}|Send, {Tab}|Send, {Tab}|Send, 26|Send, {Tab}|Send, {Tab}|Send, 29|Send, {F3}</v>
      </c>
      <c r="T26"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26|Send, {Tab}|Send, {Tab}|Send, 29|Send, {Tab}|Send, {Tab}|Send, {Tab}|Send, {Tab}|Send, {Tab}|Send, {Tab}|Send, |Send, {F3}</v>
      </c>
      <c r="U26" t="str">
        <f ca="1">IFERROR(IF(Tabela2[[#This Row],[State]]="Automatico",Tabela2[[#This Row],[Reference1]]&amp;"|"&amp;IF(Tabela2[[#This Row],[Material Code]]="",Tabela2[[#This Row],[Reference4]],Tabela2[[#This Row],[Reference5]]),""),"")</f>
        <v>Sleep, 2500|Send, ^{Left}|Send, 250|Send, ^{Right}|Send, MAT_KONFIG|Send, {Enter}|Sleep, 2500|Send, {Down}|Send, K15X6-4X100|Send, {Tab}|Send, {Tab}|Send, {Tab}|Send, {Tab}|Send, SINDOFORM K40-US|Send, {Tab}|Send, {Tab}|Send, {Tab}|Send, {Tab}|Send, {Tab}|Send, {Tab}|Send, {Tab}|Send, {Tab}|Send, {Tab}|Send, 26|Send, {Tab}|Send, {Tab}|Send, 29|Send, {F3}</v>
      </c>
    </row>
    <row r="27" spans="1:21">
      <c r="A27" cm="1">
        <f t="array" ref="A27">IFERROR(IF(Tabela2[[#This Row],[State]]="Automatico",IF(Tabela2[[#This Row],[Shape]]="","",(ROW()-1)*10),INDEX(Tabela2[[#All],[Item (Reference)]],ROW()-1)),"")</f>
        <v>260</v>
      </c>
      <c r="B27" s="627">
        <f t="shared" si="0"/>
        <v>260</v>
      </c>
      <c r="C27"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7" s="627" t="str">
        <f>IFERROR(IF(Tabela2[[#This Row],[Shape]]="","Normal",IF(_xlfn.XLOOKUP(Tabela2[[#This Row],[Brand]],BRANDS[Brand],BRANDS[Brand Type])="","Normal",_xlfn.XLOOKUP(Tabela2[[#This Row],[Brand]],BRANDS[Brand],BRANDS[Brand Type]))),"")</f>
        <v>Normal</v>
      </c>
      <c r="E27" s="627" t="s">
        <v>2276</v>
      </c>
      <c r="F27" s="629" t="s">
        <v>1990</v>
      </c>
      <c r="G27" s="627">
        <v>296</v>
      </c>
      <c r="H27" s="630">
        <v>311</v>
      </c>
      <c r="I27">
        <f>IFERROR(IF(Tabela2[[#This Row],[Shape]]="","",IF(Tabela2[[#This Row],[Shape]]="-",Tabela2[[#This Row],[Qnt 1]]/1000,Tabela2[[#This Row],[Qnt 1]])),"")</f>
        <v>296</v>
      </c>
      <c r="J27">
        <f>IFERROR(IF(Tabela2[[#This Row],[Shape]]="","",IF(Tabela2[[#This Row],[Shape]]="-",Tabela2[[#This Row],[Qnt 2]]/1000,Tabela2[[#This Row],[Qnt 2]])),"")</f>
        <v>311</v>
      </c>
      <c r="K27" t="str" cm="1">
        <f t="array" aca="1" ref="K2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7" t="str" cm="1">
        <f t="array" aca="1" ref="L2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7" t="str">
        <f>_xlfn.XLOOKUP(Tabela2[[#This Row],[Shape]]&amp;Tabela2[[#This Row],[Brand]],Material_Code[Shape &amp; Brand],Material_Code[Material Code],"",0)</f>
        <v/>
      </c>
      <c r="N27">
        <f>IFERROR(IF(SAP_FINAL!$C$11="Office",2000,IF(SAP_FINAL!$C$11="VPN",3500,5000)),"")</f>
        <v>2000</v>
      </c>
      <c r="O27">
        <f>IFERROR(IF(SAP_FINAL!$C$11="Office",2500,IF(SAP_FINAL!$C$11="VPN",4000,5000)),"")</f>
        <v>2500</v>
      </c>
      <c r="P27" t="str" cm="1">
        <f t="array" ref="P2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260|Send, ^{Right}|Send, MAT_KONFIG|Send, {Enter}</v>
      </c>
      <c r="Q2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296|Send, {Tab}|Send, {Tab}|Send, 311|Send, {F3}</v>
      </c>
      <c r="R2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K15X6-5X100|Send, {Tab}|Send, {Tab}|Send, {Tab}|Send, {Tab}|Send, SINDOFORM K40-US|Send, {Tab}|Send, {Tab}|Send, {Tab}|Send, {Tab}|Send, {Tab}|Send, {Tab}|Send, {Tab}|Send, {Tab}|Send, {Tab}|Send, 296|Send, {Tab}|Send, {Tab}|Send, 311|Send, {F3}</v>
      </c>
      <c r="S27" t="str">
        <f ca="1">IFERROR(IF(Tabela2[[#This Row],[Item (Reference)]]="","",IF(Tabela2[[#This Row],[Shape]]="-",Tabela2[[#This Row],[Reference2]],Tabela2[[#This Row],[Reference3]])),"")</f>
        <v>Sleep, 2500|Send, {Down}|Send, K15X6-5X100|Send, {Tab}|Send, {Tab}|Send, {Tab}|Send, {Tab}|Send, SINDOFORM K40-US|Send, {Tab}|Send, {Tab}|Send, {Tab}|Send, {Tab}|Send, {Tab}|Send, {Tab}|Send, {Tab}|Send, {Tab}|Send, {Tab}|Send, 296|Send, {Tab}|Send, {Tab}|Send, 311|Send, {F3}</v>
      </c>
      <c r="T27"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296|Send, {Tab}|Send, {Tab}|Send, 311|Send, {Tab}|Send, {Tab}|Send, {Tab}|Send, {Tab}|Send, {Tab}|Send, {Tab}|Send, |Send, {F3}</v>
      </c>
      <c r="U27" t="str">
        <f ca="1">IFERROR(IF(Tabela2[[#This Row],[State]]="Automatico",Tabela2[[#This Row],[Reference1]]&amp;"|"&amp;IF(Tabela2[[#This Row],[Material Code]]="",Tabela2[[#This Row],[Reference4]],Tabela2[[#This Row],[Reference5]]),""),"")</f>
        <v>Sleep, 2500|Send, ^{Left}|Send, 260|Send, ^{Right}|Send, MAT_KONFIG|Send, {Enter}|Sleep, 2500|Send, {Down}|Send, K15X6-5X100|Send, {Tab}|Send, {Tab}|Send, {Tab}|Send, {Tab}|Send, SINDOFORM K40-US|Send, {Tab}|Send, {Tab}|Send, {Tab}|Send, {Tab}|Send, {Tab}|Send, {Tab}|Send, {Tab}|Send, {Tab}|Send, {Tab}|Send, 296|Send, {Tab}|Send, {Tab}|Send, 311|Send, {F3}</v>
      </c>
    </row>
    <row r="28" spans="1:21">
      <c r="A28" cm="1">
        <f t="array" ref="A28">IFERROR(IF(Tabela2[[#This Row],[State]]="Automatico",IF(Tabela2[[#This Row],[Shape]]="","",(ROW()-1)*10),INDEX(Tabela2[[#All],[Item (Reference)]],ROW()-1)),"")</f>
        <v>270</v>
      </c>
      <c r="B28" s="627">
        <f t="shared" si="0"/>
        <v>270</v>
      </c>
      <c r="C28"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8" s="627" t="str">
        <f>IFERROR(IF(Tabela2[[#This Row],[Shape]]="","Normal",IF(_xlfn.XLOOKUP(Tabela2[[#This Row],[Brand]],BRANDS[Brand],BRANDS[Brand Type])="","Normal",_xlfn.XLOOKUP(Tabela2[[#This Row],[Brand]],BRANDS[Brand],BRANDS[Brand Type]))),"")</f>
        <v>Normal</v>
      </c>
      <c r="E28" s="627" t="s">
        <v>2276</v>
      </c>
      <c r="F28" s="629" t="s">
        <v>1995</v>
      </c>
      <c r="G28" s="627">
        <v>122</v>
      </c>
      <c r="H28" s="630">
        <v>131</v>
      </c>
      <c r="I28">
        <f>IFERROR(IF(Tabela2[[#This Row],[Shape]]="","",IF(Tabela2[[#This Row],[Shape]]="-",Tabela2[[#This Row],[Qnt 1]]/1000,Tabela2[[#This Row],[Qnt 1]])),"")</f>
        <v>122</v>
      </c>
      <c r="J28">
        <f>IFERROR(IF(Tabela2[[#This Row],[Shape]]="","",IF(Tabela2[[#This Row],[Shape]]="-",Tabela2[[#This Row],[Qnt 2]]/1000,Tabela2[[#This Row],[Qnt 2]])),"")</f>
        <v>131</v>
      </c>
      <c r="K28" t="str" cm="1">
        <f t="array" aca="1" ref="K2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8" t="str" cm="1">
        <f t="array" aca="1" ref="L2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8" t="str">
        <f>_xlfn.XLOOKUP(Tabela2[[#This Row],[Shape]]&amp;Tabela2[[#This Row],[Brand]],Material_Code[Shape &amp; Brand],Material_Code[Material Code],"",0)</f>
        <v/>
      </c>
      <c r="N28">
        <f>IFERROR(IF(SAP_FINAL!$C$11="Office",2000,IF(SAP_FINAL!$C$11="VPN",3500,5000)),"")</f>
        <v>2000</v>
      </c>
      <c r="O28">
        <f>IFERROR(IF(SAP_FINAL!$C$11="Office",2500,IF(SAP_FINAL!$C$11="VPN",4000,5000)),"")</f>
        <v>2500</v>
      </c>
      <c r="P28" t="str" cm="1">
        <f t="array" ref="P2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270|Send, ^{Right}|Send, MAT_KONFIG|Send, {Enter}</v>
      </c>
      <c r="Q2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122|Send, {Tab}|Send, {Tab}|Send, 131|Send, {F3}</v>
      </c>
      <c r="R2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K18X6-4X100|Send, {Tab}|Send, {Tab}|Send, {Tab}|Send, {Tab}|Send, SINDOFORM K40-US|Send, {Tab}|Send, {Tab}|Send, {Tab}|Send, {Tab}|Send, {Tab}|Send, {Tab}|Send, {Tab}|Send, {Tab}|Send, {Tab}|Send, 122|Send, {Tab}|Send, {Tab}|Send, 131|Send, {F3}</v>
      </c>
      <c r="S28" t="str">
        <f ca="1">IFERROR(IF(Tabela2[[#This Row],[Item (Reference)]]="","",IF(Tabela2[[#This Row],[Shape]]="-",Tabela2[[#This Row],[Reference2]],Tabela2[[#This Row],[Reference3]])),"")</f>
        <v>Sleep, 2500|Send, {Down}|Send, K18X6-4X100|Send, {Tab}|Send, {Tab}|Send, {Tab}|Send, {Tab}|Send, SINDOFORM K40-US|Send, {Tab}|Send, {Tab}|Send, {Tab}|Send, {Tab}|Send, {Tab}|Send, {Tab}|Send, {Tab}|Send, {Tab}|Send, {Tab}|Send, 122|Send, {Tab}|Send, {Tab}|Send, 131|Send, {F3}</v>
      </c>
      <c r="T28"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122|Send, {Tab}|Send, {Tab}|Send, 131|Send, {Tab}|Send, {Tab}|Send, {Tab}|Send, {Tab}|Send, {Tab}|Send, {Tab}|Send, |Send, {F3}</v>
      </c>
      <c r="U28" t="str">
        <f ca="1">IFERROR(IF(Tabela2[[#This Row],[State]]="Automatico",Tabela2[[#This Row],[Reference1]]&amp;"|"&amp;IF(Tabela2[[#This Row],[Material Code]]="",Tabela2[[#This Row],[Reference4]],Tabela2[[#This Row],[Reference5]]),""),"")</f>
        <v>Sleep, 2500|Send, ^{Left}|Send, 270|Send, ^{Right}|Send, MAT_KONFIG|Send, {Enter}|Sleep, 2500|Send, {Down}|Send, K18X6-4X100|Send, {Tab}|Send, {Tab}|Send, {Tab}|Send, {Tab}|Send, SINDOFORM K40-US|Send, {Tab}|Send, {Tab}|Send, {Tab}|Send, {Tab}|Send, {Tab}|Send, {Tab}|Send, {Tab}|Send, {Tab}|Send, {Tab}|Send, 122|Send, {Tab}|Send, {Tab}|Send, 131|Send, {F3}</v>
      </c>
    </row>
    <row r="29" spans="1:21">
      <c r="A29" cm="1">
        <f t="array" ref="A29">IFERROR(IF(Tabela2[[#This Row],[State]]="Automatico",IF(Tabela2[[#This Row],[Shape]]="","",(ROW()-1)*10),INDEX(Tabela2[[#All],[Item (Reference)]],ROW()-1)),"")</f>
        <v>280</v>
      </c>
      <c r="B29" s="627">
        <f t="shared" si="0"/>
        <v>280</v>
      </c>
      <c r="C29"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29" s="627" t="str">
        <f>IFERROR(IF(Tabela2[[#This Row],[Shape]]="","Normal",IF(_xlfn.XLOOKUP(Tabela2[[#This Row],[Brand]],BRANDS[Brand],BRANDS[Brand Type])="","Normal",_xlfn.XLOOKUP(Tabela2[[#This Row],[Brand]],BRANDS[Brand],BRANDS[Brand Type]))),"")</f>
        <v>Normal</v>
      </c>
      <c r="E29" s="627" t="s">
        <v>2276</v>
      </c>
      <c r="F29" s="629" t="s">
        <v>1994</v>
      </c>
      <c r="G29" s="627">
        <v>276</v>
      </c>
      <c r="H29" s="630">
        <v>290</v>
      </c>
      <c r="I29">
        <f>IFERROR(IF(Tabela2[[#This Row],[Shape]]="","",IF(Tabela2[[#This Row],[Shape]]="-",Tabela2[[#This Row],[Qnt 1]]/1000,Tabela2[[#This Row],[Qnt 1]])),"")</f>
        <v>276</v>
      </c>
      <c r="J29">
        <f>IFERROR(IF(Tabela2[[#This Row],[Shape]]="","",IF(Tabela2[[#This Row],[Shape]]="-",Tabela2[[#This Row],[Qnt 2]]/1000,Tabela2[[#This Row],[Qnt 2]])),"")</f>
        <v>290</v>
      </c>
      <c r="K29" t="str" cm="1">
        <f t="array" aca="1" ref="K2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K40-US</v>
      </c>
      <c r="L29" t="str" cm="1">
        <f t="array" aca="1" ref="L2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29" t="str">
        <f>_xlfn.XLOOKUP(Tabela2[[#This Row],[Shape]]&amp;Tabela2[[#This Row],[Brand]],Material_Code[Shape &amp; Brand],Material_Code[Material Code],"",0)</f>
        <v/>
      </c>
      <c r="N29">
        <f>IFERROR(IF(SAP_FINAL!$C$11="Office",2000,IF(SAP_FINAL!$C$11="VPN",3500,5000)),"")</f>
        <v>2000</v>
      </c>
      <c r="O29">
        <f>IFERROR(IF(SAP_FINAL!$C$11="Office",2500,IF(SAP_FINAL!$C$11="VPN",4000,5000)),"")</f>
        <v>2500</v>
      </c>
      <c r="P29" t="str" cm="1">
        <f t="array" ref="P2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280|Send, ^{Right}|Send, MAT_KONFIG|Send, {Enter}</v>
      </c>
      <c r="Q29"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K40-US|Send, {Tab}|Send, {Tab}|Send, {Tab}|Send, {Tab}|Send, {Tab}|Send, {Tab}|Send, {Tab}|Send, {Tab}|Send, {Tab}|Send, 276|Send, {Tab}|Send, {Tab}|Send, 290|Send, {F3}</v>
      </c>
      <c r="R29"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K18X6-5X100|Send, {Tab}|Send, {Tab}|Send, {Tab}|Send, {Tab}|Send, SINDOFORM K40-US|Send, {Tab}|Send, {Tab}|Send, {Tab}|Send, {Tab}|Send, {Tab}|Send, {Tab}|Send, {Tab}|Send, {Tab}|Send, {Tab}|Send, 276|Send, {Tab}|Send, {Tab}|Send, 290|Send, {F3}</v>
      </c>
      <c r="S29" t="str">
        <f ca="1">IFERROR(IF(Tabela2[[#This Row],[Item (Reference)]]="","",IF(Tabela2[[#This Row],[Shape]]="-",Tabela2[[#This Row],[Reference2]],Tabela2[[#This Row],[Reference3]])),"")</f>
        <v>Sleep, 2500|Send, {Down}|Send, K18X6-5X100|Send, {Tab}|Send, {Tab}|Send, {Tab}|Send, {Tab}|Send, SINDOFORM K40-US|Send, {Tab}|Send, {Tab}|Send, {Tab}|Send, {Tab}|Send, {Tab}|Send, {Tab}|Send, {Tab}|Send, {Tab}|Send, {Tab}|Send, 276|Send, {Tab}|Send, {Tab}|Send, 290|Send, {F3}</v>
      </c>
      <c r="T29"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276|Send, {Tab}|Send, {Tab}|Send, 290|Send, {Tab}|Send, {Tab}|Send, {Tab}|Send, {Tab}|Send, {Tab}|Send, {Tab}|Send, |Send, {F3}</v>
      </c>
      <c r="U29" t="str">
        <f ca="1">IFERROR(IF(Tabela2[[#This Row],[State]]="Automatico",Tabela2[[#This Row],[Reference1]]&amp;"|"&amp;IF(Tabela2[[#This Row],[Material Code]]="",Tabela2[[#This Row],[Reference4]],Tabela2[[#This Row],[Reference5]]),""),"")</f>
        <v>Sleep, 2500|Send, ^{Left}|Send, 280|Send, ^{Right}|Send, MAT_KONFIG|Send, {Enter}|Sleep, 2500|Send, {Down}|Send, K18X6-5X100|Send, {Tab}|Send, {Tab}|Send, {Tab}|Send, {Tab}|Send, SINDOFORM K40-US|Send, {Tab}|Send, {Tab}|Send, {Tab}|Send, {Tab}|Send, {Tab}|Send, {Tab}|Send, {Tab}|Send, {Tab}|Send, {Tab}|Send, 276|Send, {Tab}|Send, {Tab}|Send, 290|Send, {F3}</v>
      </c>
    </row>
    <row r="30" spans="1:21">
      <c r="A30" cm="1">
        <f t="array" ref="A30">IFERROR(IF(Tabela2[[#This Row],[State]]="Automatico",IF(Tabela2[[#This Row],[Shape]]="","",(ROW()-1)*10),INDEX(Tabela2[[#All],[Item (Reference)]],ROW()-1)),"")</f>
        <v>290</v>
      </c>
      <c r="B30" s="627">
        <f t="shared" si="0"/>
        <v>290</v>
      </c>
      <c r="C30"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0" s="627" t="str">
        <f>IFERROR(IF(Tabela2[[#This Row],[Shape]]="","Normal",IF(_xlfn.XLOOKUP(Tabela2[[#This Row],[Brand]],BRANDS[Brand],BRANDS[Brand Type])="","Normal",_xlfn.XLOOKUP(Tabela2[[#This Row],[Brand]],BRANDS[Brand],BRANDS[Brand Type]))),"")</f>
        <v>Normal</v>
      </c>
      <c r="E30" s="627" t="s">
        <v>2269</v>
      </c>
      <c r="F30" s="629" t="s">
        <v>1998</v>
      </c>
      <c r="G30" s="627">
        <v>572</v>
      </c>
      <c r="H30" s="630">
        <v>590</v>
      </c>
      <c r="I30">
        <f>IFERROR(IF(Tabela2[[#This Row],[Shape]]="","",IF(Tabela2[[#This Row],[Shape]]="-",Tabela2[[#This Row],[Qnt 1]]/1000,Tabela2[[#This Row],[Qnt 1]])),"")</f>
        <v>572</v>
      </c>
      <c r="J30">
        <f>IFERROR(IF(Tabela2[[#This Row],[Shape]]="","",IF(Tabela2[[#This Row],[Shape]]="-",Tabela2[[#This Row],[Qnt 2]]/1000,Tabela2[[#This Row],[Qnt 2]])),"")</f>
        <v>590</v>
      </c>
      <c r="K30" t="str" cm="1">
        <f t="array" aca="1" ref="K30"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0" t="str" cm="1">
        <f t="array" aca="1" ref="L30"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0" t="str">
        <f>_xlfn.XLOOKUP(Tabela2[[#This Row],[Shape]]&amp;Tabela2[[#This Row],[Brand]],Material_Code[Shape &amp; Brand],Material_Code[Material Code],"",0)</f>
        <v/>
      </c>
      <c r="N30">
        <f>IFERROR(IF(SAP_FINAL!$C$11="Office",2000,IF(SAP_FINAL!$C$11="VPN",3500,5000)),"")</f>
        <v>2000</v>
      </c>
      <c r="O30">
        <f>IFERROR(IF(SAP_FINAL!$C$11="Office",2500,IF(SAP_FINAL!$C$11="VPN",4000,5000)),"")</f>
        <v>2500</v>
      </c>
      <c r="P30" t="str" cm="1">
        <f t="array" ref="P30">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290|Send, ^{Right}|Send, MAT_KONFIG|Send, {Enter}</v>
      </c>
      <c r="Q30"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572|Send, {Tab}|Send, {Tab}|Send, 590|Send, {F3}</v>
      </c>
      <c r="R30"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K21X6-4X100|Send, {Tab}|Send, {Tab}|Send, {Tab}|Send, {Tab}|Send, SINDOFORM K60-US|Send, {Tab}|Send, {Tab}|Send, {Tab}|Send, {Tab}|Send, {Tab}|Send, {Tab}|Send, {Tab}|Send, {Tab}|Send, {Tab}|Send, 572|Send, {Tab}|Send, {Tab}|Send, 590|Send, {F3}</v>
      </c>
      <c r="S30" t="str">
        <f ca="1">IFERROR(IF(Tabela2[[#This Row],[Item (Reference)]]="","",IF(Tabela2[[#This Row],[Shape]]="-",Tabela2[[#This Row],[Reference2]],Tabela2[[#This Row],[Reference3]])),"")</f>
        <v>Sleep, 2500|Send, {Down}|Send, K21X6-4X100|Send, {Tab}|Send, {Tab}|Send, {Tab}|Send, {Tab}|Send, SINDOFORM K60-US|Send, {Tab}|Send, {Tab}|Send, {Tab}|Send, {Tab}|Send, {Tab}|Send, {Tab}|Send, {Tab}|Send, {Tab}|Send, {Tab}|Send, 572|Send, {Tab}|Send, {Tab}|Send, 590|Send, {F3}</v>
      </c>
      <c r="T30"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572|Send, {Tab}|Send, {Tab}|Send, 590|Send, {Tab}|Send, {Tab}|Send, {Tab}|Send, {Tab}|Send, {Tab}|Send, {Tab}|Send, |Send, {F3}</v>
      </c>
      <c r="U30" t="str">
        <f ca="1">IFERROR(IF(Tabela2[[#This Row],[State]]="Automatico",Tabela2[[#This Row],[Reference1]]&amp;"|"&amp;IF(Tabela2[[#This Row],[Material Code]]="",Tabela2[[#This Row],[Reference4]],Tabela2[[#This Row],[Reference5]]),""),"")</f>
        <v>Sleep, 2500|Send, ^{Left}|Send, 290|Send, ^{Right}|Send, MAT_KONFIG|Send, {Enter}|Sleep, 2500|Send, {Down}|Send, K21X6-4X100|Send, {Tab}|Send, {Tab}|Send, {Tab}|Send, {Tab}|Send, SINDOFORM K60-US|Send, {Tab}|Send, {Tab}|Send, {Tab}|Send, {Tab}|Send, {Tab}|Send, {Tab}|Send, {Tab}|Send, {Tab}|Send, {Tab}|Send, 572|Send, {Tab}|Send, {Tab}|Send, 590|Send, {F3}</v>
      </c>
    </row>
    <row r="31" spans="1:21">
      <c r="A31" cm="1">
        <f t="array" ref="A31">IFERROR(IF(Tabela2[[#This Row],[State]]="Automatico",IF(Tabela2[[#This Row],[Shape]]="","",(ROW()-1)*10),INDEX(Tabela2[[#All],[Item (Reference)]],ROW()-1)),"")</f>
        <v>300</v>
      </c>
      <c r="B31" s="627">
        <f t="shared" si="0"/>
        <v>300</v>
      </c>
      <c r="C31"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1" s="627" t="str">
        <f>IFERROR(IF(Tabela2[[#This Row],[Shape]]="","Normal",IF(_xlfn.XLOOKUP(Tabela2[[#This Row],[Brand]],BRANDS[Brand],BRANDS[Brand Type])="","Normal",_xlfn.XLOOKUP(Tabela2[[#This Row],[Brand]],BRANDS[Brand],BRANDS[Brand Type]))),"")</f>
        <v>Normal</v>
      </c>
      <c r="E31" s="627" t="s">
        <v>2269</v>
      </c>
      <c r="F31" s="629" t="s">
        <v>1997</v>
      </c>
      <c r="G31" s="627">
        <v>498</v>
      </c>
      <c r="H31" s="630">
        <v>518</v>
      </c>
      <c r="I31">
        <f>IFERROR(IF(Tabela2[[#This Row],[Shape]]="","",IF(Tabela2[[#This Row],[Shape]]="-",Tabela2[[#This Row],[Qnt 1]]/1000,Tabela2[[#This Row],[Qnt 1]])),"")</f>
        <v>498</v>
      </c>
      <c r="J31">
        <f>IFERROR(IF(Tabela2[[#This Row],[Shape]]="","",IF(Tabela2[[#This Row],[Shape]]="-",Tabela2[[#This Row],[Qnt 2]]/1000,Tabela2[[#This Row],[Qnt 2]])),"")</f>
        <v>518</v>
      </c>
      <c r="K31" t="str" cm="1">
        <f t="array" aca="1" ref="K31"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1" t="str" cm="1">
        <f t="array" aca="1" ref="L31"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1" t="str">
        <f>_xlfn.XLOOKUP(Tabela2[[#This Row],[Shape]]&amp;Tabela2[[#This Row],[Brand]],Material_Code[Shape &amp; Brand],Material_Code[Material Code],"",0)</f>
        <v/>
      </c>
      <c r="N31">
        <f>IFERROR(IF(SAP_FINAL!$C$11="Office",2000,IF(SAP_FINAL!$C$11="VPN",3500,5000)),"")</f>
        <v>2000</v>
      </c>
      <c r="O31">
        <f>IFERROR(IF(SAP_FINAL!$C$11="Office",2500,IF(SAP_FINAL!$C$11="VPN",4000,5000)),"")</f>
        <v>2500</v>
      </c>
      <c r="P31" t="str" cm="1">
        <f t="array" ref="P31">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300|Send, ^{Right}|Send, MAT_KONFIG|Send, {Enter}</v>
      </c>
      <c r="Q3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498|Send, {Tab}|Send, {Tab}|Send, 518|Send, {F3}</v>
      </c>
      <c r="R3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K21X6-5X100|Send, {Tab}|Send, {Tab}|Send, {Tab}|Send, {Tab}|Send, SINDOFORM K60-US|Send, {Tab}|Send, {Tab}|Send, {Tab}|Send, {Tab}|Send, {Tab}|Send, {Tab}|Send, {Tab}|Send, {Tab}|Send, {Tab}|Send, 498|Send, {Tab}|Send, {Tab}|Send, 518|Send, {F3}</v>
      </c>
      <c r="S31" t="str">
        <f ca="1">IFERROR(IF(Tabela2[[#This Row],[Item (Reference)]]="","",IF(Tabela2[[#This Row],[Shape]]="-",Tabela2[[#This Row],[Reference2]],Tabela2[[#This Row],[Reference3]])),"")</f>
        <v>Sleep, 2500|Send, {Down}|Send, K21X6-5X100|Send, {Tab}|Send, {Tab}|Send, {Tab}|Send, {Tab}|Send, SINDOFORM K60-US|Send, {Tab}|Send, {Tab}|Send, {Tab}|Send, {Tab}|Send, {Tab}|Send, {Tab}|Send, {Tab}|Send, {Tab}|Send, {Tab}|Send, 498|Send, {Tab}|Send, {Tab}|Send, 518|Send, {F3}</v>
      </c>
      <c r="T31"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498|Send, {Tab}|Send, {Tab}|Send, 518|Send, {Tab}|Send, {Tab}|Send, {Tab}|Send, {Tab}|Send, {Tab}|Send, {Tab}|Send, |Send, {F3}</v>
      </c>
      <c r="U31" t="str">
        <f ca="1">IFERROR(IF(Tabela2[[#This Row],[State]]="Automatico",Tabela2[[#This Row],[Reference1]]&amp;"|"&amp;IF(Tabela2[[#This Row],[Material Code]]="",Tabela2[[#This Row],[Reference4]],Tabela2[[#This Row],[Reference5]]),""),"")</f>
        <v>Sleep, 2500|Send, ^{Left}|Send, 300|Send, ^{Right}|Send, MAT_KONFIG|Send, {Enter}|Sleep, 2500|Send, {Down}|Send, K21X6-5X100|Send, {Tab}|Send, {Tab}|Send, {Tab}|Send, {Tab}|Send, SINDOFORM K60-US|Send, {Tab}|Send, {Tab}|Send, {Tab}|Send, {Tab}|Send, {Tab}|Send, {Tab}|Send, {Tab}|Send, {Tab}|Send, {Tab}|Send, 498|Send, {Tab}|Send, {Tab}|Send, 518|Send, {F3}</v>
      </c>
    </row>
    <row r="32" spans="1:21">
      <c r="A32" cm="1">
        <f t="array" ref="A32">IFERROR(IF(Tabela2[[#This Row],[State]]="Automatico",IF(Tabela2[[#This Row],[Shape]]="","",(ROW()-1)*10),INDEX(Tabela2[[#All],[Item (Reference)]],ROW()-1)),"")</f>
        <v>310</v>
      </c>
      <c r="B32" s="627">
        <f t="shared" si="0"/>
        <v>310</v>
      </c>
      <c r="C32"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2" s="627" t="str">
        <f>IFERROR(IF(Tabela2[[#This Row],[Shape]]="","Normal",IF(_xlfn.XLOOKUP(Tabela2[[#This Row],[Brand]],BRANDS[Brand],BRANDS[Brand Type])="","Normal",_xlfn.XLOOKUP(Tabela2[[#This Row],[Brand]],BRANDS[Brand],BRANDS[Brand Type]))),"")</f>
        <v>Normal</v>
      </c>
      <c r="E32" s="627" t="s">
        <v>2269</v>
      </c>
      <c r="F32" s="629" t="s">
        <v>2001</v>
      </c>
      <c r="G32" s="627">
        <v>132</v>
      </c>
      <c r="H32" s="630">
        <v>142</v>
      </c>
      <c r="I32">
        <f>IFERROR(IF(Tabela2[[#This Row],[Shape]]="","",IF(Tabela2[[#This Row],[Shape]]="-",Tabela2[[#This Row],[Qnt 1]]/1000,Tabela2[[#This Row],[Qnt 1]])),"")</f>
        <v>132</v>
      </c>
      <c r="J32">
        <f>IFERROR(IF(Tabela2[[#This Row],[Shape]]="","",IF(Tabela2[[#This Row],[Shape]]="-",Tabela2[[#This Row],[Qnt 2]]/1000,Tabela2[[#This Row],[Qnt 2]])),"")</f>
        <v>142</v>
      </c>
      <c r="K32" t="str" cm="1">
        <f t="array" aca="1" ref="K32"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2" t="str" cm="1">
        <f t="array" aca="1" ref="L32"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2" t="str">
        <f>_xlfn.XLOOKUP(Tabela2[[#This Row],[Shape]]&amp;Tabela2[[#This Row],[Brand]],Material_Code[Shape &amp; Brand],Material_Code[Material Code],"",0)</f>
        <v/>
      </c>
      <c r="N32">
        <f>IFERROR(IF(SAP_FINAL!$C$11="Office",2000,IF(SAP_FINAL!$C$11="VPN",3500,5000)),"")</f>
        <v>2000</v>
      </c>
      <c r="O32">
        <f>IFERROR(IF(SAP_FINAL!$C$11="Office",2500,IF(SAP_FINAL!$C$11="VPN",4000,5000)),"")</f>
        <v>2500</v>
      </c>
      <c r="P32" t="str" cm="1">
        <f t="array" ref="P32">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310|Send, ^{Right}|Send, MAT_KONFIG|Send, {Enter}</v>
      </c>
      <c r="Q32"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132|Send, {Tab}|Send, {Tab}|Send, 142|Send, {F3}</v>
      </c>
      <c r="R32"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K24X6-4X100|Send, {Tab}|Send, {Tab}|Send, {Tab}|Send, {Tab}|Send, SINDOFORM K60-US|Send, {Tab}|Send, {Tab}|Send, {Tab}|Send, {Tab}|Send, {Tab}|Send, {Tab}|Send, {Tab}|Send, {Tab}|Send, {Tab}|Send, 132|Send, {Tab}|Send, {Tab}|Send, 142|Send, {F3}</v>
      </c>
      <c r="S32" t="str">
        <f ca="1">IFERROR(IF(Tabela2[[#This Row],[Item (Reference)]]="","",IF(Tabela2[[#This Row],[Shape]]="-",Tabela2[[#This Row],[Reference2]],Tabela2[[#This Row],[Reference3]])),"")</f>
        <v>Sleep, 2500|Send, {Down}|Send, K24X6-4X100|Send, {Tab}|Send, {Tab}|Send, {Tab}|Send, {Tab}|Send, SINDOFORM K60-US|Send, {Tab}|Send, {Tab}|Send, {Tab}|Send, {Tab}|Send, {Tab}|Send, {Tab}|Send, {Tab}|Send, {Tab}|Send, {Tab}|Send, 132|Send, {Tab}|Send, {Tab}|Send, 142|Send, {F3}</v>
      </c>
      <c r="T32"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132|Send, {Tab}|Send, {Tab}|Send, 142|Send, {Tab}|Send, {Tab}|Send, {Tab}|Send, {Tab}|Send, {Tab}|Send, {Tab}|Send, |Send, {F3}</v>
      </c>
      <c r="U32" t="str">
        <f ca="1">IFERROR(IF(Tabela2[[#This Row],[State]]="Automatico",Tabela2[[#This Row],[Reference1]]&amp;"|"&amp;IF(Tabela2[[#This Row],[Material Code]]="",Tabela2[[#This Row],[Reference4]],Tabela2[[#This Row],[Reference5]]),""),"")</f>
        <v>Sleep, 2500|Send, ^{Left}|Send, 310|Send, ^{Right}|Send, MAT_KONFIG|Send, {Enter}|Sleep, 2500|Send, {Down}|Send, K24X6-4X100|Send, {Tab}|Send, {Tab}|Send, {Tab}|Send, {Tab}|Send, SINDOFORM K60-US|Send, {Tab}|Send, {Tab}|Send, {Tab}|Send, {Tab}|Send, {Tab}|Send, {Tab}|Send, {Tab}|Send, {Tab}|Send, {Tab}|Send, 132|Send, {Tab}|Send, {Tab}|Send, 142|Send, {F3}</v>
      </c>
    </row>
    <row r="33" spans="1:21">
      <c r="A33" cm="1">
        <f t="array" ref="A33">IFERROR(IF(Tabela2[[#This Row],[State]]="Automatico",IF(Tabela2[[#This Row],[Shape]]="","",(ROW()-1)*10),INDEX(Tabela2[[#All],[Item (Reference)]],ROW()-1)),"")</f>
        <v>320</v>
      </c>
      <c r="B33" s="627">
        <f t="shared" si="0"/>
        <v>320</v>
      </c>
      <c r="C33"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3" s="627" t="str">
        <f>IFERROR(IF(Tabela2[[#This Row],[Shape]]="","Normal",IF(_xlfn.XLOOKUP(Tabela2[[#This Row],[Brand]],BRANDS[Brand],BRANDS[Brand Type])="","Normal",_xlfn.XLOOKUP(Tabela2[[#This Row],[Brand]],BRANDS[Brand],BRANDS[Brand Type]))),"")</f>
        <v>Normal</v>
      </c>
      <c r="E33" s="627" t="s">
        <v>2269</v>
      </c>
      <c r="F33" s="629" t="s">
        <v>2000</v>
      </c>
      <c r="G33" s="627">
        <v>40</v>
      </c>
      <c r="H33" s="630">
        <v>44</v>
      </c>
      <c r="I33">
        <f>IFERROR(IF(Tabela2[[#This Row],[Shape]]="","",IF(Tabela2[[#This Row],[Shape]]="-",Tabela2[[#This Row],[Qnt 1]]/1000,Tabela2[[#This Row],[Qnt 1]])),"")</f>
        <v>40</v>
      </c>
      <c r="J33">
        <f>IFERROR(IF(Tabela2[[#This Row],[Shape]]="","",IF(Tabela2[[#This Row],[Shape]]="-",Tabela2[[#This Row],[Qnt 2]]/1000,Tabela2[[#This Row],[Qnt 2]])),"")</f>
        <v>44</v>
      </c>
      <c r="K33" t="str" cm="1">
        <f t="array" aca="1" ref="K33"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3" t="str" cm="1">
        <f t="array" aca="1" ref="L33"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3" t="str">
        <f>_xlfn.XLOOKUP(Tabela2[[#This Row],[Shape]]&amp;Tabela2[[#This Row],[Brand]],Material_Code[Shape &amp; Brand],Material_Code[Material Code],"",0)</f>
        <v/>
      </c>
      <c r="N33">
        <f>IFERROR(IF(SAP_FINAL!$C$11="Office",2000,IF(SAP_FINAL!$C$11="VPN",3500,5000)),"")</f>
        <v>2000</v>
      </c>
      <c r="O33">
        <f>IFERROR(IF(SAP_FINAL!$C$11="Office",2500,IF(SAP_FINAL!$C$11="VPN",4000,5000)),"")</f>
        <v>2500</v>
      </c>
      <c r="P33" t="str" cm="1">
        <f t="array" ref="P33">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320|Send, ^{Right}|Send, MAT_KONFIG|Send, {Enter}</v>
      </c>
      <c r="Q33"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40|Send, {Tab}|Send, {Tab}|Send, 44|Send, {F3}</v>
      </c>
      <c r="R33"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K24X6-5X100|Send, {Tab}|Send, {Tab}|Send, {Tab}|Send, {Tab}|Send, SINDOFORM K60-US|Send, {Tab}|Send, {Tab}|Send, {Tab}|Send, {Tab}|Send, {Tab}|Send, {Tab}|Send, {Tab}|Send, {Tab}|Send, {Tab}|Send, 40|Send, {Tab}|Send, {Tab}|Send, 44|Send, {F3}</v>
      </c>
      <c r="S33" t="str">
        <f ca="1">IFERROR(IF(Tabela2[[#This Row],[Item (Reference)]]="","",IF(Tabela2[[#This Row],[Shape]]="-",Tabela2[[#This Row],[Reference2]],Tabela2[[#This Row],[Reference3]])),"")</f>
        <v>Sleep, 2500|Send, {Down}|Send, K24X6-5X100|Send, {Tab}|Send, {Tab}|Send, {Tab}|Send, {Tab}|Send, SINDOFORM K60-US|Send, {Tab}|Send, {Tab}|Send, {Tab}|Send, {Tab}|Send, {Tab}|Send, {Tab}|Send, {Tab}|Send, {Tab}|Send, {Tab}|Send, 40|Send, {Tab}|Send, {Tab}|Send, 44|Send, {F3}</v>
      </c>
      <c r="T33"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40|Send, {Tab}|Send, {Tab}|Send, 44|Send, {Tab}|Send, {Tab}|Send, {Tab}|Send, {Tab}|Send, {Tab}|Send, {Tab}|Send, |Send, {F3}</v>
      </c>
      <c r="U33" t="str">
        <f ca="1">IFERROR(IF(Tabela2[[#This Row],[State]]="Automatico",Tabela2[[#This Row],[Reference1]]&amp;"|"&amp;IF(Tabela2[[#This Row],[Material Code]]="",Tabela2[[#This Row],[Reference4]],Tabela2[[#This Row],[Reference5]]),""),"")</f>
        <v>Sleep, 2500|Send, ^{Left}|Send, 320|Send, ^{Right}|Send, MAT_KONFIG|Send, {Enter}|Sleep, 2500|Send, {Down}|Send, K24X6-5X100|Send, {Tab}|Send, {Tab}|Send, {Tab}|Send, {Tab}|Send, SINDOFORM K60-US|Send, {Tab}|Send, {Tab}|Send, {Tab}|Send, {Tab}|Send, {Tab}|Send, {Tab}|Send, {Tab}|Send, {Tab}|Send, {Tab}|Send, 40|Send, {Tab}|Send, {Tab}|Send, 44|Send, {F3}</v>
      </c>
    </row>
    <row r="34" spans="1:21">
      <c r="A34" cm="1">
        <f t="array" ref="A34">IFERROR(IF(Tabela2[[#This Row],[State]]="Automatico",IF(Tabela2[[#This Row],[Shape]]="","",(ROW()-1)*10),INDEX(Tabela2[[#All],[Item (Reference)]],ROW()-1)),"")</f>
        <v>330</v>
      </c>
      <c r="B34" s="627">
        <f t="shared" si="0"/>
        <v>330</v>
      </c>
      <c r="C34"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4" s="627" t="str">
        <f>IFERROR(IF(Tabela2[[#This Row],[Shape]]="","Normal",IF(_xlfn.XLOOKUP(Tabela2[[#This Row],[Brand]],BRANDS[Brand],BRANDS[Brand Type])="","Normal",_xlfn.XLOOKUP(Tabela2[[#This Row],[Brand]],BRANDS[Brand],BRANDS[Brand Type]))),"")</f>
        <v>Normal</v>
      </c>
      <c r="E34" s="627" t="s">
        <v>2269</v>
      </c>
      <c r="F34" s="629" t="s">
        <v>2005</v>
      </c>
      <c r="G34" s="627">
        <v>254</v>
      </c>
      <c r="H34" s="630">
        <v>267</v>
      </c>
      <c r="I34">
        <f>IFERROR(IF(Tabela2[[#This Row],[Shape]]="","",IF(Tabela2[[#This Row],[Shape]]="-",Tabela2[[#This Row],[Qnt 1]]/1000,Tabela2[[#This Row],[Qnt 1]])),"")</f>
        <v>254</v>
      </c>
      <c r="J34">
        <f>IFERROR(IF(Tabela2[[#This Row],[Shape]]="","",IF(Tabela2[[#This Row],[Shape]]="-",Tabela2[[#This Row],[Qnt 2]]/1000,Tabela2[[#This Row],[Qnt 2]])),"")</f>
        <v>267</v>
      </c>
      <c r="K34" t="str" cm="1">
        <f t="array" aca="1" ref="K34"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4" t="str" cm="1">
        <f t="array" aca="1" ref="L34"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4" t="str">
        <f>_xlfn.XLOOKUP(Tabela2[[#This Row],[Shape]]&amp;Tabela2[[#This Row],[Brand]],Material_Code[Shape &amp; Brand],Material_Code[Material Code],"",0)</f>
        <v/>
      </c>
      <c r="N34">
        <f>IFERROR(IF(SAP_FINAL!$C$11="Office",2000,IF(SAP_FINAL!$C$11="VPN",3500,5000)),"")</f>
        <v>2000</v>
      </c>
      <c r="O34">
        <f>IFERROR(IF(SAP_FINAL!$C$11="Office",2500,IF(SAP_FINAL!$C$11="VPN",4000,5000)),"")</f>
        <v>2500</v>
      </c>
      <c r="P34" t="str" cm="1">
        <f t="array" ref="P34">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330|Send, ^{Right}|Send, MAT_KONFIG|Send, {Enter}</v>
      </c>
      <c r="Q34"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254|Send, {Tab}|Send, {Tab}|Send, 267|Send, {F3}</v>
      </c>
      <c r="R34"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K27X6-3X100|Send, {Tab}|Send, {Tab}|Send, {Tab}|Send, {Tab}|Send, SINDOFORM K60-US|Send, {Tab}|Send, {Tab}|Send, {Tab}|Send, {Tab}|Send, {Tab}|Send, {Tab}|Send, {Tab}|Send, {Tab}|Send, {Tab}|Send, 254|Send, {Tab}|Send, {Tab}|Send, 267|Send, {F3}</v>
      </c>
      <c r="S34" t="str">
        <f ca="1">IFERROR(IF(Tabela2[[#This Row],[Item (Reference)]]="","",IF(Tabela2[[#This Row],[Shape]]="-",Tabela2[[#This Row],[Reference2]],Tabela2[[#This Row],[Reference3]])),"")</f>
        <v>Sleep, 2500|Send, {Down}|Send, K27X6-3X100|Send, {Tab}|Send, {Tab}|Send, {Tab}|Send, {Tab}|Send, SINDOFORM K60-US|Send, {Tab}|Send, {Tab}|Send, {Tab}|Send, {Tab}|Send, {Tab}|Send, {Tab}|Send, {Tab}|Send, {Tab}|Send, {Tab}|Send, 254|Send, {Tab}|Send, {Tab}|Send, 267|Send, {F3}</v>
      </c>
      <c r="T34"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254|Send, {Tab}|Send, {Tab}|Send, 267|Send, {Tab}|Send, {Tab}|Send, {Tab}|Send, {Tab}|Send, {Tab}|Send, {Tab}|Send, |Send, {F3}</v>
      </c>
      <c r="U34" t="str">
        <f ca="1">IFERROR(IF(Tabela2[[#This Row],[State]]="Automatico",Tabela2[[#This Row],[Reference1]]&amp;"|"&amp;IF(Tabela2[[#This Row],[Material Code]]="",Tabela2[[#This Row],[Reference4]],Tabela2[[#This Row],[Reference5]]),""),"")</f>
        <v>Sleep, 2500|Send, ^{Left}|Send, 330|Send, ^{Right}|Send, MAT_KONFIG|Send, {Enter}|Sleep, 2500|Send, {Down}|Send, K27X6-3X100|Send, {Tab}|Send, {Tab}|Send, {Tab}|Send, {Tab}|Send, SINDOFORM K60-US|Send, {Tab}|Send, {Tab}|Send, {Tab}|Send, {Tab}|Send, {Tab}|Send, {Tab}|Send, {Tab}|Send, {Tab}|Send, {Tab}|Send, 254|Send, {Tab}|Send, {Tab}|Send, 267|Send, {F3}</v>
      </c>
    </row>
    <row r="35" spans="1:21">
      <c r="A35" cm="1">
        <f t="array" ref="A35">IFERROR(IF(Tabela2[[#This Row],[State]]="Automatico",IF(Tabela2[[#This Row],[Shape]]="","",(ROW()-1)*10),INDEX(Tabela2[[#All],[Item (Reference)]],ROW()-1)),"")</f>
        <v>340</v>
      </c>
      <c r="B35" s="627">
        <f t="shared" si="0"/>
        <v>340</v>
      </c>
      <c r="C35"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5" s="627" t="str">
        <f>IFERROR(IF(Tabela2[[#This Row],[Shape]]="","Normal",IF(_xlfn.XLOOKUP(Tabela2[[#This Row],[Brand]],BRANDS[Brand],BRANDS[Brand Type])="","Normal",_xlfn.XLOOKUP(Tabela2[[#This Row],[Brand]],BRANDS[Brand],BRANDS[Brand Type]))),"")</f>
        <v>Normal</v>
      </c>
      <c r="E35" s="627" t="s">
        <v>2269</v>
      </c>
      <c r="F35" s="629" t="s">
        <v>2003</v>
      </c>
      <c r="G35" s="627">
        <v>296</v>
      </c>
      <c r="H35" s="630">
        <v>311</v>
      </c>
      <c r="I35">
        <f>IFERROR(IF(Tabela2[[#This Row],[Shape]]="","",IF(Tabela2[[#This Row],[Shape]]="-",Tabela2[[#This Row],[Qnt 1]]/1000,Tabela2[[#This Row],[Qnt 1]])),"")</f>
        <v>296</v>
      </c>
      <c r="J35">
        <f>IFERROR(IF(Tabela2[[#This Row],[Shape]]="","",IF(Tabela2[[#This Row],[Shape]]="-",Tabela2[[#This Row],[Qnt 2]]/1000,Tabela2[[#This Row],[Qnt 2]])),"")</f>
        <v>311</v>
      </c>
      <c r="K35" t="str" cm="1">
        <f t="array" aca="1" ref="K35"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5" t="str" cm="1">
        <f t="array" aca="1" ref="L35"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5" t="str">
        <f>_xlfn.XLOOKUP(Tabela2[[#This Row],[Shape]]&amp;Tabela2[[#This Row],[Brand]],Material_Code[Shape &amp; Brand],Material_Code[Material Code],"",0)</f>
        <v/>
      </c>
      <c r="N35">
        <f>IFERROR(IF(SAP_FINAL!$C$11="Office",2000,IF(SAP_FINAL!$C$11="VPN",3500,5000)),"")</f>
        <v>2000</v>
      </c>
      <c r="O35">
        <f>IFERROR(IF(SAP_FINAL!$C$11="Office",2500,IF(SAP_FINAL!$C$11="VPN",4000,5000)),"")</f>
        <v>2500</v>
      </c>
      <c r="P35" t="str" cm="1">
        <f t="array" ref="P35">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340|Send, ^{Right}|Send, MAT_KONFIG|Send, {Enter}</v>
      </c>
      <c r="Q35"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296|Send, {Tab}|Send, {Tab}|Send, 311|Send, {F3}</v>
      </c>
      <c r="R35"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K27X6-5X100|Send, {Tab}|Send, {Tab}|Send, {Tab}|Send, {Tab}|Send, SINDOFORM K60-US|Send, {Tab}|Send, {Tab}|Send, {Tab}|Send, {Tab}|Send, {Tab}|Send, {Tab}|Send, {Tab}|Send, {Tab}|Send, {Tab}|Send, 296|Send, {Tab}|Send, {Tab}|Send, 311|Send, {F3}</v>
      </c>
      <c r="S35" t="str">
        <f ca="1">IFERROR(IF(Tabela2[[#This Row],[Item (Reference)]]="","",IF(Tabela2[[#This Row],[Shape]]="-",Tabela2[[#This Row],[Reference2]],Tabela2[[#This Row],[Reference3]])),"")</f>
        <v>Sleep, 2500|Send, {Down}|Send, K27X6-5X100|Send, {Tab}|Send, {Tab}|Send, {Tab}|Send, {Tab}|Send, SINDOFORM K60-US|Send, {Tab}|Send, {Tab}|Send, {Tab}|Send, {Tab}|Send, {Tab}|Send, {Tab}|Send, {Tab}|Send, {Tab}|Send, {Tab}|Send, 296|Send, {Tab}|Send, {Tab}|Send, 311|Send, {F3}</v>
      </c>
      <c r="T35"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296|Send, {Tab}|Send, {Tab}|Send, 311|Send, {Tab}|Send, {Tab}|Send, {Tab}|Send, {Tab}|Send, {Tab}|Send, {Tab}|Send, |Send, {F3}</v>
      </c>
      <c r="U35" t="str">
        <f ca="1">IFERROR(IF(Tabela2[[#This Row],[State]]="Automatico",Tabela2[[#This Row],[Reference1]]&amp;"|"&amp;IF(Tabela2[[#This Row],[Material Code]]="",Tabela2[[#This Row],[Reference4]],Tabela2[[#This Row],[Reference5]]),""),"")</f>
        <v>Sleep, 2500|Send, ^{Left}|Send, 340|Send, ^{Right}|Send, MAT_KONFIG|Send, {Enter}|Sleep, 2500|Send, {Down}|Send, K27X6-5X100|Send, {Tab}|Send, {Tab}|Send, {Tab}|Send, {Tab}|Send, SINDOFORM K60-US|Send, {Tab}|Send, {Tab}|Send, {Tab}|Send, {Tab}|Send, {Tab}|Send, {Tab}|Send, {Tab}|Send, {Tab}|Send, {Tab}|Send, 296|Send, {Tab}|Send, {Tab}|Send, 311|Send, {F3}</v>
      </c>
    </row>
    <row r="36" spans="1:21">
      <c r="A36" cm="1">
        <f t="array" ref="A36">IFERROR(IF(Tabela2[[#This Row],[State]]="Automatico",IF(Tabela2[[#This Row],[Shape]]="","",(ROW()-1)*10),INDEX(Tabela2[[#All],[Item (Reference)]],ROW()-1)),"")</f>
        <v>350</v>
      </c>
      <c r="B36" s="627">
        <f t="shared" si="0"/>
        <v>350</v>
      </c>
      <c r="C36"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6" s="627" t="str">
        <f>IFERROR(IF(Tabela2[[#This Row],[Shape]]="","Normal",IF(_xlfn.XLOOKUP(Tabela2[[#This Row],[Brand]],BRANDS[Brand],BRANDS[Brand Type])="","Normal",_xlfn.XLOOKUP(Tabela2[[#This Row],[Brand]],BRANDS[Brand],BRANDS[Brand Type]))),"")</f>
        <v>Normal</v>
      </c>
      <c r="E36" s="627" t="s">
        <v>2269</v>
      </c>
      <c r="F36" s="629" t="s">
        <v>2270</v>
      </c>
      <c r="G36" s="627">
        <v>182</v>
      </c>
      <c r="H36" s="630">
        <v>192</v>
      </c>
      <c r="I36">
        <f>IFERROR(IF(Tabela2[[#This Row],[Shape]]="","",IF(Tabela2[[#This Row],[Shape]]="-",Tabela2[[#This Row],[Qnt 1]]/1000,Tabela2[[#This Row],[Qnt 1]])),"")</f>
        <v>182</v>
      </c>
      <c r="J36">
        <f>IFERROR(IF(Tabela2[[#This Row],[Shape]]="","",IF(Tabela2[[#This Row],[Shape]]="-",Tabela2[[#This Row],[Qnt 2]]/1000,Tabela2[[#This Row],[Qnt 2]])),"")</f>
        <v>192</v>
      </c>
      <c r="K36" t="str" cm="1">
        <f t="array" aca="1" ref="K36"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6" t="str" cm="1">
        <f t="array" aca="1" ref="L36"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6" t="str">
        <f>_xlfn.XLOOKUP(Tabela2[[#This Row],[Shape]]&amp;Tabela2[[#This Row],[Brand]],Material_Code[Shape &amp; Brand],Material_Code[Material Code],"",0)</f>
        <v/>
      </c>
      <c r="N36">
        <f>IFERROR(IF(SAP_FINAL!$C$11="Office",2000,IF(SAP_FINAL!$C$11="VPN",3500,5000)),"")</f>
        <v>2000</v>
      </c>
      <c r="O36">
        <f>IFERROR(IF(SAP_FINAL!$C$11="Office",2500,IF(SAP_FINAL!$C$11="VPN",4000,5000)),"")</f>
        <v>2500</v>
      </c>
      <c r="P36" t="str" cm="1">
        <f t="array" ref="P36">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350|Send, ^{Right}|Send, MAT_KONFIG|Send, {Enter}</v>
      </c>
      <c r="Q36"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182|Send, {Tab}|Send, {Tab}|Send, 192|Send, {F3}</v>
      </c>
      <c r="R36"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K30X6-3X100|Send, {Tab}|Send, {Tab}|Send, {Tab}|Send, {Tab}|Send, SINDOFORM K60-US|Send, {Tab}|Send, {Tab}|Send, {Tab}|Send, {Tab}|Send, {Tab}|Send, {Tab}|Send, {Tab}|Send, {Tab}|Send, {Tab}|Send, 182|Send, {Tab}|Send, {Tab}|Send, 192|Send, {F3}</v>
      </c>
      <c r="S36" t="str">
        <f ca="1">IFERROR(IF(Tabela2[[#This Row],[Item (Reference)]]="","",IF(Tabela2[[#This Row],[Shape]]="-",Tabela2[[#This Row],[Reference2]],Tabela2[[#This Row],[Reference3]])),"")</f>
        <v>Sleep, 2500|Send, {Down}|Send, K30X6-3X100|Send, {Tab}|Send, {Tab}|Send, {Tab}|Send, {Tab}|Send, SINDOFORM K60-US|Send, {Tab}|Send, {Tab}|Send, {Tab}|Send, {Tab}|Send, {Tab}|Send, {Tab}|Send, {Tab}|Send, {Tab}|Send, {Tab}|Send, 182|Send, {Tab}|Send, {Tab}|Send, 192|Send, {F3}</v>
      </c>
      <c r="T36"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182|Send, {Tab}|Send, {Tab}|Send, 192|Send, {Tab}|Send, {Tab}|Send, {Tab}|Send, {Tab}|Send, {Tab}|Send, {Tab}|Send, |Send, {F3}</v>
      </c>
      <c r="U36" t="str">
        <f ca="1">IFERROR(IF(Tabela2[[#This Row],[State]]="Automatico",Tabela2[[#This Row],[Reference1]]&amp;"|"&amp;IF(Tabela2[[#This Row],[Material Code]]="",Tabela2[[#This Row],[Reference4]],Tabela2[[#This Row],[Reference5]]),""),"")</f>
        <v>Sleep, 2500|Send, ^{Left}|Send, 350|Send, ^{Right}|Send, MAT_KONFIG|Send, {Enter}|Sleep, 2500|Send, {Down}|Send, K30X6-3X100|Send, {Tab}|Send, {Tab}|Send, {Tab}|Send, {Tab}|Send, SINDOFORM K60-US|Send, {Tab}|Send, {Tab}|Send, {Tab}|Send, {Tab}|Send, {Tab}|Send, {Tab}|Send, {Tab}|Send, {Tab}|Send, {Tab}|Send, 182|Send, {Tab}|Send, {Tab}|Send, 192|Send, {F3}</v>
      </c>
    </row>
    <row r="37" spans="1:21">
      <c r="A37" cm="1">
        <f t="array" ref="A37">IFERROR(IF(Tabela2[[#This Row],[State]]="Automatico",IF(Tabela2[[#This Row],[Shape]]="","",(ROW()-1)*10),INDEX(Tabela2[[#All],[Item (Reference)]],ROW()-1)),"")</f>
        <v>360</v>
      </c>
      <c r="B37" s="627">
        <f t="shared" si="0"/>
        <v>360</v>
      </c>
      <c r="C37"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7" s="627" t="str">
        <f>IFERROR(IF(Tabela2[[#This Row],[Shape]]="","Normal",IF(_xlfn.XLOOKUP(Tabela2[[#This Row],[Brand]],BRANDS[Brand],BRANDS[Brand Type])="","Normal",_xlfn.XLOOKUP(Tabela2[[#This Row],[Brand]],BRANDS[Brand],BRANDS[Brand Type]))),"")</f>
        <v>Normal</v>
      </c>
      <c r="E37" s="627" t="s">
        <v>2269</v>
      </c>
      <c r="F37" s="629" t="s">
        <v>2273</v>
      </c>
      <c r="G37" s="627">
        <v>130</v>
      </c>
      <c r="H37" s="630">
        <v>140</v>
      </c>
      <c r="I37">
        <f>IFERROR(IF(Tabela2[[#This Row],[Shape]]="","",IF(Tabela2[[#This Row],[Shape]]="-",Tabela2[[#This Row],[Qnt 1]]/1000,Tabela2[[#This Row],[Qnt 1]])),"")</f>
        <v>130</v>
      </c>
      <c r="J37">
        <f>IFERROR(IF(Tabela2[[#This Row],[Shape]]="","",IF(Tabela2[[#This Row],[Shape]]="-",Tabela2[[#This Row],[Qnt 2]]/1000,Tabela2[[#This Row],[Qnt 2]])),"")</f>
        <v>140</v>
      </c>
      <c r="K37" t="str" cm="1">
        <f t="array" aca="1" ref="K37"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SINDOFORM K60-US</v>
      </c>
      <c r="L37" t="str" cm="1">
        <f t="array" aca="1" ref="L37"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7" t="str">
        <f>_xlfn.XLOOKUP(Tabela2[[#This Row],[Shape]]&amp;Tabela2[[#This Row],[Brand]],Material_Code[Shape &amp; Brand],Material_Code[Material Code],"",0)</f>
        <v/>
      </c>
      <c r="N37">
        <f>IFERROR(IF(SAP_FINAL!$C$11="Office",2000,IF(SAP_FINAL!$C$11="VPN",3500,5000)),"")</f>
        <v>2000</v>
      </c>
      <c r="O37">
        <f>IFERROR(IF(SAP_FINAL!$C$11="Office",2500,IF(SAP_FINAL!$C$11="VPN",4000,5000)),"")</f>
        <v>2500</v>
      </c>
      <c r="P37" t="str" cm="1">
        <f t="array" ref="P37">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360|Send, ^{Right}|Send, MAT_KONFIG|Send, {Enter}</v>
      </c>
      <c r="Q37"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SINDOFORM K60-US|Send, {Tab}|Send, {Tab}|Send, {Tab}|Send, {Tab}|Send, {Tab}|Send, {Tab}|Send, {Tab}|Send, {Tab}|Send, {Tab}|Send, 130|Send, {Tab}|Send, {Tab}|Send, 140|Send, {F3}</v>
      </c>
      <c r="R37"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K30X6-5X100|Send, {Tab}|Send, {Tab}|Send, {Tab}|Send, {Tab}|Send, SINDOFORM K60-US|Send, {Tab}|Send, {Tab}|Send, {Tab}|Send, {Tab}|Send, {Tab}|Send, {Tab}|Send, {Tab}|Send, {Tab}|Send, {Tab}|Send, 130|Send, {Tab}|Send, {Tab}|Send, 140|Send, {F3}</v>
      </c>
      <c r="S37" t="str">
        <f ca="1">IFERROR(IF(Tabela2[[#This Row],[Item (Reference)]]="","",IF(Tabela2[[#This Row],[Shape]]="-",Tabela2[[#This Row],[Reference2]],Tabela2[[#This Row],[Reference3]])),"")</f>
        <v>Sleep, 2500|Send, {Down}|Send, K30X6-5X100|Send, {Tab}|Send, {Tab}|Send, {Tab}|Send, {Tab}|Send, SINDOFORM K60-US|Send, {Tab}|Send, {Tab}|Send, {Tab}|Send, {Tab}|Send, {Tab}|Send, {Tab}|Send, {Tab}|Send, {Tab}|Send, {Tab}|Send, 130|Send, {Tab}|Send, {Tab}|Send, 140|Send, {F3}</v>
      </c>
      <c r="T37"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130|Send, {Tab}|Send, {Tab}|Send, 140|Send, {Tab}|Send, {Tab}|Send, {Tab}|Send, {Tab}|Send, {Tab}|Send, {Tab}|Send, |Send, {F3}</v>
      </c>
      <c r="U37" t="str">
        <f ca="1">IFERROR(IF(Tabela2[[#This Row],[State]]="Automatico",Tabela2[[#This Row],[Reference1]]&amp;"|"&amp;IF(Tabela2[[#This Row],[Material Code]]="",Tabela2[[#This Row],[Reference4]],Tabela2[[#This Row],[Reference5]]),""),"")</f>
        <v>Sleep, 2500|Send, ^{Left}|Send, 360|Send, ^{Right}|Send, MAT_KONFIG|Send, {Enter}|Sleep, 2500|Send, {Down}|Send, K30X6-5X100|Send, {Tab}|Send, {Tab}|Send, {Tab}|Send, {Tab}|Send, SINDOFORM K60-US|Send, {Tab}|Send, {Tab}|Send, {Tab}|Send, {Tab}|Send, {Tab}|Send, {Tab}|Send, {Tab}|Send, {Tab}|Send, {Tab}|Send, 130|Send, {Tab}|Send, {Tab}|Send, 140|Send, {F3}</v>
      </c>
    </row>
    <row r="38" spans="1:21">
      <c r="A38" cm="1">
        <f t="array" ref="A38">IFERROR(IF(Tabela2[[#This Row],[State]]="Automatico",IF(Tabela2[[#This Row],[Shape]]="","",(ROW()-1)*10),INDEX(Tabela2[[#All],[Item (Reference)]],ROW()-1)),"")</f>
        <v>370</v>
      </c>
      <c r="B38" s="627">
        <f t="shared" si="0"/>
        <v>370</v>
      </c>
      <c r="C38" s="62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8" s="627" t="str">
        <f>IFERROR(IF(Tabela2[[#This Row],[Shape]]="","Normal",IF(_xlfn.XLOOKUP(Tabela2[[#This Row],[Brand]],BRANDS[Brand],BRANDS[Brand Type])="","Normal",_xlfn.XLOOKUP(Tabela2[[#This Row],[Brand]],BRANDS[Brand],BRANDS[Brand Type]))),"")</f>
        <v>Normal</v>
      </c>
      <c r="E38" s="627" t="s">
        <v>2277</v>
      </c>
      <c r="F38" s="629" t="s">
        <v>16</v>
      </c>
      <c r="G38" s="627">
        <v>500</v>
      </c>
      <c r="H38" s="630">
        <v>550</v>
      </c>
      <c r="I38">
        <f>IFERROR(IF(Tabela2[[#This Row],[Shape]]="","",IF(Tabela2[[#This Row],[Shape]]="-",Tabela2[[#This Row],[Qnt 1]]/1000,Tabela2[[#This Row],[Qnt 1]])),"")</f>
        <v>0.5</v>
      </c>
      <c r="J38">
        <f>IFERROR(IF(Tabela2[[#This Row],[Shape]]="","",IF(Tabela2[[#This Row],[Shape]]="-",Tabela2[[#This Row],[Qnt 2]]/1000,Tabela2[[#This Row],[Qnt 2]])),"")</f>
        <v>0.55000000000000004</v>
      </c>
      <c r="K38" t="str" cm="1">
        <f t="array" aca="1" ref="K38"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JEBCO SLAB D1-US</v>
      </c>
      <c r="L38" t="str" cm="1">
        <f t="array" aca="1" ref="L38"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8" t="str">
        <f>_xlfn.XLOOKUP(Tabela2[[#This Row],[Shape]]&amp;Tabela2[[#This Row],[Brand]],Material_Code[Shape &amp; Brand],Material_Code[Material Code],"",0)</f>
        <v/>
      </c>
      <c r="N38">
        <f>IFERROR(IF(SAP_FINAL!$C$11="Office",2000,IF(SAP_FINAL!$C$11="VPN",3500,5000)),"")</f>
        <v>2000</v>
      </c>
      <c r="O38">
        <f>IFERROR(IF(SAP_FINAL!$C$11="Office",2500,IF(SAP_FINAL!$C$11="VPN",4000,5000)),"")</f>
        <v>2500</v>
      </c>
      <c r="P38" t="str" cm="1">
        <f t="array" ref="P38">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370|Send, ^{Right}|Send, MAT_KONFIG|Send, {Enter}</v>
      </c>
      <c r="Q38"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JEBCO SLAB D1-US|Send, {Tab}|Send, {Tab}|Send, {Tab}|Send, {Tab}|Send, {Tab}|Send, {Tab}|Send, {Tab}|Send, {Tab}|Send, {Tab}|Send, 0,5|Send, {Tab}|Send, {Tab}|Send, 0,55|Send, {F3}</v>
      </c>
      <c r="R38"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-|Send, {Tab}|Send, {Tab}|Send, {Tab}|Send, {Tab}|Send, JEBCO SLAB D1-US|Send, {Tab}|Send, {Tab}|Send, {Tab}|Send, {Tab}|Send, {Tab}|Send, {Tab}|Send, {Tab}|Send, {Tab}|Send, {Tab}|Send, 0,5|Send, {Tab}|Send, {Tab}|Send, 0,55|Send, {F3}</v>
      </c>
      <c r="S38" t="str">
        <f>IFERROR(IF(Tabela2[[#This Row],[Item (Reference)]]="","",IF(Tabela2[[#This Row],[Shape]]="-",Tabela2[[#This Row],[Reference2]],Tabela2[[#This Row],[Reference3]])),"")</f>
        <v>Sleep, 2500|Send, U|Send, {Tab}|Send, {Tab}|Send, {Tab}|Send, {Tab}|Send, {Tab}|Send, {Tab}|Send, JEBCO SLAB D1-US|Send, {Tab}|Send, {Tab}|Send, {Tab}|Send, {Tab}|Send, {Tab}|Send, {Tab}|Send, {Tab}|Send, {Tab}|Send, {Tab}|Send, 0,5|Send, {Tab}|Send, {Tab}|Send, 0,55|Send, {F3}</v>
      </c>
      <c r="T38"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0,5|Send, {Tab}|Send, {Tab}|Send, 0,55|Send, {Tab}|Send, {Tab}|Send, {Tab}|Send, {Tab}|Send, {Tab}|Send, {Tab}|Send, |Send, {F3}</v>
      </c>
      <c r="U38" t="str">
        <f>IFERROR(IF(Tabela2[[#This Row],[State]]="Automatico",Tabela2[[#This Row],[Reference1]]&amp;"|"&amp;IF(Tabela2[[#This Row],[Material Code]]="",Tabela2[[#This Row],[Reference4]],Tabela2[[#This Row],[Reference5]]),""),"")</f>
        <v>Sleep, 2500|Send, ^{Left}|Send, 370|Send, ^{Right}|Send, MAT_KONFIG|Send, {Enter}|Sleep, 2500|Send, U|Send, {Tab}|Send, {Tab}|Send, {Tab}|Send, {Tab}|Send, {Tab}|Send, {Tab}|Send, JEBCO SLAB D1-US|Send, {Tab}|Send, {Tab}|Send, {Tab}|Send, {Tab}|Send, {Tab}|Send, {Tab}|Send, {Tab}|Send, {Tab}|Send, {Tab}|Send, 0,5|Send, {Tab}|Send, {Tab}|Send, 0,55|Send, {F3}</v>
      </c>
    </row>
    <row r="39" spans="1:21">
      <c r="A39" s="976" cm="1">
        <f t="array" ref="A39">IFERROR(IF(Tabela2[[#This Row],[State]]="Automatico",IF(Tabela2[[#This Row],[Shape]]="","",(ROW()-1)*10),INDEX(Tabela2[[#All],[Item (Reference)]],ROW()-1)),"")</f>
        <v>380</v>
      </c>
      <c r="B39" s="977">
        <f>IFERROR((ROW()-1)*10,"")</f>
        <v>380</v>
      </c>
      <c r="C39" s="977" t="str">
        <f>IFERROR(IF(Tabela2[[#This Row],[Material Code]]&lt;&gt;"","Automatico",IF(Tabela2[[#This Row],[Shape]]="","Automatico",IF(_xlfn.XLOOKUP(Tabela2[[#This Row],[Brand]],BRANDS[Brand],BRANDS[State])="Manual","Manual",IF(Tabela2[[#This Row],[Shape]]="-","Automatico",IF(_xlfn.XLOOKUP(Tabela2[[#This Row],[Shape]],SHAPES[Shape],SHAPES[State])="Manual","Manual","Automatico"))))),"")</f>
        <v>Automatico</v>
      </c>
      <c r="D39" s="977" t="str">
        <f>IFERROR(IF(Tabela2[[#This Row],[Shape]]="","Normal",IF(_xlfn.XLOOKUP(Tabela2[[#This Row],[Brand]],BRANDS[Brand],BRANDS[Brand Type])="","Normal",_xlfn.XLOOKUP(Tabela2[[#This Row],[Brand]],BRANDS[Brand],BRANDS[Brand Type]))),"")</f>
        <v>Normal</v>
      </c>
      <c r="E39" s="978" t="s">
        <v>667</v>
      </c>
      <c r="F39" s="979" t="s">
        <v>13097</v>
      </c>
      <c r="G39" s="978">
        <v>12</v>
      </c>
      <c r="H39" s="980">
        <v>14</v>
      </c>
      <c r="I39" s="981">
        <f>IFERROR(IF(Tabela2[[#This Row],[Shape]]="","",IF(Tabela2[[#This Row],[Shape]]="-",Tabela2[[#This Row],[Qnt 1]]/1000,Tabela2[[#This Row],[Qnt 1]])),"")</f>
        <v>12</v>
      </c>
      <c r="J39" s="981">
        <f>IFERROR(IF(Tabela2[[#This Row],[Shape]]="","",IF(Tabela2[[#This Row],[Shape]]="-",Tabela2[[#This Row],[Qnt 2]]/1000,Tabela2[[#This Row],[Qnt 2]])),"")</f>
        <v>14</v>
      </c>
      <c r="K39" s="981" t="str" cm="1">
        <f t="array" aca="1" ref="K39" ca="1">IFERROR(IF(Tabela2[[#This Row],[Brand Type]]="Normal",Tabela2[[#This Row],[Brand]],_xlfn.CONCAT(MID(RIGHT(_xlfn.CONCAT(MID(Tabela2[[#This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 +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Row],[Brand]]))),1)),1)))-ROW(INDIRECT("1:" &amp; LEN(RIGHT(_xlfn.CONCAT(MID(Tabela2[[#This Row],[Brand]],1 + LEN(Tabela2[[#This Row],[Brand]])-ROW(INDIRECT("1:" &amp; LEN(Tabela2[[#This Row],[Brand]]))),1)),LEN(_xlfn.CONCAT(MID(Tabela2[[#This Row],[Brand]],1 + LEN(Tabela2[[#This Row],[Brand]])-ROW(INDIRECT("1:" &amp; LEN(Tabela2[[#This Row],[Brand]]))),1)))-SEARCH(" ",_xlfn.CONCAT(MID(Tabela2[[#This Row],[Brand]],1 + LEN(Tabela2[[#This Row],[Brand]])-ROW(INDIRECT("1:" &amp; LEN(Tabela2[[#This Row],[Brand]]))),1)),1))))),1))),"")</f>
        <v>PYROSTOP CARTO 125</v>
      </c>
      <c r="L39" s="981" t="str" cm="1">
        <f t="array" aca="1" ref="L39" ca="1">IFERROR(IF(Tabela2[[#This Row],[Brand Type]]="Normal","",_xlfn.CONCAT(MID(LEFT(_xlfn.CONCAT(MID(Tabela2[[#This Row],[Brand]],1 + LEN(Tabela2[[#This Row],[Brand]])-ROW(INDIRECT("1:" &amp; LEN(Tabela2[[#This Row],[Brand]]))),1)),SEARCH(" ",_xlfn.CONCAT(MID(Tabela2[[#This Row],[Brand]],1 + LEN(Tabela2[[#This Row],[Brand]])-ROW(INDIRECT("1:" &amp; LEN(Tabela2[[#This Row],[Brand]]))),1)),1)-1),1 + LEN(LEFT(_xlfn.CONCAT(MID(Tabela2[[#This Row],[Brand]],1 + LEN(Tabela2[[#This Row],[Brand]])-ROW(INDIRECT("1:" &amp; LEN(Tabela2[[#This Row],[Brand]]))),1)),SEARCH(" ",_xlfn.CONCAT(MID(Tabela2[[#This Row],[Brand]],1 + LEN(Tabela2[[#This Row],[Brand]])-ROW(INDIRECT("1:" &amp; LEN(Tabela2[[#This Row],[Brand]]))),1)),1)-1))-ROW(INDIRECT("1:" &amp; LEN(LEFT(_xlfn.CONCAT(MID(Tabela2[[#This Row],[Brand]],1 + LEN(Tabela2[[#This Row],[Brand]])-ROW(INDIRECT("1:" &amp; LEN(Tabela2[[#This Row],[Brand]]))),1)),SEARCH(" ",_xlfn.CONCAT(MID(Tabela2[[#This Row],[Brand]],1 + LEN(Tabela2[[#This Row],[Brand]])-ROW(INDIRECT("1:" &amp; LEN(Tabela2[[#This Row],[Brand]]))),1)),1)-1)))),1))),"")</f>
        <v/>
      </c>
      <c r="M39" s="976" t="str">
        <f>_xlfn.XLOOKUP(Tabela2[[#This Row],[Shape]]&amp;Tabela2[[#This Row],[Brand]],Material_Code[Shape &amp; Brand],Material_Code[Material Code],"",0)</f>
        <v>000000000009068225</v>
      </c>
      <c r="N39" s="981">
        <f>IFERROR(IF(SAP_FINAL!$C$11="Office",2000,IF(SAP_FINAL!$C$11="VPN",3500,5000)),"")</f>
        <v>2000</v>
      </c>
      <c r="O39" s="981">
        <f>IFERROR(IF(SAP_FINAL!$C$11="Office",2500,IF(SAP_FINAL!$C$11="VPN",4000,5000)),"")</f>
        <v>2500</v>
      </c>
      <c r="P39" s="981" t="str" cm="1">
        <f t="array" ref="P39">IFERROR(IF(ROW(Tabela2[[#This Row],[Brand]])=2,"Send, "&amp;Tabela2[[#This Row],[Item]]&amp;"|Send, ^{Right}|Send, ^{Right}|Send, ^{Right}|Send, " &amp;LEFT(TRIM(Tabela2[[#This Row],[Brand]]),38)&amp;"|Send, {Enter}",IF(Tabela2[[#This Row],[Item (Reference)]]&lt;&gt;"",IF(INDEX(Tabela2[[#All],[Item (Reference)]],ROW()-1)="",IF(Tabela2[[#This Row],[Shape]]="","Sleep, "&amp;Tabela2[[#This Row],[Delay2]]&amp;"|Send, ^{Left}|Send, "&amp;Tabela2[[#This Row],[Item]]&amp;"|Send, ^{Right}|Send, ^{Right}|Send, ^{Right}|Send, "&amp;LEFT(TRIM(Tabela2[[#This Row],[Brand]]),38)&amp;"|Send, {Enter}","Sleep, "&amp;Tabela2[[#This Row],[Delay1]]&amp;"|Send, ^{Left}|Send, "&amp;Tabela2[[#This Row],[Item]]&amp;"|Send, ^{Right}|Send, MAT_KONFIG|Send, {Enter}"),"Sleep, "&amp;Tabela2[[#This Row],[Delay2]]&amp;"|Send, ^{Left}|Send, "&amp;Tabela2[[#This Row],[Item]]&amp;"|Send, ^{Right}|Send, MAT_KONFIG|Send, {Enter}"),"Sleep, "&amp;Tabela2[[#This Row],[Delay2]]&amp;"|Send, ^{Left}|Send, "&amp;Tabela2[[#This Row],[Item]]&amp;"|Send, ^{Right}|Send, ^{Right}|Send, ^{Right}|Send, "&amp;LEFT(TRIM(Tabela2[[#This Row],[Brand]]),38)&amp;"|Send, {Enter}")),"")</f>
        <v>Sleep, 2500|Send, ^{Left}|Send, 380|Send, ^{Right}|Send, MAT_KONFIG|Send, {Enter}</v>
      </c>
      <c r="Q39" s="981" t="str">
        <f>IFERROR("Sleep, "&amp;Tabela2[[#This Row],[Delay2]]&amp;"|Send, U|Send, {Tab}|Send, {Tab}|Send, {Tab}|Send, {Tab}|Send, {Tab}|Send, {Tab}|Send, "&amp;TRIM(Tabela2[[#This Row],[Brand]])&amp;"|Send, {Tab}|Send, {Tab}|Send, {Tab}|Send, {Tab}|Send, {Tab}|Send, {Tab}|Send, {Tab}|Send, {Tab}|Send, {Tab}|Send, "&amp;SUBSTITUTE(Tabela2[[#This Row],[Qnt 1 (Reference)]],".",",")&amp;"|Send, {Tab}|Send, {Tab}|Send, "&amp;SUBSTITUTE(Tabela2[[#This Row],[Qnt 2 (Reference)]],".",",")&amp;"|Send, {F3}","")</f>
        <v>Sleep, 2500|Send, U|Send, {Tab}|Send, {Tab}|Send, {Tab}|Send, {Tab}|Send, {Tab}|Send, {Tab}|Send, PYROSTOP CARTO 125|Send, {Tab}|Send, {Tab}|Send, {Tab}|Send, {Tab}|Send, {Tab}|Send, {Tab}|Send, {Tab}|Send, {Tab}|Send, {Tab}|Send, 12|Send, {Tab}|Send, {Tab}|Send, 14|Send, {F3}</v>
      </c>
      <c r="R39" s="981" t="str">
        <f ca="1">IFERROR("Sleep, "&amp;Tabela2[[#This Row],[Delay2]]&amp;"|Send, {Down}|Send, "&amp;SUBSTITUTE(SUBSTITUTE(Tabela2[[#This Row],[Shape]],"+","{+}")," ","")&amp;"|Send, {Tab}|Send, {Tab}|Send, {Tab}|Send, {Tab}|Send, "&amp;Tabela2[[#This Row],[Brand (Reference)]]&amp;"|Send, {Tab}|Send, {Tab}|Send, {Tab}|"&amp;IF(Tabela2[[#This Row],[Brand Type]]="Normal","","Send, "&amp;Tabela2[[#This Row],[Add-On]]&amp;"|")&amp;"Send, {Tab}|Send, {Tab}|Send, {Tab}|Send, {Tab}|Send, {Tab}|Send, {Tab}|Send, "&amp;SUBSTITUTE(Tabela2[[#This Row],[Qnt 1 (Reference)]],".",",")&amp;"|Send, {Tab}|Send, {Tab}|Send, "&amp;SUBSTITUTE(Tabela2[[#This Row],[Qnt 2 (Reference)]],".",",")&amp;"|Send, {F3}","")</f>
        <v>Sleep, 2500|Send, {Down}|Send, H1250x1000x7|Send, {Tab}|Send, {Tab}|Send, {Tab}|Send, {Tab}|Send, PYROSTOP CARTO 125|Send, {Tab}|Send, {Tab}|Send, {Tab}|Send, {Tab}|Send, {Tab}|Send, {Tab}|Send, {Tab}|Send, {Tab}|Send, {Tab}|Send, 12|Send, {Tab}|Send, {Tab}|Send, 14|Send, {F3}</v>
      </c>
      <c r="S39" s="981" t="str">
        <f ca="1">IFERROR(IF(Tabela2[[#This Row],[Item (Reference)]]="","",IF(Tabela2[[#This Row],[Shape]]="-",Tabela2[[#This Row],[Reference2]],Tabela2[[#This Row],[Reference3]])),"")</f>
        <v>Sleep, 2500|Send, {Down}|Send, H1250x1000x7|Send, {Tab}|Send, {Tab}|Send, {Tab}|Send, {Tab}|Send, PYROSTOP CARTO 125|Send, {Tab}|Send, {Tab}|Send, {Tab}|Send, {Tab}|Send, {Tab}|Send, {Tab}|Send, {Tab}|Send, {Tab}|Send, {Tab}|Send, 12|Send, {Tab}|Send, {Tab}|Send, 14|Send, {F3}</v>
      </c>
      <c r="T39" s="976" t="str">
        <f>"Sleep, "&amp;Tabela2[[#This Row],[Delay2]]&amp;"|Send, A|Send, {Enter}|Sleep, "&amp;Tabela2[[#This Row],[Delay2]]&amp;"|Send, {Tab}|Send, {Tab}|Send, {Tab}|Send, {Tab}|Send, {Tab}|Send, {Tab}|Send, {Tab}|Send, {Tab}|Send, {Tab}|Send, "&amp;SUBSTITUTE(Tabela2[[#This Row],[Qnt 1 (Reference)]],".",",")&amp;"|Send, {Tab}|Send, {Tab}|Send, "&amp;SUBSTITUTE(Tabela2[[#This Row],[Qnt 2 (Reference)]],".",",")&amp;"|Send, {Tab}|Send, {Tab}|Send, {Tab}|Send, {Tab}|Send, {Tab}|Send, {Tab}|Send, "&amp;Tabela2[[#This Row],[Material Code]]&amp;"|Send, {F3}"</f>
        <v>Sleep, 2500|Send, A|Send, {Enter}|Sleep, 2500|Send, {Tab}|Send, {Tab}|Send, {Tab}|Send, {Tab}|Send, {Tab}|Send, {Tab}|Send, {Tab}|Send, {Tab}|Send, {Tab}|Send, 12|Send, {Tab}|Send, {Tab}|Send, 14|Send, {Tab}|Send, {Tab}|Send, {Tab}|Send, {Tab}|Send, {Tab}|Send, {Tab}|Send, 000000000009068225|Send, {F3}</v>
      </c>
      <c r="U39" s="981" t="str">
        <f>IFERROR(IF(Tabela2[[#This Row],[State]]="Automatico",Tabela2[[#This Row],[Reference1]]&amp;"|"&amp;IF(Tabela2[[#This Row],[Material Code]]="",Tabela2[[#This Row],[Reference4]],Tabela2[[#This Row],[Reference5]]),""),"")</f>
        <v>Sleep, 2500|Send, ^{Left}|Send, 380|Send, ^{Right}|Send, MAT_KONFIG|Send, {Enter}|Sleep, 2500|Send, A|Send, {Enter}|Sleep, 2500|Send, {Tab}|Send, {Tab}|Send, {Tab}|Send, {Tab}|Send, {Tab}|Send, {Tab}|Send, {Tab}|Send, {Tab}|Send, {Tab}|Send, 12|Send, {Tab}|Send, {Tab}|Send, 14|Send, {Tab}|Send, {Tab}|Send, {Tab}|Send, {Tab}|Send, {Tab}|Send, {Tab}|Send, 000000000009068225|Send, {F3}</v>
      </c>
    </row>
  </sheetData>
  <phoneticPr fontId="4" type="noConversion"/>
  <conditionalFormatting sqref="A2:U39">
    <cfRule type="expression" dxfId="5" priority="4">
      <formula>$F2=""</formula>
    </cfRule>
    <cfRule type="expression" dxfId="4" priority="5">
      <formula>$C2="Manual"</formula>
    </cfRule>
    <cfRule type="expression" dxfId="3" priority="6">
      <formula>$D2="Add-On"</formula>
    </cfRule>
  </conditionalFormatting>
  <conditionalFormatting sqref="E39:H39">
    <cfRule type="expression" dxfId="2" priority="1">
      <formula>$F39=""</formula>
    </cfRule>
    <cfRule type="expression" dxfId="1" priority="2">
      <formula>$C39="Manual"</formula>
    </cfRule>
    <cfRule type="expression" dxfId="0" priority="3">
      <formula>$D39="Add-On"</formula>
    </cfRule>
  </conditionalFormatting>
  <pageMargins left="0.511811024" right="0.511811024" top="0.78740157499999996" bottom="0.78740157499999996" header="0.31496062000000002" footer="0.31496062000000002"/>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59F9A-A276-45B6-A649-108D0799A144}">
  <sheetPr codeName="Planilha4"/>
  <dimension ref="A1:A39"/>
  <sheetViews>
    <sheetView topLeftCell="A10" workbookViewId="0">
      <selection activeCell="O39" sqref="O39"/>
    </sheetView>
  </sheetViews>
  <sheetFormatPr defaultRowHeight="13.2"/>
  <cols>
    <col min="1" max="1" width="6.88671875" bestFit="1" customWidth="1"/>
  </cols>
  <sheetData>
    <row r="1" spans="1:1">
      <c r="A1" t="s">
        <v>96</v>
      </c>
    </row>
    <row r="2" spans="1:1">
      <c r="A2">
        <v>10</v>
      </c>
    </row>
    <row r="3" spans="1:1">
      <c r="A3">
        <v>20</v>
      </c>
    </row>
    <row r="4" spans="1:1">
      <c r="A4">
        <v>30</v>
      </c>
    </row>
    <row r="5" spans="1:1">
      <c r="A5">
        <v>40</v>
      </c>
    </row>
    <row r="6" spans="1:1">
      <c r="A6">
        <v>50</v>
      </c>
    </row>
    <row r="7" spans="1:1">
      <c r="A7">
        <v>60</v>
      </c>
    </row>
    <row r="8" spans="1:1">
      <c r="A8">
        <v>70</v>
      </c>
    </row>
    <row r="9" spans="1:1">
      <c r="A9">
        <v>80</v>
      </c>
    </row>
    <row r="10" spans="1:1">
      <c r="A10">
        <v>90</v>
      </c>
    </row>
    <row r="11" spans="1:1">
      <c r="A11">
        <v>100</v>
      </c>
    </row>
    <row r="12" spans="1:1">
      <c r="A12">
        <v>110</v>
      </c>
    </row>
    <row r="13" spans="1:1">
      <c r="A13">
        <v>120</v>
      </c>
    </row>
    <row r="14" spans="1:1">
      <c r="A14">
        <v>130</v>
      </c>
    </row>
    <row r="15" spans="1:1">
      <c r="A15">
        <v>140</v>
      </c>
    </row>
    <row r="16" spans="1:1">
      <c r="A16">
        <v>150</v>
      </c>
    </row>
    <row r="17" spans="1:1">
      <c r="A17">
        <v>160</v>
      </c>
    </row>
    <row r="18" spans="1:1">
      <c r="A18">
        <v>170</v>
      </c>
    </row>
    <row r="19" spans="1:1">
      <c r="A19">
        <v>180</v>
      </c>
    </row>
    <row r="20" spans="1:1">
      <c r="A20">
        <v>190</v>
      </c>
    </row>
    <row r="21" spans="1:1">
      <c r="A21">
        <v>200</v>
      </c>
    </row>
    <row r="22" spans="1:1">
      <c r="A22">
        <v>210</v>
      </c>
    </row>
    <row r="23" spans="1:1">
      <c r="A23">
        <v>220</v>
      </c>
    </row>
    <row r="24" spans="1:1">
      <c r="A24">
        <v>230</v>
      </c>
    </row>
    <row r="25" spans="1:1">
      <c r="A25">
        <v>240</v>
      </c>
    </row>
    <row r="26" spans="1:1">
      <c r="A26">
        <v>250</v>
      </c>
    </row>
    <row r="27" spans="1:1">
      <c r="A27">
        <v>260</v>
      </c>
    </row>
    <row r="28" spans="1:1">
      <c r="A28">
        <v>270</v>
      </c>
    </row>
    <row r="29" spans="1:1">
      <c r="A29">
        <v>280</v>
      </c>
    </row>
    <row r="30" spans="1:1">
      <c r="A30">
        <v>290</v>
      </c>
    </row>
    <row r="31" spans="1:1">
      <c r="A31">
        <v>300</v>
      </c>
    </row>
    <row r="32" spans="1:1">
      <c r="A32">
        <v>310</v>
      </c>
    </row>
    <row r="33" spans="1:1">
      <c r="A33">
        <v>320</v>
      </c>
    </row>
    <row r="34" spans="1:1">
      <c r="A34">
        <v>330</v>
      </c>
    </row>
    <row r="35" spans="1:1">
      <c r="A35">
        <v>340</v>
      </c>
    </row>
    <row r="36" spans="1:1">
      <c r="A36">
        <v>350</v>
      </c>
    </row>
    <row r="37" spans="1:1">
      <c r="A37">
        <v>360</v>
      </c>
    </row>
    <row r="38" spans="1:1">
      <c r="A38">
        <v>370</v>
      </c>
    </row>
    <row r="39" spans="1:1">
      <c r="A39">
        <v>380</v>
      </c>
    </row>
  </sheetData>
  <pageMargins left="0.511811024" right="0.511811024" top="0.78740157499999996" bottom="0.78740157499999996" header="0.31496062000000002" footer="0.31496062000000002"/>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e6d409bf-ae9f-401b-9893-419de947d53d" xsi:nil="true"/>
    <lcf76f155ced4ddcb4097134ff3c332f xmlns="d2aced48-b00e-4713-854a-6dd31ed0893c">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8C87578B76DDF1479B04DABFA8ACCC08" ma:contentTypeVersion="18" ma:contentTypeDescription="Crie um novo documento." ma:contentTypeScope="" ma:versionID="0ad29a9e153147c3950c6f5e59f9bbd8">
  <xsd:schema xmlns:xsd="http://www.w3.org/2001/XMLSchema" xmlns:xs="http://www.w3.org/2001/XMLSchema" xmlns:p="http://schemas.microsoft.com/office/2006/metadata/properties" xmlns:ns2="d2aced48-b00e-4713-854a-6dd31ed0893c" xmlns:ns3="e6d409bf-ae9f-401b-9893-419de947d53d" targetNamespace="http://schemas.microsoft.com/office/2006/metadata/properties" ma:root="true" ma:fieldsID="5d49f514ad80e262d2612ae7bc60ce3c" ns2:_="" ns3:_="">
    <xsd:import namespace="d2aced48-b00e-4713-854a-6dd31ed0893c"/>
    <xsd:import namespace="e6d409bf-ae9f-401b-9893-419de947d53d"/>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DateTaken" minOccurs="0"/>
                <xsd:element ref="ns2:MediaServiceGenerationTime" minOccurs="0"/>
                <xsd:element ref="ns2:MediaServiceEventHashCode" minOccurs="0"/>
                <xsd:element ref="ns2:MediaServiceOCR" minOccurs="0"/>
                <xsd:element ref="ns3:SharedWithUsers" minOccurs="0"/>
                <xsd:element ref="ns3:SharedWithDetails" minOccurs="0"/>
                <xsd:element ref="ns2:MediaLengthInSeconds"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2aced48-b00e-4713-854a-6dd31ed0893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Marcações de imagem" ma:readOnly="false" ma:fieldId="{5cf76f15-5ced-4ddc-b409-7134ff3c332f}" ma:taxonomyMulti="true" ma:sspId="c39f2f88-c28d-410f-855d-f0776c0d3039" ma:termSetId="09814cd3-568e-fe90-9814-8d621ff8fb84" ma:anchorId="fba54fb3-c3e1-fe81-a776-ca4b69148c4d" ma:open="true" ma:isKeyword="false">
      <xsd:complexType>
        <xsd:sequence>
          <xsd:element ref="pc:Terms" minOccurs="0" maxOccurs="1"/>
        </xsd:sequence>
      </xsd:complexType>
    </xsd:element>
    <xsd:element name="MediaServiceDateTaken" ma:index="13" nillable="true" ma:displayName="MediaServiceDateTaken" ma:hidden="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6d409bf-ae9f-401b-9893-419de947d53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f811fe71-4d63-4e5a-a8a0-d951852eb515}" ma:internalName="TaxCatchAll" ma:showField="CatchAllData" ma:web="e6d409bf-ae9f-401b-9893-419de947d53d">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E4DF9B01-EDD4-43A0-8D55-4980E2F2FE5F}">
  <ds:schemaRefs>
    <ds:schemaRef ds:uri="http://schemas.microsoft.com/sharepoint/v3/contenttype/forms"/>
  </ds:schemaRefs>
</ds:datastoreItem>
</file>

<file path=customXml/itemProps2.xml><?xml version="1.0" encoding="utf-8"?>
<ds:datastoreItem xmlns:ds="http://schemas.openxmlformats.org/officeDocument/2006/customXml" ds:itemID="{C6439193-9EC0-4935-9578-3D377C4FCAFA}">
  <ds:schemaRefs>
    <ds:schemaRef ds:uri="d2aced48-b00e-4713-854a-6dd31ed0893c"/>
    <ds:schemaRef ds:uri="http://purl.org/dc/terms/"/>
    <ds:schemaRef ds:uri="http://schemas.microsoft.com/office/2006/documentManagement/types"/>
    <ds:schemaRef ds:uri="http://schemas.microsoft.com/office/2006/metadata/properties"/>
    <ds:schemaRef ds:uri="http://purl.org/dc/elements/1.1/"/>
    <ds:schemaRef ds:uri="http://www.w3.org/XML/1998/namespace"/>
    <ds:schemaRef ds:uri="http://purl.org/dc/dcmitype/"/>
    <ds:schemaRef ds:uri="http://schemas.microsoft.com/office/infopath/2007/PartnerControls"/>
    <ds:schemaRef ds:uri="http://schemas.openxmlformats.org/package/2006/metadata/core-properties"/>
    <ds:schemaRef ds:uri="e6d409bf-ae9f-401b-9893-419de947d53d"/>
  </ds:schemaRefs>
</ds:datastoreItem>
</file>

<file path=customXml/itemProps3.xml><?xml version="1.0" encoding="utf-8"?>
<ds:datastoreItem xmlns:ds="http://schemas.openxmlformats.org/officeDocument/2006/customXml" ds:itemID="{FE4520CF-B531-4C93-849E-E01E933B153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2aced48-b00e-4713-854a-6dd31ed0893c"/>
    <ds:schemaRef ds:uri="e6d409bf-ae9f-401b-9893-419de947d5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D82B5C6-E8DF-4F5F-A78C-4EB4B1A285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17</vt:i4>
      </vt:variant>
      <vt:variant>
        <vt:lpstr>Intervalos Nomeados</vt:lpstr>
      </vt:variant>
      <vt:variant>
        <vt:i4>10</vt:i4>
      </vt:variant>
    </vt:vector>
  </HeadingPairs>
  <TitlesOfParts>
    <vt:vector size="27" baseType="lpstr">
      <vt:lpstr>COMPILED</vt:lpstr>
      <vt:lpstr>Unidades</vt:lpstr>
      <vt:lpstr>Aplicação do Concreto</vt:lpstr>
      <vt:lpstr>Densidades</vt:lpstr>
      <vt:lpstr>Material_Code</vt:lpstr>
      <vt:lpstr>brands_unshaped</vt:lpstr>
      <vt:lpstr>brands_shaped</vt:lpstr>
      <vt:lpstr>Formatos</vt:lpstr>
      <vt:lpstr>Memória TOTAL</vt:lpstr>
      <vt:lpstr>Recomendadas TOTAL</vt:lpstr>
      <vt:lpstr>FRONT SHEET</vt:lpstr>
      <vt:lpstr>TOTAL</vt:lpstr>
      <vt:lpstr>OVERALL</vt:lpstr>
      <vt:lpstr>FILTER</vt:lpstr>
      <vt:lpstr>SAP_FINAL</vt:lpstr>
      <vt:lpstr>SAP_COMPILED</vt:lpstr>
      <vt:lpstr>ITEM_REFERENCE</vt:lpstr>
      <vt:lpstr>COMPILED!Area_de_impressao</vt:lpstr>
      <vt:lpstr>'FRONT SHEET'!Area_de_impressao</vt:lpstr>
      <vt:lpstr>'Memória TOTAL'!Area_de_impressao</vt:lpstr>
      <vt:lpstr>OVERALL!Area_de_impressao</vt:lpstr>
      <vt:lpstr>TOTAL!Area_de_impressao</vt:lpstr>
      <vt:lpstr>Classif_Descr</vt:lpstr>
      <vt:lpstr>COMPILED!Titulos_de_impressao</vt:lpstr>
      <vt:lpstr>'FRONT SHEET'!Titulos_de_impressao</vt:lpstr>
      <vt:lpstr>OVERALL!Titulos_de_impressao</vt:lpstr>
      <vt:lpstr>TOTAL!Titulos_de_impressao</vt:lpstr>
    </vt:vector>
  </TitlesOfParts>
  <Company>Magnesita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Magnesita S.A</dc:creator>
  <cp:lastModifiedBy>Gabriel Alves Carmo Melo Cruz</cp:lastModifiedBy>
  <cp:lastPrinted>2019-01-18T16:57:33Z</cp:lastPrinted>
  <dcterms:created xsi:type="dcterms:W3CDTF">2009-09-16T19:52:17Z</dcterms:created>
  <dcterms:modified xsi:type="dcterms:W3CDTF">2024-06-27T12:22:28Z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CCulture">
    <vt:lpwstr>pt-BR</vt:lpwstr>
  </property>
  <property fmtid="{D5CDD505-2E9C-101B-9397-08002B2CF9AE}" pid="3" name="SensitivityDescription">
    <vt:lpwstr>CLASSIFICAÇÃO DO DOCUMENTO: INTERNO</vt:lpwstr>
  </property>
  <property fmtid="{D5CDD505-2E9C-101B-9397-08002B2CF9AE}" pid="4" name="MSIP_Label_9ed9df57-6107-465f-b416-456b5ec3294b_Enabled">
    <vt:lpwstr>true</vt:lpwstr>
  </property>
  <property fmtid="{D5CDD505-2E9C-101B-9397-08002B2CF9AE}" pid="5" name="MSIP_Label_9ed9df57-6107-465f-b416-456b5ec3294b_SetDate">
    <vt:lpwstr>2024-03-12T16:09:50Z</vt:lpwstr>
  </property>
  <property fmtid="{D5CDD505-2E9C-101B-9397-08002B2CF9AE}" pid="6" name="MSIP_Label_9ed9df57-6107-465f-b416-456b5ec3294b_Method">
    <vt:lpwstr>Privileged</vt:lpwstr>
  </property>
  <property fmtid="{D5CDD505-2E9C-101B-9397-08002B2CF9AE}" pid="7" name="MSIP_Label_9ed9df57-6107-465f-b416-456b5ec3294b_Name">
    <vt:lpwstr>Public</vt:lpwstr>
  </property>
  <property fmtid="{D5CDD505-2E9C-101B-9397-08002B2CF9AE}" pid="8" name="MSIP_Label_9ed9df57-6107-465f-b416-456b5ec3294b_SiteId">
    <vt:lpwstr>651b43ce-ccb8-4301-b551-b04dd872d401</vt:lpwstr>
  </property>
  <property fmtid="{D5CDD505-2E9C-101B-9397-08002B2CF9AE}" pid="9" name="MSIP_Label_9ed9df57-6107-465f-b416-456b5ec3294b_ActionId">
    <vt:lpwstr>c4df5526-30ff-424a-8bfe-3c9e04bc12f5</vt:lpwstr>
  </property>
  <property fmtid="{D5CDD505-2E9C-101B-9397-08002B2CF9AE}" pid="10" name="MSIP_Label_9ed9df57-6107-465f-b416-456b5ec3294b_ContentBits">
    <vt:lpwstr>0</vt:lpwstr>
  </property>
  <property fmtid="{D5CDD505-2E9C-101B-9397-08002B2CF9AE}" pid="11" name="ContentTypeId">
    <vt:lpwstr>0x0101008C87578B76DDF1479B04DABFA8ACCC08</vt:lpwstr>
  </property>
  <property fmtid="{D5CDD505-2E9C-101B-9397-08002B2CF9AE}" pid="12" name="MediaServiceImageTags">
    <vt:lpwstr/>
  </property>
</Properties>
</file>