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cinf\Downloads\"/>
    </mc:Choice>
  </mc:AlternateContent>
  <bookViews>
    <workbookView xWindow="0" yWindow="0" windowWidth="21570" windowHeight="9495" firstSheet="2" activeTab="6"/>
  </bookViews>
  <sheets>
    <sheet name="ACOMPANHAMENTO VISTORIAS" sheetId="1" r:id="rId1"/>
    <sheet name="QUADRO VISTORIAS CHEFE CRO1" sheetId="2" r:id="rId2"/>
    <sheet name="VTs - ESGOTOS" sheetId="3" r:id="rId3"/>
    <sheet name="Validacao_de_Dados" sheetId="4" r:id="rId4"/>
    <sheet name="Resumo Gerencial OM" sheetId="5" r:id="rId5"/>
    <sheet name="Resumo Gerencial Órgão Setorial" sheetId="6" r:id="rId6"/>
    <sheet name="Resumo Gegenrial Mês" sheetId="7" r:id="rId7"/>
  </sheets>
  <definedNames>
    <definedName name="Lista_OM_Dependente">OFFSET(Tabela1[[#Headers],[OM]], MATCH(Validacao_de_Dados!A$3,Validacao_de_Dados!$D:$D, 0), 0, COUNTIF(Validacao_de_Dados!$D:$D, Validacao_de_Dados!A$3), 1)</definedName>
    <definedName name="Lista_OM_Valid_MES">OFFSET(Tabela1[[#Headers],[OM]],MATCH('Resumo Gegenrial Mês'!$L$4,Tabela1[Diretoria Responsável],0),0,COUNTIFS(Tabela1[Diretoria Responsável],'Resumo Gegenrial Mês'!$L$4),1)</definedName>
    <definedName name="Situação">Validacao_de_Dados!$G$4:$G$7</definedName>
  </definedNames>
  <calcPr calcId="152511"/>
  <extLst>
    <ext uri="GoogleSheetsCustomDataVersion2">
      <go:sheetsCustomData xmlns:go="http://customooxmlschemas.google.com/" r:id="rId8" roundtripDataChecksum="I7ovmYIpi5YgEalP6yKweyPeOV0zzbVdA6UoZADe4Og="/>
    </ext>
  </extLst>
</workbook>
</file>

<file path=xl/calcChain.xml><?xml version="1.0" encoding="utf-8"?>
<calcChain xmlns="http://schemas.openxmlformats.org/spreadsheetml/2006/main">
  <c r="K8" i="7" l="1"/>
  <c r="O4" i="7"/>
  <c r="H4" i="7"/>
  <c r="G15" i="7"/>
  <c r="G14" i="7"/>
  <c r="G13" i="7"/>
  <c r="G12" i="7"/>
  <c r="G11" i="7"/>
  <c r="G10" i="7"/>
  <c r="G9" i="7"/>
  <c r="G8" i="7"/>
  <c r="G7" i="7"/>
  <c r="G6" i="7"/>
  <c r="F15" i="7"/>
  <c r="F14" i="7"/>
  <c r="F13" i="7"/>
  <c r="F12" i="7"/>
  <c r="F11" i="7"/>
  <c r="F10" i="7"/>
  <c r="F9" i="7"/>
  <c r="F8" i="7"/>
  <c r="F7" i="7"/>
  <c r="F6" i="7"/>
  <c r="E15" i="7"/>
  <c r="E14" i="7"/>
  <c r="E13" i="7"/>
  <c r="E12" i="7"/>
  <c r="E11" i="7"/>
  <c r="E10" i="7"/>
  <c r="E9" i="7"/>
  <c r="E8" i="7"/>
  <c r="E7" i="7"/>
  <c r="E6" i="7"/>
  <c r="G5" i="7"/>
  <c r="G4" i="7"/>
  <c r="E5" i="7"/>
  <c r="E4" i="7"/>
  <c r="F5" i="7"/>
  <c r="F4" i="7"/>
  <c r="D15" i="7"/>
  <c r="D14" i="7"/>
  <c r="D13" i="7"/>
  <c r="D12" i="7"/>
  <c r="D11" i="7"/>
  <c r="D10" i="7"/>
  <c r="D9" i="7"/>
  <c r="D8" i="7"/>
  <c r="D7" i="7"/>
  <c r="D6" i="7"/>
  <c r="D5" i="7"/>
  <c r="D4" i="7"/>
  <c r="C15" i="7"/>
  <c r="C14" i="7"/>
  <c r="C13" i="7"/>
  <c r="C12" i="7"/>
  <c r="C11" i="7"/>
  <c r="C10" i="7"/>
  <c r="C9" i="7"/>
  <c r="C8" i="7"/>
  <c r="C7" i="7"/>
  <c r="C6" i="7"/>
  <c r="C4" i="7"/>
  <c r="C5" i="7"/>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53" i="1" l="1"/>
  <c r="C54" i="1"/>
  <c r="C55" i="1"/>
  <c r="C56" i="1"/>
  <c r="C57" i="1"/>
  <c r="C58" i="1"/>
  <c r="C41" i="1"/>
  <c r="C59" i="1"/>
  <c r="C60" i="1"/>
  <c r="C61" i="1"/>
  <c r="C62" i="1"/>
  <c r="C63" i="1"/>
  <c r="C64" i="1"/>
  <c r="C65" i="1"/>
  <c r="C66" i="1"/>
  <c r="C67" i="1"/>
  <c r="C68" i="1"/>
  <c r="C69" i="1"/>
  <c r="C70" i="1"/>
  <c r="C51" i="1"/>
  <c r="C71" i="1"/>
  <c r="C72" i="1"/>
  <c r="C73" i="1"/>
  <c r="C74" i="1"/>
  <c r="C75" i="1"/>
  <c r="C11" i="1"/>
  <c r="C76" i="1"/>
  <c r="C77" i="1"/>
  <c r="C78" i="1"/>
  <c r="C79" i="1"/>
  <c r="C80" i="1"/>
  <c r="C81" i="1"/>
  <c r="C82" i="1"/>
  <c r="C83" i="1"/>
  <c r="C12" i="1"/>
  <c r="C84" i="1"/>
  <c r="C42" i="1"/>
  <c r="C43" i="1"/>
  <c r="C85" i="1"/>
  <c r="C86" i="1"/>
  <c r="C87" i="1"/>
  <c r="C2" i="1"/>
  <c r="C3" i="1"/>
  <c r="C4" i="1"/>
  <c r="C5" i="1"/>
  <c r="C6" i="1"/>
  <c r="C7" i="1"/>
  <c r="C8" i="1"/>
  <c r="C9" i="1"/>
  <c r="C10" i="1"/>
  <c r="C13" i="1"/>
  <c r="C14" i="1"/>
  <c r="C15" i="1"/>
  <c r="C16" i="1"/>
  <c r="C17" i="1"/>
  <c r="C18" i="1"/>
  <c r="C19" i="1"/>
  <c r="C20" i="1"/>
  <c r="C21" i="1"/>
  <c r="C22" i="1"/>
  <c r="C23" i="1"/>
  <c r="C24" i="1"/>
  <c r="C25" i="1"/>
  <c r="C26" i="1"/>
  <c r="C27" i="1"/>
  <c r="C28" i="1"/>
  <c r="C44" i="1"/>
  <c r="C45" i="1"/>
  <c r="C46" i="1"/>
  <c r="C47" i="1"/>
  <c r="C88" i="1"/>
  <c r="C89" i="1"/>
  <c r="C90" i="1"/>
  <c r="C91" i="1"/>
  <c r="C92" i="1"/>
  <c r="C93" i="1"/>
  <c r="C94" i="1"/>
  <c r="C95" i="1"/>
  <c r="C96" i="1"/>
  <c r="C97" i="1"/>
  <c r="C98" i="1"/>
  <c r="C29" i="1"/>
  <c r="C99" i="1"/>
  <c r="C52" i="1"/>
  <c r="C100" i="1"/>
  <c r="C101" i="1"/>
  <c r="C102" i="1"/>
  <c r="C30" i="1"/>
  <c r="C31" i="1"/>
  <c r="C103" i="1"/>
  <c r="C104" i="1"/>
  <c r="C105" i="1"/>
  <c r="C32" i="1"/>
  <c r="C49" i="1"/>
  <c r="C106" i="1"/>
  <c r="C33" i="1"/>
  <c r="C107" i="1"/>
  <c r="C34" i="1"/>
  <c r="C108" i="1"/>
  <c r="C35" i="1"/>
  <c r="C50" i="1"/>
  <c r="C36" i="1"/>
  <c r="C37" i="1"/>
  <c r="C38" i="1"/>
  <c r="C39" i="1"/>
  <c r="C109" i="1"/>
  <c r="C40" i="1"/>
  <c r="C48" i="1"/>
  <c r="E2" i="2"/>
  <c r="D2" i="2"/>
  <c r="C2" i="2"/>
  <c r="F2" i="2" s="1"/>
  <c r="R43" i="1"/>
  <c r="Q43" i="1"/>
  <c r="R84" i="1"/>
  <c r="Q84" i="1"/>
  <c r="R42" i="1"/>
  <c r="Q42" i="1"/>
  <c r="R85" i="1"/>
  <c r="Q85" i="1"/>
  <c r="R12" i="1"/>
  <c r="Q12" i="1"/>
  <c r="R83" i="1"/>
  <c r="Q83" i="1"/>
  <c r="R82" i="1"/>
  <c r="Q82" i="1"/>
  <c r="R81" i="1"/>
  <c r="Q81" i="1"/>
  <c r="R78" i="1"/>
  <c r="Q78" i="1"/>
  <c r="R11" i="1"/>
  <c r="Q11" i="1"/>
  <c r="R76" i="1"/>
  <c r="Q76" i="1"/>
  <c r="R48" i="1"/>
  <c r="Q48" i="1"/>
  <c r="R80" i="1"/>
  <c r="Q80" i="1"/>
  <c r="R73" i="1"/>
  <c r="Q73" i="1"/>
  <c r="R72" i="1"/>
  <c r="Q72" i="1"/>
  <c r="R51" i="1"/>
  <c r="Q51" i="1"/>
  <c r="R65" i="1"/>
  <c r="Q65" i="1"/>
  <c r="R70" i="1"/>
  <c r="Q70" i="1"/>
  <c r="R64" i="1"/>
  <c r="Q64" i="1"/>
  <c r="R67" i="1"/>
  <c r="Q67" i="1"/>
  <c r="R63" i="1"/>
  <c r="Q63" i="1"/>
  <c r="R58" i="1"/>
  <c r="Q58" i="1"/>
  <c r="R62" i="1"/>
  <c r="Q62" i="1"/>
  <c r="R61" i="1"/>
  <c r="Q61" i="1"/>
  <c r="R71" i="1"/>
  <c r="Q71" i="1"/>
  <c r="R68" i="1"/>
  <c r="Q68" i="1"/>
  <c r="R60" i="1"/>
  <c r="Q60" i="1"/>
  <c r="R69" i="1"/>
  <c r="Q69" i="1"/>
  <c r="R59" i="1"/>
  <c r="Q59" i="1"/>
  <c r="R57" i="1"/>
  <c r="Q57" i="1"/>
  <c r="R54" i="1"/>
  <c r="Q54" i="1"/>
  <c r="R53" i="1"/>
  <c r="Q53" i="1"/>
  <c r="H5" i="6" l="1"/>
  <c r="G10" i="6"/>
  <c r="E8" i="6"/>
  <c r="C6" i="6"/>
  <c r="H6" i="6"/>
  <c r="G11" i="6"/>
  <c r="E9" i="6"/>
  <c r="C7" i="6"/>
  <c r="H7" i="6"/>
  <c r="F5" i="6"/>
  <c r="E10" i="6"/>
  <c r="C8" i="6"/>
  <c r="H8" i="6"/>
  <c r="F6" i="6"/>
  <c r="E11" i="6"/>
  <c r="C9" i="6"/>
  <c r="H9" i="6"/>
  <c r="F7" i="6"/>
  <c r="D5" i="6"/>
  <c r="C10" i="6"/>
  <c r="H10" i="6"/>
  <c r="F8" i="6"/>
  <c r="D6" i="6"/>
  <c r="C11" i="6"/>
  <c r="H11" i="6"/>
  <c r="F9" i="6"/>
  <c r="D7" i="6"/>
  <c r="G5" i="6"/>
  <c r="F10" i="6"/>
  <c r="D8" i="6"/>
  <c r="G6" i="6"/>
  <c r="F11" i="6"/>
  <c r="D9" i="6"/>
  <c r="G7" i="6"/>
  <c r="E5" i="6"/>
  <c r="D10" i="6"/>
  <c r="G8" i="6"/>
  <c r="E6" i="6"/>
  <c r="D11" i="6"/>
  <c r="G9" i="6"/>
  <c r="E7" i="6"/>
  <c r="C5" i="6"/>
</calcChain>
</file>

<file path=xl/sharedStrings.xml><?xml version="1.0" encoding="utf-8"?>
<sst xmlns="http://schemas.openxmlformats.org/spreadsheetml/2006/main" count="1272" uniqueCount="656">
  <si>
    <t>OBJETO DE VISTORIA</t>
  </si>
  <si>
    <t>OM APOIADA</t>
  </si>
  <si>
    <t>ORIGEM DA SOLICITAÇÃO (Nº do DiEx quando houver)</t>
  </si>
  <si>
    <t>DATA DA SOLICITAÇÃO</t>
  </si>
  <si>
    <t>REFERÊNCIA OPUS</t>
  </si>
  <si>
    <t>OBJETIVO (ADICIONAR POSSÍVEL CONTATO)</t>
  </si>
  <si>
    <t>DATA DA VISTORIA</t>
  </si>
  <si>
    <t>VT EXECUTADA POR</t>
  </si>
  <si>
    <t>STATUS - ATUALIZAÇÃO SEMANAL</t>
  </si>
  <si>
    <t>DATA/PREVISÃO DE CONCLUSÃO</t>
  </si>
  <si>
    <t>MEIO DE RESPOSTA DA SOLICITAÇÃO</t>
  </si>
  <si>
    <t>DATA DA RESPOSTA A SOLICITAÇÃO</t>
  </si>
  <si>
    <t>Nº OPUS DA VISTORIA (SE FOR O CASO)</t>
  </si>
  <si>
    <t>QUANTIDADE DE DIAS PARA TOTAL ATENDIMENTO</t>
  </si>
  <si>
    <t>QUANTIDADE DE DIAS PARA EXECUÇÃO</t>
  </si>
  <si>
    <t>OBSERVAÇÕES</t>
  </si>
  <si>
    <t>Telhado do Prédio nº 34 da Políclinica Militar da Rio de Janeiro (PMRJ)</t>
  </si>
  <si>
    <t>PMRJ</t>
  </si>
  <si>
    <t>Diretora da Policlínica Militar do Rio de Janeiro</t>
  </si>
  <si>
    <t>Solicitação OPUS nº 202401000906</t>
  </si>
  <si>
    <t>Confecção de relatório de avaliação técnica para reparação e impermeabilização do telhado do prédio nº 34 da PMRJ.</t>
  </si>
  <si>
    <t>Cap Henrique</t>
  </si>
  <si>
    <t>Vistoria Executada. Demanda atual da PMRJ é para início de projeto básico junto a documentação técnica (TR + ETP + ET) de adequação da cobertura análogo ao executado no ano anterior para suprir Pregão Eletrônico (Processo Licitatório da obra do telhado).</t>
  </si>
  <si>
    <t>-</t>
  </si>
  <si>
    <t>VISTORIA TÉCNICA Nº 25016
VT – CÓDIGO OPUS Nº  20240100090601</t>
  </si>
  <si>
    <t>Adequação da rede de esgoto e de águas pluviais do 1º Batalhão de Polícia do Exército (1º BPE).</t>
  </si>
  <si>
    <t>1º BPE</t>
  </si>
  <si>
    <t>DiEX nº 186 (Comandante do 5º Gpto E) e DiEx nº 1071 (Chefe do Estado-Maior do 5º Gpto E)</t>
  </si>
  <si>
    <t>Solicitação OPUS nº 202401000797</t>
  </si>
  <si>
    <t xml:space="preserve">Relatório de vistoria técnica executado. Confecção de documentações técnicas para a Readequação da rede de esgoto e de águas pluviais do 1º Batalhão de Polícia do Exército (1º BPE).  </t>
  </si>
  <si>
    <t>Ten Delgado / Ten Philipe / Ten Catarino / Cap Henrique</t>
  </si>
  <si>
    <t>Vistoria realizada. Levantamento topográfico da rede de Esgoto do 1º BPE está sendo realizada. Documentações técnicas (Termo de referência, Estudo técnico preliminar, Especificação técnica e Orçamento) referentes a Readequação da rede de esgoto e de águas pluviais do 1º Batalhão de Polícia do Exército (1º BPE) estão sendo executadas. Equipe reforçada para a conclusão das documentações técnicas até dia 28 março de 2025. Apoio Asp Phelipe.</t>
  </si>
  <si>
    <t>DIEx nº 1113-Sec Tec - Fisc/Sec Tec/CRO/1</t>
  </si>
  <si>
    <r>
      <rPr>
        <sz val="11"/>
        <color theme="1"/>
        <rFont val="Calibri"/>
        <family val="2"/>
      </rPr>
      <t xml:space="preserve">VT - CÓDIGO OPUS Nº 20240100079701; E AS DOCUMETAÇÕES TÉCNICAS ENVIADAS POR DiEx ao 5º Gpto : </t>
    </r>
    <r>
      <rPr>
        <b/>
        <sz val="11"/>
        <color theme="1"/>
        <rFont val="Calibri"/>
        <family val="2"/>
      </rPr>
      <t>TR Nº11/2025; DIEX Nº 1071 DE SOLICITAÇÃO DE APOIO; TJTR; ETP; COMPOSIÇÃO POR PREÇO UNITÁRIO; CRONOGRAMA FÍSICO-FINANCEIRO; ORÇAMENTO RESUMIDO; ORÇAMENTO SINTÉTICO; ORÇAMENTO ANALÍTICO; CURVA ABC; PLANILHA DE COMPOSIÇÃO DO BDI; ART.</t>
    </r>
  </si>
  <si>
    <t>Cobertura da Seção Técnica de Ensino do CMRJ</t>
  </si>
  <si>
    <t>CMRJ</t>
  </si>
  <si>
    <t>DiEx 5º Gpto - DiEx nº 1077 e DiEx nº 29 (Chefe do Estado-Maior do 5º Gpto E)</t>
  </si>
  <si>
    <t>Solicitação OPUS nº 202401000823</t>
  </si>
  <si>
    <t>Confecção de relatório de vistoria que avaliasse a interdição da STE do CMRJ para utilizar recurso emergencial na relaição de uma nova cobertura para a instalação referida.</t>
  </si>
  <si>
    <t xml:space="preserve">Vistoria concluída. Arquivos na pasta de documentos. </t>
  </si>
  <si>
    <t>DIEx nº 659-Sec Tec - Projetos/Sec Tec/CRO/1</t>
  </si>
  <si>
    <t>VISTORIA TÉCNICA Nº 25014
VT – CÓDIGO OPUS Nº 20240100082301</t>
  </si>
  <si>
    <t>Reconhecimento Técnico para obra de manutenção (demolição) pelo 5º Grupamento de Engenharia - 5º Gpt E  de benfeitorias do 32º Batalhão de Infantaria Leve de Montanha -32º BIL Mth.</t>
  </si>
  <si>
    <t>32º BIL Mth</t>
  </si>
  <si>
    <t>DiEx nº 1076 (Chefe do Estado-Maior do 5º Gpto E)</t>
  </si>
  <si>
    <t>Solicitação OPUS nº 202501000200. Solicitação OPUS nº 202501000202. Solicitação OPUS nº 202501000203.</t>
  </si>
  <si>
    <r>
      <rPr>
        <sz val="11"/>
        <color theme="1"/>
        <rFont val="Calibri"/>
        <family val="2"/>
      </rPr>
      <t xml:space="preserve">Confecção de relatório de Vistoria Técnica para demolição em benfeitorias pertencentes ao 32º Batalhão de Infantaria Leve de Montanha -32º BIL Mth. O objetivo do refrido reconhecimento é subsidiar a inclusão da solicitação no sistema OPUS, garantindo a correta tramitação e providências necessárias. Coloco a disposição, para demais esclarecimentos, </t>
    </r>
    <r>
      <rPr>
        <b/>
        <sz val="11"/>
        <color theme="1"/>
        <rFont val="Calibri"/>
        <family val="2"/>
      </rPr>
      <t xml:space="preserve">o 1º Ten Jonatan, Fiscal Administrativo, por meio do telefone (21) 98321-7118 </t>
    </r>
    <r>
      <rPr>
        <sz val="11"/>
        <color theme="1"/>
        <rFont val="Calibri"/>
        <family val="2"/>
      </rPr>
      <t>e pelo email jonatan.fidelis@eb.mil.br.</t>
    </r>
  </si>
  <si>
    <t>Ten Bottino</t>
  </si>
  <si>
    <t>Averiguar necessidade de vistorias das demolições. AGENDAR APOIO DE VIATURA COM CONTATO DO TEN JONATHAN.</t>
  </si>
  <si>
    <t>VT Nº 25011 VT – CÓDIGO OPUS Nº  20250100020301      VT Nº 25013 VT – CÓDIGO OPUS Nº  20250100020201      VT Nº 25015 VT – CÓDIGO OPUS Nº  20250100020001</t>
  </si>
  <si>
    <t>DIEx nº 1278-Seç Ob Mil/Cmdo/5º GptE (Chefe do Estado-Maior do 5º Gpto E para Chefe da CRO/1)</t>
  </si>
  <si>
    <t>Solicitação OPUS nº 202501000200. Solicitação OPUS nº 202501000202.</t>
  </si>
  <si>
    <t>O objetivo do referido reconhecimento é viabilizar a solicitação da referida obra no OPUS. As benfeitorias a serem avaliadas são:a. PNR de inscrição RJ010030C0055, localizado na Rua Ten Virgílio de Moraes, Nr 10, Vilade Subtenentes e Sargentos; e b. PNR de inscrição RJ010030C0043, localizado na Rua Duque de Caxias, Nr 1429, Vila de Oficiais.</t>
  </si>
  <si>
    <t>VT Nº 25013 VT – CÓDIGO OPUS Nº  20250100020201      VT Nº 25015 VT – CÓDIGO OPUS Nº  20250100020001</t>
  </si>
  <si>
    <t>Apoio técnico para avaliação dos serviços contratados e previstos para execução de obra pelo CTEx.</t>
  </si>
  <si>
    <t>CTEx</t>
  </si>
  <si>
    <t>DiEx nº 1088 (Chefe do Estado-Maior do 5º Gpto E)</t>
  </si>
  <si>
    <t>Prestação de apoio técnico para avaliação e emissão de segunda opinião sobre os serviços contratados e previstos para execução pela Organização Militar.</t>
  </si>
  <si>
    <t>Ten Catarino</t>
  </si>
  <si>
    <t>Infiltrações nas juntas de dilatação do PDC que afetam as instalações do AHEx</t>
  </si>
  <si>
    <t>AHEx</t>
  </si>
  <si>
    <t xml:space="preserve">Contato direto com chefe da seção técnica. DIEx nº 1344-Seç Ob Mil/Cmdo/5º GptE (Chefe do Estado-Maior do 5º Gpto E para Chefe da CRO/1) </t>
  </si>
  <si>
    <t>Solicitação OPUS nº 202101000260 (ÚNICA QUE SE ENCAIXA)</t>
  </si>
  <si>
    <t>Confecção de relatório de vistoria que parametrize uma estimativa de valor orçamentário na obra de impermeabilização das junstas de dilatação do PDC - DOIS LADOS.</t>
  </si>
  <si>
    <t>DIEx nº 820-Sec Tec - Fisc/Sec Tec/CRO/1</t>
  </si>
  <si>
    <t>VISTORIA TÉCNICA Nº 25021
VT – CÓDIGO OPUS Nº  20210100026001</t>
  </si>
  <si>
    <t>1º BPE (hidrossanitária)</t>
  </si>
  <si>
    <t>Contato direto com chefe da seção técnica.</t>
  </si>
  <si>
    <t>Confecção de relatório de vistoria que parametrize uma estimativa de valor orçamentário na obra de hidrossanitária do presídio 1º BPE. Solução paliativa.</t>
  </si>
  <si>
    <t>Ten Philipe</t>
  </si>
  <si>
    <t>Adequação da cozinha do Batalhão de Precursores (Batalhão Tenente Celso Nathan Guaraná de Barros)</t>
  </si>
  <si>
    <t>037960 - B PREC PQD</t>
  </si>
  <si>
    <t>Chefe do Batalhão de Precursores Pará-Quedistas</t>
  </si>
  <si>
    <t>Solicitação OPUS nº 202401000703</t>
  </si>
  <si>
    <t>Confecção de relatório de vistoria que parametrize uma estimativa de valor orçamentário na adequação do rancho do Batalhão PREC tendo como base a Adequação do Rancho do HCE. (Utilizar como parâmetros a metragem do Rancho e a quantidade de demanda diária.)</t>
  </si>
  <si>
    <t>Vistoria executada. Processo de confecção de VT.</t>
  </si>
  <si>
    <t>DIEx nº 1443-Sec Tec - Fisc/Sec Tec/CRO/1</t>
  </si>
  <si>
    <t>VISTORIA TÉCNICA Nº 25018
VT – CÓDIGO OPUS Nº 20240100070301</t>
  </si>
  <si>
    <t xml:space="preserve"> Posto de combustível do 32º Batalhão de Infantaria Leve de Montanha (32º BIL Mth)</t>
  </si>
  <si>
    <t>DIEx nº 1085-SOC/COE/Cmdo (Chefe do Estado-Maior do 5º Gpto E para Chefe da CRO/1); DIEx nº 520-Fisc Adm/SCmt.Btl/Cmt.Btl (Cmdt do 32º BIL Mth para Chefe do Estado-Maior do CMDO da 1ª RM); e DIEx nº 566-Fisc Adm/SCmt.Btl/Cmt.Btl (Cmdt do 32º BIL Mth para Cmdt do 5º Gpto E).</t>
  </si>
  <si>
    <t>Solicitação OPUS nº 202301000873</t>
  </si>
  <si>
    <r>
      <rPr>
        <sz val="11"/>
        <color theme="1"/>
        <rFont val="Calibri"/>
        <family val="2"/>
      </rPr>
      <t xml:space="preserve">Realizar de Termo de Referência para a aquisição dos postos de combustíveis do 32º BIL Mth.  Termo de Referência para o posto de combustível do 32º Batalhão de Infantaria Leve de Montanha (32º BIL Mth), com a finalidade de viabilizar a aquisição de 02 (dois) postos de combustíveis novos (reservatório e bomba), 01 (um) de gasolina com a capacidade de 10 (dez) mil litros e 01 (um) de óleo diesel, com a capacidade de 15 (quinze) mil litros. Coloco a disposição, para demais esclarecimentos, o </t>
    </r>
    <r>
      <rPr>
        <b/>
        <sz val="11"/>
        <color theme="1"/>
        <rFont val="Calibri"/>
        <family val="2"/>
      </rPr>
      <t>1º Ten Jonatan, Fiscal Administrativo, por
meio do telefone (21) 98321-7118</t>
    </r>
    <r>
      <rPr>
        <sz val="11"/>
        <color theme="1"/>
        <rFont val="Calibri"/>
        <family val="2"/>
      </rPr>
      <t xml:space="preserve"> e pelo email jonatan.fidelis@eb.mil.br.</t>
    </r>
  </si>
  <si>
    <t>Agendar vistorias dos postos de combustíveis na mesma data das possíveis vistorias de demolição.  AGENDAR APOIO DE VIATURA COM CONTATO DO TEN JONATHAN.</t>
  </si>
  <si>
    <t>DIEx nº 830-Sec Tec - Fisc/Sec Tec/CRO/1</t>
  </si>
  <si>
    <t>VISTORIA TÉCNICA Nº 25023
VT – CÓDIGO OPUS Nº 20230100087301</t>
  </si>
  <si>
    <t>Adequação na estrutura de esgotamento sanitário da 9ª Bateria de Artilharia Antiaérea (Escola) (9ª Bia AAAe (Es))</t>
  </si>
  <si>
    <t>9ª Bia AAAe (Es)</t>
  </si>
  <si>
    <t>DiEx nº 1012 (Chefe do Estado-Maior do 5º Gpto E)</t>
  </si>
  <si>
    <t>Solicitação OPUS nº 202501000373</t>
  </si>
  <si>
    <r>
      <rPr>
        <sz val="11"/>
        <color theme="1"/>
        <rFont val="Calibri"/>
        <family val="2"/>
      </rPr>
      <t xml:space="preserve">Confecção de relatório de vistoria técnica para implantação de Estação de Tratamento de Esgoto (ETE) na 9ª Bia AAAe (Es). Apoio técnico para elaboração de projeto de estação de tratamento de esgoto. Coloco à disposição o </t>
    </r>
    <r>
      <rPr>
        <b/>
        <sz val="11"/>
        <color theme="1"/>
        <rFont val="Calibri"/>
        <family val="2"/>
      </rPr>
      <t>TC PAULO, Fisc Adm GUEs/9ª Bda Inf Mtz, por meio do telefone (21) 97237-9133,</t>
    </r>
    <r>
      <rPr>
        <sz val="11"/>
        <color theme="1"/>
        <rFont val="Calibri"/>
        <family val="2"/>
      </rPr>
      <t xml:space="preserve"> e o </t>
    </r>
    <r>
      <rPr>
        <b/>
        <sz val="11"/>
        <color theme="1"/>
        <rFont val="Calibri"/>
        <family val="2"/>
      </rPr>
      <t>Cap Arraes, Fisc Adm 9ª Bia AAAe (Es), por meio do telefone (21) 96557- 3705,</t>
    </r>
    <r>
      <rPr>
        <sz val="11"/>
        <color theme="1"/>
        <rFont val="Calibri"/>
        <family val="2"/>
      </rPr>
      <t xml:space="preserve"> para retirada de quaisquer dúvidas que possam ter permanecido.</t>
    </r>
  </si>
  <si>
    <t>Cap Henrique / Ten Catarino</t>
  </si>
  <si>
    <t>Vistoria com agendamento dependente de apoio da 9ª Bia AAAe (Es).  AGENDAR APOIO DE VIATURA COM CONTATO DO CAP ARRAES.</t>
  </si>
  <si>
    <t>DIEx nº 1444-Sec Tec - Fisc/Sec Tec/CRO/1</t>
  </si>
  <si>
    <t>VISTORIA TÉCNICA Nº 25041
VT – CÓDIGO OPUS Nº 20250100037301</t>
  </si>
  <si>
    <t>Estacionamento da Arena Wenceslau Malta, no Destacamento Desportivo da Vila Militar (DDVM).</t>
  </si>
  <si>
    <t>DDVM</t>
  </si>
  <si>
    <t>DIEx nº 1122-SOC/Cmdo/5º GptE (Chefe do Estado-Maior do 5º Gpto E para Chefe da CRO/1)</t>
  </si>
  <si>
    <t>Confecção de Laudo de avaliação da área do DDVM para estimar a capacidade de sustentação do estacionamento da Arena Wenceslau Malta, no DDVM.</t>
  </si>
  <si>
    <t>Ten Dunai / Responsável designado da residência técnica da CRO/1 na Vila Militar</t>
  </si>
  <si>
    <t>Laudo executado pelo 5º Gpto de E</t>
  </si>
  <si>
    <t>Relatório de Análise Técnica Estrutural (RAT) 07/2025</t>
  </si>
  <si>
    <t>Adequação da rede de esgoto e de águas pluviais na Vila Militar da Ilha de Bom Jesus (IBJ).</t>
  </si>
  <si>
    <t xml:space="preserve"> Vila Militar da Ilha de Bom Jesus (IBJ).</t>
  </si>
  <si>
    <t>DIEx nº 544-FISCALIZAÇÃO/S4/PMZS (Prefeito Militar da Zona Sul ao Chefe do 5º Gpto E) e DIEx nº 1171-Seç Ob Mil/Cmdo/5º GptE (Chefe do eSTADO-mAIOR DO 5º Gpto E para chefe da CRO/1)</t>
  </si>
  <si>
    <t>Solicitação OPUS nº 202501000459</t>
  </si>
  <si>
    <r>
      <rPr>
        <sz val="11"/>
        <color theme="1"/>
        <rFont val="Calibri"/>
        <family val="2"/>
      </rPr>
      <t xml:space="preserve">Vistoria Técnica hidrossanitária na Vila Militar da Ilha de Bom Jesus (IBJ).  A rede de esgoto da IBJ não está integrada ao sistema hidro-sanitário da concessionária Águas do Rio. Embora tenha sido iniciada a construção de um sistema elevatório para possibilitar a conexão, a obra ainda não foi concluída. </t>
    </r>
    <r>
      <rPr>
        <b/>
        <sz val="11"/>
        <color theme="1"/>
        <rFont val="Calibri"/>
        <family val="2"/>
      </rPr>
      <t xml:space="preserve">Cap Mantovani, Fiscal Administrativo, para esclarecimento de eventuais dúvidas, nos telefones (91) 98406-3859 </t>
    </r>
    <r>
      <rPr>
        <sz val="11"/>
        <color theme="1"/>
        <rFont val="Calibri"/>
        <family val="2"/>
      </rPr>
      <t>e 800-7303 (RITEx).</t>
    </r>
  </si>
  <si>
    <t>minuta enviada ao chefe</t>
  </si>
  <si>
    <t>VISTORIA TÉCNICA Nº 25036
VT – CÓDIGO OPUS Nº 20250100045901</t>
  </si>
  <si>
    <t xml:space="preserve"> Infiltrações no 5º, 6º e 7º andares da Ala Marcílio Dias.</t>
  </si>
  <si>
    <t>Palácio Duque de Caxias (Ala Marcílio Dias)</t>
  </si>
  <si>
    <t>DIEx nº 726-4ª Seção/Cia C CML (Comandante da Cia de Cmdo do CML para o Chefe da CRO/1)</t>
  </si>
  <si>
    <t>Solicitação OPUS nº 202501000375</t>
  </si>
  <si>
    <r>
      <rPr>
        <sz val="11"/>
        <color theme="1"/>
        <rFont val="Calibri"/>
        <family val="2"/>
      </rPr>
      <t xml:space="preserve">Avaliar as estruturas especificadas nas fotos em anexo, a fim de tentar identificar o foco das infiltrações que estão ocorrendo no 7º, 6º e 5º andares. Coloco à disposição o contato do </t>
    </r>
    <r>
      <rPr>
        <b/>
        <sz val="11"/>
        <color theme="1"/>
        <rFont val="Calibri"/>
        <family val="2"/>
      </rPr>
      <t>2º TenALVAREZ, Adj 4ª seção/Cia C CML, por meio do RITEx: 810-5282 ou pelo telefone (21) 98517-3549.</t>
    </r>
  </si>
  <si>
    <t>DIEx nº 1450-Sec Tec - Fisc/Sec Tec/CRO/1</t>
  </si>
  <si>
    <t>VISTORIA TÉCNICA Nº 25039
VT – CÓDIGO OPUS Nº 20250100037501</t>
  </si>
  <si>
    <t>Posto de Abastecimento, Lavagem e Lubrificação (PALL) do Batalhão Central de Manutenção e Suprimento (BCMS).</t>
  </si>
  <si>
    <t>BCMS</t>
  </si>
  <si>
    <t xml:space="preserve">DIEx nº 1096-SOC/COE/Cmdo (Chefe do Estado-Maior do 5º Gpto E para Chefe da CRO/1) e DIEx nº 638-Fisc Adm/Cmdo/BCMS (Cmdo do BCMS ao Chefe do Estado-Maior do 5º Gpto E). </t>
  </si>
  <si>
    <r>
      <rPr>
        <sz val="11"/>
        <color theme="1"/>
        <rFont val="Calibri"/>
        <family val="2"/>
      </rPr>
      <t xml:space="preserve">Confecção de Vistoria Técnica e elaboração de documentação necessária para abertura de processo licitatório referente ao Posto de Abastecimento, Lavagem e Lubrificação (PALL) do Batalhão Central deManutenção e Suprimento (BCMS).  Coloca o contato da sua </t>
    </r>
    <r>
      <rPr>
        <b/>
        <sz val="11"/>
        <color theme="1"/>
        <rFont val="Calibri"/>
        <family val="2"/>
      </rPr>
      <t>Fiscalização Administrativa, no telefone (21) 96960-0429,</t>
    </r>
    <r>
      <rPr>
        <sz val="11"/>
        <color theme="1"/>
        <rFont val="Calibri"/>
        <family val="2"/>
      </rPr>
      <t xml:space="preserve"> RITEX 819-2011 ou pelo e-mail: fiscalizacao@bcms.eb.mil.br à disposição para qualquer apoio que se faça necessário e dirimir dúvidas sobre o assunto.</t>
    </r>
  </si>
  <si>
    <t xml:space="preserve"> Estande de tiro do 1º BG</t>
  </si>
  <si>
    <t>1º BG</t>
  </si>
  <si>
    <t xml:space="preserve">DIEx nº 1280-Seç Ob Mil/Cmdo/5º GptE (Chefe do Estado-Maior do 5º Gpto E para Chefe da CRO/1) </t>
  </si>
  <si>
    <t>Confecção de Laudo do Estande de tiro do 1º BG. Realizar Vistoria Técnica no talude ao lado do estande de tiro do 1º Batalhão de Guardas (1º BG) para que seja avaliada uma possível solução para conter o desmoronamento do mesmo, bem como a possibilidade de reavaliar a interdição do Estande de Tiro.</t>
  </si>
  <si>
    <t>Ten Catarino/ Asp Phillipe</t>
  </si>
  <si>
    <t>Vistoria Técnica já realizada pelo 5º Gpto E com a conclusão de interdição do Estande de Tiro do BG.</t>
  </si>
  <si>
    <t xml:space="preserve">JÁ EXISTE UMA VT QUE FOI FEITA PELO 5° GPT E INTERDITANDO O ESTANDE DE TIRO POR PROBLEAMAS ESTRUTURAIS </t>
  </si>
  <si>
    <t>Pavilhão da Companhia de Comando e Apoio (CCAp) do 4º Batalhão de Engenharia de Combate (4º B E Comb).</t>
  </si>
  <si>
    <t>4º B E Comb</t>
  </si>
  <si>
    <t>Avaliar a integridade estrutural de parte anexa da edificação do Pavilhão da Companhia de Comando e Apoio (CCAp) do 4º B E Comb, em virtude da suspeita de deslocamento ou tombamento parcial, uma vez que foi observada uma inclinação aparente e rachaduras na construção.</t>
  </si>
  <si>
    <t>Maj Omine</t>
  </si>
  <si>
    <t>RELATÓRIO TÉCNICO Nº 25008</t>
  </si>
  <si>
    <t xml:space="preserve"> Vistoria da piscina do 4º B E Comb </t>
  </si>
  <si>
    <t>Verificar a situação da piscina do 4º B E Comb por solicitação do comandante do 4º B E Comb por ocasião da vistoria do Pavilhão da CCAp</t>
  </si>
  <si>
    <t>RELATÓRIO TÉCNICO Nº 25009</t>
  </si>
  <si>
    <t xml:space="preserve"> Avaliar as condições técnicas do Caminhão Transporte de Água (CTA) - Volvo, Chassi nº93KK0Y1D1RE195713, pertencente ao 1º BE Cmb.</t>
  </si>
  <si>
    <t>DIEx nº 1039-1ª Cia/1º BE Cmb, de 19 MAR 25, e DIEx nº 1120-SOC/Cmdo/5º GptE, de 20 MAR 25</t>
  </si>
  <si>
    <t>Parecer Técnico para avaliar as condições técnicas do Caminhão Transporte de Água (CTA) - Volvo, Chassi nº93KK0Y1D1RE195713, pertencente ao 1º BE Cmb.</t>
  </si>
  <si>
    <t>Asp Rodrigo Costa</t>
  </si>
  <si>
    <t>PARECER TÉCNICO Nº 025022</t>
  </si>
  <si>
    <t>Solicitação Quissamã: 202501000242 32ºBIL MTh</t>
  </si>
  <si>
    <t>VISTORIA EXECUTADA NA IDA AO 32º BIL Mth</t>
  </si>
  <si>
    <t>Solicitação OPUS nº: 202501000242</t>
  </si>
  <si>
    <t>Confecção de relatório de vistoria que parametrize uma estimativa de valor orçamentário na adequação do espaço Quissamã perttecente ao 32º BIL Mth.</t>
  </si>
  <si>
    <t>Readequação em instalação para recebimento de militares do seguimento feminino no 1º BG - INSTALAÇÕES</t>
  </si>
  <si>
    <t xml:space="preserve">DIEx nº 1096-SOC/COE/Cmdo (Chefe do Estado-Maior do 5º Gpto E para Chefe da CRO/1) e DIEx nº 1003-FISC ADM/EM/1BG (Cmdo do 1°BG ao Chefe do Estado-Maior do 5º Gpto E) </t>
  </si>
  <si>
    <t>Solicitação OPUS nº: 202501000429</t>
  </si>
  <si>
    <t>Sobre o assunto, e considerando a previsão de incorporação de soldados dosegmento feminino que serão formados no 1º BG a partir do ano de 2026, encaminho ademanda relativa à necessidade de readequações no Hotel de Trânsito Interno - HTI, comintervenções nas áreas estrutural, elétrica, hidráulica.</t>
  </si>
  <si>
    <t>DIEx nº 1769-Sec Tec - Fisc/Sec Tec/CRO/1</t>
  </si>
  <si>
    <t>VISTORIA TÉCNICA Nº 25060
VT – CÓDIGO OPUS Nº 20250100042901</t>
  </si>
  <si>
    <t>Readequação em instalação para recebimento de militares do seguimento feminino no 1º BG - COBERTURA GINÁSIO</t>
  </si>
  <si>
    <t>Solicitação OPUS nº: 202401000167</t>
  </si>
  <si>
    <t>Asp Phillipe</t>
  </si>
  <si>
    <t>VISTORIA TÉCNICA Nº 25049
VT – CÓDIGO OPUS Nº 20240100016701</t>
  </si>
  <si>
    <t>Adequação / Instalação elétrica / Hotel de Trânsito / 21º GAC</t>
  </si>
  <si>
    <t>21º GAC</t>
  </si>
  <si>
    <t>DIEx 594-HTO/HTS/21º GAC</t>
  </si>
  <si>
    <t xml:space="preserve">Solicitação OPUS nº 202501000239 </t>
  </si>
  <si>
    <t>Vistoria para adequar a alimentação de energia elétrica do Hotel de Trânsito de Oficiais à demanda que o local necessita.</t>
  </si>
  <si>
    <t>Ten João Pedro</t>
  </si>
  <si>
    <t>VISTORIA TÉCNICA - 20250100023901</t>
  </si>
  <si>
    <t>Adequação / Instalação elétrica / Hotel de Trânsito / 21º GAC - CAIXAS DE PASSAGEM DE ESGOTO</t>
  </si>
  <si>
    <t>DIEX 594-HTO/HTS/21º GAC - Caixas de passagem Esgoto</t>
  </si>
  <si>
    <t>Vistoria para adequar as caixas de passagem de esgoto que o local necessita.</t>
  </si>
  <si>
    <t>VISTORIA TÉCNICA - 20250100023902</t>
  </si>
  <si>
    <t>Demolição / PNR CEL FIUZA DE CASTRO 13 / RJ010204C0139 / Cb/Sd/Tf / AGR</t>
  </si>
  <si>
    <t>AGR</t>
  </si>
  <si>
    <t>Solicitação OPUS nº 202401000570</t>
  </si>
  <si>
    <t>Emissão de laudo técnico parcial e análise sobre danos estruturais do incêndio no PNR localizado na Rua Cel Fiuza de Castro nº 14, ocorrido no dia 08/06/2024</t>
  </si>
  <si>
    <t xml:space="preserve">VISTORIA TÉCNICA Nº 25010
VT – CÓDIGO OPUS Nº 20240100057001 </t>
  </si>
  <si>
    <t xml:space="preserve">Avaliação da Subestação de Energia da EsAO </t>
  </si>
  <si>
    <t>EsAO</t>
  </si>
  <si>
    <t>Avaliação da Subestação de Energia da Escola de Aperfeiçoamento de Oficiais – EsAO afim de adequação para aumento de carga junto a concessionária de energia.</t>
  </si>
  <si>
    <t>Ten Sodré</t>
  </si>
  <si>
    <t>PARECER TÉCNICO Nº 25026</t>
  </si>
  <si>
    <t>Verificar Sistema de ar condicionado central que atende às salas de aula General Ayrosa da EsAO.</t>
  </si>
  <si>
    <t>DIEx nº1962-Seç Ob Mil/Cmdo/5º GptE, 12 de maio 25</t>
  </si>
  <si>
    <t>Fornecer suporte técnico ao 5º Grupamento de Engenharia quanto à situação de inoperância do sistema de ar condicionado central que atende às salas de aula General Ayrosa, localizado nas dependências da Escola de Aperfeiçoamento de Oficiais – EsAO.</t>
  </si>
  <si>
    <t>PARECER TÉCNICO Nº 25038</t>
  </si>
  <si>
    <t>Curto-circuito na cabine primária do 1º BG</t>
  </si>
  <si>
    <t xml:space="preserve">DIEx nº 1680-Seç Ob Mil/Cmdo/5º GptE (Chefe do Estado-Maior do 5º Gpto E para Chefe da CRO/1) e DIEx nº 1036-FISC ADM/EM/1BG, de 15 ABR 25 (Cmdo do 1°BG ao Chefe do Estado-Maior do 5º Gpto E). 5º Gpto E). </t>
  </si>
  <si>
    <t>Solicitação OPUS nº 202501000331</t>
  </si>
  <si>
    <t>Informo a esse Grande Comando que, no dia 14 de abril de 2025, foi registrada uma ocorrência de curto-circuito na Casa de Alta Tensão que ocasionou uma queda de energia no Batalhão.</t>
  </si>
  <si>
    <t>DIEx nº 1111-Sect/CRO/1 do chefe da CRO/1 para Chefe do Estado-Maior do 5º Gpto</t>
  </si>
  <si>
    <t>VISTORIA TÉCNICA Nº 25035
VT – CÓDIGO OPUS Nº 20250100033101</t>
  </si>
  <si>
    <t>Problemas de alagamento no Laboratório de Robótica Industrial e de Defesa do IME -encaminhamento</t>
  </si>
  <si>
    <t>IME</t>
  </si>
  <si>
    <t>infiltrações na sala situada aos fundos do Laboratório de Robótica Industrial e de Defesa (IDR), no Instituto Militarde Engenharia (IME), agravadas pelas chuvas recentes. A sala afetada está localizada junto àparede externa voltada para a área da obra de construção do prédio anexo ao IME.</t>
  </si>
  <si>
    <t>Vistoria Técnica na Estação de Tratamento de Esgoto (ETE) do Depósito Central de Munição.</t>
  </si>
  <si>
    <t>DCMun</t>
  </si>
  <si>
    <t>DIEx nº 1554-Seç Ob Mil/Cmdo/5º GptE (Chefe do Estado-Maior do 5º Gpto E para Chefe da CRO/1)</t>
  </si>
  <si>
    <t>Solicitação OPUS nº202501000426</t>
  </si>
  <si>
    <t>Confecção de relatório de vistoria técnica</t>
  </si>
  <si>
    <t>Aguardando assinatura do chefe. REENVIAR.</t>
  </si>
  <si>
    <t>VISTORIA TÉCNICA Nº 25050
VT – CÓDIGO OPUS Nº 20250100042602</t>
  </si>
  <si>
    <t>Visita técnica para verificar as condições estruturais e elétricas do 1º BPE.</t>
  </si>
  <si>
    <t>Tal solicitação visa a realização de melhorias nas condições de trabalho, segurança e da vida útil dos equipamentos. Para isso, faz-se necessário uma vistoria na parte estrutural do pavilhão de comando, que encontra-se bem desgastada pelo tempo, e outra vistoria na parte elétrica, no qual possui ligações bem antigas, gerando quedas de energia repetidamente ao longo do dia</t>
  </si>
  <si>
    <t>Vistoria Téncnica ao 1° D Sup - Gerador</t>
  </si>
  <si>
    <t>Solicitada Verbalmente pelo Maj Omine</t>
  </si>
  <si>
    <t>A vistoria tem por finalidade o atendimento ao DIEx n° 3468-SSSOM/SGME/DME, que solicita a verificação das condiçoes técnida de um gerador e a emissão de um relatório que indique a viabilidade ou não, de um possivel recurso para manutenção dete equipamento.</t>
  </si>
  <si>
    <t>DiEx</t>
  </si>
  <si>
    <t>VISTORIA TÉCNICA Nº 25031</t>
  </si>
  <si>
    <t xml:space="preserve"> Infiltrações no 3º andar da Ala Marcílio Dias - BiBliEx</t>
  </si>
  <si>
    <t>BiBliEx</t>
  </si>
  <si>
    <t>DIEx nº 1753-Seç Ob Mil/Cmdo/5º GptE (Chefe do Estado-Maior do 5º Gpto E para Chefe da CRO/1)</t>
  </si>
  <si>
    <t>Confecção de vistoria técnica para avaliação de infiltração no teto e na parede do passadiço externo da Biblioteca do Exército (BIBLIEx), localizada no 3º andar da Ala Marcílio Dias</t>
  </si>
  <si>
    <t>Vistoria Técnica no 25º BI Pqdt</t>
  </si>
  <si>
    <t>25º BI Pqdt</t>
  </si>
  <si>
    <t>DIEx nº 1798-Seç Ob Mil/Cmdo/5º GptE (Chefe do Estado-Maior do 5º Gpto E para Chefe da CRO/1)</t>
  </si>
  <si>
    <t>Solicitação OPUS nº202501000425</t>
  </si>
  <si>
    <t>Confecção de Vistoria Técnica no 25º BI Pqdt a finalidede de elaborar um plano de ação voltado para solucionar problemas emergenciais, evidenciados, da infraestrutura predial do aquartelamento.</t>
  </si>
  <si>
    <t>DIEx nº 1718-Sec Tec - Fisc/Sec Tec/CRO/1</t>
  </si>
  <si>
    <t>VISTORIA TÉCNICA Nº 25053
VT – CÓDIGO OPUS Nº 20250100042501</t>
  </si>
  <si>
    <t>Vistoria Técnica alojamentos/banheiros DPHCEx.</t>
  </si>
  <si>
    <t>DPHCEx</t>
  </si>
  <si>
    <t>DIEx nº 1218-SAA/DPHCEx (Chefe de gabinete da Diretoria de Patrimônio Histórico e Cultural do Exército para o Chefe da CRO/1)</t>
  </si>
  <si>
    <t>Confecção de Vistoria Técnica. Solicitamos que o estudo seja elaborado com a devida atenção aos detalhes técnicos, considerando as particularidades da obra e as necessidades do projeto a ser executado, na dependência desta Diretoria, além do "Alojamento de Cabos/Soldados", realizar também nas dependência do "Alojamento de ST/ Sgt", localizados, ambos, no 13º andar, no qual os banheiros se encontram sem funcionamento, não viabilizando o mesmo para seu propósito, onde constam pias, vasos sanitários e boxes, que não possuem escoamento de água para que os mesmos possam ser usados normalmente. O Cel FONTES, Chefe da Seção de Apoio Administrativo, por intermédio do Ramal 5792, para os esclarecimentos que se fizerem necessários.</t>
  </si>
  <si>
    <t>Ten Philipe / Sgt Tainã</t>
  </si>
  <si>
    <t>DIEx nº 1829-Sec Tec - Projetos/Sec Tec/CRO/1</t>
  </si>
  <si>
    <t>VISTORIA TÉCNICA Nº 25037 / TR E DOCUMENTAÇÕES TÉCNICAS ENTREGUES ASSINADAS POR DIEX</t>
  </si>
  <si>
    <t xml:space="preserve"> Vistoria técnica no PNR situado à Rua Coronel Amaury, nº 01, Vila Militar São Lázaro, administrada por este Arsenal de Guerra</t>
  </si>
  <si>
    <t>Arsenal de Guerra do Rio de Janeiro</t>
  </si>
  <si>
    <t>DIEx nº 703-DA/SubDir/Dir (Diretor do Arsenal de Guerra para o Chefe da CRO/1)</t>
  </si>
  <si>
    <t>Confecção de relatório de Vistoria Técnica e averiguar condição de risco da edificação. Segundo informação o imóvel está apresentando algumas rachaduras significativas emsua estrutura, o que poderia colocar em risco à segurança das pessoas que residem na referida residência.Contato:  Maj Francischelli, Fiscal Administrativo do AGR, por meio do telefone (21) 3483-9020.</t>
  </si>
  <si>
    <t xml:space="preserve">Iniciativa de modernização de câmaras frigoríficas (CF) </t>
  </si>
  <si>
    <t>Diversas OMs</t>
  </si>
  <si>
    <t>Todas as equipes</t>
  </si>
  <si>
    <t>DIEx nº 975-Sec Tec - Projetos/Sec Tec/CRO/1</t>
  </si>
  <si>
    <t>SOLICITAÇÃO ATENDIDA</t>
  </si>
  <si>
    <t xml:space="preserve"> Apoio técnico de engenheiro mecânico no BCMS (Batalhão Central de Manutenção e Suprimento)</t>
  </si>
  <si>
    <t>DIEx nº 1924-S SeçProj/Res Tec/Cmdo  (Chefe do Estado-Maior do 5º Gpto E para Chefe da CRO/1)</t>
  </si>
  <si>
    <t xml:space="preserve">Análise do projeto e da documentação técnica referente ao sistema de exaustão mecânica da Cabine de Pintura do BCMS (Batalhão Central de Manutenção e Suprimento), com o objetivo de verificar suaconformidade técnica, adequação às normas e eficiência operacional.  Realização de uma visita técnica por parte do referido profissional, com a finalidade de testar o sistema in loco e avaliar suas condições de instalação e funcionamento. </t>
  </si>
  <si>
    <t>Vistoria Técnica na rede elétrica da Companhia de Comando da Brigada de Infantaria Pára-quedista</t>
  </si>
  <si>
    <t>Companhia de Comando da Brigada de Infantaria Pára-quedista</t>
  </si>
  <si>
    <t>DIEx nº 1914-Seç Ob Mil/Cmdo/5º GptE (Chefe do Estado-Maior do 5º Gpto E para Chefe da CRO/1)</t>
  </si>
  <si>
    <t>Solicitação OPUS nº 202501000420</t>
  </si>
  <si>
    <t xml:space="preserve">Confecionar Relatório de Vistoria Técnica. </t>
  </si>
  <si>
    <t>DIEx nº 1474-Sect/CRO/1</t>
  </si>
  <si>
    <t>VISTORIA TÉCNICA Nº 25061</t>
  </si>
  <si>
    <t>TR para aquisição de uma ponte rolante</t>
  </si>
  <si>
    <t>ORDEM VERBAL</t>
  </si>
  <si>
    <t>Confecionar Termo de Referência para a aquisição de uma ponte rolante.</t>
  </si>
  <si>
    <t>Vistoria Técnica com objetivo de tratar assuntos pertinentes à instalação de Estação de Tratamento de Esgoto (ETE) para atender ao CGEA e a Vila Popular do Manga Larga.</t>
  </si>
  <si>
    <t>CGEA</t>
  </si>
  <si>
    <t>DIEx nº 1677-Seç Ob Mil/Cmdo/5º GptE DIEX 4436 E 439</t>
  </si>
  <si>
    <t>Vistoria Técnica comobjetivo de tratar assuntos pertinentes à instalação de Estação de Tratamento de Esgoto (ETE)para atender ao CGEA e a Vila Popular do Manga Larga.</t>
  </si>
  <si>
    <t>PROBLEMA RESOLVIDO PELA PRÓPRIA OM.</t>
  </si>
  <si>
    <t xml:space="preserve"> Vistoria Técnica no ar condicionado central, que atende as salas de aula do Pavilhão Tasso Fragoso, da Escola de Aperfeiçoamento de Oficiais (EsAO)</t>
  </si>
  <si>
    <t>ESAO</t>
  </si>
  <si>
    <t>DIEx nº 1962-Seç Ob Mil/Cmdo/5º GptE (Chefe do Estado-Maior do 5º Gpto E para Chefe da CRO/1)</t>
  </si>
  <si>
    <t>Confecionar Relatório de Vistoria Técnica. Solicito verificar a possibilidade de prestar apoio a esta Escola, por meio da realização de uma vistoria técnica no ar condicionado central, que atende as salas de aula do Pavilhão Tasso Fragoso, tendo em vista o não funcionamento do equipamento. Coloco à disposição o Cap Fiamoncini, Instr C Eng, no telefone (42) 99136-9858, para prestareventuais esclarecimentos.</t>
  </si>
  <si>
    <t>manutenção de bens imóveis - salas do Ch e VCh do DECEx</t>
  </si>
  <si>
    <t>DECEx</t>
  </si>
  <si>
    <t>DIEx nº 2118-Seç Ob Mil/Cmdo/5º GptE (Chefe do Estado-Maior do 5º Gpto E para Chefe da CRO/1)</t>
  </si>
  <si>
    <t>Vistoria Técnica nas salas do Chefe e do Vice-chefe do DECEx, a fim de realizar um projeto que permita a contratação do serviço decorrente, conforme descrito no documento anexo.</t>
  </si>
  <si>
    <t>Está sob responsabilidade de da seção de projetos.</t>
  </si>
  <si>
    <t>Ampliação Pavimentação do HCE - FASE 2</t>
  </si>
  <si>
    <t>HCE</t>
  </si>
  <si>
    <t>DIEx nº 2120-Seç Ob Mil/Cmdo/5º GptE (Chefe do Estado-Maior do 5º Gpto E para Chefe da CRO/1)</t>
  </si>
  <si>
    <t xml:space="preserve">Solicitação OPUS nº 202101000159 </t>
  </si>
  <si>
    <r>
      <rPr>
        <b/>
        <sz val="11"/>
        <color theme="1"/>
        <rFont val="Calibri"/>
        <family val="2"/>
      </rPr>
      <t>DETALHAR A DEMANDA SOLICITADA.</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Reforma da rede de infraestrutura (Urbanização, Pavimentação, Água, Esgoto, Drenagem) na região central do HCE (fase 2). VALOR ESTIMADO R$ 8.000.000,00</t>
    </r>
  </si>
  <si>
    <t>Adequação da Central de Material de Esterilização (Pavilhão Marechal Ferreira do Amaral) do HCE.</t>
  </si>
  <si>
    <t xml:space="preserve">Solicitação OPUS nº 202101000163 </t>
  </si>
  <si>
    <r>
      <rPr>
        <b/>
        <sz val="11"/>
        <color theme="1"/>
        <rFont val="Calibri"/>
        <family val="2"/>
      </rPr>
      <t xml:space="preserve">DETALHAR A DEMANDA SOLICITADA. </t>
    </r>
    <r>
      <rPr>
        <sz val="11"/>
        <color theme="1"/>
        <rFont val="Calibri"/>
        <family val="2"/>
      </rPr>
      <t xml:space="preserve">Atualizar as demandas constantes no documento anexo, relativas ao Hospital Central do Exército. Conjunto de Vistorias Técnicas a serem realizads no HCE. </t>
    </r>
    <r>
      <rPr>
        <b/>
        <sz val="11"/>
        <color theme="1"/>
        <rFont val="Calibri"/>
        <family val="2"/>
      </rPr>
      <t>Adequação da antiga área da ortopedia para o novo CME. VALOR ESTIMADO R$ 1.500.000,00</t>
    </r>
  </si>
  <si>
    <t>Ampliação da Pavimentação do HCE - FASE 3</t>
  </si>
  <si>
    <t>Solicitação OPUS nº 202101000160</t>
  </si>
  <si>
    <r>
      <rPr>
        <b/>
        <sz val="11"/>
        <color theme="1"/>
        <rFont val="Calibri"/>
        <family val="2"/>
      </rPr>
      <t>DETALHAR A DEMANDA SOLICITADA.</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Reforma da rede de infraestrutura (urbanização) da região lateral (ambulatório-emergência) (fase 3). VALOR ESTIMADO R$ 3.000.000,00</t>
    </r>
  </si>
  <si>
    <t>Ampliação da Pavimentação do HCE - FASE 4</t>
  </si>
  <si>
    <t>Solicitação OPUS nº 202101000161</t>
  </si>
  <si>
    <r>
      <rPr>
        <b/>
        <sz val="11"/>
        <color theme="1"/>
        <rFont val="Calibri"/>
        <family val="2"/>
      </rPr>
      <t>DETALHAR A DEMANDA SOLICITADA.</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Reforma da rede de infraestrutura (rede elétrica AT/BT), subestações, transformadores, iluminação externa, cabeamento estruturado, SPDA) (Fase 4). VALOR ESTIMADO R$ 6.000.000,00</t>
    </r>
  </si>
  <si>
    <t>Reforma do Edifício Garagem do HCE.</t>
  </si>
  <si>
    <t>Solicitação OPUS nº 202401000066</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</si>
  <si>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Conclusão do piso, paredes e divisórias do térreo. VALOR ESTIMADO R$ 350.000,00</t>
    </r>
  </si>
  <si>
    <t>Reforma do SAME / Pavilhão do Ambulatório do HCE.</t>
  </si>
  <si>
    <t>Solicitação OPUS nº 202401000069</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</si>
  <si>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Recuperação do piso e instalação dos armários deslizantes e ar condicionado central. VALOR ESTIMADO R$ 150.000,00</t>
    </r>
  </si>
  <si>
    <t>Reforma no Pavilhão de engenharia e serviços do HCE.</t>
  </si>
  <si>
    <t>Solicitação OPUS nº 202401000071</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</si>
  <si>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Aquisição de materiais em geral para utilização pelo Pelotão de Obras do HCE. VALOR ESTIMADO R$ 250.000,00</t>
    </r>
  </si>
  <si>
    <t>Reforma da cobertura do Pavilhão do Ambulatório do HCE.</t>
  </si>
  <si>
    <t>Solicitação OPUS nº 202201000149</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</si>
  <si>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Reparo geral em telhado com grau elevado de danos não sendo possível fazer reparos paleativos. VALOR ESTIMADO R$ 814.893,51</t>
    </r>
  </si>
  <si>
    <t>Restauração do Pavilhão Central do HCE.</t>
  </si>
  <si>
    <t>Solicitação OPUS nº 202001000285</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</si>
  <si>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Recuperação estrutural do telhado devido madeira deteriorada, telhas quebradas, tubulações danificadas (calhas). Infiltração na edificação, manta térmica danificada, escoramentos inadequados nas vigas do telhado. A Clarabóia necessita da substituição de alguns perfis metálicos, tratamento e pintura, Recuperação estrutural das varandas, lajes com desagregação do concreto e armadura exposta, desplacamentos de revestimento das lajes, pilares deteriorados e, guarda corpo sem fixação. Recuperação da fachada e interior, reboco das paredes descolando, presença de umidade e fungos, pintura não uniforme, esquadrias de madeira em estado ruim de conservação, fiação elétrica e ar condicionado inadequadamente instalados. VALOR ESTIMADO R$ 3.071.780,88</t>
    </r>
  </si>
  <si>
    <t>Ampliação do Depósito Material Cirúrgico no Pavilhão Administrativo do HCE.</t>
  </si>
  <si>
    <t>Solicitação OPUS nº 201801000323</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</si>
  <si>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Reforma das instalações de acondicionamento dos materiais/medicamentos, conforme ANVISA (RDC50/2002); Melhoria das condições de biossegurança e controle dos estoques pela reorganização da admissão/dispensação de medicamentos/materiais cirúrgicos. VALOR ESTIMADO R$ 1.914.600,00</t>
    </r>
  </si>
  <si>
    <t>Ampliação / Adequação elétrica da Central de Medições do HCE.</t>
  </si>
  <si>
    <t>Solicitação OPUS nº 201801000322</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</si>
  <si>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Adequação de nova rede de alimentação e distribuição de energia elétrica de baixa e média tensão. As subestações possuem sistema de isolamento ultrapassado com sériosproblemas estruturais. Falta de identificação adequada em função dos acréscimos e remanejamentos dos últimos anos, Nesta primeira fase de execução do projeto elétrico aprovado na LIGHT, serão executados: CABINES DE MEDIÇÕES, SUBESTAÇÃO PRINCIPAL E SUBESTAÇÃO DA CASA DE MÁQUINAS DO CAMPUS/HCE. VALOR ESTIMADO R$ 8.801.905,53</t>
    </r>
  </si>
  <si>
    <t>Adequação PPCI do Edifício Garagem do HCE.</t>
  </si>
  <si>
    <t>Solicitação OPUS nº 201801000096</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</si>
  <si>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Projeto executivo de Prevenção, Detecção e combate Incêndio do Edifício Garagem. VALOR ESTIMADO R$ 118.521,78</t>
    </r>
  </si>
  <si>
    <t>Adequação do 1º Andar do Pavilhão Marechal Ferreira do Amaral do HCE.</t>
  </si>
  <si>
    <t>Solicitação OPUS nº 201301000401</t>
  </si>
  <si>
    <r>
      <rPr>
        <b/>
        <sz val="11"/>
        <color theme="1"/>
        <rFont val="Calibri"/>
        <family val="2"/>
      </rPr>
      <t>ALTERAR</t>
    </r>
    <r>
      <rPr>
        <sz val="11"/>
        <color theme="1"/>
        <rFont val="Calibri"/>
        <family val="2"/>
      </rPr>
      <t>. Atualizar as demandas constantes no documento anexo, relativas ao Hospital Central do Exército. Conjunto de Vistorias Técnicas a serem realizads no HCE.</t>
    </r>
    <r>
      <rPr>
        <b/>
        <sz val="11"/>
        <color theme="1"/>
        <rFont val="Calibri"/>
        <family val="2"/>
      </rPr>
      <t xml:space="preserve"> Contratar empresa de engenharia para adequar as instalações e equipamentos prediais do Centro de Tratamento Intensivo. VALOR ESTIMADO R$ 1.870.968,25</t>
    </r>
  </si>
  <si>
    <t>Aquisição de 5 Geradores Fixos para a Subestação do HCE.</t>
  </si>
  <si>
    <t>Solicitação OPUS nº 201401000188</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</si>
  <si>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Aquisição de Grupo Motor Gerador de energia elétrica, acionado por um motor diesel cabinado e silencioso. VALOR ESTIMADO R$ 1.905.000,00</t>
    </r>
  </si>
  <si>
    <t>Equipe Brigadista para o Edifício Garagem do HCE.</t>
  </si>
  <si>
    <t>Solicitação OPUS nº 202301000479</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</si>
  <si>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Contratação de equipe de brigadistas em atendimento ao TAC. VALOR ESTIMADO R$ 133.500,00</t>
    </r>
  </si>
  <si>
    <t>Pintura do Pavilhão João Severiano da Fonseca do HCE.</t>
  </si>
  <si>
    <t>Solicitação OPUS nº 202301000488</t>
  </si>
  <si>
    <r>
      <rPr>
        <b/>
        <sz val="11"/>
        <color theme="1"/>
        <rFont val="Calibri"/>
        <family val="2"/>
      </rPr>
      <t>ALTERAR</t>
    </r>
    <r>
      <rPr>
        <sz val="11"/>
        <color theme="1"/>
        <rFont val="Calibri"/>
        <family val="2"/>
      </rPr>
      <t>. Atualizar as demandas constantes no documento anexo, relativas ao Hospital Central do Exército. Conjunto de Vistorias Técnicas a serem realizads no HCE.</t>
    </r>
    <r>
      <rPr>
        <b/>
        <sz val="11"/>
        <color theme="1"/>
        <rFont val="Calibri"/>
        <family val="2"/>
      </rPr>
      <t xml:space="preserve"> Pintura interna das paredes do Bloco de Agudos. VALOR ESTIMADO R$ 378.085,43</t>
    </r>
  </si>
  <si>
    <t>Adequação do Sistema de Combate à Incêndio do HCE.</t>
  </si>
  <si>
    <t>Solicitação OPUS nº 202401000683</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</si>
  <si>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Adequação do Sistema de Combate à Incêndio do HCE em atendimento as 5 etapas do TAC. VALOR ESTIMADO R$ 2.457.000,00</t>
    </r>
  </si>
  <si>
    <t>Heliponto no Edifício Garagem do HCE.</t>
  </si>
  <si>
    <t>Solicitação OPUS nº 202401000687</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</si>
  <si>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Adequação que atenda aos critérios de homologação do heliponto do HCE. VALOR ESTIMADO R$ 200.000,00</t>
    </r>
  </si>
  <si>
    <t>Usina fotovoltaica do HCE.</t>
  </si>
  <si>
    <t>Solicitação OPUS nº 202401000851</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</si>
  <si>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Implantação de usina solar fotovoltaica, minigeração de 150 KWP – Usina de telhado. VALOR ESTIMADO R$ 1.500.000,00</t>
    </r>
  </si>
  <si>
    <t>Restauração da Capela do HCE.</t>
  </si>
  <si>
    <t>Solicitação OPUS nº 202501000217</t>
  </si>
  <si>
    <r>
      <rPr>
        <b/>
        <sz val="11"/>
        <color theme="1"/>
        <rFont val="Calibri"/>
        <family val="2"/>
      </rPr>
      <t>ALTERAR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Restauração em toda capela. VALOR ESTIMADO R$ 290.000,00</t>
    </r>
  </si>
  <si>
    <t xml:space="preserve">Reforma / Pavilhão central / HCE </t>
  </si>
  <si>
    <t>Solicitação OPUS nº 202401000468</t>
  </si>
  <si>
    <r>
      <rPr>
        <b/>
        <sz val="11"/>
        <color theme="1"/>
        <rFont val="Calibri"/>
        <family val="2"/>
      </rPr>
      <t>EXCLUIR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Restauração dos vitrais que compõem a claraboia no pavilhão central. VALOR R$ 268.000,00</t>
    </r>
  </si>
  <si>
    <t>Adequação / Pavilhão Mar Severiano da Fonseca / HCE</t>
  </si>
  <si>
    <t>Solicitação OPUS nº 201801000157</t>
  </si>
  <si>
    <r>
      <rPr>
        <b/>
        <sz val="11"/>
        <color theme="1"/>
        <rFont val="Calibri"/>
        <family val="2"/>
      </rPr>
      <t>EXCLUIR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Reforma das Alas "C" e "D" do 4º andar de internação do Pavilhão Gen João Severiano da Fonseca - Melhoria das condições de conforto para os pacientes internados; O 4º andar nunca sofreu nenhuma intervenção desde a inauguração do bloco de agudos; adequação às normas em vigor da ANVISA (RDC 50/2002); Humanização do ambiente de internação conforme as novas tendências da arquitetura hospitalar, baseada nos preceitos de "ambiente de cura" e "design baseado em evidências. VALOR R$ 6.306.912,37</t>
    </r>
  </si>
  <si>
    <t>Adequação / Sala Centro Cirúrgico do bloco de agudos com nove salas cirúrgicas / PAVILHÃO JOÃO SEVERIANO DA FONSECA (PJSF) / HCE</t>
  </si>
  <si>
    <t>Solicitação OPUS nº 201701000061</t>
  </si>
  <si>
    <r>
      <rPr>
        <b/>
        <sz val="11"/>
        <color theme="1"/>
        <rFont val="Calibri"/>
        <family val="2"/>
      </rPr>
      <t>EXCLUIR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Contratação de remanescente da obra de adequação das instalações do Centro do Coração - Hemodinâmica e Coronária. VALOR R$ 1.313.947,12</t>
    </r>
  </si>
  <si>
    <t>Adequação / Térreo / PAVILHÃO JOÃO SEVERIANO DA FONSECA (PJSF) / HCE</t>
  </si>
  <si>
    <t>Solicitação OPUS nº 201901000085</t>
  </si>
  <si>
    <r>
      <rPr>
        <b/>
        <sz val="11"/>
        <color theme="1"/>
        <rFont val="Calibri"/>
        <family val="2"/>
      </rPr>
      <t>EXCLUIR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Foi solicitado pelo Comandante da 1ª RM que os projetos da CTI e Coronariana do HCE fossem licitados em um mesmo processo. Houve várias denúncias em relação à obra do CTI, por este motivo, a licitação foi paralisada após a adjudicação e possivelmente será revogada. Para viabilizar a nova licitação há necessidade de uma pré-análise da DOM com referência aos mesmos. Também se faz conveniente a nova aprovação, tendo em vista que não houve consulta perante a ANVISA e atualmente, o quadro técnico da Diretoria possui especialista em arquitetura hospitalar. Para tal, foi cadastrado no OPUS um único projeto sob número 201901013 que substitui os antigos projetos: 201601033 (CTI) e 201701005 (Coronária). Como subsídio, esclareço que os mesmos já foram analisados por essa Diretoria e aprovados por meio dos relatórios técnicos RT 201701005RT02 e RT 201601033RT04.</t>
    </r>
    <r>
      <rPr>
        <sz val="11"/>
        <color theme="1"/>
        <rFont val="Calibri"/>
        <family val="2"/>
      </rPr>
      <t xml:space="preserve"> </t>
    </r>
    <r>
      <rPr>
        <b/>
        <sz val="11"/>
        <color theme="1"/>
        <rFont val="Calibri"/>
        <family val="2"/>
      </rPr>
      <t>VALOR R$3.334.917,21</t>
    </r>
  </si>
  <si>
    <t>Adequação / Pavilhão Cirurgico Humberto de Mello (PCHM) / HCE</t>
  </si>
  <si>
    <t>Solicitação OPUS nº 201901000086</t>
  </si>
  <si>
    <r>
      <rPr>
        <b/>
        <sz val="11"/>
        <color theme="1"/>
        <rFont val="Calibri"/>
        <family val="2"/>
      </rPr>
      <t>EXCLUIR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Foi solicitado pelo Comandante da 1ª RM que os projetos da CTI e Coronariana do HCE fossem licitados em um mesmo processo. Houve várias denúncias em relação à obra do CTI, por este motivo, a licitação foi paralisada após a adjudicação e possivelmente será revogada. Para viabilizar a nova licitação há necessidade de uma pré-análise da DOM com referência aos mesmos. Também se faz conveniente a nova aprovação, tendo em vista que não houve consulta perante a ANVISA e atualmente, o quadro técnico da Diretoria possui especialista em arquitetura hospitalar. Para tal, foi cadastrado no OPUS um único projeto sob número 201901013 que substitui os antigos projetos: 201601033 (CTI) e 201701005 (Coronária). Como subsídio, esclareço que os mesmos já foram analisados por essa Diretoria e aprovados por meio dos relatórios técnicos RT 201701005RT02 e RT 201601033RT04. VALOR R$ 16.489.365,58</t>
    </r>
  </si>
  <si>
    <t>Adequação / PAVIMENTAÇÃO / HCE - FASE 1</t>
  </si>
  <si>
    <t>Solicitação OPUS nº 202001000625</t>
  </si>
  <si>
    <r>
      <rPr>
        <b/>
        <sz val="11"/>
        <color theme="1"/>
        <rFont val="Calibri"/>
        <family val="2"/>
      </rPr>
      <t>EXCLUIR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Obra de adequação de pavimentação, urbanismo e redes de esgoto, drenagem e água para melhorias e correções nas instalações do HCE. VALOR R$ 6.002.165,87</t>
    </r>
  </si>
  <si>
    <t>Reparação / Pavilhão Mar Severiano da Fonseca / HCE</t>
  </si>
  <si>
    <t>Solicitação OPUS nº 202501000002</t>
  </si>
  <si>
    <r>
      <rPr>
        <b/>
        <sz val="11"/>
        <color theme="1"/>
        <rFont val="Calibri"/>
        <family val="2"/>
      </rPr>
      <t>EXCLUIR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Foi celebrado o Termo de Contrato 11/2021, pela Comissão Regional de Obras da 1ª Região Militar, para a Reforma do Centro de Terapia Intensiva (CTI) e do Centro do Coração (CCOR). Para a definição do escopo do Termo de Contrato 11/2021, foi utilizado como premissa o aproveitamento dos serviços executados em contratação anterior, conduzida pelo próprio HCE. No entanto, após sucessivos atrasos na execução dos serviços pela empresa contratada, foi realizada a rescisão contratual e a interrupção dos serviços. Nesse contexto, surgiu a necessidade de elaborar novo edital e realizar novo processo licitatório para a conclusão das obras do CTI e CCOR do HCE. Além disso, na fase de execução do Termo de Contrato 11/2021 foram identificadas necessidades de ajustes dos serviços contratados que ensejariam a elaboração de termos aditivos. Dessa maneira, o Termo de Referência contemplará, além dos serviços não executados, os ajustes necessários para a entrega completa do objeto. Devido a característica o projeto foi parcelado. Assim, essa solicitação corresponde ao projeto de Ar Condicionado do CCOR. VALOR R$ 1.083.352,64</t>
    </r>
  </si>
  <si>
    <t>Reparação / 1º Andar / Pavilhão Marechal Ferreira do Amaral / HCE</t>
  </si>
  <si>
    <t>Solicitação OPUS nº 202501000003</t>
  </si>
  <si>
    <r>
      <rPr>
        <b/>
        <sz val="11"/>
        <color theme="1"/>
        <rFont val="Calibri"/>
        <family val="2"/>
      </rPr>
      <t>EXCLUIR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Foi celebrado o Termo de Contrato 11/2021, pela Comissão Regional de Obras da 1ª Região Militar, para a Reforma do Centro de Terapia Intensiva (CTI) e do Centro do Coração (CCOR). Para a definição do escopo do Termo de Contrato 11/2021, foi utilizado como premissa o aproveitamento dos serviços executados em contratação anterior, conduzida pelo próprio HCE. No entanto, após sucessivos atrasos na execução dos serviços pela empresa contratada, foi realizada a rescisão contratual e a interrupção dos serviços. Nesse contexto, surgiu a necessidade de elaborar novo edital e realizar novo processo licitatório para a conclusão das obras do CTI e CCOR do HCE. Além disso, na fase de execução do Termo de Contrato 11/2021 foram identificadas necessidades de ajustes dos serviços contratados que ensejariam a elaboração de termos aditivos. Dessa maneira, o Termo de Referência contemplará, além dos serviços não executados, os ajustes necessários para a entrega completa do objeto. Devido a característica o projeto foi parcelado. Assim, essa solicitação corresponde ao projeto de Ar Condicionado do CTI. VALOR R$ 1.883.381,49</t>
    </r>
  </si>
  <si>
    <t>Reforma / CA, SEC SAÚDE, BIBLIOTECA, LAB INFORMÁTICA, SEC MNT TRANSPORTE, / HCE</t>
  </si>
  <si>
    <t>Solicitação OPUS nº 202501000257</t>
  </si>
  <si>
    <r>
      <rPr>
        <b/>
        <sz val="11"/>
        <color theme="1"/>
        <rFont val="Calibri"/>
        <family val="2"/>
      </rPr>
      <t>EXCLUIR</t>
    </r>
    <r>
      <rPr>
        <sz val="11"/>
        <color theme="1"/>
        <rFont val="Calibri"/>
        <family val="2"/>
      </rPr>
      <t xml:space="preserve">. Atualizar as demandas constantes no documento anexo, relativas ao Hospital Central do Exército. Conjunto de Vistorias Técnicas a serem realizads no HCE. </t>
    </r>
    <r>
      <rPr>
        <b/>
        <sz val="11"/>
        <color theme="1"/>
        <rFont val="Calibri"/>
        <family val="2"/>
      </rPr>
      <t>Adequação do primeiro pavimento ficou definido que será para atender as famílias dos pacientes hospitalizados, ou seja, servirá para complementar a casa de apoio existente próximo ao edifício. Foi estabelecido o mínimo de intervenção possível, reaproveitamento dos espaços sem retirada de pisos, bancadas, banheiros e lavanderia. Para melhor adequação foi proposto banheiros coletivos (feminino e masculino) e nesse ambiente fez necessário a retirada de uma bancada existente, nova iluminação, tratamento de todas as portas e esquadrias danificadas e instalação de ar- condicionado. VALOR R$ 717.601,77</t>
    </r>
  </si>
  <si>
    <t>Pavilhão de Manutenção BCMS</t>
  </si>
  <si>
    <t>DIEx nº 1108-Res Tec Vm e Adj/Sec Tec/CRO/1</t>
  </si>
  <si>
    <t>Vistoria Técnica relativo à Adequação do Batalhão de Manutenção do BCMS.</t>
  </si>
  <si>
    <t>Apoio para análise das faturas de energia elétrica das OMDS da Bda Inf Pqdt.</t>
  </si>
  <si>
    <t>OMDS da Bda Inf Pqdt</t>
  </si>
  <si>
    <t>DIEx nº 2191-Seç Ob Mil/Cmdo/5º GptE (Chefe do Estado-Maior do 5º Gpto E para Chefe da CRO/1)</t>
  </si>
  <si>
    <t>Apoio para análise das faturas de energia elétrica das OMDS da Bda Inf Pqdt. Tal ação visa identificar oportunidades de correção de demanda e otimização de custos, umavez que a análise técnica dos padrões de consumo é possível identificar momentos de pico,sazonalidade e irregularidades que podem indicar a necessidade de ajuste do contrato dedemanda, ou até mesmo de medidas de melhoria na eficiência energética.</t>
  </si>
  <si>
    <t>5º Gpto E</t>
  </si>
  <si>
    <t>DIEx nº 2924-Seç Ob Mil/Cmdo/5º GptE</t>
  </si>
  <si>
    <t>REALIZADO PELO 5º GPTO E.</t>
  </si>
  <si>
    <t>Falta de energia permanente na Instituto de Defesa Química,Biológica, Radiológica e Nuclear (IDQBRN)</t>
  </si>
  <si>
    <t>IDQBRN</t>
  </si>
  <si>
    <t>DIEx nº 2332-Seç Ob Mil/Cmdo/5º GptE (Chefe do Estado-Maior do 5º Gpto E para Chefe da CRO/1) e DIEx nº 692-IDQBRN, de 29 MAI 25.</t>
  </si>
  <si>
    <t>Vistoria Técnica por um Engenheiro Eletricista na subestação e na parte elétrica interna dos laboratórios do Instituto de Defesa Química,Biológica, Radiológica e Nuclear (IDQBRN</t>
  </si>
  <si>
    <t xml:space="preserve">DiEx do chefe da CRO/1 para o 5º Gpto E </t>
  </si>
  <si>
    <t>Vazamento piscina do Centro de Estudos de Pessoal e Forte Duque de Caxias</t>
  </si>
  <si>
    <t>CEP</t>
  </si>
  <si>
    <t>DIEx nº 2306-Seç Ob Mil/Cmdo/5º GptE (Chefe do Estado-Maior do 5º Gpto E para Chefe da CRO/1)</t>
  </si>
  <si>
    <t xml:space="preserve"> Vistoria Técnica para avaliar possíveis danos da piscina do CEP. Produção de documentações técnicas para Licitação da Piscina do CEP.</t>
  </si>
  <si>
    <t>Cap Henrique / Ten Philipe / Sgt Tainã</t>
  </si>
  <si>
    <t>DiEx do chefe da CRO/1 para o 5º Gpto E com documentações técnicas</t>
  </si>
  <si>
    <t xml:space="preserve">Apoio técnico ao projeto de Arquivo Geral do CML. </t>
  </si>
  <si>
    <t>Arquivo Geral do CML</t>
  </si>
  <si>
    <t>DIEx nº 2300-Seç Ob Mil/Cmdo/5º GptE (Chefe do Estado-Maior do 5º Gpto E para Chefe da CRO/1)</t>
  </si>
  <si>
    <t>Apoio técnico ao projeto de Arquivo Geral do CML. Tratar com empresa de consultoria sobre o peso a ser suportado em laje para definir projeto do Arquivo Geral do CML.</t>
  </si>
  <si>
    <t xml:space="preserve">Cap Henrique / Ten Philipe </t>
  </si>
  <si>
    <t>DIEx nº 1789-Sec Tec - Projetos/Sec Tec/CRO/1</t>
  </si>
  <si>
    <t xml:space="preserve">VISTORIA TÉCNICA Nº 25051
VT – CÓDIGO OPUS Nº </t>
  </si>
  <si>
    <t>Adaptações no alojamento de Cb/SD da Cia C CML, na Ala Marcílio Dias do PDC.</t>
  </si>
  <si>
    <t>Cia C CML, na Ala Marcílio Dias do PDC.</t>
  </si>
  <si>
    <t>DIEx nº 2348-Seç Ob Mil/Cmdo/5º GptE (Chefe do Estado-Maior do 5º Gpto E para Chefe da CRO/1)</t>
  </si>
  <si>
    <t>Vistoria Técnica para avaliar as possíveis adaptações no alojamento de Cb/SD da Cia C CML, na Ala Marcílio Dias do PDC. 2º Ten ALVAREZ, Adj 4ª seção/Cia C CML, por meio do RITEx: 810-5282 ou pelo telefone: (21) 98517-3549.</t>
  </si>
  <si>
    <t>Telhado do SIAAAe</t>
  </si>
  <si>
    <t>1º GAAAe</t>
  </si>
  <si>
    <t>Dirtamente com o CMDT da OM.</t>
  </si>
  <si>
    <t>Solicitação OPUS nº 202501000411</t>
  </si>
  <si>
    <t>Exceutado relatorio de vistoria técnica</t>
  </si>
  <si>
    <t>Aguardando assinatura do chefe.</t>
  </si>
  <si>
    <t>VISTORIA TÉCNICA Nº 25054
VT – CÓDIGO OPUS Nº 20250100041101</t>
  </si>
  <si>
    <t>Demolição Pavilhão no 1º GAAAe</t>
  </si>
  <si>
    <t>Informações no Whatsappp Maj Omine</t>
  </si>
  <si>
    <t>Solicitação OPUS nº 202501000413</t>
  </si>
  <si>
    <r>
      <rPr>
        <sz val="11"/>
        <color theme="1"/>
        <rFont val="Calibri"/>
        <family val="2"/>
      </rPr>
      <t xml:space="preserve">Incidente: Caiu uma árvore em cima do Pavilhão. Necessita vistoria. </t>
    </r>
    <r>
      <rPr>
        <b/>
        <sz val="11"/>
        <color theme="1"/>
        <rFont val="Calibri"/>
        <family val="2"/>
      </rPr>
      <t>Contato CAP SPERDUTO (67) 999586266</t>
    </r>
  </si>
  <si>
    <t>VISTORIA TÉCNICA Nº 25055
VT – CÓDIGO OPUS Nº 20250100041301</t>
  </si>
  <si>
    <t>Avaliação da estrutura do galpão D13, localizado na Área 2 do Centro Tecnológico do Exército, com o objetivo de analisar as condições de uso da edificação</t>
  </si>
  <si>
    <t>DIEx nº 2871-S Ch/CTEx</t>
  </si>
  <si>
    <t>Solicitação OPUS nº 202501000358</t>
  </si>
  <si>
    <t>Sgt Leonardo Batista / Cap Henrique</t>
  </si>
  <si>
    <t>VT – CÓDIGO OPUS Nº 20250100053001</t>
  </si>
  <si>
    <t>Pavilhão 7 e 8 do BMSA</t>
  </si>
  <si>
    <t>BMSA</t>
  </si>
  <si>
    <t>Pedido direto do comandante logísitco</t>
  </si>
  <si>
    <r>
      <rPr>
        <sz val="11"/>
        <color theme="1"/>
        <rFont val="Calibri"/>
        <family val="2"/>
      </rPr>
      <t xml:space="preserve">Vistoria contemplando a troca de cobertura do Pavilhão 7 e 8  do BMSA além de pintura das paredes internas e externas e revitalização do piso de concreto. </t>
    </r>
    <r>
      <rPr>
        <b/>
        <sz val="11"/>
        <color theme="1"/>
        <rFont val="Calibri"/>
        <family val="2"/>
      </rPr>
      <t xml:space="preserve">Contato CAP P CAMPOS (21) 985068608 </t>
    </r>
  </si>
  <si>
    <t>VISTORIA TÉCNICA Nº 25068
VT – CÓDIGO OPUS Nº 20250100048701</t>
  </si>
  <si>
    <t>Sistema de Proteção contra Descargas Atmosféricas - BEsCom</t>
  </si>
  <si>
    <t>BEsCOM</t>
  </si>
  <si>
    <t>DIEx nº 2552-Seç Ob Mil/Cmdo/5º GptE</t>
  </si>
  <si>
    <t>Vistoria técnica nas instalações do Batalhão Escola de Comunicações (BEsCom), com a finalidade de subsidiar a elaboração de projeto do SPDA</t>
  </si>
  <si>
    <t>Vistoria técnica nas instalações hidráulicas no  31º Grupo de Artilharia de Campanha (31º GAC – ES)</t>
  </si>
  <si>
    <t>31° GAC</t>
  </si>
  <si>
    <t>DIEx nº 2585-Seç Ob Mil/Cmdo/5º GptE</t>
  </si>
  <si>
    <t>Realização de vistoria técnica nas instalações hidráulicas, tendo em vista os recorrentes vazamentos que vêm comprometendo o sistema de abastecimento de água da Organização Militar</t>
  </si>
  <si>
    <t>RESOLVIDO PELA PRÓPRIA OM JUNTO A CEDAE. INFORMAÇÃO DO SGT WESLEY CONTATO (21) 971123878</t>
  </si>
  <si>
    <t>Avaliação estrutural nas instalações do Pavilhão de Comando do 1º Esqd C L (AMV)</t>
  </si>
  <si>
    <t>1º Esqd C L (AMV)</t>
  </si>
  <si>
    <t>DIEx nº 2609-Seç Ob Mil/Cmdo/5º GptE</t>
  </si>
  <si>
    <t>Realizar avaliação estrutural nas instalações do Pavilhão de Comando do 1º Esqd C L (AMV), que apresenta rachaduras e foi construído próximo à encosta localizada nas coordenadas 22°14'56.2"S43°42'42.0"W.</t>
  </si>
  <si>
    <t>Ten Janelli da (5ª Brigada Estratégica/1908) // TEN PHILIPE</t>
  </si>
  <si>
    <t>DIEx nº 1024-FA/CMDO</t>
  </si>
  <si>
    <t>LAUDO DE VISTORIA Nº 08/2025 de 13 de maio de 2025</t>
  </si>
  <si>
    <t>Avaliação técnica para instalação de telhado e caixa d ́água - VMC</t>
  </si>
  <si>
    <t>VMC - PMZS</t>
  </si>
  <si>
    <t>DIEx nº 1347-FISCALIZAÇÃO/S4/PMZS</t>
  </si>
  <si>
    <t>Solicito a emissão de Parecer Técnico com o propósito de viabilizar: a) A instalação de quatro (4) reservatórios de água em fibra, com capacidade de 1.000 litroscada; b) A definição do local mais adequado para a instalação dos referidos reservatórios; e c) A aprovação da construção de uma cobertura composta por telhas de fibrocimento de 6 mm eestrutura em madeira de lei, utilizando pontaletes, sem a necessidade de visitas técnicasadicionais.</t>
  </si>
  <si>
    <t>Maj Hopfinger</t>
  </si>
  <si>
    <t>DIEx nº 1344-CRO/1</t>
  </si>
  <si>
    <t>Relatório Técnico nº 01/2024</t>
  </si>
  <si>
    <t>Solicitação de estudo de qualidade de energia com o laudo técnico</t>
  </si>
  <si>
    <t>38º Batalhão de Infantaria - Vila Velha/ES</t>
  </si>
  <si>
    <t>DIEx nº 2659-Seç Ob Mil/Cmdo/5º GptE</t>
  </si>
  <si>
    <t>Solicito que seja realizada vistoria técnica nas instalações elétricas do 38°Batalhão de Infantaria</t>
  </si>
  <si>
    <t>Solicitação de Vistoria Técnica - Cisterna 1º GAAAe</t>
  </si>
  <si>
    <t>DIEx nº 2159-1º GAAAe e DIEx nº 2697-Seç Ob Mil/Cmdo/5º GptE</t>
  </si>
  <si>
    <t>Solicitação OPUS nº 202301000516</t>
  </si>
  <si>
    <t>Realização de vistoria técnica a fim de verificar o agravamento das condições estruturais da cisterna e levantar possibilidades para a resolução dessa ocorrência.</t>
  </si>
  <si>
    <t>VISTORIA TÉCNICA Nº 25064
VT – CÓDIGO OPUS Nº 20230100051601</t>
  </si>
  <si>
    <t>Vistoria técnica na Policlínica Militar de Niterói para avaliação da sala de Raio-x médico</t>
  </si>
  <si>
    <t>PMN</t>
  </si>
  <si>
    <t>DIEx nº 2690-Seç Ob Mil/Cmdo/5º GptE</t>
  </si>
  <si>
    <t>Vistoria técnica na Policlínica Militar de Niterói para avaliação da sala de Raio-x médico, buscando alternativas para a otimização da mesma e a instalação de equipamento novo em substituição ao que se encontra no local</t>
  </si>
  <si>
    <t>Solicitação de inspeção técnica em subestação de energia elétrica BEsCOM</t>
  </si>
  <si>
    <t>DIEx nº 2735-Seç Ob Mil/Cmdo/5º GptE e DIEx nº 2833-Seç Ob Mil/Cmdo/5º GptE</t>
  </si>
  <si>
    <t>Realização de vistoria técnica em subestação de energia doBEsCom em benfeitoria nr 400113310. O objetivo de possibilitar a atualização de possíveisprojetos de adequação no Sistema OPUS.</t>
  </si>
  <si>
    <t>Serviço de manutenção da rede elétrica do auditório do DECEx</t>
  </si>
  <si>
    <t>DIEx nº 7287-Seç Sist DB/DTI/DECEx</t>
  </si>
  <si>
    <r>
      <rPr>
        <sz val="11"/>
        <color theme="1"/>
        <rFont val="Calibri"/>
        <family val="2"/>
      </rPr>
      <t xml:space="preserve">Solicito gestões dessa comissão para agendar ou inserir a respectiva manutenção em um cronograma de execução da obra. Devido à rede elétrica ter causado danos a alguns equipamentos audiovisuais, solicito celeridade, na medida do possível, para o início da manutenção do auditório. </t>
    </r>
    <r>
      <rPr>
        <b/>
        <sz val="11"/>
        <color theme="1"/>
        <rFont val="Calibri"/>
        <family val="2"/>
      </rPr>
      <t>Ten BARROS, da DTI/DECEx, por intermédio do telefone810-5150.</t>
    </r>
  </si>
  <si>
    <t>Vistoria técnica nas instalações do 27º Batalhão de Infantaria Pára-quedista -  Reparação / Cobertura / Pavimentação / 27º BI Pqdt</t>
  </si>
  <si>
    <t>27º BI Pqdt - VILA MILITAR</t>
  </si>
  <si>
    <t>DIEx nº 2698-Seç Ob Mil/Cmdo/5º GptE</t>
  </si>
  <si>
    <t xml:space="preserve">Solicitação OPUS nº 202501000275 </t>
  </si>
  <si>
    <t>Vistoria técnica nas instalações do 27º Batalhão de Infantaria Pára-quedista referente à solicitação nº 202501000275 cadastrada no Sistema Unificado do Processo de Obras (OPUS). Faz-se necessária a reparação do telhado da Base Administrativa do 27º BI Pqdt, pois em virtude das avarias existentes,ao chover, ocorrem infiltrações nas instalações da SU.</t>
  </si>
  <si>
    <t>VISTORIA TÉCNICA Nº 25067
VT – CÓDIGO OPUS Nº 20250100027501</t>
  </si>
  <si>
    <t>Laudo Estrutural - SIMACEM - CA-LESTE</t>
  </si>
  <si>
    <t>SIMACEM - CA-LESTE</t>
  </si>
  <si>
    <t xml:space="preserve"> solicitado por comitivado COTER em visita ao CA-LESTE, ocorrida em 25 de julho de 2025.</t>
  </si>
  <si>
    <t>verificar condições estruturais das instalações físicas no Simulador de Adestramento de Comando e Estado-Maior (SIMACEM) do CA-LESTE. Tal verificação visa atender solicitação de comitiva do COTER, que realizou visita ao Centro em 25jun25.</t>
  </si>
  <si>
    <t>DIEx nº 1485-CRO/1</t>
  </si>
  <si>
    <t>LAUDO DE VISTORIA ESTRUTURAL</t>
  </si>
  <si>
    <t>Apoio de Pessoal Especializado para avaliação de possível dano estrutural - CPOR/RJ</t>
  </si>
  <si>
    <t>CPOR/RJ</t>
  </si>
  <si>
    <t>DIEx nº 2299-DEFAULT</t>
  </si>
  <si>
    <t>Solicito a possibilidade de apoio da CRO/1 (Comissão Regional de Obras da 1ª Região Militar)para a verificação de um possível dano estrutural em uma das caixas d'água deste Centro.</t>
  </si>
  <si>
    <t>Iluminação da rua Marcílio Dias - Segurança Orgânica do PDC.</t>
  </si>
  <si>
    <t xml:space="preserve"> Palácio Duque de Caxias (PDC)</t>
  </si>
  <si>
    <t>DIEx nº 2955-Seç Ob Mil/Cmdo/5º GptE</t>
  </si>
  <si>
    <t>solicito que seja realizada vistoria técnica para dimensionamento de material para melhoria da iluminação da rua Marcílio Dias. A solicitação visa contribuir com a melhoria da Segurança Orgânica no entorno do Palácio Duque de Caxias (PDC)</t>
  </si>
  <si>
    <t xml:space="preserve"> Substituição de revestimento cerâmico de fachada da Vila Verde - Proposta de Planejamento</t>
  </si>
  <si>
    <t>Vila Verde - ESAO</t>
  </si>
  <si>
    <t>DIEx nº 1512-CRO/1</t>
  </si>
  <si>
    <t>Solicitação do Cmt EsAO, passo a tratar da necessidade de substituição do revestimento de fachada da Vila Verde, condomínio sob administração da EsAO,composto de 17 blocos de apartamentos, cada um com 6 pavimentos e 24 apartamentos,totalizando 408 unidades habitacionais.</t>
  </si>
  <si>
    <t>ANEXOS NO DIEX ENVIADO</t>
  </si>
  <si>
    <t>Vistoria técnica na Policlínica Militar de Niterói</t>
  </si>
  <si>
    <t>DIEx nº 3062-Seç Ob Mil/Cmdo/5º GptE</t>
  </si>
  <si>
    <t>Vistoria técnica na Policlínica Militar de Niteróipara a viabilizar um planejamento e execução de obra de adequação e/ou melhoria estrutural nas instalações da Central de Material e Esterilização (CME), em conformidade com as normas técnicas e legislações vigentes aplicáveis aos serviços de saúde, conforme pedido constante em documento anexo.</t>
  </si>
  <si>
    <t>VERIFICAR DISPONIBILIDADE COM A CAP JULYANE - solicito que seja realizada vistoria técnica na Policlínica Militar de Niteróipara a viabilizar um planejamento e execução de obra de adequação e/ou melhoria estruturalnas instalações da Central de Material e Esterilização (CME)</t>
  </si>
  <si>
    <t>Suporte técnico para instalação de elevadores na EsACosAAe</t>
  </si>
  <si>
    <t xml:space="preserve"> EsACosAAe</t>
  </si>
  <si>
    <t>DIEx nº 3054-Seç Ob Mil/Cmdo/5º GptE e DIEx nº 1788-Res Tec Zs/Sec Tec/CRO/1.</t>
  </si>
  <si>
    <t>Solicitação OPUS Nº 202501000463</t>
  </si>
  <si>
    <t>Vistoria técnica na EsACosAAe para aviabilidade de instalação de elevadores de escadas nas áreas do Pavilhão de Comando e do Centro de Simulação desse Estabelecimento de Ensino. Em atenção ao assunto de referência e à solicitação da Escola de Artilharia de Costa eAntiaérea (EsACosAAe), foi realizada a análise de viabilidade técnica para a instalação deplataforma elevatória na área do Pavilhão de Comando e do Centro de Simulação da referidaOrganização Militar, conforme demanda constante do DIEx nº 8253-Mnt B Imv/EPjt/DECEx, de10 de julho de 2025. A demanda encontra-se cadastrada no Sistema OPUS sob o número 202501000463, e arespectiva vistoria técnica sob o número 20250100046301.</t>
  </si>
  <si>
    <t>VT – CÓDIGO OPUS Nº 20250100046301</t>
  </si>
  <si>
    <t>Solicitação de Apoio Técnico para Análise Estrutural em instalação de Câmaras Frigoríficas</t>
  </si>
  <si>
    <t>1º DSUP</t>
  </si>
  <si>
    <t>DIEx nº 1642-Aprov/S4/1º D Sup</t>
  </si>
  <si>
    <t>Análise estrutural referente à futura instalação de duas (02) câmaras frigoríficas nas dependências dorancho desta OM. Para viabilização da instalação, será necessário:- Demolição de uma parede;- Abertura de uma nova porta de acesso;- Desvio do ponto de esgoto existente. Diante da natureza das intervenções, faz-se indispensável a avaliação de umengenheiro para verifica a viabilidade das alterações e garantir que nenhum dano estrutural sejacausado à edificação.</t>
  </si>
  <si>
    <t>Vistoria Técnica na AMAN - apoio de militar especializado (engenheiro mecânico ou engenheiro com especializaçãoem combate à incêndio)</t>
  </si>
  <si>
    <t>AMAN</t>
  </si>
  <si>
    <t>DIEx nº 3344-Seç Ob Mil/Cmdo/5º GptE</t>
  </si>
  <si>
    <t>Vistoria Técnica na AMAN para uma avaliação do Serviço de Manutenção e Recarga de Sistema Automático de Extinção de Incêndioda Divisão de Tecnologia e Segurança da Informação e Comunicações (DTSIC) e da Seção de Simuladores de Apoio de Fogo (SIMAF) daquela Academia Militar, a fim de verificar se o objeto trata-se de um serviço de engenharia, e verificar se o sistema existente está em condições dereceber o serviço de manutenção e recarga.</t>
  </si>
  <si>
    <t>DIEx nº 1768-Res Tec Zs/Sec Tec/CRO/1</t>
  </si>
  <si>
    <t>Parecer Técnico nº 25072</t>
  </si>
  <si>
    <t>Vistoria Téncnica na Vila Militar de Copacabana</t>
  </si>
  <si>
    <t>DIEx nº 3485-Seç Ob Mil/Cmdo/5º GptE</t>
  </si>
  <si>
    <t>Diante da existência de uma edificação de dois pavimentos localizada na Rua Francisco José Pinto nº 6 A, Vila Militar de Copacabana, contendo 4 (quatro) PNR, atualmente interditada por apresentar problemas estruturais. Vistoria técnica com o objetivo de realizar um estudo de viabilidade que contenha parecer técnico quanto à alternativa mais vantajosa paraa União: a reforma dos imóveis ou a demolição com a construção de novos apartamentos</t>
  </si>
  <si>
    <t>Ten Philipe / Cap Henrique</t>
  </si>
  <si>
    <t>Vistoria Técnica no Próprio Nacional Residencial (PNR) em Niterói</t>
  </si>
  <si>
    <t>DIEx nº 3475-Seç Ob Mil/Cmdo/5º GptE</t>
  </si>
  <si>
    <t>Vistoria Técnica no Próprio Nacional Residencial (PNR), situado na Rua Professor Halfeld 28, Icaraí, Niterói-RJ, imóvel administrado pelo Cmdo AD/1, com vistas ao levantamento das necessidades para o reparo do telhado epartes estruturais da edificação.</t>
  </si>
  <si>
    <t>Vistoria técnica das instalações do serviço de aprovisionamento da Escola deAperfeiçoamento de Oficiais – EsAO</t>
  </si>
  <si>
    <t>DIEx nº 3579-Seç Ob Mil/Cmdo/5º GptE</t>
  </si>
  <si>
    <t>Vistoria técnica estrutural na EsAO para demolição de uma caixa d'agua de concreto,com aproximadamente 22 metros de altura.</t>
  </si>
  <si>
    <t>Vistoria técnica na rede elétrica da Escola de Comando e Estado-Maior do Exército -ECEME</t>
  </si>
  <si>
    <t>ECEME</t>
  </si>
  <si>
    <t>Solicitação de engenheiro elétrico para parecer técnico de quadro elétrico de energia e uso geradores de energia no MNMSGM</t>
  </si>
  <si>
    <t>MNMSGM</t>
  </si>
  <si>
    <t>DIEx nº 2440-SAA/DPHCEx</t>
  </si>
  <si>
    <t>Solicito a possibilidade dessa Comissão viabilizar a designação de um engenheiro eletricista para realizar vistoria técnica e emitir parecer sobre as condições de segurança necessárias para aconexão de geradores externos à rede elétrica do Monumento Nacional aos Mortos da SegundaGuerra Mundial.  Para esclarecimento adicionais, coloco à disposição o Cel NEMUEL, Diretor MNMSGM, pelotelefone (21) 99597-7361</t>
  </si>
  <si>
    <t>solicitação de ateste de engenheiro para obra finalizada - 21º GAC</t>
  </si>
  <si>
    <t>DIEx nº 3683-Seç Ob Mil/Cmdo/5º GptE</t>
  </si>
  <si>
    <t>Visita Técnica pelo PCTD Maycon Lopes no 21ºGAC para o ateste da finalização da obra referente à reparação na rede de esgoto do rancho daquela OM</t>
  </si>
  <si>
    <t>Visita Técnica nas dependências listadas do 8º Grupo de Artilharia de Campanha Pára-quedista.</t>
  </si>
  <si>
    <t>8º GAC</t>
  </si>
  <si>
    <t>DIEx nº 3773-Seç Ob Mil/Cmdo/5º GptE</t>
  </si>
  <si>
    <t>Solicito apoio técnico de engenharia, com o objetivo de realizar vistoria nas seguintes dependências do 8º Grupo de Artilharia de Campanha Pára-quedista: - Rancho: Em decorrência de um incêndio, foi observado dilatação de parafusos e telhasmetálicas, ocasionando goteiras que comprometem toda a estrutura, ferragens, equipamentos,parte elétrica e pintura, tendo sido realizado um reparo parcial para evitar danos maiores, - Na garagem da Bataria Comando: tem como objetivo verficar o risco de desabamento daestrutura, além de verificar medidas para reparação e melhor segurança para os miltiares quefazem uso das instalações. - Caixa d'água: inspeção com finalidade de verificar toda a estrutura, visto que hárachaduras e falhas na estrutura e nos pilares de sustentação.</t>
  </si>
  <si>
    <t>LEGENDA</t>
  </si>
  <si>
    <t>NÃO ATENDIDAS</t>
  </si>
  <si>
    <t>ATENDIDAS/ EM EXECUÇÃO</t>
  </si>
  <si>
    <t>FINALIZADAS</t>
  </si>
  <si>
    <t>NÃO CORRESPONDENTE - SOLICITAR APOIO</t>
  </si>
  <si>
    <t>PRIORIDADE</t>
  </si>
  <si>
    <t>NÃO PRIORITÁRIO</t>
  </si>
  <si>
    <t>Nº de solicitações em agendamento</t>
  </si>
  <si>
    <t>Nº de solicitações atendidas e em execução</t>
  </si>
  <si>
    <t>Nº de solicitações atendidas e finalizadas</t>
  </si>
  <si>
    <t>Nº total de solicitações</t>
  </si>
  <si>
    <t>NÃO ATENDIDAS/ EM AGENDAMENTO</t>
  </si>
  <si>
    <t>ATENDIDAS/EM EXECUÇÃO</t>
  </si>
  <si>
    <t>Reconhecimento Técnico para obra de manutenção (demolição) pelo 5º Grupamento de Engenharia - 5º Gpt E  de benfeitorias do 32º Batalhão de Infantaria Leve de Montanha -32º BIL Mth. -VT 25013</t>
  </si>
  <si>
    <t>Reconhecimento Técnico para obra de manutenção (demolição) pelo 5º Grupamento de Engenharia - 5º Gpt E  de benfeitorias do 32º Batalhão de Infantaria Leve de Montanha -32º BIL Mth. -VT 25015</t>
  </si>
  <si>
    <t>Solicitação de Apoio Técnico para Análise Estrutural em instalação de Câmaras Frigoríficas 1º DSUP</t>
  </si>
  <si>
    <t>Curto-circuito na cabine primária 1º BG</t>
  </si>
  <si>
    <t>Manutenção de bens imóveis - salas do Ch e VCh do DECEx</t>
  </si>
  <si>
    <t>Vistoria Técnica - Cisterna 1º GAAAe</t>
  </si>
  <si>
    <t>Telhado do SIAAAe do 1º GAAAe</t>
  </si>
  <si>
    <t xml:space="preserve">Vistoria de Arquivo Geral do CML. </t>
  </si>
  <si>
    <t>Documentações Técinicas Licitação dos alojamentos/banheiros DPHCEx.</t>
  </si>
  <si>
    <t>Documentações Técnicas para piscina do Centro de Estudos de Pessoal e Forte Duque de Caxias</t>
  </si>
  <si>
    <t xml:space="preserve"> Avaliação da estrutura do galpão D13, localizado na Área 2 do Centro Tecnológico do Exército, com o objetivo de analisar as condições de uso da edificação.</t>
  </si>
  <si>
    <t>OM</t>
  </si>
  <si>
    <t>Nº VT - CRO/1</t>
  </si>
  <si>
    <t>Nº DA SOLICITAÇÃO - OPUS</t>
  </si>
  <si>
    <t>Nº VT - OPUS</t>
  </si>
  <si>
    <t>VALOR ESTIMADO NA VT</t>
  </si>
  <si>
    <t xml:space="preserve">9ª Bateria de Artilharia Antiaérea (9ª Bia AAAe (Es)) </t>
  </si>
  <si>
    <t>Depósito Central de Munição (DCMun)</t>
  </si>
  <si>
    <t>1º Batalhão de Polícia do Exército (1º BPE)</t>
  </si>
  <si>
    <t>VT - outubro 2024</t>
  </si>
  <si>
    <t>TR 25027</t>
  </si>
  <si>
    <t>Solução Paliativa no valor de R$ 190.116,51</t>
  </si>
  <si>
    <t>Vila Militar Ilha do Bom Jesus</t>
  </si>
  <si>
    <t>R$ 428.802,16</t>
  </si>
  <si>
    <t>Não notificada</t>
  </si>
  <si>
    <t>Organização Militar</t>
  </si>
  <si>
    <t>NR</t>
  </si>
  <si>
    <t>Diretoria Responsável</t>
  </si>
  <si>
    <t>SEF</t>
  </si>
  <si>
    <t>Situação</t>
  </si>
  <si>
    <t>Classificação da Urgência</t>
  </si>
  <si>
    <t>COLOG</t>
  </si>
  <si>
    <t>DEC</t>
  </si>
  <si>
    <t>COTER</t>
  </si>
  <si>
    <t>DCT</t>
  </si>
  <si>
    <t>Órgãos de Direção Setorial</t>
  </si>
  <si>
    <t>Departamento de Educação e Cultura do Exército (DECEx</t>
  </si>
  <si>
    <t>Departamento de Engenharia e Construção (DEC)</t>
  </si>
  <si>
    <t>Secretaria de Economia e Finanças (SE</t>
  </si>
  <si>
    <t>Departamento de Ciência e Tecnologia (DCT)</t>
  </si>
  <si>
    <t>Comando de Operações Terrestres (COTER) (órgão de direção operacional)</t>
  </si>
  <si>
    <t>DGP</t>
  </si>
  <si>
    <t>Departamento-Geral do Pessoal</t>
  </si>
  <si>
    <t>Sigla</t>
  </si>
  <si>
    <t>Comando Logístico</t>
  </si>
  <si>
    <t>Policlínica Militar do Rio de Janeiro</t>
  </si>
  <si>
    <t>1º Batalhão de Polícia do Exército</t>
  </si>
  <si>
    <t>Centro Tecnológico do Exército</t>
  </si>
  <si>
    <t>Arquivo Histórico do Exército</t>
  </si>
  <si>
    <t>Batalhão de Precursores Paraquedistas</t>
  </si>
  <si>
    <t>9ª Bateria de Artilharia Antiaérea (Escola)</t>
  </si>
  <si>
    <t>Diretoria do Patrimônio Histórico e Cultural do Exército</t>
  </si>
  <si>
    <t>21º Grupo de Artilharia de Campanha</t>
  </si>
  <si>
    <t>Escola de Aperfeiçoamento de Oficiais</t>
  </si>
  <si>
    <t>Instituto Militar de Engenharia</t>
  </si>
  <si>
    <t>Depósito Central de Munição</t>
  </si>
  <si>
    <t>1º Depósito de Suprimento</t>
  </si>
  <si>
    <t>Biblioteca do Exército</t>
  </si>
  <si>
    <t>25º Batalhão de Infantaria Pára-quedista</t>
  </si>
  <si>
    <t>Departamento de Educação e Cultura do Exército</t>
  </si>
  <si>
    <t>Hospital Central do Exército</t>
  </si>
  <si>
    <t>Instituto de Defesa Química, Biológica, Radiológica e Nuclear</t>
  </si>
  <si>
    <t>Centro de Estudos de Pessoal e Forte Duque de Caxias</t>
  </si>
  <si>
    <t>Arquivo Geral do Comando Militar do Leste</t>
  </si>
  <si>
    <t>1º Grupo de Artilharia Antiaérea</t>
  </si>
  <si>
    <t>1º Esquadrão de Cavalaria Leve</t>
  </si>
  <si>
    <t>Monumento Nacional aos Mortos da Segunda Guerra Mundial</t>
  </si>
  <si>
    <t>27º Batalhão de Infantaria Pára-quedista</t>
  </si>
  <si>
    <t>Escola de Artilharia de Costa e Antiaérea</t>
  </si>
  <si>
    <t>Academia Militar das Agulhas Negras</t>
  </si>
  <si>
    <t>Colégio Militar do Rio de Janeiro</t>
  </si>
  <si>
    <t>Instalação, não uma unidade militar específica</t>
  </si>
  <si>
    <t>Não é uma unidade específica</t>
  </si>
  <si>
    <t>31º Grupo de Artilharia de Campanha (Escola)</t>
  </si>
  <si>
    <t>Simulador de Adestramento de Comando e Estado-Maior do Comando Militar do Leste</t>
  </si>
  <si>
    <t>Centro de Preparação de Oficiais da Reserva do Rio de Janeiro</t>
  </si>
  <si>
    <t>8º Grupo de Artilharia de Campanha Pára-quedista</t>
  </si>
  <si>
    <t>32º Batalhão de Infantaria Leve de Montanha</t>
  </si>
  <si>
    <t>Batalhão de Central de Manutenção e Suprimento</t>
  </si>
  <si>
    <t>4º Batalhão de Engenharia de Combate</t>
  </si>
  <si>
    <t>Cia Cmdo Bda Inf Pqdt</t>
  </si>
  <si>
    <t>1º Centro de Gestão, Contabilidade e Finanças do Exército</t>
  </si>
  <si>
    <t>1º CGCFEx</t>
  </si>
  <si>
    <t>1º D Sup</t>
  </si>
  <si>
    <t>B PREC PQD</t>
  </si>
  <si>
    <t>Organizações Militares Diretamente Surdordinadas à Brigada de Infantaria Pára-quedista</t>
  </si>
  <si>
    <t>CEP/FDC</t>
  </si>
  <si>
    <t>Companhia de Comando do Comando Militar do Leste,  na Ala Marcílio Dias do PDC</t>
  </si>
  <si>
    <t>Cia C CML</t>
  </si>
  <si>
    <t>Batalhão de Manutenção e Suprimento de Armamento</t>
  </si>
  <si>
    <t>Batalhão Escola de Comunicações</t>
  </si>
  <si>
    <t>Vila Militar de Copacabana - Prefeitura Militar da Zona Sul</t>
  </si>
  <si>
    <t>38º BI - Vila Velha/ES</t>
  </si>
  <si>
    <t>EsACosAAe</t>
  </si>
  <si>
    <t>Cmdo 1º DE</t>
  </si>
  <si>
    <t>Comando de Artilharia Divisionária da 1ª Divisão de Exército</t>
  </si>
  <si>
    <t>Escola de Comando e Estado Maior do Exército</t>
  </si>
  <si>
    <t>Vila Verde - Escola de Aperfeiçoamento de Oficiais</t>
  </si>
  <si>
    <t>Palácio Duque de Caxias (PDC)</t>
  </si>
  <si>
    <t>SIMACEM - CA LESTE</t>
  </si>
  <si>
    <t xml:space="preserve">1º Batalhão de Guardas - Organização Militar Diretamente Subordinada ao CML </t>
  </si>
  <si>
    <t>Não Atendida</t>
  </si>
  <si>
    <t>Atendida/ Em Execução</t>
  </si>
  <si>
    <t>Finalizada</t>
  </si>
  <si>
    <t>Não correspondente - Solicitar Apoio</t>
  </si>
  <si>
    <t>Prioridade</t>
  </si>
  <si>
    <t>Não Prioridade</t>
  </si>
  <si>
    <t>Percentual de OM's Atendidas</t>
  </si>
  <si>
    <t>Qtd de Vistorias</t>
  </si>
  <si>
    <t>Vila Militar da Ilha de Bom Jesus (IBJ)</t>
  </si>
  <si>
    <t>PDC (Ala Marcílio Dias)</t>
  </si>
  <si>
    <t>Qtd de Vistorias Não Atendidas</t>
  </si>
  <si>
    <t>Qtd Vistorias em Execução</t>
  </si>
  <si>
    <t>Qtd de Vistorias Finalizadas</t>
  </si>
  <si>
    <t>Qtd de Vistorias - Solicitar Apoio</t>
  </si>
  <si>
    <t xml:space="preserve">Órgão Setorial </t>
  </si>
  <si>
    <t>Vazias</t>
  </si>
  <si>
    <t>Mês</t>
  </si>
  <si>
    <t>Janeiro</t>
  </si>
  <si>
    <t>Fevereiro</t>
  </si>
  <si>
    <t>Março</t>
  </si>
  <si>
    <t>Abril</t>
  </si>
  <si>
    <t>Maio</t>
  </si>
  <si>
    <t>Junho</t>
  </si>
  <si>
    <t>Julho</t>
  </si>
  <si>
    <t>Agosto</t>
  </si>
  <si>
    <t>Setembro</t>
  </si>
  <si>
    <t>Outubro</t>
  </si>
  <si>
    <t>Novembro</t>
  </si>
  <si>
    <t>Dezembro</t>
  </si>
  <si>
    <t>Qtd de Vistorias Recebidas</t>
  </si>
  <si>
    <t>♣</t>
  </si>
  <si>
    <t>Células sem data</t>
  </si>
  <si>
    <t>Órgão Setorial</t>
  </si>
  <si>
    <t>Qtd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</si>
</sst>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quot;-&quot;mmm&quot;-&quot;yyyy"/>
    <numFmt numFmtId="165" formatCode="d\-mmm\-yyyy"/>
    <numFmt numFmtId="166" formatCode="[$R$ -416]#,##0.00"/>
  </numFmts>
  <fonts count="1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b/>
      <sz val="11"/>
      <color theme="1"/>
      <name val="Calibri"/>
      <family val="2"/>
      <scheme val="minor"/>
    </font>
    <font>
      <sz val="11"/>
      <color theme="1"/>
      <name val="Calibri"/>
      <family val="2"/>
    </font>
    <font>
      <sz val="11"/>
      <color rgb="FFFF0000"/>
      <name val="Calibri"/>
      <family val="2"/>
    </font>
    <font>
      <sz val="11"/>
      <color theme="1"/>
      <name val="Calibri"/>
      <family val="2"/>
      <scheme val="minor"/>
    </font>
    <font>
      <sz val="11"/>
      <color rgb="FF000000"/>
      <name val="&quot;Trebuchet MS&quot;"/>
    </font>
    <font>
      <sz val="11"/>
      <color theme="1"/>
      <name val="Calibri"/>
      <family val="2"/>
    </font>
    <font>
      <sz val="10"/>
      <color theme="1"/>
      <name val="Arial"/>
      <family val="2"/>
    </font>
    <font>
      <sz val="11"/>
      <name val="Calibri"/>
      <family val="2"/>
    </font>
    <font>
      <sz val="11"/>
      <color rgb="FFFF0000"/>
      <name val="Calibri"/>
      <family val="2"/>
      <scheme val="minor"/>
    </font>
    <font>
      <b/>
      <sz val="11"/>
      <color theme="1"/>
      <name val="Calibri"/>
      <scheme val="minor"/>
    </font>
  </fonts>
  <fills count="24">
    <fill>
      <patternFill patternType="none"/>
    </fill>
    <fill>
      <patternFill patternType="gray125"/>
    </fill>
    <fill>
      <patternFill patternType="solid">
        <fgColor rgb="FFD8D8D8"/>
        <bgColor rgb="FFD8D8D8"/>
      </patternFill>
    </fill>
    <fill>
      <patternFill patternType="solid">
        <fgColor rgb="FFD9EAD3"/>
        <bgColor rgb="FFD9EAD3"/>
      </patternFill>
    </fill>
    <fill>
      <patternFill patternType="solid">
        <fgColor rgb="FFFFFF00"/>
        <bgColor rgb="FFFFFF00"/>
      </patternFill>
    </fill>
    <fill>
      <patternFill patternType="solid">
        <fgColor rgb="FFD9D2E9"/>
        <bgColor rgb="FFD9D2E9"/>
      </patternFill>
    </fill>
    <fill>
      <patternFill patternType="solid">
        <fgColor rgb="FFFCE5CD"/>
        <bgColor rgb="FFFCE5CD"/>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9" tint="0.79998168889431442"/>
        <bgColor indexed="64"/>
      </patternFill>
    </fill>
    <fill>
      <patternFill patternType="solid">
        <fgColor theme="9"/>
        <bgColor indexed="64"/>
      </patternFill>
    </fill>
    <fill>
      <patternFill patternType="solid">
        <fgColor theme="9"/>
        <bgColor rgb="FFFF9900"/>
      </patternFill>
    </fill>
    <fill>
      <patternFill patternType="solid">
        <fgColor theme="4" tint="0.79998168889431442"/>
        <bgColor indexed="64"/>
      </patternFill>
    </fill>
    <fill>
      <patternFill patternType="solid">
        <fgColor theme="4" tint="0.79998168889431442"/>
        <bgColor rgb="FFCFE2F3"/>
      </patternFill>
    </fill>
    <fill>
      <patternFill patternType="solid">
        <fgColor theme="4" tint="0.79998168889431442"/>
        <bgColor rgb="FFD9EAD3"/>
      </patternFill>
    </fill>
    <fill>
      <patternFill patternType="solid">
        <fgColor rgb="FFD9EAD3"/>
        <bgColor indexed="64"/>
      </patternFill>
    </fill>
    <fill>
      <patternFill patternType="solid">
        <fgColor rgb="FFFCE5CD"/>
        <bgColor indexed="64"/>
      </patternFill>
    </fill>
    <fill>
      <patternFill patternType="solid">
        <fgColor rgb="FFFCE5CD"/>
        <bgColor rgb="FFFFFF00"/>
      </patternFill>
    </fill>
    <fill>
      <patternFill patternType="solid">
        <fgColor rgb="FFDCE6F1"/>
        <bgColor indexed="64"/>
      </patternFill>
    </fill>
    <fill>
      <patternFill patternType="solid">
        <fgColor rgb="FFD9D2E9"/>
        <bgColor indexed="64"/>
      </patternFill>
    </fill>
    <fill>
      <patternFill patternType="solid">
        <fgColor rgb="FF00B0F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114">
    <xf numFmtId="0" fontId="0"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2" borderId="0" xfId="0" applyFont="1" applyFill="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0" borderId="1" xfId="0" applyFont="1" applyBorder="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164" fontId="6" fillId="0" borderId="1" xfId="0" applyNumberFormat="1" applyFont="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5" fillId="0" borderId="0" xfId="0" applyFont="1" applyAlignment="1"/>
    <xf numFmtId="0" fontId="8" fillId="6" borderId="1" xfId="0" applyFont="1" applyFill="1" applyBorder="1"/>
    <xf numFmtId="0" fontId="8" fillId="0" borderId="0" xfId="0" applyFont="1" applyAlignment="1"/>
    <xf numFmtId="0" fontId="8" fillId="7" borderId="1" xfId="0" applyFont="1" applyFill="1" applyBorder="1"/>
    <xf numFmtId="0" fontId="8" fillId="3" borderId="1" xfId="0" applyFont="1" applyFill="1" applyBorder="1"/>
    <xf numFmtId="0" fontId="8" fillId="4" borderId="1" xfId="0" applyFont="1" applyFill="1" applyBorder="1"/>
    <xf numFmtId="0" fontId="8" fillId="8" borderId="1" xfId="0" applyFont="1" applyFill="1" applyBorder="1"/>
    <xf numFmtId="0" fontId="8" fillId="5" borderId="1" xfId="0" applyFont="1" applyFill="1" applyBorder="1"/>
    <xf numFmtId="0" fontId="4" fillId="0" borderId="0" xfId="0" applyFont="1" applyAlignment="1">
      <alignment horizontal="center" vertical="center"/>
    </xf>
    <xf numFmtId="0" fontId="4" fillId="0" borderId="1" xfId="0" applyFont="1" applyBorder="1" applyAlignment="1">
      <alignment horizontal="center" vertical="center"/>
    </xf>
    <xf numFmtId="0" fontId="5" fillId="9" borderId="1" xfId="0" applyFont="1" applyFill="1" applyBorder="1" applyAlignment="1">
      <alignment horizontal="center"/>
    </xf>
    <xf numFmtId="0" fontId="8" fillId="0" borderId="1" xfId="0" applyFont="1" applyBorder="1" applyAlignment="1">
      <alignment horizontal="center" vertical="center"/>
    </xf>
    <xf numFmtId="166"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wrapText="1"/>
    </xf>
    <xf numFmtId="0" fontId="8" fillId="7" borderId="1" xfId="0" applyFont="1" applyFill="1" applyBorder="1" applyAlignment="1">
      <alignment horizontal="center" vertical="center"/>
    </xf>
    <xf numFmtId="166" fontId="8" fillId="7" borderId="1" xfId="0" applyNumberFormat="1" applyFont="1" applyFill="1" applyBorder="1" applyAlignment="1">
      <alignment horizontal="center" vertical="center" wrapText="1"/>
    </xf>
    <xf numFmtId="0" fontId="8" fillId="0" borderId="0" xfId="0" applyFont="1" applyAlignment="1">
      <alignment horizontal="center"/>
    </xf>
    <xf numFmtId="0" fontId="8" fillId="7" borderId="0" xfId="0" applyFont="1" applyFill="1" applyAlignment="1">
      <alignment horizontal="center"/>
    </xf>
    <xf numFmtId="0" fontId="8" fillId="0" borderId="0" xfId="0" applyFont="1" applyAlignment="1">
      <alignment horizontal="center"/>
    </xf>
    <xf numFmtId="0" fontId="0" fillId="0" borderId="0" xfId="0" applyFont="1" applyAlignment="1">
      <alignment vertical="center"/>
    </xf>
    <xf numFmtId="0" fontId="0" fillId="0" borderId="0" xfId="0" applyFont="1" applyAlignment="1">
      <alignment horizontal="center" vertical="center"/>
    </xf>
    <xf numFmtId="0" fontId="8" fillId="6" borderId="0" xfId="0" applyFont="1" applyFill="1" applyBorder="1"/>
    <xf numFmtId="0" fontId="8" fillId="7" borderId="0" xfId="0" applyFont="1" applyFill="1" applyBorder="1"/>
    <xf numFmtId="0" fontId="8" fillId="3" borderId="0" xfId="0" applyFont="1" applyFill="1" applyBorder="1"/>
    <xf numFmtId="0" fontId="8" fillId="4" borderId="0" xfId="0" applyFont="1" applyFill="1" applyBorder="1"/>
    <xf numFmtId="0" fontId="8" fillId="8" borderId="0" xfId="0" applyFont="1" applyFill="1" applyBorder="1"/>
    <xf numFmtId="0" fontId="8" fillId="5" borderId="0" xfId="0" applyFont="1" applyFill="1" applyBorder="1"/>
    <xf numFmtId="0" fontId="0" fillId="0" borderId="0" xfId="0" applyFont="1" applyAlignment="1">
      <alignment vertical="center" wrapText="1"/>
    </xf>
    <xf numFmtId="0" fontId="3" fillId="0" borderId="0" xfId="0" applyFont="1" applyAlignment="1">
      <alignment vertical="center"/>
    </xf>
    <xf numFmtId="0" fontId="0" fillId="11" borderId="0" xfId="0" applyFont="1" applyFill="1" applyAlignment="1">
      <alignment vertical="center"/>
    </xf>
    <xf numFmtId="0" fontId="11" fillId="0" borderId="2" xfId="0" applyFont="1" applyBorder="1" applyAlignment="1">
      <alignment vertical="center" wrapText="1"/>
    </xf>
    <xf numFmtId="0" fontId="11" fillId="11" borderId="2" xfId="0" applyFont="1" applyFill="1" applyBorder="1" applyAlignment="1">
      <alignment vertical="center" wrapText="1"/>
    </xf>
    <xf numFmtId="0" fontId="2" fillId="10" borderId="0" xfId="0" applyFont="1" applyFill="1"/>
    <xf numFmtId="0" fontId="6" fillId="5" borderId="3" xfId="0" applyFont="1" applyFill="1" applyBorder="1" applyAlignment="1">
      <alignment horizontal="center" vertical="center" wrapText="1"/>
    </xf>
    <xf numFmtId="0" fontId="8" fillId="5"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5" xfId="0" applyFont="1" applyFill="1" applyBorder="1" applyAlignment="1">
      <alignment horizontal="center" vertical="center" wrapText="1"/>
    </xf>
    <xf numFmtId="0" fontId="6" fillId="0" borderId="6" xfId="0" applyFont="1" applyBorder="1" applyAlignment="1">
      <alignment horizontal="center" vertical="center" wrapText="1"/>
    </xf>
    <xf numFmtId="164" fontId="6" fillId="0" borderId="6" xfId="0" applyNumberFormat="1" applyFont="1" applyBorder="1" applyAlignment="1">
      <alignment horizontal="center" vertical="center" wrapText="1"/>
    </xf>
    <xf numFmtId="0" fontId="8" fillId="0" borderId="6" xfId="0" applyFont="1" applyBorder="1"/>
    <xf numFmtId="0" fontId="6" fillId="3" borderId="3" xfId="0" applyFont="1" applyFill="1" applyBorder="1" applyAlignment="1">
      <alignment horizontal="center" vertical="center" wrapText="1"/>
    </xf>
    <xf numFmtId="0" fontId="6" fillId="3" borderId="3" xfId="0" applyFont="1" applyFill="1" applyBorder="1" applyAlignment="1">
      <alignment horizontal="center" vertical="center"/>
    </xf>
    <xf numFmtId="164" fontId="6" fillId="3" borderId="3" xfId="0" applyNumberFormat="1" applyFont="1" applyFill="1" applyBorder="1" applyAlignment="1">
      <alignment horizontal="center" vertical="center" wrapText="1"/>
    </xf>
    <xf numFmtId="165" fontId="6" fillId="3" borderId="3" xfId="0" applyNumberFormat="1" applyFont="1" applyFill="1" applyBorder="1" applyAlignment="1">
      <alignment horizontal="center" vertical="center"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9" fillId="4" borderId="3" xfId="0" applyFont="1" applyFill="1" applyBorder="1" applyAlignment="1">
      <alignment horizontal="center"/>
    </xf>
    <xf numFmtId="0" fontId="6" fillId="6" borderId="3" xfId="0" applyFont="1" applyFill="1" applyBorder="1" applyAlignment="1">
      <alignment horizontal="center" vertical="center" wrapText="1"/>
    </xf>
    <xf numFmtId="0" fontId="6" fillId="12" borderId="3" xfId="0" applyFont="1" applyFill="1" applyBorder="1" applyAlignment="1">
      <alignment horizontal="center" vertical="center" wrapText="1"/>
    </xf>
    <xf numFmtId="0" fontId="6" fillId="11" borderId="3" xfId="0" applyFont="1" applyFill="1" applyBorder="1" applyAlignment="1">
      <alignment horizontal="center" vertical="center" wrapText="1"/>
    </xf>
    <xf numFmtId="164" fontId="6" fillId="11" borderId="3" xfId="0" applyNumberFormat="1" applyFont="1" applyFill="1" applyBorder="1" applyAlignment="1">
      <alignment horizontal="center" vertical="center" wrapText="1"/>
    </xf>
    <xf numFmtId="0" fontId="8" fillId="11" borderId="3" xfId="0" applyFont="1" applyFill="1" applyBorder="1" applyAlignment="1">
      <alignment horizontal="center" vertical="center"/>
    </xf>
    <xf numFmtId="0" fontId="10" fillId="3" borderId="3" xfId="0" applyFont="1" applyFill="1" applyBorder="1" applyAlignment="1">
      <alignment horizontal="center" vertical="center" wrapText="1"/>
    </xf>
    <xf numFmtId="0" fontId="6" fillId="14" borderId="3" xfId="0" applyFont="1" applyFill="1" applyBorder="1" applyAlignment="1">
      <alignment horizontal="center" vertical="center" wrapText="1"/>
    </xf>
    <xf numFmtId="0" fontId="6" fillId="13" borderId="3" xfId="0" applyFont="1" applyFill="1" applyBorder="1" applyAlignment="1">
      <alignment horizontal="center" vertical="center" wrapText="1"/>
    </xf>
    <xf numFmtId="164" fontId="6" fillId="13" borderId="3" xfId="0" applyNumberFormat="1" applyFont="1" applyFill="1" applyBorder="1" applyAlignment="1">
      <alignment horizontal="center" vertical="center" wrapText="1"/>
    </xf>
    <xf numFmtId="0" fontId="8" fillId="13" borderId="3" xfId="0" applyFont="1" applyFill="1" applyBorder="1" applyAlignment="1">
      <alignment horizontal="center" vertical="center"/>
    </xf>
    <xf numFmtId="0" fontId="0" fillId="13" borderId="3" xfId="0" applyFont="1" applyFill="1" applyBorder="1" applyAlignment="1">
      <alignment horizontal="center" vertical="center"/>
    </xf>
    <xf numFmtId="0" fontId="0" fillId="11" borderId="3" xfId="0" applyFont="1" applyFill="1" applyBorder="1" applyAlignment="1">
      <alignment horizontal="center" vertical="center"/>
    </xf>
    <xf numFmtId="0" fontId="8" fillId="15" borderId="3" xfId="0" applyFont="1" applyFill="1" applyBorder="1" applyAlignment="1">
      <alignment horizontal="center" vertical="center"/>
    </xf>
    <xf numFmtId="0" fontId="0" fillId="15" borderId="3" xfId="0" applyFont="1" applyFill="1" applyBorder="1" applyAlignment="1">
      <alignment horizontal="center" vertical="center"/>
    </xf>
    <xf numFmtId="0" fontId="12" fillId="15" borderId="3" xfId="0" applyFont="1" applyFill="1" applyBorder="1" applyAlignment="1">
      <alignment horizontal="center" vertical="center" wrapText="1"/>
    </xf>
    <xf numFmtId="0" fontId="6" fillId="16" borderId="3" xfId="0" applyFont="1" applyFill="1" applyBorder="1" applyAlignment="1">
      <alignment horizontal="center" vertical="center" wrapText="1"/>
    </xf>
    <xf numFmtId="0" fontId="6" fillId="15" borderId="3" xfId="0" applyFont="1" applyFill="1" applyBorder="1" applyAlignment="1">
      <alignment horizontal="center" vertical="center" wrapText="1"/>
    </xf>
    <xf numFmtId="164" fontId="6" fillId="15" borderId="3" xfId="0" applyNumberFormat="1" applyFont="1" applyFill="1" applyBorder="1" applyAlignment="1">
      <alignment horizontal="center" vertical="center" wrapText="1"/>
    </xf>
    <xf numFmtId="0" fontId="6" fillId="17" borderId="3" xfId="0" applyFont="1" applyFill="1" applyBorder="1" applyAlignment="1">
      <alignment horizontal="center" vertical="center" wrapText="1"/>
    </xf>
    <xf numFmtId="164" fontId="6" fillId="16" borderId="3" xfId="0" applyNumberFormat="1" applyFont="1" applyFill="1" applyBorder="1" applyAlignment="1">
      <alignment horizontal="center" vertical="center" wrapText="1"/>
    </xf>
    <xf numFmtId="0" fontId="7" fillId="18" borderId="3" xfId="0" applyFont="1" applyFill="1" applyBorder="1" applyAlignment="1">
      <alignment horizontal="center" vertical="center"/>
    </xf>
    <xf numFmtId="0" fontId="8" fillId="18" borderId="3" xfId="0" applyFont="1" applyFill="1" applyBorder="1" applyAlignment="1">
      <alignment horizontal="center" vertical="center"/>
    </xf>
    <xf numFmtId="0" fontId="7" fillId="18" borderId="3" xfId="0" applyFont="1" applyFill="1" applyBorder="1" applyAlignment="1">
      <alignment horizontal="center" vertical="center" wrapText="1"/>
    </xf>
    <xf numFmtId="0" fontId="6" fillId="18" borderId="3" xfId="0" applyFont="1" applyFill="1" applyBorder="1" applyAlignment="1">
      <alignment horizontal="center" vertical="center" wrapText="1"/>
    </xf>
    <xf numFmtId="0" fontId="6" fillId="18" borderId="3" xfId="0" applyFont="1" applyFill="1" applyBorder="1" applyAlignment="1">
      <alignment horizontal="center" vertical="center"/>
    </xf>
    <xf numFmtId="0" fontId="8" fillId="18" borderId="3" xfId="0" applyFont="1" applyFill="1" applyBorder="1" applyAlignment="1">
      <alignment horizontal="center" vertical="center" wrapText="1"/>
    </xf>
    <xf numFmtId="0" fontId="10" fillId="19" borderId="3" xfId="0" applyFont="1" applyFill="1" applyBorder="1" applyAlignment="1">
      <alignment horizontal="center" vertical="center" wrapText="1"/>
    </xf>
    <xf numFmtId="0" fontId="6" fillId="19" borderId="3" xfId="0" applyFont="1" applyFill="1" applyBorder="1" applyAlignment="1">
      <alignment horizontal="center" vertical="center" wrapText="1"/>
    </xf>
    <xf numFmtId="164" fontId="6" fillId="19" borderId="3" xfId="0" applyNumberFormat="1" applyFont="1" applyFill="1" applyBorder="1" applyAlignment="1">
      <alignment horizontal="center" vertical="center" wrapText="1"/>
    </xf>
    <xf numFmtId="0" fontId="8" fillId="19" borderId="3" xfId="0" applyFont="1" applyFill="1" applyBorder="1" applyAlignment="1">
      <alignment horizontal="center" vertical="center"/>
    </xf>
    <xf numFmtId="0" fontId="0" fillId="19" borderId="3" xfId="0" applyFont="1" applyFill="1" applyBorder="1" applyAlignment="1">
      <alignment horizontal="center" vertical="center"/>
    </xf>
    <xf numFmtId="164" fontId="6" fillId="20" borderId="3" xfId="0" applyNumberFormat="1" applyFont="1" applyFill="1" applyBorder="1" applyAlignment="1">
      <alignment horizontal="center" vertical="center" wrapText="1"/>
    </xf>
    <xf numFmtId="0" fontId="2" fillId="0" borderId="0" xfId="0" applyFont="1" applyAlignment="1"/>
    <xf numFmtId="0" fontId="2" fillId="0" borderId="0" xfId="0" applyFont="1" applyBorder="1"/>
    <xf numFmtId="0" fontId="6" fillId="0" borderId="3" xfId="0" applyFont="1" applyFill="1" applyBorder="1" applyAlignment="1">
      <alignment horizontal="center" vertical="center"/>
    </xf>
    <xf numFmtId="0" fontId="6" fillId="21" borderId="3" xfId="0" applyFont="1" applyFill="1" applyBorder="1" applyAlignment="1">
      <alignment horizontal="center" vertical="center" wrapText="1"/>
    </xf>
    <xf numFmtId="0" fontId="6" fillId="22" borderId="3" xfId="0" applyFont="1" applyFill="1" applyBorder="1" applyAlignment="1">
      <alignment horizontal="center" vertical="center" wrapText="1"/>
    </xf>
    <xf numFmtId="164" fontId="6" fillId="22" borderId="3" xfId="0" applyNumberFormat="1" applyFont="1" applyFill="1" applyBorder="1" applyAlignment="1">
      <alignment horizontal="center" vertical="center" wrapText="1"/>
    </xf>
    <xf numFmtId="0" fontId="8" fillId="22" borderId="3" xfId="0" applyFont="1" applyFill="1" applyBorder="1" applyAlignment="1">
      <alignment horizontal="center" vertical="center"/>
    </xf>
    <xf numFmtId="0" fontId="1" fillId="0" borderId="0" xfId="0" applyFont="1" applyAlignment="1">
      <alignment vertical="center"/>
    </xf>
    <xf numFmtId="0" fontId="1" fillId="11" borderId="0" xfId="0" applyFont="1" applyFill="1" applyAlignment="1">
      <alignment vertical="center"/>
    </xf>
    <xf numFmtId="0" fontId="1" fillId="0" borderId="0" xfId="0" applyFont="1" applyAlignment="1"/>
    <xf numFmtId="0" fontId="1" fillId="10" borderId="0" xfId="0" applyFont="1" applyFill="1"/>
    <xf numFmtId="0" fontId="14" fillId="0" borderId="7" xfId="0" applyFont="1" applyBorder="1"/>
    <xf numFmtId="0" fontId="5" fillId="0" borderId="7" xfId="0" applyFont="1" applyBorder="1" applyAlignment="1"/>
    <xf numFmtId="0" fontId="0" fillId="0" borderId="0" xfId="0" applyNumberFormat="1" applyFont="1" applyAlignment="1"/>
    <xf numFmtId="0" fontId="1" fillId="0" borderId="0" xfId="0" applyFont="1"/>
    <xf numFmtId="0" fontId="1" fillId="10" borderId="8" xfId="0" applyFont="1" applyFill="1" applyBorder="1"/>
    <xf numFmtId="0" fontId="5" fillId="11" borderId="3" xfId="0" applyFont="1" applyFill="1" applyBorder="1" applyAlignment="1"/>
    <xf numFmtId="0" fontId="0" fillId="11" borderId="3" xfId="0" applyNumberFormat="1" applyFont="1" applyFill="1" applyBorder="1" applyAlignment="1"/>
    <xf numFmtId="0" fontId="13" fillId="11" borderId="3" xfId="0" applyFont="1" applyFill="1" applyBorder="1" applyAlignment="1">
      <alignment horizontal="center" vertical="center"/>
    </xf>
    <xf numFmtId="0" fontId="1" fillId="0" borderId="0" xfId="0" applyFont="1" applyFill="1" applyBorder="1" applyAlignment="1"/>
    <xf numFmtId="0" fontId="0" fillId="23" borderId="0" xfId="0" applyFont="1" applyFill="1" applyAlignment="1"/>
  </cellXfs>
  <cellStyles count="1">
    <cellStyle name="Normal" xfId="0" builtinId="0"/>
  </cellStyles>
  <dxfs count="57">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rgb="FF00B0F0"/>
        </patternFill>
      </fill>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numFmt numFmtId="0" formatCode="General"/>
    </dxf>
    <dxf>
      <font>
        <color auto="1"/>
      </font>
      <fill>
        <patternFill>
          <fgColor rgb="FFD9EAD3"/>
        </patternFill>
      </fill>
    </dxf>
    <dxf>
      <fill>
        <patternFill>
          <fgColor rgb="FFD9D2E9"/>
          <bgColor rgb="FFD9D2E9"/>
        </patternFill>
      </fill>
    </dxf>
    <dxf>
      <fill>
        <patternFill>
          <fgColor rgb="FFF4CCCC"/>
          <bgColor rgb="FFF4CCCC"/>
        </patternFill>
      </fill>
    </dxf>
    <dxf>
      <font>
        <b val="0"/>
        <i val="0"/>
        <color auto="1"/>
      </font>
      <fill>
        <patternFill>
          <fgColor rgb="FFD9EAD3"/>
          <bgColor rgb="FFD9EAD3"/>
        </patternFill>
      </fill>
    </dxf>
    <dxf>
      <font>
        <b val="0"/>
        <i val="0"/>
        <color auto="1"/>
      </font>
      <fill>
        <patternFill>
          <fgColor rgb="FFFFFF00"/>
          <bgColor rgb="FFFFFF00"/>
        </patternFill>
      </fill>
    </dxf>
    <dxf>
      <font>
        <color auto="1"/>
      </font>
      <fill>
        <patternFill>
          <fgColor rgb="FFFCE5CD"/>
          <bgColor rgb="FFFCE5CD"/>
        </patternFill>
      </fill>
    </dxf>
    <dxf>
      <font>
        <b val="0"/>
        <i val="0"/>
        <color auto="1"/>
      </font>
      <fill>
        <patternFill patternType="solid">
          <fgColor rgb="FFDCE6F1"/>
          <bgColor rgb="FFDCE6F1"/>
        </patternFill>
      </fill>
    </dxf>
    <dxf>
      <font>
        <strike val="0"/>
        <outline val="0"/>
        <shadow val="0"/>
        <u val="none"/>
        <vertAlign val="baseline"/>
        <sz val="11"/>
        <color rgb="FFFF0000"/>
        <name val="Calibri"/>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numFmt numFmtId="0" formatCode="General"/>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border outline="0">
        <bottom style="thin">
          <color theme="1"/>
        </bottom>
      </border>
    </dxf>
    <dxf>
      <alignment horizontal="general" vertical="center" textRotation="0" wrapText="0" indent="0" justifyLastLine="0" shrinkToFit="0" readingOrder="0"/>
      <border outline="0">
        <left style="medium">
          <color rgb="FFCCCCCC"/>
        </left>
      </border>
    </dxf>
    <dxf>
      <alignment horizontal="general" vertical="center" textRotation="0" wrapText="1" indent="0" justifyLastLine="0" shrinkToFit="0" readingOrder="0"/>
    </dxf>
    <dxf>
      <alignment vertical="center" textRotation="0" indent="0" justifyLastLine="0" shrinkToFit="0" readingOrder="0"/>
      <border outline="0">
        <right style="medium">
          <color rgb="FFCCCCCC"/>
        </right>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4" formatCode="d&quot;-&quot;mmm&quot;-&quot;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4" formatCode="d&quot;-&quot;mmm&quot;-&quot;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4" formatCode="d&quot;-&quot;mmm&quot;-&quot;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solid">
          <fgColor rgb="FFFCE5CD"/>
          <bgColor rgb="FFFCE5CD"/>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border>
    </dxf>
    <dxf>
      <font>
        <b/>
        <i val="0"/>
        <strike val="0"/>
        <condense val="0"/>
        <extend val="0"/>
        <outline val="0"/>
        <shadow val="0"/>
        <u val="none"/>
        <vertAlign val="baseline"/>
        <sz val="11"/>
        <color theme="1"/>
        <name val="Calibri"/>
        <scheme val="none"/>
      </font>
      <fill>
        <patternFill patternType="solid">
          <fgColor rgb="FFD8D8D8"/>
          <bgColor rgb="FFD8D8D8"/>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s>
  <tableStyles count="0" defaultTableStyle="TableStyleLight1" defaultPivotStyle="PivotStyleLight16"/>
  <colors>
    <mruColors>
      <color rgb="FFF4CCCC"/>
      <color rgb="FFD9D2E9"/>
      <color rgb="FFDCE6F1"/>
      <color rgb="FFFCE5CD"/>
      <color rgb="FFD9EA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ela2" displayName="Tabela2" ref="A1:S109" totalsRowShown="0" headerRowDxfId="56" tableBorderDxfId="55">
  <autoFilter ref="A1:S109">
    <filterColumn colId="1">
      <filters>
        <filter val="1º BG"/>
      </filters>
    </filterColumn>
  </autoFilter>
  <tableColumns count="19">
    <tableColumn id="1" name="OBJETO DE VISTORIA" dataDxfId="54"/>
    <tableColumn id="2" name="OM APOIADA" dataDxfId="53"/>
    <tableColumn id="17" name="Diretoria Responsável" dataDxfId="52">
      <calculatedColumnFormula>VLOOKUP(Tabela2[[#This Row],[OM APOIADA]],Tabela1[[#All],[OM]:[Diretoria Responsável]],3,0)</calculatedColumnFormula>
    </tableColumn>
    <tableColumn id="19" name="Classificação da Urgência" dataDxfId="51"/>
    <tableColumn id="18" name="Situação" dataDxfId="50"/>
    <tableColumn id="3" name="ORIGEM DA SOLICITAÇÃO (Nº do DiEx quando houver)" dataDxfId="49"/>
    <tableColumn id="4" name="DATA DA SOLICITAÇÃO" dataDxfId="48"/>
    <tableColumn id="5" name="REFERÊNCIA OPUS" dataDxfId="47"/>
    <tableColumn id="6" name="OBJETIVO (ADICIONAR POSSÍVEL CONTATO)" dataDxfId="46"/>
    <tableColumn id="7" name="DATA DA VISTORIA" dataDxfId="45"/>
    <tableColumn id="8" name="VT EXECUTADA POR" dataDxfId="44"/>
    <tableColumn id="9" name="STATUS - ATUALIZAÇÃO SEMANAL" dataDxfId="43"/>
    <tableColumn id="10" name="DATA/PREVISÃO DE CONCLUSÃO" dataDxfId="42"/>
    <tableColumn id="11" name="MEIO DE RESPOSTA DA SOLICITAÇÃO" dataDxfId="41"/>
    <tableColumn id="12" name="DATA DA RESPOSTA A SOLICITAÇÃO" dataDxfId="40"/>
    <tableColumn id="13" name="Nº OPUS DA VISTORIA (SE FOR O CASO)" dataDxfId="39"/>
    <tableColumn id="14" name="QUANTIDADE DE DIAS PARA TOTAL ATENDIMENTO" dataDxfId="38"/>
    <tableColumn id="15" name="QUANTIDADE DE DIAS PARA EXECUÇÃO" dataDxfId="37"/>
    <tableColumn id="16" name="OBSERVAÇÕES" dataDxfId="36"/>
  </tableColumns>
  <tableStyleInfo name="TableStyleLight1" showFirstColumn="0" showLastColumn="0" showRowStripes="1" showColumnStripes="0"/>
</table>
</file>

<file path=xl/tables/table2.xml><?xml version="1.0" encoding="utf-8"?>
<table xmlns="http://schemas.openxmlformats.org/spreadsheetml/2006/main" id="1" name="Tabela1" displayName="Tabela1" ref="A3:D58" totalsRowShown="0" headerRowDxfId="35" dataDxfId="34">
  <autoFilter ref="A3:D58"/>
  <sortState ref="A4:D58">
    <sortCondition ref="D3:D58"/>
  </sortState>
  <tableColumns count="4">
    <tableColumn id="1" name="NR" dataDxfId="33"/>
    <tableColumn id="2" name="OM" dataDxfId="32"/>
    <tableColumn id="4" name="Organização Militar" dataDxfId="31"/>
    <tableColumn id="3" name="Diretoria Responsável" dataDxfId="30"/>
  </tableColumns>
  <tableStyleInfo name="TableStyleLight1" showFirstColumn="0" showLastColumn="0" showRowStripes="1" showColumnStripes="0"/>
</table>
</file>

<file path=xl/tables/table3.xml><?xml version="1.0" encoding="utf-8"?>
<table xmlns="http://schemas.openxmlformats.org/spreadsheetml/2006/main" id="3" name="Tabela3" displayName="Tabela3" ref="G3:G9" totalsRowShown="0">
  <tableColumns count="1">
    <tableColumn id="1" name="Situação"/>
  </tableColumns>
  <tableStyleInfo name="TableStyleLight1" showFirstColumn="0" showLastColumn="0" showRowStripes="1" showColumnStripes="0"/>
</table>
</file>

<file path=xl/tables/table4.xml><?xml version="1.0" encoding="utf-8"?>
<table xmlns="http://schemas.openxmlformats.org/spreadsheetml/2006/main" id="4" name="Tabela4" displayName="Tabela4" ref="J3:J5" totalsRowShown="0" tableBorderDxfId="29">
  <tableColumns count="1">
    <tableColumn id="1" name="Classificação da Urgência"/>
  </tableColumns>
  <tableStyleInfo name="TableStyleLight1" showFirstColumn="0" showLastColumn="0" showRowStripes="1" showColumnStripes="0"/>
</table>
</file>

<file path=xl/tables/table5.xml><?xml version="1.0" encoding="utf-8"?>
<table xmlns="http://schemas.openxmlformats.org/spreadsheetml/2006/main" id="5" name="Tabela5" displayName="Tabela5" ref="M3:N10" totalsRowShown="0">
  <sortState ref="M4:N10">
    <sortCondition ref="N4"/>
  </sortState>
  <tableColumns count="2">
    <tableColumn id="1" name="Órgãos de Direção Setorial" dataDxfId="28"/>
    <tableColumn id="2" name="Sigla"/>
  </tableColumns>
  <tableStyleInfo name="TableStyleLight1" showFirstColumn="0" showLastColumn="0" showRowStripes="1" showColumnStripes="0"/>
</table>
</file>

<file path=xl/tables/table6.xml><?xml version="1.0" encoding="utf-8"?>
<table xmlns="http://schemas.openxmlformats.org/spreadsheetml/2006/main" id="6" name="Tabela6" displayName="Tabela6" ref="B4:G59" totalsRowShown="0" headerRowDxfId="27">
  <tableColumns count="6">
    <tableColumn id="1" name="OM"/>
    <tableColumn id="2" name="Qtd de Vistorias" dataDxfId="26">
      <calculatedColumnFormula>COUNTIFS('ACOMPANHAMENTO VISTORIAS'!$B:$B,Tabela6[[#This Row],[OM]])</calculatedColumnFormula>
    </tableColumn>
    <tableColumn id="3" name="Qtd de Vistorias Finalizadas" dataDxfId="25">
      <calculatedColumnFormula>COUNTIFS('ACOMPANHAMENTO VISTORIAS'!$B:$B,Tabela6[[#This Row],[OM]],'ACOMPANHAMENTO VISTORIAS'!$E:$E,"Finalizada")</calculatedColumnFormula>
    </tableColumn>
    <tableColumn id="4" name="Qtd Vistorias em Execução" dataDxfId="24">
      <calculatedColumnFormula>COUNTIFS('ACOMPANHAMENTO VISTORIAS'!$B:$B,Tabela6[[#This Row],[OM]],'ACOMPANHAMENTO VISTORIAS'!$E:$E,"Atendida/ Em Execução")</calculatedColumnFormula>
    </tableColumn>
    <tableColumn id="5" name="Qtd de Vistorias Não Atendidas" dataDxfId="23">
      <calculatedColumnFormula>COUNTIFS('ACOMPANHAMENTO VISTORIAS'!$B:$B,Tabela6[[#This Row],[OM]],'ACOMPANHAMENTO VISTORIAS'!$E:$E,"Não atendida")</calculatedColumnFormula>
    </tableColumn>
    <tableColumn id="6" name="Qtd de Vistorias - Solicitar Apoio" dataDxfId="22">
      <calculatedColumnFormula>COUNTIFS('ACOMPANHAMENTO VISTORIAS'!$B:$B,Tabela6[[#This Row],[OM]],'ACOMPANHAMENTO VISTORIAS'!$E:$E,"Não correspondente - Solicitar Apoio")</calculatedColumnFormula>
    </tableColumn>
  </tableColumns>
  <tableStyleInfo name="TableStyleLight1" showFirstColumn="0" showLastColumn="0" showRowStripes="1" showColumnStripes="0"/>
</table>
</file>

<file path=xl/tables/table7.xml><?xml version="1.0" encoding="utf-8"?>
<table xmlns="http://schemas.openxmlformats.org/spreadsheetml/2006/main" id="7" name="Tabela7" displayName="Tabela7" ref="B4:H11" totalsRowShown="0" headerRowDxfId="21">
  <tableColumns count="7">
    <tableColumn id="1" name="Órgão Setorial "/>
    <tableColumn id="2" name="Qtd de Vistorias" dataDxfId="20">
      <calculatedColumnFormula>COUNTIFS('ACOMPANHAMENTO VISTORIAS'!$C:$C,Tabela7[[#This Row],[Órgão Setorial ]])</calculatedColumnFormula>
    </tableColumn>
    <tableColumn id="3" name="Qtd de Vistorias Finalizadas" dataDxfId="19">
      <calculatedColumnFormula>COUNTIFS('ACOMPANHAMENTO VISTORIAS'!$C:$C,Tabela7[[#This Row],[Órgão Setorial ]],'ACOMPANHAMENTO VISTORIAS'!E:E,"Finalizada")</calculatedColumnFormula>
    </tableColumn>
    <tableColumn id="4" name="Qtd Vistorias em Execução" dataDxfId="18">
      <calculatedColumnFormula>COUNTIFS('ACOMPANHAMENTO VISTORIAS'!$C:$C,Tabela7[[#This Row],[Órgão Setorial ]],'ACOMPANHAMENTO VISTORIAS'!$E:$E,"Atendida/ Em Execução")</calculatedColumnFormula>
    </tableColumn>
    <tableColumn id="5" name="Qtd de Vistorias Não Atendidas" dataDxfId="17">
      <calculatedColumnFormula>COUNTIFS('ACOMPANHAMENTO VISTORIAS'!$C:$C,Tabela7[[#This Row],[Órgão Setorial ]],'ACOMPANHAMENTO VISTORIAS'!$E:$E,"Não Atendida")</calculatedColumnFormula>
    </tableColumn>
    <tableColumn id="6" name="Qtd de Vistorias - Solicitar Apoio" dataDxfId="16">
      <calculatedColumnFormula>COUNTIFS('ACOMPANHAMENTO VISTORIAS'!$C:$C,Tabela7[[#This Row],[Órgão Setorial ]],'ACOMPANHAMENTO VISTORIAS'!$E:$E,"Não correspondente - Solicitar Apoio")</calculatedColumnFormula>
    </tableColumn>
    <tableColumn id="7" name="Vazias" dataDxfId="15">
      <calculatedColumnFormula>COUNTIFS('ACOMPANHAMENTO VISTORIAS'!$C:$C,Tabela7[[#This Row],[Órgão Setorial ]],'ACOMPANHAMENTO VISTORIAS'!$E:$E,"")</calculatedColumnFormula>
    </tableColumn>
  </tableColumns>
  <tableStyleInfo name="TableStyleLight1" showFirstColumn="0" showLastColumn="0" showRowStripes="1" showColumnStripes="0"/>
</table>
</file>

<file path=xl/tables/table8.xml><?xml version="1.0" encoding="utf-8"?>
<table xmlns="http://schemas.openxmlformats.org/spreadsheetml/2006/main" id="8" name="Tabela8" displayName="Tabela8" ref="B3:H15" totalsRowShown="0">
  <tableColumns count="7">
    <tableColumn id="1" name="Mês" dataDxfId="14"/>
    <tableColumn id="2" name="Qtd de Vistorias Recebidas" dataDxfId="4">
      <calculatedColumnFormula>COUNTIFS('ACOMPANHAMENTO VISTORIAS'!G:G,#REF!)</calculatedColumnFormula>
    </tableColumn>
    <tableColumn id="3" name="Qtd de Vistorias Finalizadas"/>
    <tableColumn id="4" name="Qtd Vistorias em Execução"/>
    <tableColumn id="5" name="Qtd de Vistorias Não Atendidas"/>
    <tableColumn id="6" name="Qtd de Vistorias - Solicitar Apoio" dataDxfId="13"/>
    <tableColumn id="7" name="Células sem data" dataDxfId="12"/>
  </tableColumns>
  <tableStyleInfo name="TableStyleLight1" showFirstColumn="0" showLastColumn="0" showRowStripes="1" showColumnStripes="0"/>
</table>
</file>

<file path=xl/tables/table9.xml><?xml version="1.0" encoding="utf-8"?>
<table xmlns="http://schemas.openxmlformats.org/spreadsheetml/2006/main" id="9" name="Tabela9" displayName="Tabela9" ref="K3:O4" totalsRowShown="0" headerRowDxfId="0">
  <tableColumns count="5">
    <tableColumn id="1" name="Mês"/>
    <tableColumn id="2" name="Órgão Setorial"/>
    <tableColumn id="3" name="OM"/>
    <tableColumn id="4" name="Situação"/>
    <tableColumn id="5" name="Qtd" dataDxfId="1">
      <calculatedColumnFormula>COUNTIFS('ACOMPANHAMENTO VISTORIAS'!$G:$G,"&gt;=" &amp; DATE(2025,1,1),'ACOMPANHAMENTO VISTORIAS'!$G:$G, "&lt;=" &amp; EOMONTH(DATE(2025,1,1),0), 'ACOMPANHAMENTO VISTORIAS'!$C:$C,'Resumo Gegenrial Mês'!$L$4,'ACOMPANHAMENTO VISTORIAS'!$B:$B,$M$4,'ACOMPANHAMENTO VISTORIAS'!$E:$E,'Resumo Gegenrial Mês'!$N$4)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S1057"/>
  <sheetViews>
    <sheetView zoomScale="55" zoomScaleNormal="55" zoomScalePageLayoutView="25" workbookViewId="0">
      <selection activeCell="C70" sqref="C70"/>
    </sheetView>
  </sheetViews>
  <sheetFormatPr defaultColWidth="14.42578125" defaultRowHeight="15" customHeight="1" x14ac:dyDescent="0.25"/>
  <cols>
    <col min="1" max="1" width="32.5703125" customWidth="1"/>
    <col min="2" max="2" width="19.7109375" bestFit="1" customWidth="1"/>
    <col min="3" max="3" width="33.42578125" bestFit="1" customWidth="1"/>
    <col min="4" max="4" width="33.42578125" customWidth="1"/>
    <col min="5" max="5" width="37.140625" bestFit="1" customWidth="1"/>
    <col min="6" max="6" width="50.85546875" customWidth="1"/>
    <col min="7" max="7" width="23.140625" customWidth="1"/>
    <col min="8" max="8" width="30.28515625" bestFit="1" customWidth="1"/>
    <col min="9" max="9" width="74.5703125" customWidth="1"/>
    <col min="10" max="10" width="35.140625" bestFit="1" customWidth="1"/>
    <col min="11" max="11" width="21.42578125" customWidth="1"/>
    <col min="12" max="12" width="63" hidden="1" customWidth="1"/>
    <col min="13" max="13" width="52.85546875" bestFit="1" customWidth="1"/>
    <col min="14" max="14" width="66.5703125" bestFit="1" customWidth="1"/>
    <col min="15" max="15" width="34.28515625" customWidth="1"/>
    <col min="16" max="16" width="91.85546875" bestFit="1" customWidth="1"/>
    <col min="17" max="17" width="76.5703125" bestFit="1" customWidth="1"/>
    <col min="18" max="18" width="62" bestFit="1" customWidth="1"/>
    <col min="19" max="19" width="43.42578125" customWidth="1"/>
    <col min="20" max="30" width="8.7109375" customWidth="1"/>
  </cols>
  <sheetData>
    <row r="1" spans="1:19" x14ac:dyDescent="0.25">
      <c r="A1" s="47" t="s">
        <v>0</v>
      </c>
      <c r="B1" s="48" t="s">
        <v>1</v>
      </c>
      <c r="C1" s="48" t="s">
        <v>548</v>
      </c>
      <c r="D1" s="48" t="s">
        <v>551</v>
      </c>
      <c r="E1" s="48" t="s">
        <v>550</v>
      </c>
      <c r="F1" s="49" t="s">
        <v>2</v>
      </c>
      <c r="G1" s="49" t="s">
        <v>3</v>
      </c>
      <c r="H1" s="48" t="s">
        <v>4</v>
      </c>
      <c r="I1" s="48" t="s">
        <v>5</v>
      </c>
      <c r="J1" s="49" t="s">
        <v>6</v>
      </c>
      <c r="K1" s="49" t="s">
        <v>7</v>
      </c>
      <c r="L1" s="49" t="s">
        <v>8</v>
      </c>
      <c r="M1" s="49" t="s">
        <v>9</v>
      </c>
      <c r="N1" s="48" t="s">
        <v>10</v>
      </c>
      <c r="O1" s="49" t="s">
        <v>11</v>
      </c>
      <c r="P1" s="49" t="s">
        <v>12</v>
      </c>
      <c r="Q1" s="49" t="s">
        <v>13</v>
      </c>
      <c r="R1" s="49" t="s">
        <v>14</v>
      </c>
      <c r="S1" s="3" t="s">
        <v>15</v>
      </c>
    </row>
    <row r="2" spans="1:19" ht="60" hidden="1" x14ac:dyDescent="0.25">
      <c r="A2" s="67" t="s">
        <v>317</v>
      </c>
      <c r="B2" s="68" t="s">
        <v>609</v>
      </c>
      <c r="C2" s="68" t="str">
        <f>VLOOKUP(Tabela2[[#This Row],[OM APOIADA]],Tabela1[[#All],[OM]:[Diretoria Responsável]],3,0)</f>
        <v>COTER</v>
      </c>
      <c r="D2" s="68" t="s">
        <v>626</v>
      </c>
      <c r="E2" s="68"/>
      <c r="F2" s="68" t="s">
        <v>257</v>
      </c>
      <c r="G2" s="69">
        <v>45797</v>
      </c>
      <c r="H2" s="68" t="s">
        <v>318</v>
      </c>
      <c r="I2" s="68" t="s">
        <v>319</v>
      </c>
      <c r="J2" s="69"/>
      <c r="K2" s="68"/>
      <c r="L2" s="68"/>
      <c r="M2" s="69"/>
      <c r="N2" s="68"/>
      <c r="O2" s="69"/>
      <c r="P2" s="68"/>
      <c r="Q2" s="70"/>
      <c r="R2" s="71"/>
      <c r="S2" s="71"/>
    </row>
    <row r="3" spans="1:19" ht="135" hidden="1" x14ac:dyDescent="0.25">
      <c r="A3" s="67" t="s">
        <v>320</v>
      </c>
      <c r="B3" s="68" t="s">
        <v>256</v>
      </c>
      <c r="C3" s="68" t="str">
        <f>VLOOKUP(Tabela2[[#This Row],[OM APOIADA]],Tabela1[[#All],[OM]:[Diretoria Responsável]],3,0)</f>
        <v>DGP</v>
      </c>
      <c r="D3" s="68" t="s">
        <v>626</v>
      </c>
      <c r="E3" s="68"/>
      <c r="F3" s="68" t="s">
        <v>257</v>
      </c>
      <c r="G3" s="69">
        <v>45797</v>
      </c>
      <c r="H3" s="68" t="s">
        <v>321</v>
      </c>
      <c r="I3" s="68" t="s">
        <v>322</v>
      </c>
      <c r="J3" s="69"/>
      <c r="K3" s="68"/>
      <c r="L3" s="68"/>
      <c r="M3" s="69"/>
      <c r="N3" s="68"/>
      <c r="O3" s="69"/>
      <c r="P3" s="68"/>
      <c r="Q3" s="70"/>
      <c r="R3" s="71"/>
      <c r="S3" s="71"/>
    </row>
    <row r="4" spans="1:19" ht="75" hidden="1" x14ac:dyDescent="0.25">
      <c r="A4" s="67" t="s">
        <v>323</v>
      </c>
      <c r="B4" s="68" t="s">
        <v>256</v>
      </c>
      <c r="C4" s="68" t="str">
        <f>VLOOKUP(Tabela2[[#This Row],[OM APOIADA]],Tabela1[[#All],[OM]:[Diretoria Responsável]],3,0)</f>
        <v>DGP</v>
      </c>
      <c r="D4" s="68" t="s">
        <v>626</v>
      </c>
      <c r="E4" s="68"/>
      <c r="F4" s="68" t="s">
        <v>257</v>
      </c>
      <c r="G4" s="69">
        <v>45797</v>
      </c>
      <c r="H4" s="68" t="s">
        <v>324</v>
      </c>
      <c r="I4" s="68" t="s">
        <v>325</v>
      </c>
      <c r="J4" s="69"/>
      <c r="K4" s="68"/>
      <c r="L4" s="68"/>
      <c r="M4" s="69"/>
      <c r="N4" s="68"/>
      <c r="O4" s="69"/>
      <c r="P4" s="68"/>
      <c r="Q4" s="70"/>
      <c r="R4" s="71"/>
      <c r="S4" s="71"/>
    </row>
    <row r="5" spans="1:19" ht="210" hidden="1" x14ac:dyDescent="0.25">
      <c r="A5" s="67" t="s">
        <v>326</v>
      </c>
      <c r="B5" s="68" t="s">
        <v>256</v>
      </c>
      <c r="C5" s="68" t="str">
        <f>VLOOKUP(Tabela2[[#This Row],[OM APOIADA]],Tabela1[[#All],[OM]:[Diretoria Responsável]],3,0)</f>
        <v>DGP</v>
      </c>
      <c r="D5" s="68" t="s">
        <v>626</v>
      </c>
      <c r="E5" s="68"/>
      <c r="F5" s="68" t="s">
        <v>257</v>
      </c>
      <c r="G5" s="69">
        <v>45797</v>
      </c>
      <c r="H5" s="68" t="s">
        <v>327</v>
      </c>
      <c r="I5" s="68" t="s">
        <v>328</v>
      </c>
      <c r="J5" s="69"/>
      <c r="K5" s="68"/>
      <c r="L5" s="68"/>
      <c r="M5" s="69"/>
      <c r="N5" s="68"/>
      <c r="O5" s="69"/>
      <c r="P5" s="68"/>
      <c r="Q5" s="70"/>
      <c r="R5" s="71"/>
      <c r="S5" s="71"/>
    </row>
    <row r="6" spans="1:19" ht="225" hidden="1" x14ac:dyDescent="0.25">
      <c r="A6" s="67" t="s">
        <v>329</v>
      </c>
      <c r="B6" s="68" t="s">
        <v>256</v>
      </c>
      <c r="C6" s="68" t="str">
        <f>VLOOKUP(Tabela2[[#This Row],[OM APOIADA]],Tabela1[[#All],[OM]:[Diretoria Responsável]],3,0)</f>
        <v>DGP</v>
      </c>
      <c r="D6" s="68" t="s">
        <v>626</v>
      </c>
      <c r="E6" s="68"/>
      <c r="F6" s="68" t="s">
        <v>257</v>
      </c>
      <c r="G6" s="69">
        <v>45797</v>
      </c>
      <c r="H6" s="68" t="s">
        <v>330</v>
      </c>
      <c r="I6" s="68" t="s">
        <v>331</v>
      </c>
      <c r="J6" s="69"/>
      <c r="K6" s="68"/>
      <c r="L6" s="68"/>
      <c r="M6" s="69"/>
      <c r="N6" s="68"/>
      <c r="O6" s="69"/>
      <c r="P6" s="68"/>
      <c r="Q6" s="70"/>
      <c r="R6" s="71"/>
      <c r="S6" s="71"/>
    </row>
    <row r="7" spans="1:19" ht="75" hidden="1" x14ac:dyDescent="0.25">
      <c r="A7" s="67" t="s">
        <v>332</v>
      </c>
      <c r="B7" s="68" t="s">
        <v>256</v>
      </c>
      <c r="C7" s="68" t="str">
        <f>VLOOKUP(Tabela2[[#This Row],[OM APOIADA]],Tabela1[[#All],[OM]:[Diretoria Responsável]],3,0)</f>
        <v>DGP</v>
      </c>
      <c r="D7" s="68" t="s">
        <v>626</v>
      </c>
      <c r="E7" s="68"/>
      <c r="F7" s="68" t="s">
        <v>257</v>
      </c>
      <c r="G7" s="69">
        <v>45797</v>
      </c>
      <c r="H7" s="68" t="s">
        <v>333</v>
      </c>
      <c r="I7" s="68" t="s">
        <v>334</v>
      </c>
      <c r="J7" s="69"/>
      <c r="K7" s="68"/>
      <c r="L7" s="68"/>
      <c r="M7" s="69"/>
      <c r="N7" s="68"/>
      <c r="O7" s="69"/>
      <c r="P7" s="68"/>
      <c r="Q7" s="70"/>
      <c r="R7" s="71"/>
      <c r="S7" s="71"/>
    </row>
    <row r="8" spans="1:19" ht="255" hidden="1" x14ac:dyDescent="0.25">
      <c r="A8" s="67" t="s">
        <v>335</v>
      </c>
      <c r="B8" s="68" t="s">
        <v>256</v>
      </c>
      <c r="C8" s="68" t="str">
        <f>VLOOKUP(Tabela2[[#This Row],[OM APOIADA]],Tabela1[[#All],[OM]:[Diretoria Responsável]],3,0)</f>
        <v>DGP</v>
      </c>
      <c r="D8" s="68" t="s">
        <v>626</v>
      </c>
      <c r="E8" s="68"/>
      <c r="F8" s="68" t="s">
        <v>257</v>
      </c>
      <c r="G8" s="69">
        <v>45797</v>
      </c>
      <c r="H8" s="68" t="s">
        <v>336</v>
      </c>
      <c r="I8" s="68" t="s">
        <v>337</v>
      </c>
      <c r="J8" s="69"/>
      <c r="K8" s="68"/>
      <c r="L8" s="68"/>
      <c r="M8" s="69"/>
      <c r="N8" s="68"/>
      <c r="O8" s="69"/>
      <c r="P8" s="68"/>
      <c r="Q8" s="70"/>
      <c r="R8" s="71"/>
      <c r="S8" s="71"/>
    </row>
    <row r="9" spans="1:19" ht="255" hidden="1" x14ac:dyDescent="0.25">
      <c r="A9" s="67" t="s">
        <v>338</v>
      </c>
      <c r="B9" s="68" t="s">
        <v>256</v>
      </c>
      <c r="C9" s="68" t="str">
        <f>VLOOKUP(Tabela2[[#This Row],[OM APOIADA]],Tabela1[[#All],[OM]:[Diretoria Responsável]],3,0)</f>
        <v>DGP</v>
      </c>
      <c r="D9" s="68" t="s">
        <v>626</v>
      </c>
      <c r="E9" s="68"/>
      <c r="F9" s="68" t="s">
        <v>257</v>
      </c>
      <c r="G9" s="69">
        <v>45797</v>
      </c>
      <c r="H9" s="68" t="s">
        <v>339</v>
      </c>
      <c r="I9" s="68" t="s">
        <v>340</v>
      </c>
      <c r="J9" s="69"/>
      <c r="K9" s="68"/>
      <c r="L9" s="68"/>
      <c r="M9" s="69"/>
      <c r="N9" s="68"/>
      <c r="O9" s="69"/>
      <c r="P9" s="68"/>
      <c r="Q9" s="70"/>
      <c r="R9" s="71"/>
      <c r="S9" s="71"/>
    </row>
    <row r="10" spans="1:19" ht="165" hidden="1" x14ac:dyDescent="0.25">
      <c r="A10" s="67" t="s">
        <v>341</v>
      </c>
      <c r="B10" s="68" t="s">
        <v>256</v>
      </c>
      <c r="C10" s="68" t="str">
        <f>VLOOKUP(Tabela2[[#This Row],[OM APOIADA]],Tabela1[[#All],[OM]:[Diretoria Responsável]],3,0)</f>
        <v>DGP</v>
      </c>
      <c r="D10" s="68" t="s">
        <v>626</v>
      </c>
      <c r="E10" s="68"/>
      <c r="F10" s="68" t="s">
        <v>257</v>
      </c>
      <c r="G10" s="69">
        <v>45797</v>
      </c>
      <c r="H10" s="68" t="s">
        <v>342</v>
      </c>
      <c r="I10" s="68" t="s">
        <v>343</v>
      </c>
      <c r="J10" s="69"/>
      <c r="K10" s="68"/>
      <c r="L10" s="68"/>
      <c r="M10" s="69"/>
      <c r="N10" s="68"/>
      <c r="O10" s="69"/>
      <c r="P10" s="68"/>
      <c r="Q10" s="70"/>
      <c r="R10" s="71"/>
      <c r="S10" s="71"/>
    </row>
    <row r="11" spans="1:19" ht="75" hidden="1" x14ac:dyDescent="0.25">
      <c r="A11" s="61" t="s">
        <v>194</v>
      </c>
      <c r="B11" s="88" t="s">
        <v>26</v>
      </c>
      <c r="C11" s="88" t="str">
        <f>VLOOKUP(Tabela2[[#This Row],[OM APOIADA]],Tabela1[[#All],[OM]:[Diretoria Responsável]],3,0)</f>
        <v>COTER</v>
      </c>
      <c r="D11" s="88"/>
      <c r="E11" s="88" t="s">
        <v>622</v>
      </c>
      <c r="F11" s="88"/>
      <c r="G11" s="89">
        <v>45761</v>
      </c>
      <c r="H11" s="88"/>
      <c r="I11" s="88" t="s">
        <v>195</v>
      </c>
      <c r="J11" s="92"/>
      <c r="K11" s="88"/>
      <c r="L11" s="88"/>
      <c r="M11" s="89"/>
      <c r="N11" s="88"/>
      <c r="O11" s="89"/>
      <c r="P11" s="88"/>
      <c r="Q11" s="90">
        <f>O11-G11</f>
        <v>-45761</v>
      </c>
      <c r="R11" s="90">
        <f>O11-J11</f>
        <v>0</v>
      </c>
      <c r="S11" s="90"/>
    </row>
    <row r="12" spans="1:19" ht="75" hidden="1" x14ac:dyDescent="0.25">
      <c r="A12" s="61" t="s">
        <v>219</v>
      </c>
      <c r="B12" s="88" t="s">
        <v>220</v>
      </c>
      <c r="C12" s="88" t="e">
        <f>VLOOKUP(Tabela2[[#This Row],[OM APOIADA]],Tabela1[[#All],[OM]:[Diretoria Responsável]],3,0)</f>
        <v>#N/A</v>
      </c>
      <c r="D12" s="88"/>
      <c r="E12" s="88"/>
      <c r="F12" s="88" t="s">
        <v>221</v>
      </c>
      <c r="G12" s="89">
        <v>45784</v>
      </c>
      <c r="H12" s="88"/>
      <c r="I12" s="88" t="s">
        <v>222</v>
      </c>
      <c r="J12" s="92"/>
      <c r="K12" s="88"/>
      <c r="L12" s="88"/>
      <c r="M12" s="89"/>
      <c r="N12" s="88"/>
      <c r="O12" s="89"/>
      <c r="P12" s="88"/>
      <c r="Q12" s="90">
        <f>O12-G12</f>
        <v>-45784</v>
      </c>
      <c r="R12" s="90">
        <f>O12-J12</f>
        <v>0</v>
      </c>
      <c r="S12" s="90"/>
    </row>
    <row r="13" spans="1:19" ht="60" hidden="1" x14ac:dyDescent="0.25">
      <c r="A13" s="61" t="s">
        <v>269</v>
      </c>
      <c r="B13" s="88" t="s">
        <v>256</v>
      </c>
      <c r="C13" s="88" t="str">
        <f>VLOOKUP(Tabela2[[#This Row],[OM APOIADA]],Tabela1[[#All],[OM]:[Diretoria Responsável]],3,0)</f>
        <v>DGP</v>
      </c>
      <c r="D13" s="88"/>
      <c r="E13" s="88" t="s">
        <v>622</v>
      </c>
      <c r="F13" s="88" t="s">
        <v>257</v>
      </c>
      <c r="G13" s="89">
        <v>45797</v>
      </c>
      <c r="H13" s="88" t="s">
        <v>270</v>
      </c>
      <c r="I13" s="88" t="s">
        <v>271</v>
      </c>
      <c r="J13" s="89"/>
      <c r="K13" s="88"/>
      <c r="L13" s="88"/>
      <c r="M13" s="89"/>
      <c r="N13" s="88"/>
      <c r="O13" s="89"/>
      <c r="P13" s="88"/>
      <c r="Q13" s="90"/>
      <c r="R13" s="91"/>
      <c r="S13" s="91"/>
    </row>
    <row r="14" spans="1:19" ht="60" hidden="1" x14ac:dyDescent="0.25">
      <c r="A14" s="61" t="s">
        <v>272</v>
      </c>
      <c r="B14" s="88" t="s">
        <v>256</v>
      </c>
      <c r="C14" s="88" t="str">
        <f>VLOOKUP(Tabela2[[#This Row],[OM APOIADA]],Tabela1[[#All],[OM]:[Diretoria Responsável]],3,0)</f>
        <v>DGP</v>
      </c>
      <c r="D14" s="88"/>
      <c r="E14" s="88" t="s">
        <v>622</v>
      </c>
      <c r="F14" s="88" t="s">
        <v>257</v>
      </c>
      <c r="G14" s="89">
        <v>45797</v>
      </c>
      <c r="H14" s="88" t="s">
        <v>273</v>
      </c>
      <c r="I14" s="88" t="s">
        <v>274</v>
      </c>
      <c r="J14" s="89"/>
      <c r="K14" s="88"/>
      <c r="L14" s="88"/>
      <c r="M14" s="89"/>
      <c r="N14" s="88"/>
      <c r="O14" s="89"/>
      <c r="P14" s="88"/>
      <c r="Q14" s="90"/>
      <c r="R14" s="91"/>
      <c r="S14" s="91"/>
    </row>
    <row r="15" spans="1:19" ht="60" hidden="1" x14ac:dyDescent="0.25">
      <c r="A15" s="61" t="s">
        <v>275</v>
      </c>
      <c r="B15" s="88" t="s">
        <v>256</v>
      </c>
      <c r="C15" s="88" t="str">
        <f>VLOOKUP(Tabela2[[#This Row],[OM APOIADA]],Tabela1[[#All],[OM]:[Diretoria Responsável]],3,0)</f>
        <v>DGP</v>
      </c>
      <c r="D15" s="88"/>
      <c r="E15" s="88" t="s">
        <v>622</v>
      </c>
      <c r="F15" s="88" t="s">
        <v>257</v>
      </c>
      <c r="G15" s="89">
        <v>45797</v>
      </c>
      <c r="H15" s="88" t="s">
        <v>276</v>
      </c>
      <c r="I15" s="88" t="s">
        <v>277</v>
      </c>
      <c r="J15" s="89"/>
      <c r="K15" s="88"/>
      <c r="L15" s="88"/>
      <c r="M15" s="89"/>
      <c r="N15" s="88"/>
      <c r="O15" s="89"/>
      <c r="P15" s="88"/>
      <c r="Q15" s="90"/>
      <c r="R15" s="91"/>
      <c r="S15" s="91"/>
    </row>
    <row r="16" spans="1:19" ht="60" hidden="1" x14ac:dyDescent="0.25">
      <c r="A16" s="61" t="s">
        <v>278</v>
      </c>
      <c r="B16" s="88" t="s">
        <v>256</v>
      </c>
      <c r="C16" s="88" t="str">
        <f>VLOOKUP(Tabela2[[#This Row],[OM APOIADA]],Tabela1[[#All],[OM]:[Diretoria Responsável]],3,0)</f>
        <v>DGP</v>
      </c>
      <c r="D16" s="88"/>
      <c r="E16" s="88" t="s">
        <v>622</v>
      </c>
      <c r="F16" s="88" t="s">
        <v>257</v>
      </c>
      <c r="G16" s="89">
        <v>45797</v>
      </c>
      <c r="H16" s="88" t="s">
        <v>279</v>
      </c>
      <c r="I16" s="88" t="s">
        <v>280</v>
      </c>
      <c r="J16" s="89"/>
      <c r="K16" s="88"/>
      <c r="L16" s="88"/>
      <c r="M16" s="89"/>
      <c r="N16" s="88"/>
      <c r="O16" s="89"/>
      <c r="P16" s="88"/>
      <c r="Q16" s="90"/>
      <c r="R16" s="91"/>
      <c r="S16" s="91"/>
    </row>
    <row r="17" spans="1:19" ht="195" hidden="1" x14ac:dyDescent="0.25">
      <c r="A17" s="61" t="s">
        <v>281</v>
      </c>
      <c r="B17" s="88" t="s">
        <v>256</v>
      </c>
      <c r="C17" s="88" t="str">
        <f>VLOOKUP(Tabela2[[#This Row],[OM APOIADA]],Tabela1[[#All],[OM]:[Diretoria Responsável]],3,0)</f>
        <v>DGP</v>
      </c>
      <c r="D17" s="88"/>
      <c r="E17" s="88" t="s">
        <v>622</v>
      </c>
      <c r="F17" s="88" t="s">
        <v>257</v>
      </c>
      <c r="G17" s="89">
        <v>45797</v>
      </c>
      <c r="H17" s="88" t="s">
        <v>282</v>
      </c>
      <c r="I17" s="88" t="s">
        <v>283</v>
      </c>
      <c r="J17" s="89"/>
      <c r="K17" s="88"/>
      <c r="L17" s="88"/>
      <c r="M17" s="89"/>
      <c r="N17" s="88"/>
      <c r="O17" s="89"/>
      <c r="P17" s="88"/>
      <c r="Q17" s="90"/>
      <c r="R17" s="91"/>
      <c r="S17" s="91"/>
    </row>
    <row r="18" spans="1:19" ht="105" hidden="1" x14ac:dyDescent="0.25">
      <c r="A18" s="61" t="s">
        <v>284</v>
      </c>
      <c r="B18" s="88" t="s">
        <v>256</v>
      </c>
      <c r="C18" s="88" t="str">
        <f>VLOOKUP(Tabela2[[#This Row],[OM APOIADA]],Tabela1[[#All],[OM]:[Diretoria Responsável]],3,0)</f>
        <v>DGP</v>
      </c>
      <c r="D18" s="88"/>
      <c r="E18" s="88" t="s">
        <v>622</v>
      </c>
      <c r="F18" s="88" t="s">
        <v>257</v>
      </c>
      <c r="G18" s="89">
        <v>45797</v>
      </c>
      <c r="H18" s="88" t="s">
        <v>285</v>
      </c>
      <c r="I18" s="88" t="s">
        <v>286</v>
      </c>
      <c r="J18" s="89"/>
      <c r="K18" s="88"/>
      <c r="L18" s="88"/>
      <c r="M18" s="89"/>
      <c r="N18" s="88"/>
      <c r="O18" s="89"/>
      <c r="P18" s="88"/>
      <c r="Q18" s="90"/>
      <c r="R18" s="91"/>
      <c r="S18" s="91"/>
    </row>
    <row r="19" spans="1:19" ht="135" hidden="1" x14ac:dyDescent="0.25">
      <c r="A19" s="61" t="s">
        <v>287</v>
      </c>
      <c r="B19" s="88" t="s">
        <v>256</v>
      </c>
      <c r="C19" s="88" t="str">
        <f>VLOOKUP(Tabela2[[#This Row],[OM APOIADA]],Tabela1[[#All],[OM]:[Diretoria Responsável]],3,0)</f>
        <v>DGP</v>
      </c>
      <c r="D19" s="88"/>
      <c r="E19" s="88" t="s">
        <v>622</v>
      </c>
      <c r="F19" s="88" t="s">
        <v>257</v>
      </c>
      <c r="G19" s="89">
        <v>45797</v>
      </c>
      <c r="H19" s="88" t="s">
        <v>288</v>
      </c>
      <c r="I19" s="88" t="s">
        <v>289</v>
      </c>
      <c r="J19" s="89"/>
      <c r="K19" s="88"/>
      <c r="L19" s="88"/>
      <c r="M19" s="89"/>
      <c r="N19" s="88"/>
      <c r="O19" s="89"/>
      <c r="P19" s="88"/>
      <c r="Q19" s="90"/>
      <c r="R19" s="91"/>
      <c r="S19" s="91"/>
    </row>
    <row r="20" spans="1:19" ht="60" hidden="1" x14ac:dyDescent="0.25">
      <c r="A20" s="61" t="s">
        <v>290</v>
      </c>
      <c r="B20" s="88" t="s">
        <v>256</v>
      </c>
      <c r="C20" s="88" t="str">
        <f>VLOOKUP(Tabela2[[#This Row],[OM APOIADA]],Tabela1[[#All],[OM]:[Diretoria Responsável]],3,0)</f>
        <v>DGP</v>
      </c>
      <c r="D20" s="88"/>
      <c r="E20" s="88" t="s">
        <v>622</v>
      </c>
      <c r="F20" s="88" t="s">
        <v>257</v>
      </c>
      <c r="G20" s="89">
        <v>45797</v>
      </c>
      <c r="H20" s="88" t="s">
        <v>291</v>
      </c>
      <c r="I20" s="88" t="s">
        <v>292</v>
      </c>
      <c r="J20" s="89"/>
      <c r="K20" s="88"/>
      <c r="L20" s="88"/>
      <c r="M20" s="89"/>
      <c r="N20" s="88"/>
      <c r="O20" s="89"/>
      <c r="P20" s="88"/>
      <c r="Q20" s="90"/>
      <c r="R20" s="91"/>
      <c r="S20" s="91"/>
    </row>
    <row r="21" spans="1:19" ht="75" hidden="1" x14ac:dyDescent="0.25">
      <c r="A21" s="61" t="s">
        <v>293</v>
      </c>
      <c r="B21" s="88" t="s">
        <v>256</v>
      </c>
      <c r="C21" s="88" t="str">
        <f>VLOOKUP(Tabela2[[#This Row],[OM APOIADA]],Tabela1[[#All],[OM]:[Diretoria Responsável]],3,0)</f>
        <v>DGP</v>
      </c>
      <c r="D21" s="88"/>
      <c r="E21" s="88" t="s">
        <v>622</v>
      </c>
      <c r="F21" s="88" t="s">
        <v>257</v>
      </c>
      <c r="G21" s="89">
        <v>45797</v>
      </c>
      <c r="H21" s="88" t="s">
        <v>294</v>
      </c>
      <c r="I21" s="88" t="s">
        <v>295</v>
      </c>
      <c r="J21" s="89"/>
      <c r="K21" s="88"/>
      <c r="L21" s="88"/>
      <c r="M21" s="89"/>
      <c r="N21" s="88"/>
      <c r="O21" s="89"/>
      <c r="P21" s="88"/>
      <c r="Q21" s="90"/>
      <c r="R21" s="91"/>
      <c r="S21" s="91"/>
    </row>
    <row r="22" spans="1:19" ht="60" hidden="1" x14ac:dyDescent="0.25">
      <c r="A22" s="61" t="s">
        <v>296</v>
      </c>
      <c r="B22" s="88" t="s">
        <v>256</v>
      </c>
      <c r="C22" s="88" t="str">
        <f>VLOOKUP(Tabela2[[#This Row],[OM APOIADA]],Tabela1[[#All],[OM]:[Diretoria Responsável]],3,0)</f>
        <v>DGP</v>
      </c>
      <c r="D22" s="88"/>
      <c r="E22" s="88" t="s">
        <v>622</v>
      </c>
      <c r="F22" s="88" t="s">
        <v>257</v>
      </c>
      <c r="G22" s="89">
        <v>45797</v>
      </c>
      <c r="H22" s="88" t="s">
        <v>297</v>
      </c>
      <c r="I22" s="88" t="s">
        <v>298</v>
      </c>
      <c r="J22" s="89"/>
      <c r="K22" s="88"/>
      <c r="L22" s="88"/>
      <c r="M22" s="89"/>
      <c r="N22" s="88"/>
      <c r="O22" s="89"/>
      <c r="P22" s="88"/>
      <c r="Q22" s="90"/>
      <c r="R22" s="91"/>
      <c r="S22" s="91"/>
    </row>
    <row r="23" spans="1:19" ht="60" hidden="1" x14ac:dyDescent="0.25">
      <c r="A23" s="61" t="s">
        <v>299</v>
      </c>
      <c r="B23" s="88" t="s">
        <v>256</v>
      </c>
      <c r="C23" s="88" t="str">
        <f>VLOOKUP(Tabela2[[#This Row],[OM APOIADA]],Tabela1[[#All],[OM]:[Diretoria Responsável]],3,0)</f>
        <v>DGP</v>
      </c>
      <c r="D23" s="88"/>
      <c r="E23" s="88" t="s">
        <v>622</v>
      </c>
      <c r="F23" s="88" t="s">
        <v>257</v>
      </c>
      <c r="G23" s="89">
        <v>45797</v>
      </c>
      <c r="H23" s="88" t="s">
        <v>300</v>
      </c>
      <c r="I23" s="88" t="s">
        <v>301</v>
      </c>
      <c r="J23" s="89"/>
      <c r="K23" s="88"/>
      <c r="L23" s="88"/>
      <c r="M23" s="89"/>
      <c r="N23" s="88"/>
      <c r="O23" s="89"/>
      <c r="P23" s="88"/>
      <c r="Q23" s="90"/>
      <c r="R23" s="91"/>
      <c r="S23" s="91"/>
    </row>
    <row r="24" spans="1:19" ht="60" hidden="1" x14ac:dyDescent="0.25">
      <c r="A24" s="61" t="s">
        <v>302</v>
      </c>
      <c r="B24" s="88" t="s">
        <v>256</v>
      </c>
      <c r="C24" s="88" t="str">
        <f>VLOOKUP(Tabela2[[#This Row],[OM APOIADA]],Tabela1[[#All],[OM]:[Diretoria Responsável]],3,0)</f>
        <v>DGP</v>
      </c>
      <c r="D24" s="88"/>
      <c r="E24" s="88" t="s">
        <v>622</v>
      </c>
      <c r="F24" s="88" t="s">
        <v>257</v>
      </c>
      <c r="G24" s="89">
        <v>45797</v>
      </c>
      <c r="H24" s="88" t="s">
        <v>303</v>
      </c>
      <c r="I24" s="88" t="s">
        <v>304</v>
      </c>
      <c r="J24" s="89"/>
      <c r="K24" s="88"/>
      <c r="L24" s="88"/>
      <c r="M24" s="89"/>
      <c r="N24" s="88"/>
      <c r="O24" s="89"/>
      <c r="P24" s="88"/>
      <c r="Q24" s="90"/>
      <c r="R24" s="91"/>
      <c r="S24" s="91"/>
    </row>
    <row r="25" spans="1:19" ht="60" hidden="1" x14ac:dyDescent="0.25">
      <c r="A25" s="61" t="s">
        <v>305</v>
      </c>
      <c r="B25" s="88" t="s">
        <v>256</v>
      </c>
      <c r="C25" s="88" t="str">
        <f>VLOOKUP(Tabela2[[#This Row],[OM APOIADA]],Tabela1[[#All],[OM]:[Diretoria Responsável]],3,0)</f>
        <v>DGP</v>
      </c>
      <c r="D25" s="88"/>
      <c r="E25" s="88" t="s">
        <v>622</v>
      </c>
      <c r="F25" s="88" t="s">
        <v>257</v>
      </c>
      <c r="G25" s="89">
        <v>45797</v>
      </c>
      <c r="H25" s="88" t="s">
        <v>306</v>
      </c>
      <c r="I25" s="88" t="s">
        <v>307</v>
      </c>
      <c r="J25" s="89"/>
      <c r="K25" s="88"/>
      <c r="L25" s="88"/>
      <c r="M25" s="89"/>
      <c r="N25" s="88"/>
      <c r="O25" s="89"/>
      <c r="P25" s="88"/>
      <c r="Q25" s="90"/>
      <c r="R25" s="91"/>
      <c r="S25" s="91"/>
    </row>
    <row r="26" spans="1:19" ht="60" hidden="1" x14ac:dyDescent="0.25">
      <c r="A26" s="61" t="s">
        <v>308</v>
      </c>
      <c r="B26" s="88" t="s">
        <v>256</v>
      </c>
      <c r="C26" s="88" t="str">
        <f>VLOOKUP(Tabela2[[#This Row],[OM APOIADA]],Tabela1[[#All],[OM]:[Diretoria Responsável]],3,0)</f>
        <v>DGP</v>
      </c>
      <c r="D26" s="88"/>
      <c r="E26" s="88" t="s">
        <v>622</v>
      </c>
      <c r="F26" s="88" t="s">
        <v>257</v>
      </c>
      <c r="G26" s="89">
        <v>45797</v>
      </c>
      <c r="H26" s="88" t="s">
        <v>309</v>
      </c>
      <c r="I26" s="88" t="s">
        <v>310</v>
      </c>
      <c r="J26" s="89"/>
      <c r="K26" s="88"/>
      <c r="L26" s="88"/>
      <c r="M26" s="89"/>
      <c r="N26" s="88"/>
      <c r="O26" s="89"/>
      <c r="P26" s="88"/>
      <c r="Q26" s="90"/>
      <c r="R26" s="91"/>
      <c r="S26" s="91"/>
    </row>
    <row r="27" spans="1:19" ht="60" hidden="1" x14ac:dyDescent="0.25">
      <c r="A27" s="61" t="s">
        <v>311</v>
      </c>
      <c r="B27" s="88" t="s">
        <v>256</v>
      </c>
      <c r="C27" s="88" t="str">
        <f>VLOOKUP(Tabela2[[#This Row],[OM APOIADA]],Tabela1[[#All],[OM]:[Diretoria Responsável]],3,0)</f>
        <v>DGP</v>
      </c>
      <c r="D27" s="88"/>
      <c r="E27" s="88" t="s">
        <v>622</v>
      </c>
      <c r="F27" s="88" t="s">
        <v>257</v>
      </c>
      <c r="G27" s="89">
        <v>45797</v>
      </c>
      <c r="H27" s="88" t="s">
        <v>312</v>
      </c>
      <c r="I27" s="88" t="s">
        <v>313</v>
      </c>
      <c r="J27" s="89"/>
      <c r="K27" s="88"/>
      <c r="L27" s="88"/>
      <c r="M27" s="89"/>
      <c r="N27" s="88"/>
      <c r="O27" s="89"/>
      <c r="P27" s="88"/>
      <c r="Q27" s="90"/>
      <c r="R27" s="91"/>
      <c r="S27" s="91"/>
    </row>
    <row r="28" spans="1:19" ht="45" hidden="1" x14ac:dyDescent="0.25">
      <c r="A28" s="61" t="s">
        <v>314</v>
      </c>
      <c r="B28" s="88" t="s">
        <v>256</v>
      </c>
      <c r="C28" s="88" t="str">
        <f>VLOOKUP(Tabela2[[#This Row],[OM APOIADA]],Tabela1[[#All],[OM]:[Diretoria Responsável]],3,0)</f>
        <v>DGP</v>
      </c>
      <c r="D28" s="88"/>
      <c r="E28" s="88" t="s">
        <v>622</v>
      </c>
      <c r="F28" s="88" t="s">
        <v>257</v>
      </c>
      <c r="G28" s="89">
        <v>45797</v>
      </c>
      <c r="H28" s="88" t="s">
        <v>315</v>
      </c>
      <c r="I28" s="88" t="s">
        <v>316</v>
      </c>
      <c r="J28" s="89"/>
      <c r="K28" s="88"/>
      <c r="L28" s="88"/>
      <c r="M28" s="89"/>
      <c r="N28" s="88"/>
      <c r="O28" s="89"/>
      <c r="P28" s="88"/>
      <c r="Q28" s="90"/>
      <c r="R28" s="91"/>
      <c r="S28" s="91"/>
    </row>
    <row r="29" spans="1:19" ht="60" hidden="1" x14ac:dyDescent="0.25">
      <c r="A29" s="61" t="s">
        <v>407</v>
      </c>
      <c r="B29" s="88" t="s">
        <v>408</v>
      </c>
      <c r="C29" s="88" t="str">
        <f>VLOOKUP(Tabela2[[#This Row],[OM APOIADA]],Tabela1[[#All],[OM]:[Diretoria Responsável]],3,0)</f>
        <v>COTER</v>
      </c>
      <c r="D29" s="88"/>
      <c r="E29" s="88" t="s">
        <v>622</v>
      </c>
      <c r="F29" s="88" t="s">
        <v>409</v>
      </c>
      <c r="G29" s="89">
        <v>45824</v>
      </c>
      <c r="H29" s="88"/>
      <c r="I29" s="88" t="s">
        <v>410</v>
      </c>
      <c r="J29" s="89">
        <v>45826</v>
      </c>
      <c r="K29" s="58" t="s">
        <v>411</v>
      </c>
      <c r="L29" s="58"/>
      <c r="M29" s="59"/>
      <c r="N29" s="58" t="s">
        <v>412</v>
      </c>
      <c r="O29" s="59"/>
      <c r="P29" s="58" t="s">
        <v>413</v>
      </c>
      <c r="Q29" s="90"/>
      <c r="R29" s="91"/>
      <c r="S29" s="91"/>
    </row>
    <row r="30" spans="1:19" ht="75" hidden="1" x14ac:dyDescent="0.25">
      <c r="A30" s="61" t="s">
        <v>437</v>
      </c>
      <c r="B30" s="88" t="s">
        <v>251</v>
      </c>
      <c r="C30" s="88" t="str">
        <f>VLOOKUP(Tabela2[[#This Row],[OM APOIADA]],Tabela1[[#All],[OM]:[Diretoria Responsável]],3,0)</f>
        <v>DECEx</v>
      </c>
      <c r="D30" s="88"/>
      <c r="E30" s="88" t="s">
        <v>622</v>
      </c>
      <c r="F30" s="88" t="s">
        <v>438</v>
      </c>
      <c r="G30" s="89">
        <v>45827</v>
      </c>
      <c r="H30" s="88"/>
      <c r="I30" s="88" t="s">
        <v>439</v>
      </c>
      <c r="J30" s="59"/>
      <c r="K30" s="88" t="s">
        <v>58</v>
      </c>
      <c r="L30" s="88"/>
      <c r="M30" s="89"/>
      <c r="N30" s="88"/>
      <c r="O30" s="89"/>
      <c r="P30" s="88"/>
      <c r="Q30" s="90"/>
      <c r="R30" s="91"/>
      <c r="S30" s="91"/>
    </row>
    <row r="31" spans="1:19" ht="45" hidden="1" x14ac:dyDescent="0.25">
      <c r="A31" s="61" t="s">
        <v>430</v>
      </c>
      <c r="B31" s="88" t="s">
        <v>431</v>
      </c>
      <c r="C31" s="88">
        <f>VLOOKUP(Tabela2[[#This Row],[OM APOIADA]],Tabela1[[#All],[OM]:[Diretoria Responsável]],3,0)</f>
        <v>0</v>
      </c>
      <c r="D31" s="88"/>
      <c r="E31" s="88" t="s">
        <v>622</v>
      </c>
      <c r="F31" s="88" t="s">
        <v>432</v>
      </c>
      <c r="G31" s="89">
        <v>45831</v>
      </c>
      <c r="H31" s="88"/>
      <c r="I31" s="88" t="s">
        <v>433</v>
      </c>
      <c r="J31" s="59"/>
      <c r="K31" s="88" t="s">
        <v>58</v>
      </c>
      <c r="L31" s="88"/>
      <c r="M31" s="89"/>
      <c r="N31" s="88"/>
      <c r="O31" s="89"/>
      <c r="P31" s="88"/>
      <c r="Q31" s="90"/>
      <c r="R31" s="91"/>
      <c r="S31" s="91"/>
    </row>
    <row r="32" spans="1:19" ht="60" hidden="1" x14ac:dyDescent="0.25">
      <c r="A32" s="61" t="s">
        <v>456</v>
      </c>
      <c r="B32" s="88" t="s">
        <v>457</v>
      </c>
      <c r="C32" s="88" t="e">
        <f>VLOOKUP(Tabela2[[#This Row],[OM APOIADA]],Tabela1[[#All],[OM]:[Diretoria Responsável]],3,0)</f>
        <v>#N/A</v>
      </c>
      <c r="D32" s="88"/>
      <c r="E32" s="88" t="s">
        <v>622</v>
      </c>
      <c r="F32" s="88" t="s">
        <v>458</v>
      </c>
      <c r="G32" s="89">
        <v>45846</v>
      </c>
      <c r="H32" s="88"/>
      <c r="I32" s="88" t="s">
        <v>459</v>
      </c>
      <c r="J32" s="59"/>
      <c r="K32" s="88" t="s">
        <v>58</v>
      </c>
      <c r="L32" s="88"/>
      <c r="M32" s="89"/>
      <c r="N32" s="88"/>
      <c r="O32" s="89"/>
      <c r="P32" s="88"/>
      <c r="Q32" s="90"/>
      <c r="R32" s="91"/>
      <c r="S32" s="91"/>
    </row>
    <row r="33" spans="1:19" ht="90" hidden="1" x14ac:dyDescent="0.25">
      <c r="A33" s="61" t="s">
        <v>465</v>
      </c>
      <c r="B33" s="88" t="s">
        <v>431</v>
      </c>
      <c r="C33" s="88">
        <f>VLOOKUP(Tabela2[[#This Row],[OM APOIADA]],Tabela1[[#All],[OM]:[Diretoria Responsável]],3,0)</f>
        <v>0</v>
      </c>
      <c r="D33" s="88"/>
      <c r="E33" s="88" t="s">
        <v>622</v>
      </c>
      <c r="F33" s="88" t="s">
        <v>466</v>
      </c>
      <c r="G33" s="89">
        <v>45852</v>
      </c>
      <c r="H33" s="88"/>
      <c r="I33" s="88" t="s">
        <v>467</v>
      </c>
      <c r="J33" s="59"/>
      <c r="K33" s="88"/>
      <c r="L33" s="88"/>
      <c r="M33" s="89"/>
      <c r="N33" s="88"/>
      <c r="O33" s="89"/>
      <c r="P33" s="58" t="s">
        <v>468</v>
      </c>
      <c r="Q33" s="90"/>
      <c r="R33" s="91"/>
      <c r="S33" s="91"/>
    </row>
    <row r="34" spans="1:19" ht="90" hidden="1" x14ac:dyDescent="0.25">
      <c r="A34" s="61" t="s">
        <v>475</v>
      </c>
      <c r="B34" s="88" t="s">
        <v>476</v>
      </c>
      <c r="C34" s="88" t="str">
        <f>VLOOKUP(Tabela2[[#This Row],[OM APOIADA]],Tabela1[[#All],[OM]:[Diretoria Responsável]],3,0)</f>
        <v>COLOG</v>
      </c>
      <c r="D34" s="88"/>
      <c r="E34" s="88" t="s">
        <v>622</v>
      </c>
      <c r="F34" s="88" t="s">
        <v>477</v>
      </c>
      <c r="G34" s="89">
        <v>45861</v>
      </c>
      <c r="H34" s="88"/>
      <c r="I34" s="88" t="s">
        <v>478</v>
      </c>
      <c r="J34" s="59"/>
      <c r="K34" s="88"/>
      <c r="L34" s="88"/>
      <c r="M34" s="89"/>
      <c r="N34" s="88"/>
      <c r="O34" s="89"/>
      <c r="P34" s="88"/>
      <c r="Q34" s="90"/>
      <c r="R34" s="91"/>
      <c r="S34" s="91"/>
    </row>
    <row r="35" spans="1:19" ht="60" hidden="1" x14ac:dyDescent="0.25">
      <c r="A35" s="61" t="s">
        <v>489</v>
      </c>
      <c r="B35" s="87" t="s">
        <v>615</v>
      </c>
      <c r="C35" s="88" t="str">
        <f>VLOOKUP(Tabela2[[#This Row],[OM APOIADA]],Tabela1[[#All],[OM]:[Diretoria Responsável]],3,0)</f>
        <v>COTER</v>
      </c>
      <c r="D35" s="88"/>
      <c r="E35" s="88" t="s">
        <v>622</v>
      </c>
      <c r="F35" s="88" t="s">
        <v>490</v>
      </c>
      <c r="G35" s="89">
        <v>45875</v>
      </c>
      <c r="H35" s="88"/>
      <c r="I35" s="88" t="s">
        <v>491</v>
      </c>
      <c r="J35" s="89">
        <v>45912</v>
      </c>
      <c r="K35" s="88" t="s">
        <v>488</v>
      </c>
      <c r="L35" s="88"/>
      <c r="M35" s="89"/>
      <c r="N35" s="88"/>
      <c r="O35" s="89"/>
      <c r="P35" s="88"/>
      <c r="Q35" s="90"/>
      <c r="R35" s="91"/>
      <c r="S35" s="91"/>
    </row>
    <row r="36" spans="1:19" ht="60" hidden="1" x14ac:dyDescent="0.25">
      <c r="A36" s="61" t="s">
        <v>492</v>
      </c>
      <c r="B36" s="88" t="s">
        <v>247</v>
      </c>
      <c r="C36" s="88" t="str">
        <f>VLOOKUP(Tabela2[[#This Row],[OM APOIADA]],Tabela1[[#All],[OM]:[Diretoria Responsável]],3,0)</f>
        <v>DECEx</v>
      </c>
      <c r="D36" s="88"/>
      <c r="E36" s="88" t="s">
        <v>622</v>
      </c>
      <c r="F36" s="88" t="s">
        <v>493</v>
      </c>
      <c r="G36" s="89">
        <v>45882</v>
      </c>
      <c r="H36" s="88"/>
      <c r="I36" s="88"/>
      <c r="J36" s="89">
        <v>45910</v>
      </c>
      <c r="K36" s="88" t="s">
        <v>69</v>
      </c>
      <c r="L36" s="62"/>
      <c r="M36" s="89"/>
      <c r="N36" s="88"/>
      <c r="O36" s="89"/>
      <c r="P36" s="88"/>
      <c r="Q36" s="90"/>
      <c r="R36" s="91"/>
      <c r="S36" s="91"/>
    </row>
    <row r="37" spans="1:19" ht="75" hidden="1" x14ac:dyDescent="0.25">
      <c r="A37" s="61" t="s">
        <v>494</v>
      </c>
      <c r="B37" s="88" t="s">
        <v>247</v>
      </c>
      <c r="C37" s="88" t="str">
        <f>VLOOKUP(Tabela2[[#This Row],[OM APOIADA]],Tabela1[[#All],[OM]:[Diretoria Responsável]],3,0)</f>
        <v>DECEx</v>
      </c>
      <c r="D37" s="88"/>
      <c r="E37" s="88" t="s">
        <v>622</v>
      </c>
      <c r="F37" s="88" t="s">
        <v>493</v>
      </c>
      <c r="G37" s="89">
        <v>45882</v>
      </c>
      <c r="H37" s="88"/>
      <c r="I37" s="88"/>
      <c r="J37" s="89">
        <v>45910</v>
      </c>
      <c r="K37" s="88" t="s">
        <v>69</v>
      </c>
      <c r="L37" s="62"/>
      <c r="M37" s="89"/>
      <c r="N37" s="88"/>
      <c r="O37" s="89"/>
      <c r="P37" s="88"/>
      <c r="Q37" s="90"/>
      <c r="R37" s="91"/>
      <c r="S37" s="91"/>
    </row>
    <row r="38" spans="1:19" ht="45" hidden="1" x14ac:dyDescent="0.25">
      <c r="A38" s="61" t="s">
        <v>495</v>
      </c>
      <c r="B38" s="88" t="s">
        <v>496</v>
      </c>
      <c r="C38" s="88" t="str">
        <f>VLOOKUP(Tabela2[[#This Row],[OM APOIADA]],Tabela1[[#All],[OM]:[Diretoria Responsável]],3,0)</f>
        <v>DECEx</v>
      </c>
      <c r="D38" s="88"/>
      <c r="E38" s="88" t="s">
        <v>622</v>
      </c>
      <c r="F38" s="88" t="s">
        <v>493</v>
      </c>
      <c r="G38" s="89">
        <v>45882</v>
      </c>
      <c r="H38" s="88"/>
      <c r="I38" s="88"/>
      <c r="J38" s="59"/>
      <c r="K38" s="88" t="s">
        <v>58</v>
      </c>
      <c r="L38" s="88"/>
      <c r="M38" s="89"/>
      <c r="N38" s="88"/>
      <c r="O38" s="89"/>
      <c r="P38" s="88"/>
      <c r="Q38" s="90"/>
      <c r="R38" s="91"/>
      <c r="S38" s="91"/>
    </row>
    <row r="39" spans="1:19" ht="45" hidden="1" x14ac:dyDescent="0.25">
      <c r="A39" s="61" t="s">
        <v>501</v>
      </c>
      <c r="B39" s="88" t="s">
        <v>154</v>
      </c>
      <c r="C39" s="88" t="str">
        <f>VLOOKUP(Tabela2[[#This Row],[OM APOIADA]],Tabela1[[#All],[OM]:[Diretoria Responsável]],3,0)</f>
        <v>COTER</v>
      </c>
      <c r="D39" s="88"/>
      <c r="E39" s="88" t="s">
        <v>622</v>
      </c>
      <c r="F39" s="88" t="s">
        <v>502</v>
      </c>
      <c r="G39" s="89">
        <v>45888</v>
      </c>
      <c r="H39" s="88"/>
      <c r="I39" s="58" t="s">
        <v>503</v>
      </c>
      <c r="J39" s="59"/>
      <c r="K39" s="88"/>
      <c r="L39" s="88"/>
      <c r="M39" s="89"/>
      <c r="N39" s="88"/>
      <c r="O39" s="89"/>
      <c r="P39" s="88"/>
      <c r="Q39" s="90"/>
      <c r="R39" s="91"/>
      <c r="S39" s="91"/>
    </row>
    <row r="40" spans="1:19" ht="150" hidden="1" x14ac:dyDescent="0.25">
      <c r="A40" s="61" t="s">
        <v>504</v>
      </c>
      <c r="B40" s="88" t="s">
        <v>505</v>
      </c>
      <c r="C40" s="88" t="str">
        <f>VLOOKUP(Tabela2[[#This Row],[OM APOIADA]],Tabela1[[#All],[OM]:[Diretoria Responsável]],3,0)</f>
        <v>COTER</v>
      </c>
      <c r="D40" s="88"/>
      <c r="E40" s="88" t="s">
        <v>622</v>
      </c>
      <c r="F40" s="88" t="s">
        <v>506</v>
      </c>
      <c r="G40" s="89">
        <v>45896</v>
      </c>
      <c r="H40" s="88"/>
      <c r="I40" s="88" t="s">
        <v>507</v>
      </c>
      <c r="J40" s="89">
        <v>45910</v>
      </c>
      <c r="K40" s="88" t="s">
        <v>69</v>
      </c>
      <c r="L40" s="88"/>
      <c r="M40" s="89"/>
      <c r="N40" s="88"/>
      <c r="O40" s="89"/>
      <c r="P40" s="88"/>
      <c r="Q40" s="90"/>
      <c r="R40" s="91"/>
      <c r="S40" s="91"/>
    </row>
    <row r="41" spans="1:19" ht="90" hidden="1" x14ac:dyDescent="0.25">
      <c r="A41" s="58" t="s">
        <v>115</v>
      </c>
      <c r="B41" s="58" t="s">
        <v>116</v>
      </c>
      <c r="C41" s="58" t="str">
        <f>VLOOKUP(Tabela2[[#This Row],[OM APOIADA]],Tabela1[[#All],[OM]:[Diretoria Responsável]],3,0)</f>
        <v>COLOG</v>
      </c>
      <c r="D41" s="58"/>
      <c r="E41" s="58" t="s">
        <v>625</v>
      </c>
      <c r="F41" s="58" t="s">
        <v>117</v>
      </c>
      <c r="G41" s="59">
        <v>45735</v>
      </c>
      <c r="H41" s="58"/>
      <c r="I41" s="58" t="s">
        <v>118</v>
      </c>
      <c r="J41" s="59"/>
      <c r="K41" s="58" t="s">
        <v>69</v>
      </c>
      <c r="L41" s="58"/>
      <c r="M41" s="59"/>
      <c r="N41" s="59"/>
      <c r="O41" s="59"/>
      <c r="P41" s="59"/>
      <c r="Q41" s="59"/>
      <c r="R41" s="59"/>
      <c r="S41" s="59"/>
    </row>
    <row r="42" spans="1:19" ht="90" hidden="1" x14ac:dyDescent="0.25">
      <c r="A42" s="58" t="s">
        <v>228</v>
      </c>
      <c r="B42" s="63" t="s">
        <v>116</v>
      </c>
      <c r="C42" s="63" t="str">
        <f>VLOOKUP(Tabela2[[#This Row],[OM APOIADA]],Tabela1[[#All],[OM]:[Diretoria Responsável]],3,0)</f>
        <v>COLOG</v>
      </c>
      <c r="D42" s="63"/>
      <c r="E42" s="63"/>
      <c r="F42" s="63" t="s">
        <v>229</v>
      </c>
      <c r="G42" s="64">
        <v>45786</v>
      </c>
      <c r="H42" s="63"/>
      <c r="I42" s="63" t="s">
        <v>230</v>
      </c>
      <c r="J42" s="64"/>
      <c r="K42" s="63"/>
      <c r="L42" s="63"/>
      <c r="M42" s="64"/>
      <c r="N42" s="63"/>
      <c r="O42" s="64"/>
      <c r="P42" s="63"/>
      <c r="Q42" s="65">
        <f>O42-G42</f>
        <v>-45786</v>
      </c>
      <c r="R42" s="65">
        <f>O42-J42</f>
        <v>0</v>
      </c>
      <c r="S42" s="65"/>
    </row>
    <row r="43" spans="1:19" ht="30" hidden="1" x14ac:dyDescent="0.25">
      <c r="A43" s="58" t="s">
        <v>238</v>
      </c>
      <c r="B43" s="63" t="s">
        <v>116</v>
      </c>
      <c r="C43" s="63" t="str">
        <f>VLOOKUP(Tabela2[[#This Row],[OM APOIADA]],Tabela1[[#All],[OM]:[Diretoria Responsável]],3,0)</f>
        <v>COLOG</v>
      </c>
      <c r="D43" s="63"/>
      <c r="E43" s="63"/>
      <c r="F43" s="63" t="s">
        <v>239</v>
      </c>
      <c r="G43" s="64">
        <v>45786</v>
      </c>
      <c r="H43" s="63"/>
      <c r="I43" s="63" t="s">
        <v>240</v>
      </c>
      <c r="J43" s="64"/>
      <c r="K43" s="63"/>
      <c r="L43" s="63"/>
      <c r="M43" s="64"/>
      <c r="N43" s="63"/>
      <c r="O43" s="64"/>
      <c r="P43" s="63"/>
      <c r="Q43" s="65">
        <f>O43-G43</f>
        <v>-45786</v>
      </c>
      <c r="R43" s="65">
        <f>O43-J43</f>
        <v>0</v>
      </c>
      <c r="S43" s="65"/>
    </row>
    <row r="44" spans="1:19" ht="75" hidden="1" x14ac:dyDescent="0.25">
      <c r="A44" s="58" t="s">
        <v>255</v>
      </c>
      <c r="B44" s="63" t="s">
        <v>256</v>
      </c>
      <c r="C44" s="63" t="str">
        <f>VLOOKUP(Tabela2[[#This Row],[OM APOIADA]],Tabela1[[#All],[OM]:[Diretoria Responsável]],3,0)</f>
        <v>DGP</v>
      </c>
      <c r="D44" s="63"/>
      <c r="E44" s="63"/>
      <c r="F44" s="63" t="s">
        <v>257</v>
      </c>
      <c r="G44" s="64">
        <v>45797</v>
      </c>
      <c r="H44" s="63" t="s">
        <v>258</v>
      </c>
      <c r="I44" s="63" t="s">
        <v>259</v>
      </c>
      <c r="J44" s="64"/>
      <c r="K44" s="63"/>
      <c r="L44" s="63"/>
      <c r="M44" s="64"/>
      <c r="N44" s="63"/>
      <c r="O44" s="64"/>
      <c r="P44" s="63"/>
      <c r="Q44" s="65"/>
      <c r="R44" s="72"/>
      <c r="S44" s="72"/>
    </row>
    <row r="45" spans="1:19" ht="60" hidden="1" x14ac:dyDescent="0.25">
      <c r="A45" s="58" t="s">
        <v>260</v>
      </c>
      <c r="B45" s="63" t="s">
        <v>256</v>
      </c>
      <c r="C45" s="63" t="str">
        <f>VLOOKUP(Tabela2[[#This Row],[OM APOIADA]],Tabela1[[#All],[OM]:[Diretoria Responsável]],3,0)</f>
        <v>DGP</v>
      </c>
      <c r="D45" s="63"/>
      <c r="E45" s="63"/>
      <c r="F45" s="63" t="s">
        <v>257</v>
      </c>
      <c r="G45" s="64">
        <v>45797</v>
      </c>
      <c r="H45" s="63" t="s">
        <v>261</v>
      </c>
      <c r="I45" s="63" t="s">
        <v>262</v>
      </c>
      <c r="J45" s="64"/>
      <c r="K45" s="63"/>
      <c r="L45" s="63"/>
      <c r="M45" s="64"/>
      <c r="N45" s="63"/>
      <c r="O45" s="64"/>
      <c r="P45" s="63"/>
      <c r="Q45" s="65"/>
      <c r="R45" s="72"/>
      <c r="S45" s="72"/>
    </row>
    <row r="46" spans="1:19" ht="75" hidden="1" x14ac:dyDescent="0.25">
      <c r="A46" s="58" t="s">
        <v>263</v>
      </c>
      <c r="B46" s="63" t="s">
        <v>256</v>
      </c>
      <c r="C46" s="63" t="str">
        <f>VLOOKUP(Tabela2[[#This Row],[OM APOIADA]],Tabela1[[#All],[OM]:[Diretoria Responsável]],3,0)</f>
        <v>DGP</v>
      </c>
      <c r="D46" s="63"/>
      <c r="E46" s="63"/>
      <c r="F46" s="63" t="s">
        <v>257</v>
      </c>
      <c r="G46" s="64">
        <v>45797</v>
      </c>
      <c r="H46" s="63" t="s">
        <v>264</v>
      </c>
      <c r="I46" s="63" t="s">
        <v>265</v>
      </c>
      <c r="J46" s="64"/>
      <c r="K46" s="63"/>
      <c r="L46" s="63"/>
      <c r="M46" s="64"/>
      <c r="N46" s="63"/>
      <c r="O46" s="64"/>
      <c r="P46" s="63"/>
      <c r="Q46" s="65"/>
      <c r="R46" s="72"/>
      <c r="S46" s="72"/>
    </row>
    <row r="47" spans="1:19" ht="75" hidden="1" x14ac:dyDescent="0.25">
      <c r="A47" s="58" t="s">
        <v>266</v>
      </c>
      <c r="B47" s="63" t="s">
        <v>256</v>
      </c>
      <c r="C47" s="63" t="str">
        <f>VLOOKUP(Tabela2[[#This Row],[OM APOIADA]],Tabela1[[#All],[OM]:[Diretoria Responsável]],3,0)</f>
        <v>DGP</v>
      </c>
      <c r="D47" s="63"/>
      <c r="E47" s="63"/>
      <c r="F47" s="63" t="s">
        <v>257</v>
      </c>
      <c r="G47" s="64">
        <v>45797</v>
      </c>
      <c r="H47" s="63" t="s">
        <v>267</v>
      </c>
      <c r="I47" s="63" t="s">
        <v>268</v>
      </c>
      <c r="J47" s="64"/>
      <c r="K47" s="63"/>
      <c r="L47" s="63"/>
      <c r="M47" s="64"/>
      <c r="N47" s="63"/>
      <c r="O47" s="64"/>
      <c r="P47" s="63"/>
      <c r="Q47" s="65"/>
      <c r="R47" s="72"/>
      <c r="S47" s="72"/>
    </row>
    <row r="48" spans="1:19" ht="60" hidden="1" x14ac:dyDescent="0.25">
      <c r="A48" s="58" t="s">
        <v>184</v>
      </c>
      <c r="B48" s="63" t="s">
        <v>185</v>
      </c>
      <c r="C48" s="63" t="str">
        <f>VLOOKUP(Tabela2[[#This Row],[OM APOIADA]],Tabela1[[#All],[OM]:[Diretoria Responsável]],3,0)</f>
        <v>DCT</v>
      </c>
      <c r="D48" s="63"/>
      <c r="E48" s="63"/>
      <c r="F48" s="63"/>
      <c r="G48" s="64"/>
      <c r="H48" s="63"/>
      <c r="I48" s="63" t="s">
        <v>186</v>
      </c>
      <c r="J48" s="64"/>
      <c r="K48" s="63"/>
      <c r="L48" s="63"/>
      <c r="M48" s="64"/>
      <c r="N48" s="63"/>
      <c r="O48" s="64"/>
      <c r="P48" s="63"/>
      <c r="Q48" s="65">
        <f>O48-G48</f>
        <v>0</v>
      </c>
      <c r="R48" s="65">
        <f>O48-J48</f>
        <v>0</v>
      </c>
      <c r="S48" s="65"/>
    </row>
    <row r="49" spans="1:19" ht="45" hidden="1" x14ac:dyDescent="0.25">
      <c r="A49" s="76" t="s">
        <v>452</v>
      </c>
      <c r="B49" s="77" t="s">
        <v>453</v>
      </c>
      <c r="C49" s="77" t="str">
        <f>VLOOKUP(Tabela2[[#This Row],[OM APOIADA]],Tabela1[[#All],[OM]:[Diretoria Responsável]],3,0)</f>
        <v>DECEx</v>
      </c>
      <c r="D49" s="77"/>
      <c r="E49" s="96" t="s">
        <v>623</v>
      </c>
      <c r="F49" s="77" t="s">
        <v>454</v>
      </c>
      <c r="G49" s="78">
        <v>45847</v>
      </c>
      <c r="H49" s="77"/>
      <c r="I49" s="77" t="s">
        <v>455</v>
      </c>
      <c r="J49" s="80">
        <v>45881</v>
      </c>
      <c r="K49" s="76" t="s">
        <v>69</v>
      </c>
      <c r="L49" s="76"/>
      <c r="M49" s="80"/>
      <c r="N49" s="77"/>
      <c r="O49" s="78"/>
      <c r="P49" s="77"/>
      <c r="Q49" s="73"/>
      <c r="R49" s="74"/>
      <c r="S49" s="74"/>
    </row>
    <row r="50" spans="1:19" ht="90" hidden="1" x14ac:dyDescent="0.25">
      <c r="A50" s="76" t="s">
        <v>485</v>
      </c>
      <c r="B50" s="75" t="s">
        <v>415</v>
      </c>
      <c r="C50" s="77" t="str">
        <f>VLOOKUP(Tabela2[[#This Row],[OM APOIADA]],Tabela1[[#All],[OM]:[Diretoria Responsável]],3,0)</f>
        <v>DGP</v>
      </c>
      <c r="D50" s="77"/>
      <c r="E50" s="77" t="s">
        <v>623</v>
      </c>
      <c r="F50" s="77" t="s">
        <v>486</v>
      </c>
      <c r="G50" s="78">
        <v>45876</v>
      </c>
      <c r="H50" s="77" t="s">
        <v>23</v>
      </c>
      <c r="I50" s="77" t="s">
        <v>487</v>
      </c>
      <c r="J50" s="78">
        <v>45903</v>
      </c>
      <c r="K50" s="77" t="s">
        <v>488</v>
      </c>
      <c r="L50" s="77"/>
      <c r="M50" s="78"/>
      <c r="N50" s="79"/>
      <c r="O50" s="78"/>
      <c r="P50" s="79"/>
      <c r="Q50" s="73"/>
      <c r="R50" s="74"/>
      <c r="S50" s="74"/>
    </row>
    <row r="51" spans="1:19" ht="30" hidden="1" x14ac:dyDescent="0.25">
      <c r="A51" s="45" t="s">
        <v>139</v>
      </c>
      <c r="B51" s="97" t="s">
        <v>43</v>
      </c>
      <c r="C51" s="97" t="str">
        <f>VLOOKUP(Tabela2[[#This Row],[OM APOIADA]],Tabela1[[#All],[OM]:[Diretoria Responsável]],3,0)</f>
        <v>COTER</v>
      </c>
      <c r="D51" s="97" t="s">
        <v>627</v>
      </c>
      <c r="E51" s="97"/>
      <c r="F51" s="97" t="s">
        <v>140</v>
      </c>
      <c r="G51" s="98">
        <v>45748</v>
      </c>
      <c r="H51" s="97" t="s">
        <v>141</v>
      </c>
      <c r="I51" s="97" t="s">
        <v>142</v>
      </c>
      <c r="J51" s="98"/>
      <c r="K51" s="97"/>
      <c r="L51" s="97"/>
      <c r="M51" s="98"/>
      <c r="N51" s="97"/>
      <c r="O51" s="98"/>
      <c r="P51" s="97"/>
      <c r="Q51" s="99">
        <f>O51-G51</f>
        <v>-45748</v>
      </c>
      <c r="R51" s="99">
        <f>O51-J51</f>
        <v>0</v>
      </c>
      <c r="S51" s="99"/>
    </row>
    <row r="52" spans="1:19" ht="30" hidden="1" x14ac:dyDescent="0.25">
      <c r="A52" s="45" t="s">
        <v>421</v>
      </c>
      <c r="B52" s="46" t="s">
        <v>613</v>
      </c>
      <c r="C52" s="46" t="str">
        <f>VLOOKUP(Tabela2[[#This Row],[OM APOIADA]],Tabela1[[#All],[OM]:[Diretoria Responsável]],3,0)</f>
        <v>COTER</v>
      </c>
      <c r="D52" s="46" t="s">
        <v>627</v>
      </c>
      <c r="E52" s="46"/>
      <c r="F52" s="46" t="s">
        <v>423</v>
      </c>
      <c r="G52" s="46">
        <v>45826</v>
      </c>
      <c r="H52" s="46"/>
      <c r="I52" s="46" t="s">
        <v>424</v>
      </c>
      <c r="J52" s="46"/>
      <c r="K52" s="46" t="s">
        <v>58</v>
      </c>
      <c r="L52" s="46"/>
      <c r="M52" s="46"/>
      <c r="N52" s="46"/>
      <c r="O52" s="46"/>
      <c r="P52" s="46"/>
      <c r="Q52" s="46"/>
      <c r="R52" s="46"/>
      <c r="S52" s="46"/>
    </row>
    <row r="53" spans="1:19" ht="60" hidden="1" x14ac:dyDescent="0.25">
      <c r="A53" s="53" t="s">
        <v>16</v>
      </c>
      <c r="B53" s="54" t="s">
        <v>17</v>
      </c>
      <c r="C53" s="54" t="str">
        <f>VLOOKUP(Tabela2[[#This Row],[OM APOIADA]],Tabela1[[#All],[OM]:[Diretoria Responsável]],3,0)</f>
        <v>DGP</v>
      </c>
      <c r="D53" s="54" t="s">
        <v>627</v>
      </c>
      <c r="E53" s="54" t="s">
        <v>624</v>
      </c>
      <c r="F53" s="53" t="s">
        <v>18</v>
      </c>
      <c r="G53" s="55">
        <v>45586</v>
      </c>
      <c r="H53" s="53" t="s">
        <v>19</v>
      </c>
      <c r="I53" s="53" t="s">
        <v>20</v>
      </c>
      <c r="J53" s="55">
        <v>45736</v>
      </c>
      <c r="K53" s="53" t="s">
        <v>21</v>
      </c>
      <c r="L53" s="53" t="s">
        <v>22</v>
      </c>
      <c r="M53" s="55">
        <v>45741</v>
      </c>
      <c r="N53" s="53" t="s">
        <v>23</v>
      </c>
      <c r="O53" s="55">
        <v>45741</v>
      </c>
      <c r="P53" s="54" t="s">
        <v>24</v>
      </c>
      <c r="Q53" s="81">
        <f>O53-G53</f>
        <v>155</v>
      </c>
      <c r="R53" s="81">
        <f>M53-G53</f>
        <v>155</v>
      </c>
      <c r="S53" s="82"/>
    </row>
    <row r="54" spans="1:19" ht="120" hidden="1" x14ac:dyDescent="0.25">
      <c r="A54" s="53" t="s">
        <v>25</v>
      </c>
      <c r="B54" s="54" t="s">
        <v>26</v>
      </c>
      <c r="C54" s="54" t="str">
        <f>VLOOKUP(Tabela2[[#This Row],[OM APOIADA]],Tabela1[[#All],[OM]:[Diretoria Responsável]],3,0)</f>
        <v>COTER</v>
      </c>
      <c r="D54" s="54" t="s">
        <v>627</v>
      </c>
      <c r="E54" s="95" t="s">
        <v>624</v>
      </c>
      <c r="F54" s="53" t="s">
        <v>27</v>
      </c>
      <c r="G54" s="55">
        <v>45676</v>
      </c>
      <c r="H54" s="53" t="s">
        <v>28</v>
      </c>
      <c r="I54" s="53" t="s">
        <v>29</v>
      </c>
      <c r="J54" s="56">
        <v>45699</v>
      </c>
      <c r="K54" s="53" t="s">
        <v>30</v>
      </c>
      <c r="L54" s="53" t="s">
        <v>31</v>
      </c>
      <c r="M54" s="55">
        <v>45744</v>
      </c>
      <c r="N54" s="53" t="s">
        <v>32</v>
      </c>
      <c r="O54" s="55">
        <v>45801</v>
      </c>
      <c r="P54" s="53" t="s">
        <v>33</v>
      </c>
      <c r="Q54" s="83">
        <f>O54-G54</f>
        <v>125</v>
      </c>
      <c r="R54" s="83">
        <f>O54-J54</f>
        <v>102</v>
      </c>
      <c r="S54" s="82"/>
    </row>
    <row r="55" spans="1:19" ht="60" hidden="1" x14ac:dyDescent="0.25">
      <c r="A55" s="53" t="s">
        <v>126</v>
      </c>
      <c r="B55" s="53" t="s">
        <v>127</v>
      </c>
      <c r="C55" s="53" t="str">
        <f>VLOOKUP(Tabela2[[#This Row],[OM APOIADA]],Tabela1[[#All],[OM]:[Diretoria Responsável]],3,0)</f>
        <v>DEC</v>
      </c>
      <c r="D55" s="53" t="s">
        <v>627</v>
      </c>
      <c r="E55" s="53" t="s">
        <v>624</v>
      </c>
      <c r="F55" s="53" t="s">
        <v>23</v>
      </c>
      <c r="G55" s="55">
        <v>45722</v>
      </c>
      <c r="H55" s="53" t="s">
        <v>23</v>
      </c>
      <c r="I55" s="53" t="s">
        <v>128</v>
      </c>
      <c r="J55" s="55">
        <v>45740</v>
      </c>
      <c r="K55" s="53" t="s">
        <v>129</v>
      </c>
      <c r="L55" s="53"/>
      <c r="M55" s="55">
        <v>45740</v>
      </c>
      <c r="N55" s="53" t="s">
        <v>23</v>
      </c>
      <c r="O55" s="55">
        <v>45740</v>
      </c>
      <c r="P55" s="53" t="s">
        <v>130</v>
      </c>
      <c r="Q55" s="82"/>
      <c r="R55" s="82"/>
      <c r="S55" s="82"/>
    </row>
    <row r="56" spans="1:19" ht="30" hidden="1" x14ac:dyDescent="0.25">
      <c r="A56" s="53" t="s">
        <v>131</v>
      </c>
      <c r="B56" s="53" t="s">
        <v>127</v>
      </c>
      <c r="C56" s="53" t="str">
        <f>VLOOKUP(Tabela2[[#This Row],[OM APOIADA]],Tabela1[[#All],[OM]:[Diretoria Responsável]],3,0)</f>
        <v>DEC</v>
      </c>
      <c r="D56" s="53" t="s">
        <v>627</v>
      </c>
      <c r="E56" s="53" t="s">
        <v>624</v>
      </c>
      <c r="F56" s="53" t="s">
        <v>23</v>
      </c>
      <c r="G56" s="55">
        <v>45722</v>
      </c>
      <c r="H56" s="53" t="s">
        <v>23</v>
      </c>
      <c r="I56" s="53" t="s">
        <v>132</v>
      </c>
      <c r="J56" s="55">
        <v>45740</v>
      </c>
      <c r="K56" s="53" t="s">
        <v>129</v>
      </c>
      <c r="L56" s="53"/>
      <c r="M56" s="55">
        <v>45740</v>
      </c>
      <c r="N56" s="53" t="s">
        <v>23</v>
      </c>
      <c r="O56" s="55">
        <v>45740</v>
      </c>
      <c r="P56" s="53" t="s">
        <v>133</v>
      </c>
      <c r="Q56" s="82"/>
      <c r="R56" s="82"/>
      <c r="S56" s="82"/>
    </row>
    <row r="57" spans="1:19" ht="45" hidden="1" x14ac:dyDescent="0.25">
      <c r="A57" s="53" t="s">
        <v>34</v>
      </c>
      <c r="B57" s="54" t="s">
        <v>35</v>
      </c>
      <c r="C57" s="54" t="str">
        <f>VLOOKUP(Tabela2[[#This Row],[OM APOIADA]],Tabela1[[#All],[OM]:[Diretoria Responsável]],3,0)</f>
        <v>DECEx</v>
      </c>
      <c r="D57" s="54" t="s">
        <v>627</v>
      </c>
      <c r="E57" s="54" t="s">
        <v>624</v>
      </c>
      <c r="F57" s="53" t="s">
        <v>36</v>
      </c>
      <c r="G57" s="55">
        <v>45728</v>
      </c>
      <c r="H57" s="53" t="s">
        <v>37</v>
      </c>
      <c r="I57" s="53" t="s">
        <v>38</v>
      </c>
      <c r="J57" s="55">
        <v>45595</v>
      </c>
      <c r="K57" s="53" t="s">
        <v>21</v>
      </c>
      <c r="L57" s="53" t="s">
        <v>39</v>
      </c>
      <c r="M57" s="55">
        <v>45741</v>
      </c>
      <c r="N57" s="53" t="s">
        <v>40</v>
      </c>
      <c r="O57" s="55">
        <v>45745</v>
      </c>
      <c r="P57" s="53" t="s">
        <v>41</v>
      </c>
      <c r="Q57" s="84">
        <f t="shared" ref="Q57:Q65" si="0">O57-G57</f>
        <v>17</v>
      </c>
      <c r="R57" s="83">
        <f t="shared" ref="R57:R65" si="1">O57-J57</f>
        <v>150</v>
      </c>
      <c r="S57" s="82"/>
    </row>
    <row r="58" spans="1:19" ht="90" hidden="1" x14ac:dyDescent="0.25">
      <c r="A58" s="53" t="s">
        <v>85</v>
      </c>
      <c r="B58" s="54" t="s">
        <v>86</v>
      </c>
      <c r="C58" s="54" t="str">
        <f>VLOOKUP(Tabela2[[#This Row],[OM APOIADA]],Tabela1[[#All],[OM]:[Diretoria Responsável]],3,0)</f>
        <v>COTER</v>
      </c>
      <c r="D58" s="54" t="s">
        <v>627</v>
      </c>
      <c r="E58" s="54" t="s">
        <v>624</v>
      </c>
      <c r="F58" s="53" t="s">
        <v>87</v>
      </c>
      <c r="G58" s="55">
        <v>45730</v>
      </c>
      <c r="H58" s="53" t="s">
        <v>88</v>
      </c>
      <c r="I58" s="53" t="s">
        <v>89</v>
      </c>
      <c r="J58" s="55">
        <v>45755</v>
      </c>
      <c r="K58" s="53" t="s">
        <v>90</v>
      </c>
      <c r="L58" s="53" t="s">
        <v>91</v>
      </c>
      <c r="M58" s="55">
        <v>45810</v>
      </c>
      <c r="N58" s="53" t="s">
        <v>92</v>
      </c>
      <c r="O58" s="55">
        <v>45840</v>
      </c>
      <c r="P58" s="53" t="s">
        <v>93</v>
      </c>
      <c r="Q58" s="82">
        <f t="shared" si="0"/>
        <v>110</v>
      </c>
      <c r="R58" s="82">
        <f t="shared" si="1"/>
        <v>85</v>
      </c>
      <c r="S58" s="82"/>
    </row>
    <row r="59" spans="1:19" ht="105" hidden="1" x14ac:dyDescent="0.25">
      <c r="A59" s="53" t="s">
        <v>42</v>
      </c>
      <c r="B59" s="53" t="s">
        <v>43</v>
      </c>
      <c r="C59" s="53" t="str">
        <f>VLOOKUP(Tabela2[[#This Row],[OM APOIADA]],Tabela1[[#All],[OM]:[Diretoria Responsável]],3,0)</f>
        <v>COTER</v>
      </c>
      <c r="D59" s="53" t="s">
        <v>627</v>
      </c>
      <c r="E59" s="53" t="s">
        <v>624</v>
      </c>
      <c r="F59" s="53" t="s">
        <v>44</v>
      </c>
      <c r="G59" s="55">
        <v>45735</v>
      </c>
      <c r="H59" s="53" t="s">
        <v>45</v>
      </c>
      <c r="I59" s="53" t="s">
        <v>46</v>
      </c>
      <c r="J59" s="55">
        <v>45736</v>
      </c>
      <c r="K59" s="53" t="s">
        <v>47</v>
      </c>
      <c r="L59" s="53" t="s">
        <v>48</v>
      </c>
      <c r="M59" s="55">
        <v>45740</v>
      </c>
      <c r="N59" s="53" t="s">
        <v>23</v>
      </c>
      <c r="O59" s="55">
        <v>45740</v>
      </c>
      <c r="P59" s="53" t="s">
        <v>49</v>
      </c>
      <c r="Q59" s="84">
        <f t="shared" si="0"/>
        <v>5</v>
      </c>
      <c r="R59" s="84">
        <f t="shared" si="1"/>
        <v>4</v>
      </c>
      <c r="S59" s="82"/>
    </row>
    <row r="60" spans="1:19" ht="45" hidden="1" x14ac:dyDescent="0.25">
      <c r="A60" s="53" t="s">
        <v>54</v>
      </c>
      <c r="B60" s="53" t="s">
        <v>55</v>
      </c>
      <c r="C60" s="53" t="str">
        <f>VLOOKUP(Tabela2[[#This Row],[OM APOIADA]],Tabela1[[#All],[OM]:[Diretoria Responsável]],3,0)</f>
        <v>DCT</v>
      </c>
      <c r="D60" s="53" t="s">
        <v>627</v>
      </c>
      <c r="E60" s="53" t="s">
        <v>624</v>
      </c>
      <c r="F60" s="53" t="s">
        <v>56</v>
      </c>
      <c r="G60" s="55">
        <v>45735</v>
      </c>
      <c r="H60" s="53" t="s">
        <v>23</v>
      </c>
      <c r="I60" s="53" t="s">
        <v>57</v>
      </c>
      <c r="J60" s="55">
        <v>45743</v>
      </c>
      <c r="K60" s="53" t="s">
        <v>58</v>
      </c>
      <c r="L60" s="53"/>
      <c r="M60" s="55">
        <v>45747</v>
      </c>
      <c r="N60" s="53" t="s">
        <v>23</v>
      </c>
      <c r="O60" s="55">
        <v>45747</v>
      </c>
      <c r="P60" s="53" t="s">
        <v>23</v>
      </c>
      <c r="Q60" s="85">
        <f t="shared" si="0"/>
        <v>12</v>
      </c>
      <c r="R60" s="84">
        <f t="shared" si="1"/>
        <v>4</v>
      </c>
      <c r="S60" s="82"/>
    </row>
    <row r="61" spans="1:19" ht="60" hidden="1" x14ac:dyDescent="0.25">
      <c r="A61" s="53" t="s">
        <v>70</v>
      </c>
      <c r="B61" s="53" t="s">
        <v>71</v>
      </c>
      <c r="C61" s="53" t="e">
        <f>VLOOKUP(Tabela2[[#This Row],[OM APOIADA]],Tabela1[[#All],[OM]:[Diretoria Responsável]],3,0)</f>
        <v>#N/A</v>
      </c>
      <c r="D61" s="53" t="s">
        <v>627</v>
      </c>
      <c r="E61" s="53" t="s">
        <v>624</v>
      </c>
      <c r="F61" s="53" t="s">
        <v>72</v>
      </c>
      <c r="G61" s="55">
        <v>45735</v>
      </c>
      <c r="H61" s="53" t="s">
        <v>73</v>
      </c>
      <c r="I61" s="53" t="s">
        <v>74</v>
      </c>
      <c r="J61" s="55">
        <v>45741</v>
      </c>
      <c r="K61" s="53" t="s">
        <v>21</v>
      </c>
      <c r="L61" s="53" t="s">
        <v>75</v>
      </c>
      <c r="M61" s="55">
        <v>45756</v>
      </c>
      <c r="N61" s="53" t="s">
        <v>76</v>
      </c>
      <c r="O61" s="55">
        <v>45840</v>
      </c>
      <c r="P61" s="53" t="s">
        <v>77</v>
      </c>
      <c r="Q61" s="84">
        <f t="shared" si="0"/>
        <v>105</v>
      </c>
      <c r="R61" s="84">
        <f t="shared" si="1"/>
        <v>99</v>
      </c>
      <c r="S61" s="82"/>
    </row>
    <row r="62" spans="1:19" ht="120" hidden="1" x14ac:dyDescent="0.25">
      <c r="A62" s="53" t="s">
        <v>78</v>
      </c>
      <c r="B62" s="53" t="s">
        <v>43</v>
      </c>
      <c r="C62" s="53" t="str">
        <f>VLOOKUP(Tabela2[[#This Row],[OM APOIADA]],Tabela1[[#All],[OM]:[Diretoria Responsável]],3,0)</f>
        <v>COTER</v>
      </c>
      <c r="D62" s="53" t="s">
        <v>627</v>
      </c>
      <c r="E62" s="53" t="s">
        <v>624</v>
      </c>
      <c r="F62" s="53" t="s">
        <v>79</v>
      </c>
      <c r="G62" s="55">
        <v>45735</v>
      </c>
      <c r="H62" s="53" t="s">
        <v>80</v>
      </c>
      <c r="I62" s="53" t="s">
        <v>81</v>
      </c>
      <c r="J62" s="55">
        <v>45749</v>
      </c>
      <c r="K62" s="53" t="s">
        <v>58</v>
      </c>
      <c r="L62" s="53" t="s">
        <v>82</v>
      </c>
      <c r="M62" s="55">
        <v>45754</v>
      </c>
      <c r="N62" s="53" t="s">
        <v>83</v>
      </c>
      <c r="O62" s="55">
        <v>45764</v>
      </c>
      <c r="P62" s="53" t="s">
        <v>84</v>
      </c>
      <c r="Q62" s="84">
        <f t="shared" si="0"/>
        <v>29</v>
      </c>
      <c r="R62" s="84">
        <f t="shared" si="1"/>
        <v>15</v>
      </c>
      <c r="S62" s="82"/>
    </row>
    <row r="63" spans="1:19" ht="75" hidden="1" x14ac:dyDescent="0.25">
      <c r="A63" s="53" t="s">
        <v>94</v>
      </c>
      <c r="B63" s="53" t="s">
        <v>95</v>
      </c>
      <c r="C63" s="53">
        <f>VLOOKUP(Tabela2[[#This Row],[OM APOIADA]],Tabela1[[#All],[OM]:[Diretoria Responsável]],3,0)</f>
        <v>0</v>
      </c>
      <c r="D63" s="53" t="s">
        <v>627</v>
      </c>
      <c r="E63" s="53" t="s">
        <v>624</v>
      </c>
      <c r="F63" s="53" t="s">
        <v>96</v>
      </c>
      <c r="G63" s="55">
        <v>45736</v>
      </c>
      <c r="H63" s="53" t="s">
        <v>23</v>
      </c>
      <c r="I63" s="53" t="s">
        <v>97</v>
      </c>
      <c r="J63" s="55">
        <v>45736</v>
      </c>
      <c r="K63" s="53" t="s">
        <v>98</v>
      </c>
      <c r="L63" s="53"/>
      <c r="M63" s="55">
        <v>45736</v>
      </c>
      <c r="N63" s="53" t="s">
        <v>99</v>
      </c>
      <c r="O63" s="55">
        <v>45736</v>
      </c>
      <c r="P63" s="53" t="s">
        <v>100</v>
      </c>
      <c r="Q63" s="82">
        <f t="shared" si="0"/>
        <v>0</v>
      </c>
      <c r="R63" s="82">
        <f t="shared" si="1"/>
        <v>0</v>
      </c>
      <c r="S63" s="82"/>
    </row>
    <row r="64" spans="1:19" ht="60" hidden="1" x14ac:dyDescent="0.25">
      <c r="A64" s="53" t="s">
        <v>108</v>
      </c>
      <c r="B64" s="53" t="s">
        <v>109</v>
      </c>
      <c r="C64" s="53" t="e">
        <f>VLOOKUP(Tabela2[[#This Row],[OM APOIADA]],Tabela1[[#All],[OM]:[Diretoria Responsável]],3,0)</f>
        <v>#N/A</v>
      </c>
      <c r="D64" s="53" t="s">
        <v>627</v>
      </c>
      <c r="E64" s="53" t="s">
        <v>624</v>
      </c>
      <c r="F64" s="53" t="s">
        <v>110</v>
      </c>
      <c r="G64" s="55">
        <v>45736</v>
      </c>
      <c r="H64" s="53" t="s">
        <v>111</v>
      </c>
      <c r="I64" s="53" t="s">
        <v>112</v>
      </c>
      <c r="J64" s="55">
        <v>45804</v>
      </c>
      <c r="K64" s="53" t="s">
        <v>69</v>
      </c>
      <c r="L64" s="53"/>
      <c r="M64" s="55">
        <v>45806</v>
      </c>
      <c r="N64" s="53" t="s">
        <v>113</v>
      </c>
      <c r="O64" s="55">
        <v>45821</v>
      </c>
      <c r="P64" s="53" t="s">
        <v>114</v>
      </c>
      <c r="Q64" s="82">
        <f t="shared" si="0"/>
        <v>85</v>
      </c>
      <c r="R64" s="82">
        <f t="shared" si="1"/>
        <v>17</v>
      </c>
      <c r="S64" s="82"/>
    </row>
    <row r="65" spans="1:19" ht="75" hidden="1" x14ac:dyDescent="0.25">
      <c r="A65" s="53" t="s">
        <v>134</v>
      </c>
      <c r="B65" s="53"/>
      <c r="C65" s="53" t="e">
        <f>VLOOKUP(Tabela2[[#This Row],[OM APOIADA]],Tabela1[[#All],[OM]:[Diretoria Responsável]],3,0)</f>
        <v>#N/A</v>
      </c>
      <c r="D65" s="53" t="s">
        <v>627</v>
      </c>
      <c r="E65" s="53" t="s">
        <v>624</v>
      </c>
      <c r="F65" s="53" t="s">
        <v>135</v>
      </c>
      <c r="G65" s="55">
        <v>45736</v>
      </c>
      <c r="H65" s="53" t="s">
        <v>23</v>
      </c>
      <c r="I65" s="53" t="s">
        <v>136</v>
      </c>
      <c r="J65" s="55">
        <v>45777</v>
      </c>
      <c r="K65" s="53" t="s">
        <v>137</v>
      </c>
      <c r="L65" s="53"/>
      <c r="M65" s="55">
        <v>45777</v>
      </c>
      <c r="N65" s="53" t="s">
        <v>23</v>
      </c>
      <c r="O65" s="55">
        <v>45777</v>
      </c>
      <c r="P65" s="53" t="s">
        <v>138</v>
      </c>
      <c r="Q65" s="82">
        <f t="shared" si="0"/>
        <v>41</v>
      </c>
      <c r="R65" s="82">
        <f t="shared" si="1"/>
        <v>0</v>
      </c>
      <c r="S65" s="82"/>
    </row>
    <row r="66" spans="1:19" ht="45" hidden="1" x14ac:dyDescent="0.25">
      <c r="A66" s="53" t="s">
        <v>164</v>
      </c>
      <c r="B66" s="53" t="s">
        <v>165</v>
      </c>
      <c r="C66" s="53" t="str">
        <f>VLOOKUP(Tabela2[[#This Row],[OM APOIADA]],Tabela1[[#All],[OM]:[Diretoria Responsável]],3,0)</f>
        <v>COLOG</v>
      </c>
      <c r="D66" s="53" t="s">
        <v>627</v>
      </c>
      <c r="E66" s="53" t="s">
        <v>624</v>
      </c>
      <c r="F66" s="53" t="s">
        <v>23</v>
      </c>
      <c r="G66" s="55">
        <v>45736</v>
      </c>
      <c r="H66" s="53" t="s">
        <v>166</v>
      </c>
      <c r="I66" s="53" t="s">
        <v>167</v>
      </c>
      <c r="J66" s="55">
        <v>45740</v>
      </c>
      <c r="K66" s="53" t="s">
        <v>47</v>
      </c>
      <c r="L66" s="53"/>
      <c r="M66" s="55">
        <v>45740</v>
      </c>
      <c r="N66" s="53" t="s">
        <v>23</v>
      </c>
      <c r="O66" s="55">
        <v>45740</v>
      </c>
      <c r="P66" s="53" t="s">
        <v>168</v>
      </c>
      <c r="Q66" s="82"/>
      <c r="R66" s="82"/>
      <c r="S66" s="82"/>
    </row>
    <row r="67" spans="1:19" ht="90" hidden="1" x14ac:dyDescent="0.25">
      <c r="A67" s="53" t="s">
        <v>101</v>
      </c>
      <c r="B67" s="53" t="s">
        <v>102</v>
      </c>
      <c r="C67" s="53" t="e">
        <f>VLOOKUP(Tabela2[[#This Row],[OM APOIADA]],Tabela1[[#All],[OM]:[Diretoria Responsável]],3,0)</f>
        <v>#N/A</v>
      </c>
      <c r="D67" s="53" t="s">
        <v>627</v>
      </c>
      <c r="E67" s="53" t="s">
        <v>624</v>
      </c>
      <c r="F67" s="53" t="s">
        <v>103</v>
      </c>
      <c r="G67" s="55">
        <v>45737</v>
      </c>
      <c r="H67" s="53" t="s">
        <v>104</v>
      </c>
      <c r="I67" s="53" t="s">
        <v>105</v>
      </c>
      <c r="J67" s="55">
        <v>45756</v>
      </c>
      <c r="K67" s="53" t="s">
        <v>69</v>
      </c>
      <c r="L67" s="53"/>
      <c r="M67" s="55">
        <v>45803</v>
      </c>
      <c r="N67" s="60" t="s">
        <v>106</v>
      </c>
      <c r="O67" s="55">
        <v>45903</v>
      </c>
      <c r="P67" s="53" t="s">
        <v>107</v>
      </c>
      <c r="Q67" s="82">
        <f t="shared" ref="Q67:Q73" si="2">O67-G67</f>
        <v>166</v>
      </c>
      <c r="R67" s="82">
        <f t="shared" ref="R67:R73" si="3">O67-J67</f>
        <v>147</v>
      </c>
      <c r="S67" s="82"/>
    </row>
    <row r="68" spans="1:19" ht="45" hidden="1" x14ac:dyDescent="0.25">
      <c r="A68" s="53" t="s">
        <v>59</v>
      </c>
      <c r="B68" s="53" t="s">
        <v>60</v>
      </c>
      <c r="C68" s="53" t="str">
        <f>VLOOKUP(Tabela2[[#This Row],[OM APOIADA]],Tabela1[[#All],[OM]:[Diretoria Responsável]],3,0)</f>
        <v>DECEx</v>
      </c>
      <c r="D68" s="53" t="s">
        <v>627</v>
      </c>
      <c r="E68" s="53" t="s">
        <v>624</v>
      </c>
      <c r="F68" s="53" t="s">
        <v>61</v>
      </c>
      <c r="G68" s="55">
        <v>45743</v>
      </c>
      <c r="H68" s="53" t="s">
        <v>62</v>
      </c>
      <c r="I68" s="53" t="s">
        <v>63</v>
      </c>
      <c r="J68" s="55">
        <v>45743</v>
      </c>
      <c r="K68" s="53" t="s">
        <v>21</v>
      </c>
      <c r="L68" s="53"/>
      <c r="M68" s="55">
        <v>45750</v>
      </c>
      <c r="N68" s="53" t="s">
        <v>64</v>
      </c>
      <c r="O68" s="55">
        <v>45764</v>
      </c>
      <c r="P68" s="53" t="s">
        <v>65</v>
      </c>
      <c r="Q68" s="84">
        <f t="shared" si="2"/>
        <v>21</v>
      </c>
      <c r="R68" s="84">
        <f t="shared" si="3"/>
        <v>21</v>
      </c>
      <c r="S68" s="82"/>
    </row>
    <row r="69" spans="1:19" ht="90" hidden="1" x14ac:dyDescent="0.25">
      <c r="A69" s="53" t="s">
        <v>42</v>
      </c>
      <c r="B69" s="53" t="s">
        <v>43</v>
      </c>
      <c r="C69" s="53" t="str">
        <f>VLOOKUP(Tabela2[[#This Row],[OM APOIADA]],Tabela1[[#All],[OM]:[Diretoria Responsável]],3,0)</f>
        <v>COTER</v>
      </c>
      <c r="D69" s="53" t="s">
        <v>627</v>
      </c>
      <c r="E69" s="53" t="s">
        <v>624</v>
      </c>
      <c r="F69" s="53" t="s">
        <v>50</v>
      </c>
      <c r="G69" s="55">
        <v>45744</v>
      </c>
      <c r="H69" s="53" t="s">
        <v>51</v>
      </c>
      <c r="I69" s="53" t="s">
        <v>52</v>
      </c>
      <c r="J69" s="55">
        <v>45748</v>
      </c>
      <c r="K69" s="53" t="s">
        <v>47</v>
      </c>
      <c r="L69" s="53" t="s">
        <v>48</v>
      </c>
      <c r="M69" s="55">
        <v>45740</v>
      </c>
      <c r="N69" s="53" t="s">
        <v>23</v>
      </c>
      <c r="O69" s="55">
        <v>45740</v>
      </c>
      <c r="P69" s="53" t="s">
        <v>53</v>
      </c>
      <c r="Q69" s="84">
        <f t="shared" si="2"/>
        <v>-4</v>
      </c>
      <c r="R69" s="84">
        <f t="shared" si="3"/>
        <v>-8</v>
      </c>
      <c r="S69" s="82"/>
    </row>
    <row r="70" spans="1:19" ht="60" x14ac:dyDescent="0.25">
      <c r="A70" s="53" t="s">
        <v>119</v>
      </c>
      <c r="B70" s="53" t="s">
        <v>120</v>
      </c>
      <c r="C70" s="53" t="str">
        <f>VLOOKUP(Tabela2[[#This Row],[OM APOIADA]],Tabela1[[#All],[OM]:[Diretoria Responsável]],3,0)</f>
        <v>COTER</v>
      </c>
      <c r="D70" s="53" t="s">
        <v>627</v>
      </c>
      <c r="E70" s="53" t="s">
        <v>624</v>
      </c>
      <c r="F70" s="53" t="s">
        <v>121</v>
      </c>
      <c r="G70" s="55">
        <v>45744</v>
      </c>
      <c r="H70" s="53" t="s">
        <v>23</v>
      </c>
      <c r="I70" s="53" t="s">
        <v>122</v>
      </c>
      <c r="J70" s="55">
        <v>45744</v>
      </c>
      <c r="K70" s="53" t="s">
        <v>123</v>
      </c>
      <c r="L70" s="53"/>
      <c r="M70" s="55">
        <v>45744</v>
      </c>
      <c r="N70" s="53" t="s">
        <v>23</v>
      </c>
      <c r="O70" s="55">
        <v>45744</v>
      </c>
      <c r="P70" s="53" t="s">
        <v>124</v>
      </c>
      <c r="Q70" s="82">
        <f t="shared" si="2"/>
        <v>0</v>
      </c>
      <c r="R70" s="82">
        <f t="shared" si="3"/>
        <v>0</v>
      </c>
      <c r="S70" s="86" t="s">
        <v>125</v>
      </c>
    </row>
    <row r="71" spans="1:19" ht="30" hidden="1" x14ac:dyDescent="0.25">
      <c r="A71" s="53" t="s">
        <v>66</v>
      </c>
      <c r="B71" s="53" t="s">
        <v>26</v>
      </c>
      <c r="C71" s="53" t="str">
        <f>VLOOKUP(Tabela2[[#This Row],[OM APOIADA]],Tabela1[[#All],[OM]:[Diretoria Responsável]],3,0)</f>
        <v>COTER</v>
      </c>
      <c r="D71" s="53" t="s">
        <v>627</v>
      </c>
      <c r="E71" s="53" t="s">
        <v>624</v>
      </c>
      <c r="F71" s="53" t="s">
        <v>67</v>
      </c>
      <c r="G71" s="55">
        <v>45750</v>
      </c>
      <c r="H71" s="53" t="s">
        <v>23</v>
      </c>
      <c r="I71" s="53" t="s">
        <v>68</v>
      </c>
      <c r="J71" s="55">
        <v>45754</v>
      </c>
      <c r="K71" s="53" t="s">
        <v>69</v>
      </c>
      <c r="L71" s="53"/>
      <c r="M71" s="55">
        <v>45754</v>
      </c>
      <c r="N71" s="53" t="s">
        <v>32</v>
      </c>
      <c r="O71" s="55">
        <v>45801</v>
      </c>
      <c r="P71" s="53" t="s">
        <v>23</v>
      </c>
      <c r="Q71" s="84">
        <f t="shared" si="2"/>
        <v>51</v>
      </c>
      <c r="R71" s="84">
        <f t="shared" si="3"/>
        <v>47</v>
      </c>
      <c r="S71" s="82"/>
    </row>
    <row r="72" spans="1:19" ht="60" x14ac:dyDescent="0.25">
      <c r="A72" s="53" t="s">
        <v>143</v>
      </c>
      <c r="B72" s="53" t="s">
        <v>120</v>
      </c>
      <c r="C72" s="53" t="str">
        <f>VLOOKUP(Tabela2[[#This Row],[OM APOIADA]],Tabela1[[#All],[OM]:[Diretoria Responsável]],3,0)</f>
        <v>COTER</v>
      </c>
      <c r="D72" s="53" t="s">
        <v>627</v>
      </c>
      <c r="E72" s="53" t="s">
        <v>624</v>
      </c>
      <c r="F72" s="53" t="s">
        <v>144</v>
      </c>
      <c r="G72" s="55">
        <v>45759</v>
      </c>
      <c r="H72" s="53" t="s">
        <v>145</v>
      </c>
      <c r="I72" s="53" t="s">
        <v>146</v>
      </c>
      <c r="J72" s="55">
        <v>45776</v>
      </c>
      <c r="K72" s="53" t="s">
        <v>123</v>
      </c>
      <c r="L72" s="57"/>
      <c r="M72" s="55">
        <v>45841</v>
      </c>
      <c r="N72" s="53" t="s">
        <v>147</v>
      </c>
      <c r="O72" s="55">
        <v>45884</v>
      </c>
      <c r="P72" s="53" t="s">
        <v>148</v>
      </c>
      <c r="Q72" s="82">
        <f t="shared" si="2"/>
        <v>125</v>
      </c>
      <c r="R72" s="82">
        <f t="shared" si="3"/>
        <v>108</v>
      </c>
      <c r="S72" s="82"/>
    </row>
    <row r="73" spans="1:19" ht="60" x14ac:dyDescent="0.25">
      <c r="A73" s="53" t="s">
        <v>149</v>
      </c>
      <c r="B73" s="53" t="s">
        <v>120</v>
      </c>
      <c r="C73" s="53" t="str">
        <f>VLOOKUP(Tabela2[[#This Row],[OM APOIADA]],Tabela1[[#All],[OM]:[Diretoria Responsável]],3,0)</f>
        <v>COTER</v>
      </c>
      <c r="D73" s="53" t="s">
        <v>627</v>
      </c>
      <c r="E73" s="53" t="s">
        <v>624</v>
      </c>
      <c r="F73" s="53" t="s">
        <v>144</v>
      </c>
      <c r="G73" s="55">
        <v>45759</v>
      </c>
      <c r="H73" s="53" t="s">
        <v>150</v>
      </c>
      <c r="I73" s="53" t="s">
        <v>146</v>
      </c>
      <c r="J73" s="55">
        <v>45776</v>
      </c>
      <c r="K73" s="53" t="s">
        <v>151</v>
      </c>
      <c r="L73" s="53"/>
      <c r="M73" s="55">
        <v>45452</v>
      </c>
      <c r="N73" s="53" t="s">
        <v>147</v>
      </c>
      <c r="O73" s="55">
        <v>45884</v>
      </c>
      <c r="P73" s="53" t="s">
        <v>152</v>
      </c>
      <c r="Q73" s="82">
        <f t="shared" si="2"/>
        <v>125</v>
      </c>
      <c r="R73" s="82">
        <f t="shared" si="3"/>
        <v>108</v>
      </c>
      <c r="S73" s="82"/>
    </row>
    <row r="74" spans="1:19" ht="30" hidden="1" x14ac:dyDescent="0.25">
      <c r="A74" s="53" t="s">
        <v>153</v>
      </c>
      <c r="B74" s="53" t="s">
        <v>154</v>
      </c>
      <c r="C74" s="53" t="str">
        <f>VLOOKUP(Tabela2[[#This Row],[OM APOIADA]],Tabela1[[#All],[OM]:[Diretoria Responsável]],3,0)</f>
        <v>COTER</v>
      </c>
      <c r="D74" s="53" t="s">
        <v>627</v>
      </c>
      <c r="E74" s="53" t="s">
        <v>624</v>
      </c>
      <c r="F74" s="53" t="s">
        <v>155</v>
      </c>
      <c r="G74" s="55">
        <v>45759</v>
      </c>
      <c r="H74" s="53" t="s">
        <v>156</v>
      </c>
      <c r="I74" s="53" t="s">
        <v>157</v>
      </c>
      <c r="J74" s="55">
        <v>45771</v>
      </c>
      <c r="K74" s="53" t="s">
        <v>158</v>
      </c>
      <c r="L74" s="53"/>
      <c r="M74" s="55">
        <v>45771</v>
      </c>
      <c r="N74" s="53" t="s">
        <v>23</v>
      </c>
      <c r="O74" s="55">
        <v>45771</v>
      </c>
      <c r="P74" s="53" t="s">
        <v>159</v>
      </c>
      <c r="Q74" s="82"/>
      <c r="R74" s="82"/>
      <c r="S74" s="82"/>
    </row>
    <row r="75" spans="1:19" ht="45" hidden="1" x14ac:dyDescent="0.25">
      <c r="A75" s="53" t="s">
        <v>160</v>
      </c>
      <c r="B75" s="53" t="s">
        <v>154</v>
      </c>
      <c r="C75" s="53" t="str">
        <f>VLOOKUP(Tabela2[[#This Row],[OM APOIADA]],Tabela1[[#All],[OM]:[Diretoria Responsável]],3,0)</f>
        <v>COTER</v>
      </c>
      <c r="D75" s="53" t="s">
        <v>627</v>
      </c>
      <c r="E75" s="53" t="s">
        <v>624</v>
      </c>
      <c r="F75" s="53" t="s">
        <v>161</v>
      </c>
      <c r="G75" s="55">
        <v>45759</v>
      </c>
      <c r="H75" s="53" t="s">
        <v>156</v>
      </c>
      <c r="I75" s="53" t="s">
        <v>162</v>
      </c>
      <c r="J75" s="55">
        <v>45771</v>
      </c>
      <c r="K75" s="53" t="s">
        <v>158</v>
      </c>
      <c r="L75" s="53"/>
      <c r="M75" s="55">
        <v>45771</v>
      </c>
      <c r="N75" s="53" t="s">
        <v>23</v>
      </c>
      <c r="O75" s="55">
        <v>45771</v>
      </c>
      <c r="P75" s="53" t="s">
        <v>163</v>
      </c>
      <c r="Q75" s="82"/>
      <c r="R75" s="82"/>
      <c r="S75" s="82"/>
    </row>
    <row r="76" spans="1:19" ht="45" hidden="1" x14ac:dyDescent="0.25">
      <c r="A76" s="53" t="s">
        <v>187</v>
      </c>
      <c r="B76" s="53" t="s">
        <v>188</v>
      </c>
      <c r="C76" s="53" t="str">
        <f>VLOOKUP(Tabela2[[#This Row],[OM APOIADA]],Tabela1[[#All],[OM]:[Diretoria Responsável]],3,0)</f>
        <v>COLOG</v>
      </c>
      <c r="D76" s="53" t="s">
        <v>627</v>
      </c>
      <c r="E76" s="53" t="s">
        <v>624</v>
      </c>
      <c r="F76" s="53" t="s">
        <v>189</v>
      </c>
      <c r="G76" s="55">
        <v>45761</v>
      </c>
      <c r="H76" s="53" t="s">
        <v>190</v>
      </c>
      <c r="I76" s="53" t="s">
        <v>191</v>
      </c>
      <c r="J76" s="55"/>
      <c r="K76" s="53" t="s">
        <v>69</v>
      </c>
      <c r="L76" s="53"/>
      <c r="M76" s="55">
        <v>45840</v>
      </c>
      <c r="N76" s="58" t="s">
        <v>192</v>
      </c>
      <c r="O76" s="55">
        <v>45876</v>
      </c>
      <c r="P76" s="53" t="s">
        <v>193</v>
      </c>
      <c r="Q76" s="82">
        <f>O76-G76</f>
        <v>115</v>
      </c>
      <c r="R76" s="82">
        <f>O76-J76</f>
        <v>45876</v>
      </c>
      <c r="S76" s="82"/>
    </row>
    <row r="77" spans="1:19" ht="45" hidden="1" x14ac:dyDescent="0.25">
      <c r="A77" s="53" t="s">
        <v>169</v>
      </c>
      <c r="B77" s="53" t="s">
        <v>170</v>
      </c>
      <c r="C77" s="53" t="str">
        <f>VLOOKUP(Tabela2[[#This Row],[OM APOIADA]],Tabela1[[#All],[OM]:[Diretoria Responsável]],3,0)</f>
        <v>DECEx</v>
      </c>
      <c r="D77" s="53" t="s">
        <v>627</v>
      </c>
      <c r="E77" s="53" t="s">
        <v>624</v>
      </c>
      <c r="F77" s="53" t="s">
        <v>23</v>
      </c>
      <c r="G77" s="55">
        <v>45762</v>
      </c>
      <c r="H77" s="53" t="s">
        <v>23</v>
      </c>
      <c r="I77" s="53" t="s">
        <v>171</v>
      </c>
      <c r="J77" s="55">
        <v>45762</v>
      </c>
      <c r="K77" s="53" t="s">
        <v>172</v>
      </c>
      <c r="L77" s="53"/>
      <c r="M77" s="55">
        <v>45802</v>
      </c>
      <c r="N77" s="53" t="s">
        <v>23</v>
      </c>
      <c r="O77" s="55">
        <v>45802</v>
      </c>
      <c r="P77" s="53" t="s">
        <v>173</v>
      </c>
      <c r="Q77" s="82"/>
      <c r="R77" s="82"/>
      <c r="S77" s="82"/>
    </row>
    <row r="78" spans="1:19" ht="60" hidden="1" x14ac:dyDescent="0.25">
      <c r="A78" s="53" t="s">
        <v>196</v>
      </c>
      <c r="B78" s="53" t="s">
        <v>604</v>
      </c>
      <c r="C78" s="53" t="str">
        <f>VLOOKUP(Tabela2[[#This Row],[OM APOIADA]],Tabela1[[#All],[OM]:[Diretoria Responsável]],3,0)</f>
        <v>COLOG</v>
      </c>
      <c r="D78" s="53" t="s">
        <v>627</v>
      </c>
      <c r="E78" s="53" t="s">
        <v>624</v>
      </c>
      <c r="F78" s="53" t="s">
        <v>197</v>
      </c>
      <c r="G78" s="55">
        <v>45771</v>
      </c>
      <c r="H78" s="53" t="s">
        <v>23</v>
      </c>
      <c r="I78" s="53" t="s">
        <v>198</v>
      </c>
      <c r="J78" s="55">
        <v>45772</v>
      </c>
      <c r="K78" s="53" t="s">
        <v>58</v>
      </c>
      <c r="L78" s="53"/>
      <c r="M78" s="55">
        <v>45785</v>
      </c>
      <c r="N78" s="53" t="s">
        <v>199</v>
      </c>
      <c r="O78" s="55">
        <v>45789</v>
      </c>
      <c r="P78" s="53" t="s">
        <v>200</v>
      </c>
      <c r="Q78" s="82">
        <f>O78-G78</f>
        <v>18</v>
      </c>
      <c r="R78" s="82">
        <f>O78-J78</f>
        <v>17</v>
      </c>
      <c r="S78" s="82"/>
    </row>
    <row r="79" spans="1:19" ht="90" hidden="1" x14ac:dyDescent="0.25">
      <c r="A79" s="53" t="s">
        <v>241</v>
      </c>
      <c r="B79" s="53" t="s">
        <v>242</v>
      </c>
      <c r="C79" s="53" t="e">
        <f>VLOOKUP(Tabela2[[#This Row],[OM APOIADA]],Tabela1[[#All],[OM]:[Diretoria Responsável]],3,0)</f>
        <v>#N/A</v>
      </c>
      <c r="D79" s="53" t="s">
        <v>627</v>
      </c>
      <c r="E79" s="53" t="s">
        <v>624</v>
      </c>
      <c r="F79" s="53" t="s">
        <v>243</v>
      </c>
      <c r="G79" s="55">
        <v>45771</v>
      </c>
      <c r="H79" s="53" t="s">
        <v>23</v>
      </c>
      <c r="I79" s="53" t="s">
        <v>244</v>
      </c>
      <c r="J79" s="55">
        <v>45838</v>
      </c>
      <c r="K79" s="53" t="s">
        <v>69</v>
      </c>
      <c r="L79" s="53"/>
      <c r="M79" s="53" t="s">
        <v>23</v>
      </c>
      <c r="N79" s="53" t="s">
        <v>23</v>
      </c>
      <c r="O79" s="53" t="s">
        <v>23</v>
      </c>
      <c r="P79" s="58" t="s">
        <v>245</v>
      </c>
      <c r="Q79" s="82"/>
      <c r="R79" s="82"/>
      <c r="S79" s="82"/>
    </row>
    <row r="80" spans="1:19" ht="75" x14ac:dyDescent="0.25">
      <c r="A80" s="53" t="s">
        <v>178</v>
      </c>
      <c r="B80" s="53" t="s">
        <v>120</v>
      </c>
      <c r="C80" s="53" t="str">
        <f>VLOOKUP(Tabela2[[#This Row],[OM APOIADA]],Tabela1[[#All],[OM]:[Diretoria Responsável]],3,0)</f>
        <v>COTER</v>
      </c>
      <c r="D80" s="53" t="s">
        <v>627</v>
      </c>
      <c r="E80" s="53" t="s">
        <v>624</v>
      </c>
      <c r="F80" s="53" t="s">
        <v>179</v>
      </c>
      <c r="G80" s="55">
        <v>45775</v>
      </c>
      <c r="H80" s="53" t="s">
        <v>180</v>
      </c>
      <c r="I80" s="53" t="s">
        <v>181</v>
      </c>
      <c r="J80" s="55">
        <v>45776</v>
      </c>
      <c r="K80" s="53" t="s">
        <v>123</v>
      </c>
      <c r="L80" s="53"/>
      <c r="M80" s="55">
        <v>45793</v>
      </c>
      <c r="N80" s="53" t="s">
        <v>182</v>
      </c>
      <c r="O80" s="55">
        <v>45801</v>
      </c>
      <c r="P80" s="53" t="s">
        <v>183</v>
      </c>
      <c r="Q80" s="82">
        <f t="shared" ref="Q80:Q85" si="4">O80-G80</f>
        <v>26</v>
      </c>
      <c r="R80" s="82">
        <f t="shared" ref="R80:R85" si="5">O80-J80</f>
        <v>25</v>
      </c>
      <c r="S80" s="82"/>
    </row>
    <row r="81" spans="1:19" ht="45" hidden="1" x14ac:dyDescent="0.25">
      <c r="A81" s="53" t="s">
        <v>201</v>
      </c>
      <c r="B81" s="53" t="s">
        <v>202</v>
      </c>
      <c r="C81" s="53" t="str">
        <f>VLOOKUP(Tabela2[[#This Row],[OM APOIADA]],Tabela1[[#All],[OM]:[Diretoria Responsável]],3,0)</f>
        <v>DECEx</v>
      </c>
      <c r="D81" s="53" t="s">
        <v>627</v>
      </c>
      <c r="E81" s="53" t="s">
        <v>624</v>
      </c>
      <c r="F81" s="53" t="s">
        <v>203</v>
      </c>
      <c r="G81" s="55">
        <v>45776</v>
      </c>
      <c r="H81" s="53" t="s">
        <v>111</v>
      </c>
      <c r="I81" s="53" t="s">
        <v>204</v>
      </c>
      <c r="J81" s="55">
        <v>45804</v>
      </c>
      <c r="K81" s="53" t="s">
        <v>69</v>
      </c>
      <c r="L81" s="53"/>
      <c r="M81" s="55">
        <v>45806</v>
      </c>
      <c r="N81" s="53" t="s">
        <v>113</v>
      </c>
      <c r="O81" s="55">
        <v>45840</v>
      </c>
      <c r="P81" s="53" t="s">
        <v>114</v>
      </c>
      <c r="Q81" s="82">
        <f t="shared" si="4"/>
        <v>64</v>
      </c>
      <c r="R81" s="82">
        <f t="shared" si="5"/>
        <v>36</v>
      </c>
      <c r="S81" s="82"/>
    </row>
    <row r="82" spans="1:19" ht="45" hidden="1" x14ac:dyDescent="0.25">
      <c r="A82" s="53" t="s">
        <v>205</v>
      </c>
      <c r="B82" s="53" t="s">
        <v>206</v>
      </c>
      <c r="C82" s="53" t="str">
        <f>VLOOKUP(Tabela2[[#This Row],[OM APOIADA]],Tabela1[[#All],[OM]:[Diretoria Responsável]],3,0)</f>
        <v>COTER</v>
      </c>
      <c r="D82" s="53" t="s">
        <v>627</v>
      </c>
      <c r="E82" s="53" t="s">
        <v>624</v>
      </c>
      <c r="F82" s="53" t="s">
        <v>207</v>
      </c>
      <c r="G82" s="55">
        <v>45777</v>
      </c>
      <c r="H82" s="53" t="s">
        <v>208</v>
      </c>
      <c r="I82" s="53" t="s">
        <v>209</v>
      </c>
      <c r="J82" s="55">
        <v>45820</v>
      </c>
      <c r="K82" s="53" t="s">
        <v>69</v>
      </c>
      <c r="L82" s="53"/>
      <c r="M82" s="55">
        <v>45824</v>
      </c>
      <c r="N82" s="53" t="s">
        <v>210</v>
      </c>
      <c r="O82" s="55">
        <v>45510</v>
      </c>
      <c r="P82" s="53" t="s">
        <v>211</v>
      </c>
      <c r="Q82" s="82">
        <f t="shared" si="4"/>
        <v>-267</v>
      </c>
      <c r="R82" s="82">
        <f t="shared" si="5"/>
        <v>-310</v>
      </c>
      <c r="S82" s="82"/>
    </row>
    <row r="83" spans="1:19" ht="150" hidden="1" x14ac:dyDescent="0.25">
      <c r="A83" s="53" t="s">
        <v>212</v>
      </c>
      <c r="B83" s="53" t="s">
        <v>213</v>
      </c>
      <c r="C83" s="53" t="str">
        <f>VLOOKUP(Tabela2[[#This Row],[OM APOIADA]],Tabela1[[#All],[OM]:[Diretoria Responsável]],3,0)</f>
        <v>DECEx</v>
      </c>
      <c r="D83" s="53" t="s">
        <v>627</v>
      </c>
      <c r="E83" s="53" t="s">
        <v>624</v>
      </c>
      <c r="F83" s="53" t="s">
        <v>214</v>
      </c>
      <c r="G83" s="55">
        <v>45782</v>
      </c>
      <c r="H83" s="53" t="s">
        <v>23</v>
      </c>
      <c r="I83" s="53" t="s">
        <v>215</v>
      </c>
      <c r="J83" s="55">
        <v>45798</v>
      </c>
      <c r="K83" s="53" t="s">
        <v>216</v>
      </c>
      <c r="L83" s="53"/>
      <c r="M83" s="55">
        <v>45894</v>
      </c>
      <c r="N83" s="53" t="s">
        <v>217</v>
      </c>
      <c r="O83" s="55">
        <v>45895</v>
      </c>
      <c r="P83" s="53" t="s">
        <v>218</v>
      </c>
      <c r="Q83" s="82">
        <f t="shared" si="4"/>
        <v>113</v>
      </c>
      <c r="R83" s="82">
        <f t="shared" si="5"/>
        <v>97</v>
      </c>
      <c r="S83" s="82"/>
    </row>
    <row r="84" spans="1:19" ht="60" hidden="1" x14ac:dyDescent="0.25">
      <c r="A84" s="53" t="s">
        <v>231</v>
      </c>
      <c r="B84" s="53" t="s">
        <v>232</v>
      </c>
      <c r="C84" s="53" t="e">
        <f>VLOOKUP(Tabela2[[#This Row],[OM APOIADA]],Tabela1[[#All],[OM]:[Diretoria Responsável]],3,0)</f>
        <v>#N/A</v>
      </c>
      <c r="D84" s="53" t="s">
        <v>627</v>
      </c>
      <c r="E84" s="53" t="s">
        <v>624</v>
      </c>
      <c r="F84" s="53" t="s">
        <v>233</v>
      </c>
      <c r="G84" s="55">
        <v>45785</v>
      </c>
      <c r="H84" s="53" t="s">
        <v>234</v>
      </c>
      <c r="I84" s="53" t="s">
        <v>235</v>
      </c>
      <c r="J84" s="55">
        <v>45785</v>
      </c>
      <c r="K84" s="53" t="s">
        <v>58</v>
      </c>
      <c r="L84" s="58"/>
      <c r="M84" s="55">
        <v>45842</v>
      </c>
      <c r="N84" s="53" t="s">
        <v>236</v>
      </c>
      <c r="O84" s="55">
        <v>45842</v>
      </c>
      <c r="P84" s="53" t="s">
        <v>237</v>
      </c>
      <c r="Q84" s="82">
        <f t="shared" si="4"/>
        <v>57</v>
      </c>
      <c r="R84" s="82">
        <f t="shared" si="5"/>
        <v>57</v>
      </c>
      <c r="S84" s="82"/>
    </row>
    <row r="85" spans="1:19" s="32" customFormat="1" ht="30" hidden="1" x14ac:dyDescent="0.25">
      <c r="A85" s="53" t="s">
        <v>223</v>
      </c>
      <c r="B85" s="53" t="s">
        <v>224</v>
      </c>
      <c r="C85" s="53">
        <f>VLOOKUP(Tabela2[[#This Row],[OM APOIADA]],Tabela1[[#All],[OM]:[Diretoria Responsável]],3,0)</f>
        <v>0</v>
      </c>
      <c r="D85" s="53" t="s">
        <v>627</v>
      </c>
      <c r="E85" s="53" t="s">
        <v>624</v>
      </c>
      <c r="F85" s="53"/>
      <c r="G85" s="55">
        <v>45786</v>
      </c>
      <c r="H85" s="53"/>
      <c r="I85" s="53"/>
      <c r="J85" s="55">
        <v>45785</v>
      </c>
      <c r="K85" s="53" t="s">
        <v>225</v>
      </c>
      <c r="L85" s="53"/>
      <c r="M85" s="55">
        <v>45785</v>
      </c>
      <c r="N85" s="53" t="s">
        <v>226</v>
      </c>
      <c r="O85" s="55">
        <v>45786</v>
      </c>
      <c r="P85" s="53" t="s">
        <v>227</v>
      </c>
      <c r="Q85" s="82">
        <f t="shared" si="4"/>
        <v>0</v>
      </c>
      <c r="R85" s="82">
        <f t="shared" si="5"/>
        <v>1</v>
      </c>
      <c r="S85" s="82"/>
    </row>
    <row r="86" spans="1:19" ht="60" hidden="1" x14ac:dyDescent="0.25">
      <c r="A86" s="53" t="s">
        <v>174</v>
      </c>
      <c r="B86" s="53" t="s">
        <v>170</v>
      </c>
      <c r="C86" s="53" t="str">
        <f>VLOOKUP(Tabela2[[#This Row],[OM APOIADA]],Tabela1[[#All],[OM]:[Diretoria Responsável]],3,0)</f>
        <v>DECEx</v>
      </c>
      <c r="D86" s="53" t="s">
        <v>627</v>
      </c>
      <c r="E86" s="53" t="s">
        <v>624</v>
      </c>
      <c r="F86" s="53" t="s">
        <v>175</v>
      </c>
      <c r="G86" s="55">
        <v>45789</v>
      </c>
      <c r="H86" s="53" t="s">
        <v>23</v>
      </c>
      <c r="I86" s="53" t="s">
        <v>176</v>
      </c>
      <c r="J86" s="55">
        <v>45789</v>
      </c>
      <c r="K86" s="53" t="s">
        <v>137</v>
      </c>
      <c r="L86" s="53"/>
      <c r="M86" s="55">
        <v>45804</v>
      </c>
      <c r="N86" s="53" t="s">
        <v>23</v>
      </c>
      <c r="O86" s="55">
        <v>45804</v>
      </c>
      <c r="P86" s="53" t="s">
        <v>177</v>
      </c>
      <c r="Q86" s="82"/>
      <c r="R86" s="82"/>
      <c r="S86" s="82"/>
    </row>
    <row r="87" spans="1:19" ht="90" hidden="1" x14ac:dyDescent="0.25">
      <c r="A87" s="53" t="s">
        <v>246</v>
      </c>
      <c r="B87" s="53" t="s">
        <v>247</v>
      </c>
      <c r="C87" s="53" t="str">
        <f>VLOOKUP(Tabela2[[#This Row],[OM APOIADA]],Tabela1[[#All],[OM]:[Diretoria Responsável]],3,0)</f>
        <v>DECEx</v>
      </c>
      <c r="D87" s="53" t="s">
        <v>627</v>
      </c>
      <c r="E87" s="53" t="s">
        <v>624</v>
      </c>
      <c r="F87" s="53" t="s">
        <v>248</v>
      </c>
      <c r="G87" s="55">
        <v>45789</v>
      </c>
      <c r="H87" s="53" t="s">
        <v>23</v>
      </c>
      <c r="I87" s="53" t="s">
        <v>249</v>
      </c>
      <c r="J87" s="55">
        <v>45789</v>
      </c>
      <c r="K87" s="53" t="s">
        <v>137</v>
      </c>
      <c r="L87" s="53"/>
      <c r="M87" s="55">
        <v>45804</v>
      </c>
      <c r="N87" s="53" t="s">
        <v>23</v>
      </c>
      <c r="O87" s="55">
        <v>45804</v>
      </c>
      <c r="P87" s="53" t="s">
        <v>177</v>
      </c>
      <c r="Q87" s="82"/>
      <c r="R87" s="82"/>
      <c r="S87" s="82"/>
    </row>
    <row r="88" spans="1:19" ht="45" hidden="1" x14ac:dyDescent="0.25">
      <c r="A88" s="53" t="s">
        <v>250</v>
      </c>
      <c r="B88" s="53" t="s">
        <v>251</v>
      </c>
      <c r="C88" s="53" t="str">
        <f>VLOOKUP(Tabela2[[#This Row],[OM APOIADA]],Tabela1[[#All],[OM]:[Diretoria Responsável]],3,0)</f>
        <v>DECEx</v>
      </c>
      <c r="D88" s="53" t="s">
        <v>627</v>
      </c>
      <c r="E88" s="53" t="s">
        <v>624</v>
      </c>
      <c r="F88" s="53" t="s">
        <v>252</v>
      </c>
      <c r="G88" s="55">
        <v>45797</v>
      </c>
      <c r="H88" s="53" t="s">
        <v>23</v>
      </c>
      <c r="I88" s="53" t="s">
        <v>253</v>
      </c>
      <c r="J88" s="55">
        <v>45824</v>
      </c>
      <c r="K88" s="53" t="s">
        <v>69</v>
      </c>
      <c r="L88" s="53"/>
      <c r="M88" s="55"/>
      <c r="N88" s="53"/>
      <c r="O88" s="55">
        <v>45824</v>
      </c>
      <c r="P88" s="53" t="s">
        <v>254</v>
      </c>
      <c r="Q88" s="53"/>
      <c r="R88" s="53"/>
      <c r="S88" s="53"/>
    </row>
    <row r="89" spans="1:19" ht="90" hidden="1" x14ac:dyDescent="0.25">
      <c r="A89" s="53" t="s">
        <v>347</v>
      </c>
      <c r="B89" s="53" t="s">
        <v>348</v>
      </c>
      <c r="C89" s="53" t="str">
        <f>VLOOKUP(Tabela2[[#This Row],[OM APOIADA]],Tabela1[[#All],[OM]:[Diretoria Responsável]],3,0)</f>
        <v>COTER</v>
      </c>
      <c r="D89" s="53" t="s">
        <v>627</v>
      </c>
      <c r="E89" s="53" t="s">
        <v>624</v>
      </c>
      <c r="F89" s="53" t="s">
        <v>349</v>
      </c>
      <c r="G89" s="55">
        <v>45799</v>
      </c>
      <c r="H89" s="53" t="s">
        <v>23</v>
      </c>
      <c r="I89" s="53" t="s">
        <v>350</v>
      </c>
      <c r="J89" s="53" t="s">
        <v>23</v>
      </c>
      <c r="K89" s="53" t="s">
        <v>351</v>
      </c>
      <c r="L89" s="53"/>
      <c r="M89" s="55">
        <v>45841</v>
      </c>
      <c r="N89" s="53" t="s">
        <v>352</v>
      </c>
      <c r="O89" s="55">
        <v>45841</v>
      </c>
      <c r="P89" s="53" t="s">
        <v>353</v>
      </c>
      <c r="Q89" s="53"/>
      <c r="R89" s="53"/>
      <c r="S89" s="53"/>
    </row>
    <row r="90" spans="1:19" hidden="1" x14ac:dyDescent="0.25">
      <c r="A90" s="53" t="s">
        <v>344</v>
      </c>
      <c r="B90" s="53" t="s">
        <v>116</v>
      </c>
      <c r="C90" s="53" t="str">
        <f>VLOOKUP(Tabela2[[#This Row],[OM APOIADA]],Tabela1[[#All],[OM]:[Diretoria Responsável]],3,0)</f>
        <v>COLOG</v>
      </c>
      <c r="D90" s="53" t="s">
        <v>627</v>
      </c>
      <c r="E90" s="53" t="s">
        <v>624</v>
      </c>
      <c r="F90" s="53" t="s">
        <v>345</v>
      </c>
      <c r="G90" s="55">
        <v>45800</v>
      </c>
      <c r="H90" s="53"/>
      <c r="I90" s="53" t="s">
        <v>346</v>
      </c>
      <c r="J90" s="55">
        <v>45800</v>
      </c>
      <c r="K90" s="53"/>
      <c r="L90" s="53"/>
      <c r="M90" s="55">
        <v>45800</v>
      </c>
      <c r="N90" s="53"/>
      <c r="O90" s="55"/>
      <c r="P90" s="53"/>
      <c r="Q90" s="53"/>
      <c r="R90" s="53"/>
      <c r="S90" s="53"/>
    </row>
    <row r="91" spans="1:19" ht="45" hidden="1" x14ac:dyDescent="0.25">
      <c r="A91" s="53" t="s">
        <v>359</v>
      </c>
      <c r="B91" s="53" t="s">
        <v>360</v>
      </c>
      <c r="C91" s="53" t="e">
        <f>VLOOKUP(Tabela2[[#This Row],[OM APOIADA]],Tabela1[[#All],[OM]:[Diretoria Responsável]],3,0)</f>
        <v>#N/A</v>
      </c>
      <c r="D91" s="53" t="s">
        <v>627</v>
      </c>
      <c r="E91" s="53" t="s">
        <v>624</v>
      </c>
      <c r="F91" s="53" t="s">
        <v>361</v>
      </c>
      <c r="G91" s="55">
        <v>45805</v>
      </c>
      <c r="H91" s="53"/>
      <c r="I91" s="53" t="s">
        <v>362</v>
      </c>
      <c r="J91" s="55">
        <v>45807</v>
      </c>
      <c r="K91" s="53" t="s">
        <v>363</v>
      </c>
      <c r="L91" s="53"/>
      <c r="M91" s="55">
        <v>45897</v>
      </c>
      <c r="N91" s="58" t="s">
        <v>364</v>
      </c>
      <c r="O91" s="59"/>
      <c r="P91" s="58"/>
      <c r="Q91" s="53"/>
      <c r="R91" s="53"/>
      <c r="S91" s="53"/>
    </row>
    <row r="92" spans="1:19" ht="45" hidden="1" x14ac:dyDescent="0.25">
      <c r="A92" s="53" t="s">
        <v>365</v>
      </c>
      <c r="B92" s="53" t="s">
        <v>366</v>
      </c>
      <c r="C92" s="53">
        <f>VLOOKUP(Tabela2[[#This Row],[OM APOIADA]],Tabela1[[#All],[OM]:[Diretoria Responsável]],3,0)</f>
        <v>0</v>
      </c>
      <c r="D92" s="53" t="s">
        <v>627</v>
      </c>
      <c r="E92" s="53" t="s">
        <v>624</v>
      </c>
      <c r="F92" s="53" t="s">
        <v>367</v>
      </c>
      <c r="G92" s="55">
        <v>45805</v>
      </c>
      <c r="H92" s="53"/>
      <c r="I92" s="53" t="s">
        <v>368</v>
      </c>
      <c r="J92" s="55">
        <v>45806</v>
      </c>
      <c r="K92" s="53" t="s">
        <v>369</v>
      </c>
      <c r="L92" s="53"/>
      <c r="M92" s="55">
        <v>45828</v>
      </c>
      <c r="N92" s="53" t="s">
        <v>370</v>
      </c>
      <c r="O92" s="55">
        <v>45887</v>
      </c>
      <c r="P92" s="53" t="s">
        <v>371</v>
      </c>
      <c r="Q92" s="53"/>
      <c r="R92" s="53"/>
      <c r="S92" s="53"/>
    </row>
    <row r="93" spans="1:19" ht="60" hidden="1" x14ac:dyDescent="0.25">
      <c r="A93" s="53" t="s">
        <v>354</v>
      </c>
      <c r="B93" s="53" t="s">
        <v>355</v>
      </c>
      <c r="C93" s="53" t="str">
        <f>VLOOKUP(Tabela2[[#This Row],[OM APOIADA]],Tabela1[[#All],[OM]:[Diretoria Responsável]],3,0)</f>
        <v>DCT</v>
      </c>
      <c r="D93" s="53" t="s">
        <v>627</v>
      </c>
      <c r="E93" s="53" t="s">
        <v>624</v>
      </c>
      <c r="F93" s="53" t="s">
        <v>356</v>
      </c>
      <c r="G93" s="55">
        <v>45807</v>
      </c>
      <c r="H93" s="53"/>
      <c r="I93" s="53" t="s">
        <v>357</v>
      </c>
      <c r="J93" s="55">
        <v>45848</v>
      </c>
      <c r="K93" s="53" t="s">
        <v>58</v>
      </c>
      <c r="L93" s="58"/>
      <c r="M93" s="59"/>
      <c r="N93" s="58" t="s">
        <v>358</v>
      </c>
      <c r="O93" s="59"/>
      <c r="P93" s="58"/>
      <c r="Q93" s="53"/>
      <c r="R93" s="53"/>
      <c r="S93" s="53"/>
    </row>
    <row r="94" spans="1:19" ht="45" hidden="1" x14ac:dyDescent="0.25">
      <c r="A94" s="53" t="s">
        <v>372</v>
      </c>
      <c r="B94" s="53" t="s">
        <v>373</v>
      </c>
      <c r="C94" s="53" t="e">
        <f>VLOOKUP(Tabela2[[#This Row],[OM APOIADA]],Tabela1[[#All],[OM]:[Diretoria Responsável]],3,0)</f>
        <v>#N/A</v>
      </c>
      <c r="D94" s="53" t="s">
        <v>627</v>
      </c>
      <c r="E94" s="53" t="s">
        <v>624</v>
      </c>
      <c r="F94" s="53" t="s">
        <v>374</v>
      </c>
      <c r="G94" s="55">
        <v>45810</v>
      </c>
      <c r="H94" s="53" t="s">
        <v>23</v>
      </c>
      <c r="I94" s="53" t="s">
        <v>375</v>
      </c>
      <c r="J94" s="55">
        <v>45820</v>
      </c>
      <c r="K94" s="53" t="s">
        <v>69</v>
      </c>
      <c r="L94" s="53"/>
      <c r="M94" s="53" t="s">
        <v>23</v>
      </c>
      <c r="N94" s="53" t="s">
        <v>254</v>
      </c>
      <c r="O94" s="55">
        <v>45820</v>
      </c>
      <c r="P94" s="53" t="s">
        <v>23</v>
      </c>
      <c r="Q94" s="53"/>
      <c r="R94" s="53"/>
      <c r="S94" s="53"/>
    </row>
    <row r="95" spans="1:19" ht="75" hidden="1" x14ac:dyDescent="0.25">
      <c r="A95" s="53" t="s">
        <v>388</v>
      </c>
      <c r="B95" s="66" t="s">
        <v>55</v>
      </c>
      <c r="C95" s="53" t="str">
        <f>VLOOKUP(Tabela2[[#This Row],[OM APOIADA]],Tabela1[[#All],[OM]:[Diretoria Responsável]],3,0)</f>
        <v>DCT</v>
      </c>
      <c r="D95" s="53" t="s">
        <v>627</v>
      </c>
      <c r="E95" s="53" t="s">
        <v>624</v>
      </c>
      <c r="F95" s="53" t="s">
        <v>389</v>
      </c>
      <c r="G95" s="55">
        <v>45814</v>
      </c>
      <c r="H95" s="53" t="s">
        <v>390</v>
      </c>
      <c r="I95" s="53" t="s">
        <v>23</v>
      </c>
      <c r="J95" s="55">
        <v>45826</v>
      </c>
      <c r="K95" s="53" t="s">
        <v>391</v>
      </c>
      <c r="L95" s="53"/>
      <c r="M95" s="55">
        <v>45897</v>
      </c>
      <c r="N95" s="58" t="s">
        <v>381</v>
      </c>
      <c r="O95" s="55">
        <v>45897</v>
      </c>
      <c r="P95" s="53" t="s">
        <v>392</v>
      </c>
      <c r="Q95" s="53"/>
      <c r="R95" s="53"/>
      <c r="S95" s="53"/>
    </row>
    <row r="96" spans="1:19" ht="30" hidden="1" x14ac:dyDescent="0.25">
      <c r="A96" s="53" t="s">
        <v>383</v>
      </c>
      <c r="B96" s="53" t="s">
        <v>377</v>
      </c>
      <c r="C96" s="53" t="str">
        <f>VLOOKUP(Tabela2[[#This Row],[OM APOIADA]],Tabela1[[#All],[OM]:[Diretoria Responsável]],3,0)</f>
        <v>COTER</v>
      </c>
      <c r="D96" s="53" t="s">
        <v>627</v>
      </c>
      <c r="E96" s="53" t="s">
        <v>624</v>
      </c>
      <c r="F96" s="53" t="s">
        <v>384</v>
      </c>
      <c r="G96" s="55">
        <v>45819</v>
      </c>
      <c r="H96" s="53" t="s">
        <v>385</v>
      </c>
      <c r="I96" s="53" t="s">
        <v>386</v>
      </c>
      <c r="J96" s="55">
        <v>45826</v>
      </c>
      <c r="K96" s="53" t="s">
        <v>69</v>
      </c>
      <c r="L96" s="53"/>
      <c r="M96" s="55">
        <v>45840</v>
      </c>
      <c r="N96" s="58" t="s">
        <v>381</v>
      </c>
      <c r="O96" s="55">
        <v>45875</v>
      </c>
      <c r="P96" s="53" t="s">
        <v>387</v>
      </c>
      <c r="Q96" s="53"/>
      <c r="R96" s="53"/>
      <c r="S96" s="53"/>
    </row>
    <row r="97" spans="1:19" ht="45" hidden="1" x14ac:dyDescent="0.25">
      <c r="A97" s="53" t="s">
        <v>393</v>
      </c>
      <c r="B97" s="53" t="s">
        <v>394</v>
      </c>
      <c r="C97" s="53" t="str">
        <f>VLOOKUP(Tabela2[[#This Row],[OM APOIADA]],Tabela1[[#All],[OM]:[Diretoria Responsável]],3,0)</f>
        <v>COLOG</v>
      </c>
      <c r="D97" s="53" t="s">
        <v>627</v>
      </c>
      <c r="E97" s="53" t="s">
        <v>624</v>
      </c>
      <c r="F97" s="53" t="s">
        <v>395</v>
      </c>
      <c r="G97" s="55">
        <v>45819</v>
      </c>
      <c r="H97" s="53"/>
      <c r="I97" s="53" t="s">
        <v>396</v>
      </c>
      <c r="J97" s="55">
        <v>45868</v>
      </c>
      <c r="K97" s="53" t="s">
        <v>69</v>
      </c>
      <c r="L97" s="53"/>
      <c r="M97" s="55">
        <v>45875</v>
      </c>
      <c r="N97" s="58" t="s">
        <v>381</v>
      </c>
      <c r="O97" s="55">
        <v>45875</v>
      </c>
      <c r="P97" s="53" t="s">
        <v>397</v>
      </c>
      <c r="Q97" s="53"/>
      <c r="R97" s="53"/>
      <c r="S97" s="53"/>
    </row>
    <row r="98" spans="1:19" ht="30" hidden="1" x14ac:dyDescent="0.25">
      <c r="A98" s="53" t="s">
        <v>398</v>
      </c>
      <c r="B98" s="53" t="s">
        <v>399</v>
      </c>
      <c r="C98" s="53" t="str">
        <f>VLOOKUP(Tabela2[[#This Row],[OM APOIADA]],Tabela1[[#All],[OM]:[Diretoria Responsável]],3,0)</f>
        <v>DCT</v>
      </c>
      <c r="D98" s="53" t="s">
        <v>627</v>
      </c>
      <c r="E98" s="53" t="s">
        <v>624</v>
      </c>
      <c r="F98" s="53" t="s">
        <v>400</v>
      </c>
      <c r="G98" s="55">
        <v>45820</v>
      </c>
      <c r="H98" s="53"/>
      <c r="I98" s="53" t="s">
        <v>401</v>
      </c>
      <c r="J98" s="55">
        <v>45874</v>
      </c>
      <c r="K98" s="53" t="s">
        <v>58</v>
      </c>
      <c r="L98" s="53"/>
      <c r="M98" s="59"/>
      <c r="N98" s="58"/>
      <c r="O98" s="59"/>
      <c r="P98" s="58"/>
      <c r="Q98" s="53"/>
      <c r="R98" s="53"/>
      <c r="S98" s="53"/>
    </row>
    <row r="99" spans="1:19" ht="60" hidden="1" x14ac:dyDescent="0.25">
      <c r="A99" s="53" t="s">
        <v>402</v>
      </c>
      <c r="B99" s="53" t="s">
        <v>403</v>
      </c>
      <c r="C99" s="53" t="str">
        <f>VLOOKUP(Tabela2[[#This Row],[OM APOIADA]],Tabela1[[#All],[OM]:[Diretoria Responsável]],3,0)</f>
        <v>COTER</v>
      </c>
      <c r="D99" s="53" t="s">
        <v>627</v>
      </c>
      <c r="E99" s="53" t="s">
        <v>624</v>
      </c>
      <c r="F99" s="53" t="s">
        <v>404</v>
      </c>
      <c r="G99" s="55">
        <v>45824</v>
      </c>
      <c r="H99" s="53" t="s">
        <v>23</v>
      </c>
      <c r="I99" s="53" t="s">
        <v>405</v>
      </c>
      <c r="J99" s="55">
        <v>45826</v>
      </c>
      <c r="K99" s="53" t="s">
        <v>69</v>
      </c>
      <c r="L99" s="53"/>
      <c r="M99" s="53" t="s">
        <v>23</v>
      </c>
      <c r="N99" s="53" t="s">
        <v>406</v>
      </c>
      <c r="O99" s="53" t="s">
        <v>23</v>
      </c>
      <c r="P99" s="53" t="s">
        <v>23</v>
      </c>
      <c r="Q99" s="53"/>
      <c r="R99" s="53"/>
      <c r="S99" s="53"/>
    </row>
    <row r="100" spans="1:19" ht="30" hidden="1" x14ac:dyDescent="0.25">
      <c r="A100" s="53" t="s">
        <v>376</v>
      </c>
      <c r="B100" s="53" t="s">
        <v>377</v>
      </c>
      <c r="C100" s="53" t="str">
        <f>VLOOKUP(Tabela2[[#This Row],[OM APOIADA]],Tabela1[[#All],[OM]:[Diretoria Responsável]],3,0)</f>
        <v>COTER</v>
      </c>
      <c r="D100" s="53" t="s">
        <v>627</v>
      </c>
      <c r="E100" s="53" t="s">
        <v>624</v>
      </c>
      <c r="F100" s="53" t="s">
        <v>378</v>
      </c>
      <c r="G100" s="55">
        <v>45826</v>
      </c>
      <c r="H100" s="53" t="s">
        <v>379</v>
      </c>
      <c r="I100" s="53" t="s">
        <v>380</v>
      </c>
      <c r="J100" s="55">
        <v>45826</v>
      </c>
      <c r="K100" s="53" t="s">
        <v>69</v>
      </c>
      <c r="L100" s="53"/>
      <c r="M100" s="55">
        <v>45840</v>
      </c>
      <c r="N100" s="58" t="s">
        <v>381</v>
      </c>
      <c r="O100" s="55">
        <v>45875</v>
      </c>
      <c r="P100" s="53" t="s">
        <v>382</v>
      </c>
      <c r="Q100" s="53"/>
      <c r="R100" s="53"/>
      <c r="S100" s="53"/>
    </row>
    <row r="101" spans="1:19" ht="90" hidden="1" x14ac:dyDescent="0.25">
      <c r="A101" s="53" t="s">
        <v>414</v>
      </c>
      <c r="B101" s="53" t="s">
        <v>415</v>
      </c>
      <c r="C101" s="53" t="str">
        <f>VLOOKUP(Tabela2[[#This Row],[OM APOIADA]],Tabela1[[#All],[OM]:[Diretoria Responsável]],3,0)</f>
        <v>DGP</v>
      </c>
      <c r="D101" s="53" t="s">
        <v>627</v>
      </c>
      <c r="E101" s="53" t="s">
        <v>624</v>
      </c>
      <c r="F101" s="53" t="s">
        <v>416</v>
      </c>
      <c r="G101" s="55">
        <v>45826</v>
      </c>
      <c r="H101" s="53" t="s">
        <v>23</v>
      </c>
      <c r="I101" s="53" t="s">
        <v>417</v>
      </c>
      <c r="J101" s="55">
        <v>45826</v>
      </c>
      <c r="K101" s="53" t="s">
        <v>418</v>
      </c>
      <c r="L101" s="53"/>
      <c r="M101" s="55">
        <v>45828</v>
      </c>
      <c r="N101" s="53" t="s">
        <v>419</v>
      </c>
      <c r="O101" s="55">
        <v>45828</v>
      </c>
      <c r="P101" s="53" t="s">
        <v>420</v>
      </c>
      <c r="Q101" s="53"/>
      <c r="R101" s="53"/>
      <c r="S101" s="53"/>
    </row>
    <row r="102" spans="1:19" ht="45" hidden="1" x14ac:dyDescent="0.25">
      <c r="A102" s="53" t="s">
        <v>425</v>
      </c>
      <c r="B102" s="53" t="s">
        <v>377</v>
      </c>
      <c r="C102" s="53" t="str">
        <f>VLOOKUP(Tabela2[[#This Row],[OM APOIADA]],Tabela1[[#All],[OM]:[Diretoria Responsável]],3,0)</f>
        <v>COTER</v>
      </c>
      <c r="D102" s="53" t="s">
        <v>627</v>
      </c>
      <c r="E102" s="53" t="s">
        <v>624</v>
      </c>
      <c r="F102" s="53" t="s">
        <v>426</v>
      </c>
      <c r="G102" s="55">
        <v>45826</v>
      </c>
      <c r="H102" s="53" t="s">
        <v>427</v>
      </c>
      <c r="I102" s="53" t="s">
        <v>428</v>
      </c>
      <c r="J102" s="55">
        <v>45826</v>
      </c>
      <c r="K102" s="53" t="s">
        <v>69</v>
      </c>
      <c r="L102" s="53"/>
      <c r="M102" s="55">
        <v>45840</v>
      </c>
      <c r="N102" s="58" t="s">
        <v>381</v>
      </c>
      <c r="O102" s="55">
        <v>45875</v>
      </c>
      <c r="P102" s="53" t="s">
        <v>429</v>
      </c>
      <c r="Q102" s="53"/>
      <c r="R102" s="53"/>
      <c r="S102" s="53"/>
    </row>
    <row r="103" spans="1:19" ht="75" hidden="1" x14ac:dyDescent="0.25">
      <c r="A103" s="53" t="s">
        <v>440</v>
      </c>
      <c r="B103" s="53" t="s">
        <v>441</v>
      </c>
      <c r="C103" s="53" t="str">
        <f>VLOOKUP(Tabela2[[#This Row],[OM APOIADA]],Tabela1[[#All],[OM]:[Diretoria Responsável]],3,0)</f>
        <v>COTER</v>
      </c>
      <c r="D103" s="53" t="s">
        <v>627</v>
      </c>
      <c r="E103" s="53" t="s">
        <v>624</v>
      </c>
      <c r="F103" s="53" t="s">
        <v>442</v>
      </c>
      <c r="G103" s="55">
        <v>45831</v>
      </c>
      <c r="H103" s="53" t="s">
        <v>443</v>
      </c>
      <c r="I103" s="53" t="s">
        <v>444</v>
      </c>
      <c r="J103" s="55">
        <v>45839</v>
      </c>
      <c r="K103" s="53" t="s">
        <v>69</v>
      </c>
      <c r="L103" s="53"/>
      <c r="M103" s="55">
        <v>45840</v>
      </c>
      <c r="N103" s="58" t="s">
        <v>381</v>
      </c>
      <c r="O103" s="55">
        <v>45875</v>
      </c>
      <c r="P103" s="53" t="s">
        <v>445</v>
      </c>
      <c r="Q103" s="53"/>
      <c r="R103" s="53"/>
      <c r="S103" s="53"/>
    </row>
    <row r="104" spans="1:19" ht="45" hidden="1" x14ac:dyDescent="0.25">
      <c r="A104" s="53" t="s">
        <v>434</v>
      </c>
      <c r="B104" s="53" t="s">
        <v>399</v>
      </c>
      <c r="C104" s="53" t="str">
        <f>VLOOKUP(Tabela2[[#This Row],[OM APOIADA]],Tabela1[[#All],[OM]:[Diretoria Responsável]],3,0)</f>
        <v>DCT</v>
      </c>
      <c r="D104" s="53" t="s">
        <v>627</v>
      </c>
      <c r="E104" s="53" t="s">
        <v>624</v>
      </c>
      <c r="F104" s="53" t="s">
        <v>435</v>
      </c>
      <c r="G104" s="55">
        <v>45832</v>
      </c>
      <c r="H104" s="53"/>
      <c r="I104" s="53" t="s">
        <v>436</v>
      </c>
      <c r="J104" s="55">
        <v>45874</v>
      </c>
      <c r="K104" s="53" t="s">
        <v>58</v>
      </c>
      <c r="L104" s="57"/>
      <c r="M104" s="59"/>
      <c r="N104" s="58"/>
      <c r="O104" s="55">
        <v>45884</v>
      </c>
      <c r="P104" s="58"/>
      <c r="Q104" s="53"/>
      <c r="R104" s="53"/>
      <c r="S104" s="53"/>
    </row>
    <row r="105" spans="1:19" ht="60" hidden="1" x14ac:dyDescent="0.25">
      <c r="A105" s="53" t="s">
        <v>446</v>
      </c>
      <c r="B105" s="53" t="s">
        <v>447</v>
      </c>
      <c r="C105" s="53" t="e">
        <f>VLOOKUP(Tabela2[[#This Row],[OM APOIADA]],Tabela1[[#All],[OM]:[Diretoria Responsável]],3,0)</f>
        <v>#N/A</v>
      </c>
      <c r="D105" s="53" t="s">
        <v>627</v>
      </c>
      <c r="E105" s="53" t="s">
        <v>624</v>
      </c>
      <c r="F105" s="53" t="s">
        <v>448</v>
      </c>
      <c r="G105" s="55">
        <v>45833</v>
      </c>
      <c r="H105" s="53" t="s">
        <v>23</v>
      </c>
      <c r="I105" s="53" t="s">
        <v>449</v>
      </c>
      <c r="J105" s="55">
        <v>45843</v>
      </c>
      <c r="K105" s="53" t="s">
        <v>418</v>
      </c>
      <c r="L105" s="53"/>
      <c r="M105" s="55">
        <v>45846</v>
      </c>
      <c r="N105" s="53" t="s">
        <v>450</v>
      </c>
      <c r="O105" s="55">
        <v>45846</v>
      </c>
      <c r="P105" s="53" t="s">
        <v>451</v>
      </c>
      <c r="Q105" s="53"/>
      <c r="R105" s="53"/>
      <c r="S105" s="53"/>
    </row>
    <row r="106" spans="1:19" ht="60" hidden="1" x14ac:dyDescent="0.25">
      <c r="A106" s="53" t="s">
        <v>460</v>
      </c>
      <c r="B106" s="53" t="s">
        <v>461</v>
      </c>
      <c r="C106" s="53" t="str">
        <f>VLOOKUP(Tabela2[[#This Row],[OM APOIADA]],Tabela1[[#All],[OM]:[Diretoria Responsável]],3,0)</f>
        <v>DGP</v>
      </c>
      <c r="D106" s="53" t="s">
        <v>627</v>
      </c>
      <c r="E106" s="53" t="s">
        <v>624</v>
      </c>
      <c r="F106" s="53" t="s">
        <v>462</v>
      </c>
      <c r="G106" s="55">
        <v>45847</v>
      </c>
      <c r="H106" s="53" t="s">
        <v>23</v>
      </c>
      <c r="I106" s="53" t="s">
        <v>463</v>
      </c>
      <c r="J106" s="55">
        <v>45847</v>
      </c>
      <c r="K106" s="53" t="s">
        <v>418</v>
      </c>
      <c r="L106" s="53"/>
      <c r="M106" s="55">
        <v>45847</v>
      </c>
      <c r="N106" s="53" t="s">
        <v>462</v>
      </c>
      <c r="O106" s="55">
        <v>6685955</v>
      </c>
      <c r="P106" s="53" t="s">
        <v>464</v>
      </c>
      <c r="Q106" s="53"/>
      <c r="R106" s="53"/>
      <c r="S106" s="53"/>
    </row>
    <row r="107" spans="1:19" ht="150" hidden="1" x14ac:dyDescent="0.25">
      <c r="A107" s="53" t="s">
        <v>469</v>
      </c>
      <c r="B107" s="53" t="s">
        <v>470</v>
      </c>
      <c r="C107" s="53" t="e">
        <f>VLOOKUP(Tabela2[[#This Row],[OM APOIADA]],Tabela1[[#All],[OM]:[Diretoria Responsável]],3,0)</f>
        <v>#N/A</v>
      </c>
      <c r="D107" s="53" t="s">
        <v>627</v>
      </c>
      <c r="E107" s="53" t="s">
        <v>624</v>
      </c>
      <c r="F107" s="53" t="s">
        <v>471</v>
      </c>
      <c r="G107" s="55">
        <v>45852</v>
      </c>
      <c r="H107" s="53" t="s">
        <v>472</v>
      </c>
      <c r="I107" s="53" t="s">
        <v>473</v>
      </c>
      <c r="J107" s="55">
        <v>45862</v>
      </c>
      <c r="K107" s="53" t="s">
        <v>137</v>
      </c>
      <c r="L107" s="53"/>
      <c r="M107" s="55">
        <v>45862</v>
      </c>
      <c r="N107" s="53" t="s">
        <v>23</v>
      </c>
      <c r="O107" s="55">
        <v>45862</v>
      </c>
      <c r="P107" s="53" t="s">
        <v>474</v>
      </c>
      <c r="Q107" s="53"/>
      <c r="R107" s="53"/>
      <c r="S107" s="53"/>
    </row>
    <row r="108" spans="1:19" ht="90" hidden="1" x14ac:dyDescent="0.25">
      <c r="A108" s="53" t="s">
        <v>479</v>
      </c>
      <c r="B108" s="53" t="s">
        <v>480</v>
      </c>
      <c r="C108" s="53" t="str">
        <f>VLOOKUP(Tabela2[[#This Row],[OM APOIADA]],Tabela1[[#All],[OM]:[Diretoria Responsável]],3,0)</f>
        <v>DECEx</v>
      </c>
      <c r="D108" s="53" t="s">
        <v>627</v>
      </c>
      <c r="E108" s="53" t="s">
        <v>624</v>
      </c>
      <c r="F108" s="53" t="s">
        <v>481</v>
      </c>
      <c r="G108" s="55">
        <v>45868</v>
      </c>
      <c r="H108" s="53" t="s">
        <v>23</v>
      </c>
      <c r="I108" s="53" t="s">
        <v>482</v>
      </c>
      <c r="J108" s="55">
        <v>45882</v>
      </c>
      <c r="K108" s="53" t="s">
        <v>137</v>
      </c>
      <c r="L108" s="53"/>
      <c r="M108" s="55">
        <v>45884</v>
      </c>
      <c r="N108" s="53" t="s">
        <v>483</v>
      </c>
      <c r="O108" s="55">
        <v>45884</v>
      </c>
      <c r="P108" s="53" t="s">
        <v>484</v>
      </c>
      <c r="Q108" s="53"/>
      <c r="R108" s="53"/>
      <c r="S108" s="53"/>
    </row>
    <row r="109" spans="1:19" ht="90" hidden="1" x14ac:dyDescent="0.25">
      <c r="A109" s="53" t="s">
        <v>497</v>
      </c>
      <c r="B109" s="53" t="s">
        <v>498</v>
      </c>
      <c r="C109" s="53" t="str">
        <f>VLOOKUP(Tabela2[[#This Row],[OM APOIADA]],Tabela1[[#All],[OM]:[Diretoria Responsável]],3,0)</f>
        <v>DECEx</v>
      </c>
      <c r="D109" s="53" t="s">
        <v>627</v>
      </c>
      <c r="E109" s="53" t="s">
        <v>624</v>
      </c>
      <c r="F109" s="53" t="s">
        <v>499</v>
      </c>
      <c r="G109" s="55">
        <v>45889</v>
      </c>
      <c r="H109" s="53"/>
      <c r="I109" s="53" t="s">
        <v>500</v>
      </c>
      <c r="J109" s="55">
        <v>45901</v>
      </c>
      <c r="K109" s="53" t="s">
        <v>58</v>
      </c>
      <c r="L109" s="53"/>
      <c r="M109" s="55">
        <v>45903</v>
      </c>
      <c r="N109" s="58"/>
      <c r="O109" s="55">
        <v>45903</v>
      </c>
      <c r="P109" s="58"/>
      <c r="Q109" s="53"/>
      <c r="R109" s="53"/>
      <c r="S109" s="53"/>
    </row>
    <row r="110" spans="1:19" ht="15.75" customHeight="1" x14ac:dyDescent="0.25">
      <c r="A110" s="50"/>
      <c r="B110" s="50"/>
      <c r="C110" s="50"/>
      <c r="D110" s="50"/>
      <c r="E110" s="50"/>
      <c r="F110" s="50"/>
      <c r="G110" s="51"/>
      <c r="H110" s="50"/>
      <c r="I110" s="50"/>
      <c r="J110" s="51"/>
      <c r="K110" s="50"/>
      <c r="L110" s="50"/>
      <c r="M110" s="51"/>
      <c r="N110" s="50"/>
      <c r="O110" s="51"/>
      <c r="P110" s="50"/>
      <c r="Q110" s="52"/>
    </row>
    <row r="111" spans="1:19" ht="15.75" customHeight="1" x14ac:dyDescent="0.25">
      <c r="A111" s="7"/>
      <c r="B111" s="7"/>
      <c r="C111" s="7"/>
      <c r="D111" s="7"/>
      <c r="E111" s="7"/>
      <c r="F111" s="7"/>
      <c r="G111" s="9"/>
      <c r="H111" s="7"/>
      <c r="I111" s="7"/>
      <c r="J111" s="9"/>
      <c r="K111" s="7"/>
      <c r="L111" s="7"/>
      <c r="M111" s="9"/>
      <c r="N111" s="7"/>
      <c r="O111" s="9"/>
      <c r="P111" s="7"/>
      <c r="Q111" s="6"/>
    </row>
    <row r="112" spans="1:19" ht="15.75" customHeight="1" x14ac:dyDescent="0.25">
      <c r="A112" s="7"/>
      <c r="B112" s="7"/>
      <c r="C112" s="7"/>
      <c r="D112" s="7"/>
      <c r="E112" s="7"/>
      <c r="F112" s="7"/>
      <c r="G112" s="9"/>
      <c r="H112" s="7"/>
      <c r="I112" s="7"/>
      <c r="J112" s="9"/>
      <c r="K112" s="7"/>
      <c r="L112" s="7"/>
      <c r="M112" s="9"/>
      <c r="N112" s="7"/>
      <c r="O112" s="9"/>
      <c r="P112" s="7"/>
      <c r="Q112" s="6"/>
    </row>
    <row r="113" spans="2:6" ht="15.75" customHeight="1" x14ac:dyDescent="0.25"/>
    <row r="114" spans="2:6" ht="15.75" customHeight="1" x14ac:dyDescent="0.25">
      <c r="B114" s="12" t="s">
        <v>508</v>
      </c>
      <c r="C114" s="12"/>
      <c r="D114" s="12"/>
      <c r="E114" s="12"/>
    </row>
    <row r="115" spans="2:6" ht="15.75" customHeight="1" x14ac:dyDescent="0.25">
      <c r="B115" s="13"/>
      <c r="C115" s="33"/>
      <c r="D115" s="33"/>
      <c r="E115" s="33"/>
      <c r="F115" s="14" t="s">
        <v>509</v>
      </c>
    </row>
    <row r="116" spans="2:6" ht="15.75" customHeight="1" x14ac:dyDescent="0.25">
      <c r="B116" s="15"/>
      <c r="C116" s="34"/>
      <c r="D116" s="34"/>
      <c r="E116" s="34"/>
      <c r="F116" s="14" t="s">
        <v>510</v>
      </c>
    </row>
    <row r="117" spans="2:6" ht="15.75" customHeight="1" x14ac:dyDescent="0.25">
      <c r="B117" s="16"/>
      <c r="C117" s="35"/>
      <c r="D117" s="35"/>
      <c r="E117" s="35"/>
      <c r="F117" s="14" t="s">
        <v>511</v>
      </c>
    </row>
    <row r="118" spans="2:6" ht="15.75" customHeight="1" x14ac:dyDescent="0.25">
      <c r="B118" s="17"/>
      <c r="C118" s="36"/>
      <c r="D118" s="36"/>
      <c r="E118" s="36"/>
      <c r="F118" s="14" t="s">
        <v>512</v>
      </c>
    </row>
    <row r="119" spans="2:6" ht="15.75" customHeight="1" x14ac:dyDescent="0.25">
      <c r="B119" s="18"/>
      <c r="C119" s="37"/>
      <c r="D119" s="37"/>
      <c r="E119" s="37"/>
      <c r="F119" s="14" t="s">
        <v>513</v>
      </c>
    </row>
    <row r="120" spans="2:6" ht="15.75" customHeight="1" x14ac:dyDescent="0.25">
      <c r="B120" s="19"/>
      <c r="C120" s="38"/>
      <c r="D120" s="38"/>
      <c r="E120" s="38"/>
      <c r="F120" s="14" t="s">
        <v>514</v>
      </c>
    </row>
    <row r="121" spans="2:6" ht="15.75" customHeight="1" x14ac:dyDescent="0.25"/>
    <row r="122" spans="2:6" ht="15.75" customHeight="1" x14ac:dyDescent="0.25"/>
    <row r="123" spans="2:6" ht="15.75" customHeight="1" x14ac:dyDescent="0.25"/>
    <row r="124" spans="2:6" ht="15.75" customHeight="1" x14ac:dyDescent="0.25"/>
    <row r="125" spans="2:6" ht="15.75" customHeight="1" x14ac:dyDescent="0.25"/>
    <row r="126" spans="2:6" ht="15.75" customHeight="1" x14ac:dyDescent="0.25"/>
    <row r="127" spans="2:6" ht="15.75" customHeight="1" x14ac:dyDescent="0.25"/>
    <row r="128" spans="2:6"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sheetData>
  <conditionalFormatting sqref="E1:E1048576">
    <cfRule type="cellIs" dxfId="11" priority="3" operator="equal">
      <formula>"Atendida/ Em Execução"</formula>
    </cfRule>
    <cfRule type="cellIs" dxfId="10" priority="4" operator="equal">
      <formula>"Não Atendida"</formula>
    </cfRule>
    <cfRule type="cellIs" dxfId="9" priority="5" operator="equal">
      <formula>"Não correspondente - Solicitar Apoio"</formula>
    </cfRule>
    <cfRule type="cellIs" dxfId="8" priority="7" operator="equal">
      <formula>"Finalizada"</formula>
    </cfRule>
  </conditionalFormatting>
  <conditionalFormatting sqref="D1:D1048576">
    <cfRule type="cellIs" dxfId="7" priority="1" operator="equal">
      <formula>"Prioridade"</formula>
    </cfRule>
    <cfRule type="cellIs" dxfId="6" priority="2" operator="equal">
      <formula>"Não Prioridade"</formula>
    </cfRule>
  </conditionalFormatting>
  <pageMargins left="0.39370078740157477" right="0.39370078740157477" top="0.59055118110236215" bottom="0.59055118110236215" header="0" footer="0"/>
  <pageSetup paperSize="9" orientation="landscape" r:id="rId1"/>
  <colBreaks count="1" manualBreakCount="1">
    <brk id="16"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6" operator="equal" id="{5AB84720-56FB-46F3-9725-D906D7674058}">
            <xm:f>Validacao_de_Dados!$G$6</xm:f>
            <x14:dxf>
              <font>
                <color auto="1"/>
              </font>
              <fill>
                <patternFill>
                  <fgColor rgb="FFD9EAD3"/>
                </patternFill>
              </fill>
            </x14:dxf>
          </x14:cfRule>
          <xm:sqref>E1:E1048576</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Validacao_de_Dados!$G$4:$G$9</xm:f>
          </x14:formula1>
          <xm:sqref>E2:E109</xm:sqref>
        </x14:dataValidation>
        <x14:dataValidation type="list" allowBlank="1" showInputMessage="1" showErrorMessage="1">
          <x14:formula1>
            <xm:f>Validacao_de_Dados!$J$4:$J$5</xm:f>
          </x14:formula1>
          <xm:sqref>D2:D109</xm:sqref>
        </x14:dataValidation>
        <x14:dataValidation type="list" allowBlank="1" showInputMessage="1" showErrorMessage="1">
          <x14:formula1>
            <xm:f>Validacao_de_Dados!$B$4:$B$58</xm:f>
          </x14:formula1>
          <xm:sqref>B2:B109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61"/>
  <sheetViews>
    <sheetView topLeftCell="A57" workbookViewId="0">
      <selection activeCell="A57" sqref="A57"/>
    </sheetView>
  </sheetViews>
  <sheetFormatPr defaultColWidth="14.42578125" defaultRowHeight="15" customHeight="1" x14ac:dyDescent="0.25"/>
  <cols>
    <col min="2" max="2" width="9.85546875" customWidth="1"/>
    <col min="3" max="3" width="34.42578125" customWidth="1"/>
    <col min="4" max="4" width="41.5703125" customWidth="1"/>
    <col min="5" max="5" width="38.85546875" customWidth="1"/>
    <col min="6" max="6" width="23" customWidth="1"/>
  </cols>
  <sheetData>
    <row r="1" spans="1:6" x14ac:dyDescent="0.25">
      <c r="A1" s="102" t="s">
        <v>652</v>
      </c>
      <c r="C1" s="20" t="s">
        <v>515</v>
      </c>
      <c r="D1" s="20" t="s">
        <v>516</v>
      </c>
      <c r="E1" s="20" t="s">
        <v>517</v>
      </c>
      <c r="F1" s="20" t="s">
        <v>518</v>
      </c>
    </row>
    <row r="2" spans="1:6" x14ac:dyDescent="0.25">
      <c r="C2" s="21">
        <f t="shared" ref="C2:E2" si="0">COUNTA(C4:C57)</f>
        <v>14</v>
      </c>
      <c r="D2" s="21">
        <f t="shared" si="0"/>
        <v>2</v>
      </c>
      <c r="E2" s="21">
        <f t="shared" si="0"/>
        <v>54</v>
      </c>
      <c r="F2" s="21">
        <f>C2+D2+E2</f>
        <v>70</v>
      </c>
    </row>
    <row r="3" spans="1:6" x14ac:dyDescent="0.25">
      <c r="C3" s="2" t="s">
        <v>519</v>
      </c>
      <c r="D3" s="2" t="s">
        <v>520</v>
      </c>
      <c r="E3" s="1" t="s">
        <v>511</v>
      </c>
    </row>
    <row r="4" spans="1:6" ht="45" x14ac:dyDescent="0.25">
      <c r="C4" s="10" t="s">
        <v>194</v>
      </c>
      <c r="D4" s="11" t="s">
        <v>452</v>
      </c>
      <c r="E4" s="4" t="s">
        <v>16</v>
      </c>
    </row>
    <row r="5" spans="1:6" ht="60" x14ac:dyDescent="0.25">
      <c r="C5" s="10" t="s">
        <v>219</v>
      </c>
      <c r="D5" s="11" t="s">
        <v>485</v>
      </c>
      <c r="E5" s="5" t="s">
        <v>25</v>
      </c>
    </row>
    <row r="6" spans="1:6" ht="30" x14ac:dyDescent="0.25">
      <c r="C6" s="10" t="s">
        <v>456</v>
      </c>
      <c r="D6" s="7"/>
      <c r="E6" s="5" t="s">
        <v>34</v>
      </c>
    </row>
    <row r="7" spans="1:6" ht="75" x14ac:dyDescent="0.25">
      <c r="C7" s="10" t="s">
        <v>430</v>
      </c>
      <c r="D7" s="7"/>
      <c r="E7" s="5" t="s">
        <v>521</v>
      </c>
    </row>
    <row r="8" spans="1:6" ht="75" x14ac:dyDescent="0.25">
      <c r="C8" s="10" t="s">
        <v>421</v>
      </c>
      <c r="D8" s="7"/>
      <c r="E8" s="5" t="s">
        <v>522</v>
      </c>
    </row>
    <row r="9" spans="1:6" ht="45" x14ac:dyDescent="0.25">
      <c r="C9" s="10" t="s">
        <v>437</v>
      </c>
      <c r="D9" s="7"/>
      <c r="E9" s="5" t="s">
        <v>54</v>
      </c>
    </row>
    <row r="10" spans="1:6" ht="30" x14ac:dyDescent="0.25">
      <c r="C10" s="10" t="s">
        <v>489</v>
      </c>
      <c r="D10" s="7"/>
      <c r="E10" s="5" t="s">
        <v>59</v>
      </c>
    </row>
    <row r="11" spans="1:6" ht="54.75" customHeight="1" x14ac:dyDescent="0.25">
      <c r="C11" s="10" t="s">
        <v>465</v>
      </c>
      <c r="D11" s="7"/>
      <c r="E11" s="5" t="s">
        <v>66</v>
      </c>
    </row>
    <row r="12" spans="1:6" ht="45" x14ac:dyDescent="0.25">
      <c r="C12" s="10" t="s">
        <v>523</v>
      </c>
      <c r="D12" s="7"/>
      <c r="E12" s="5" t="s">
        <v>78</v>
      </c>
    </row>
    <row r="13" spans="1:6" ht="60" x14ac:dyDescent="0.25">
      <c r="C13" s="10" t="s">
        <v>492</v>
      </c>
      <c r="D13" s="7"/>
      <c r="E13" s="5" t="s">
        <v>134</v>
      </c>
    </row>
    <row r="14" spans="1:6" ht="60" x14ac:dyDescent="0.25">
      <c r="C14" s="10" t="s">
        <v>494</v>
      </c>
      <c r="D14" s="7"/>
      <c r="E14" s="5" t="s">
        <v>94</v>
      </c>
    </row>
    <row r="15" spans="1:6" ht="45" x14ac:dyDescent="0.25">
      <c r="C15" s="10" t="s">
        <v>495</v>
      </c>
      <c r="D15" s="7"/>
      <c r="E15" s="5" t="s">
        <v>119</v>
      </c>
    </row>
    <row r="16" spans="1:6" ht="45" x14ac:dyDescent="0.25">
      <c r="C16" s="10" t="s">
        <v>501</v>
      </c>
      <c r="D16" s="7"/>
      <c r="E16" s="5" t="s">
        <v>126</v>
      </c>
    </row>
    <row r="17" spans="3:5" ht="45" x14ac:dyDescent="0.25">
      <c r="C17" s="10" t="s">
        <v>504</v>
      </c>
      <c r="D17" s="7"/>
      <c r="E17" s="5" t="s">
        <v>131</v>
      </c>
    </row>
    <row r="18" spans="3:5" ht="30" x14ac:dyDescent="0.25">
      <c r="C18" s="7"/>
      <c r="D18" s="7"/>
      <c r="E18" s="5" t="s">
        <v>153</v>
      </c>
    </row>
    <row r="19" spans="3:5" ht="45" x14ac:dyDescent="0.25">
      <c r="C19" s="7"/>
      <c r="D19" s="7"/>
      <c r="E19" s="5" t="s">
        <v>160</v>
      </c>
    </row>
    <row r="20" spans="3:5" ht="30" x14ac:dyDescent="0.25">
      <c r="C20" s="7"/>
      <c r="D20" s="7"/>
      <c r="E20" s="5" t="s">
        <v>164</v>
      </c>
    </row>
    <row r="21" spans="3:5" ht="30" x14ac:dyDescent="0.25">
      <c r="C21" s="7"/>
      <c r="D21" s="7"/>
      <c r="E21" s="5" t="s">
        <v>169</v>
      </c>
    </row>
    <row r="22" spans="3:5" ht="45" x14ac:dyDescent="0.25">
      <c r="C22" s="7"/>
      <c r="D22" s="7"/>
      <c r="E22" s="5" t="s">
        <v>174</v>
      </c>
    </row>
    <row r="23" spans="3:5" x14ac:dyDescent="0.25">
      <c r="C23" s="7"/>
      <c r="D23" s="7"/>
      <c r="E23" s="5" t="s">
        <v>196</v>
      </c>
    </row>
    <row r="24" spans="3:5" ht="30" x14ac:dyDescent="0.25">
      <c r="C24" s="7"/>
      <c r="D24" s="7"/>
      <c r="E24" s="5" t="s">
        <v>223</v>
      </c>
    </row>
    <row r="25" spans="3:5" x14ac:dyDescent="0.25">
      <c r="C25" s="7"/>
      <c r="D25" s="7"/>
      <c r="E25" s="5" t="s">
        <v>344</v>
      </c>
    </row>
    <row r="26" spans="3:5" x14ac:dyDescent="0.25">
      <c r="C26" s="7"/>
      <c r="D26" s="7"/>
      <c r="E26" s="5" t="s">
        <v>524</v>
      </c>
    </row>
    <row r="27" spans="3:5" ht="45" x14ac:dyDescent="0.25">
      <c r="C27" s="7"/>
      <c r="D27" s="7"/>
      <c r="E27" s="5" t="s">
        <v>101</v>
      </c>
    </row>
    <row r="28" spans="3:5" ht="30" x14ac:dyDescent="0.25">
      <c r="C28" s="7"/>
      <c r="D28" s="7"/>
      <c r="E28" s="5" t="s">
        <v>201</v>
      </c>
    </row>
    <row r="29" spans="3:5" ht="30" x14ac:dyDescent="0.25">
      <c r="C29" s="7"/>
      <c r="D29" s="7"/>
      <c r="E29" s="5" t="s">
        <v>108</v>
      </c>
    </row>
    <row r="30" spans="3:5" ht="30" x14ac:dyDescent="0.25">
      <c r="C30" s="7"/>
      <c r="D30" s="7"/>
      <c r="E30" s="5" t="s">
        <v>212</v>
      </c>
    </row>
    <row r="31" spans="3:5" ht="45" x14ac:dyDescent="0.25">
      <c r="C31" s="7"/>
      <c r="D31" s="7"/>
      <c r="E31" s="5" t="s">
        <v>85</v>
      </c>
    </row>
    <row r="32" spans="3:5" ht="45" x14ac:dyDescent="0.25">
      <c r="C32" s="7"/>
      <c r="D32" s="7"/>
      <c r="E32" s="5" t="s">
        <v>149</v>
      </c>
    </row>
    <row r="33" spans="3:5" ht="45" x14ac:dyDescent="0.25">
      <c r="C33" s="7"/>
      <c r="D33" s="7"/>
      <c r="E33" s="5" t="s">
        <v>70</v>
      </c>
    </row>
    <row r="34" spans="3:5" ht="30" x14ac:dyDescent="0.25">
      <c r="C34" s="7"/>
      <c r="D34" s="7"/>
      <c r="E34" s="5" t="s">
        <v>372</v>
      </c>
    </row>
    <row r="35" spans="3:5" ht="30" x14ac:dyDescent="0.25">
      <c r="C35" s="7"/>
      <c r="D35" s="7"/>
      <c r="E35" s="5" t="s">
        <v>525</v>
      </c>
    </row>
    <row r="36" spans="3:5" ht="30" x14ac:dyDescent="0.25">
      <c r="C36" s="7"/>
      <c r="D36" s="7"/>
      <c r="E36" s="5" t="s">
        <v>347</v>
      </c>
    </row>
    <row r="37" spans="3:5" ht="45" x14ac:dyDescent="0.25">
      <c r="C37" s="7"/>
      <c r="D37" s="7"/>
      <c r="E37" s="5" t="s">
        <v>402</v>
      </c>
    </row>
    <row r="38" spans="3:5" ht="30" x14ac:dyDescent="0.25">
      <c r="C38" s="7"/>
      <c r="D38" s="7"/>
      <c r="E38" s="5" t="s">
        <v>414</v>
      </c>
    </row>
    <row r="39" spans="3:5" x14ac:dyDescent="0.25">
      <c r="C39" s="7"/>
      <c r="D39" s="7"/>
      <c r="E39" s="8" t="s">
        <v>526</v>
      </c>
    </row>
    <row r="40" spans="3:5" x14ac:dyDescent="0.25">
      <c r="C40" s="7"/>
      <c r="D40" s="7"/>
      <c r="E40" s="8" t="s">
        <v>527</v>
      </c>
    </row>
    <row r="41" spans="3:5" x14ac:dyDescent="0.25">
      <c r="C41" s="7"/>
      <c r="D41" s="7"/>
      <c r="E41" s="8" t="s">
        <v>383</v>
      </c>
    </row>
    <row r="42" spans="3:5" x14ac:dyDescent="0.25">
      <c r="C42" s="7"/>
      <c r="D42" s="7"/>
      <c r="E42" s="5" t="s">
        <v>205</v>
      </c>
    </row>
    <row r="43" spans="3:5" ht="45" x14ac:dyDescent="0.25">
      <c r="C43" s="7"/>
      <c r="D43" s="7"/>
      <c r="E43" s="8" t="s">
        <v>187</v>
      </c>
    </row>
    <row r="44" spans="3:5" ht="45" x14ac:dyDescent="0.25">
      <c r="C44" s="7"/>
      <c r="D44" s="7"/>
      <c r="E44" s="5" t="s">
        <v>143</v>
      </c>
    </row>
    <row r="45" spans="3:5" x14ac:dyDescent="0.25">
      <c r="C45" s="7"/>
      <c r="D45" s="7"/>
      <c r="E45" s="5" t="s">
        <v>528</v>
      </c>
    </row>
    <row r="46" spans="3:5" ht="45" x14ac:dyDescent="0.25">
      <c r="C46" s="7"/>
      <c r="D46" s="7"/>
      <c r="E46" s="5" t="s">
        <v>231</v>
      </c>
    </row>
    <row r="47" spans="3:5" ht="45" x14ac:dyDescent="0.25">
      <c r="C47" s="7"/>
      <c r="D47" s="7"/>
      <c r="E47" s="5" t="s">
        <v>174</v>
      </c>
    </row>
    <row r="48" spans="3:5" ht="30" x14ac:dyDescent="0.25">
      <c r="C48" s="7"/>
      <c r="D48" s="7"/>
      <c r="E48" s="5" t="s">
        <v>365</v>
      </c>
    </row>
    <row r="49" spans="3:5" x14ac:dyDescent="0.25">
      <c r="C49" s="7"/>
      <c r="D49" s="7"/>
      <c r="E49" s="5" t="s">
        <v>446</v>
      </c>
    </row>
    <row r="50" spans="3:5" ht="45" x14ac:dyDescent="0.25">
      <c r="C50" s="7"/>
      <c r="D50" s="7"/>
      <c r="E50" s="5" t="s">
        <v>460</v>
      </c>
    </row>
    <row r="51" spans="3:5" ht="60" x14ac:dyDescent="0.25">
      <c r="C51" s="7"/>
      <c r="D51" s="7"/>
      <c r="E51" s="5" t="s">
        <v>440</v>
      </c>
    </row>
    <row r="52" spans="3:5" ht="30" x14ac:dyDescent="0.25">
      <c r="C52" s="7"/>
      <c r="D52" s="7"/>
      <c r="E52" s="5" t="s">
        <v>469</v>
      </c>
    </row>
    <row r="53" spans="3:5" ht="30" x14ac:dyDescent="0.25">
      <c r="C53" s="7"/>
      <c r="D53" s="7"/>
      <c r="E53" s="5" t="s">
        <v>434</v>
      </c>
    </row>
    <row r="54" spans="3:5" ht="30" x14ac:dyDescent="0.25">
      <c r="C54" s="7"/>
      <c r="D54" s="7"/>
      <c r="E54" s="5" t="s">
        <v>398</v>
      </c>
    </row>
    <row r="55" spans="3:5" ht="45" x14ac:dyDescent="0.25">
      <c r="C55" s="7"/>
      <c r="D55" s="7"/>
      <c r="E55" s="8" t="s">
        <v>407</v>
      </c>
    </row>
    <row r="56" spans="3:5" ht="30" x14ac:dyDescent="0.25">
      <c r="C56" s="7"/>
      <c r="D56" s="7"/>
      <c r="E56" s="5" t="s">
        <v>529</v>
      </c>
    </row>
    <row r="57" spans="3:5" ht="45" x14ac:dyDescent="0.25">
      <c r="C57" s="7"/>
      <c r="D57" s="7"/>
      <c r="E57" s="5" t="s">
        <v>530</v>
      </c>
    </row>
    <row r="58" spans="3:5" ht="75" x14ac:dyDescent="0.25">
      <c r="C58" s="7"/>
      <c r="D58" s="7"/>
      <c r="E58" s="5" t="s">
        <v>531</v>
      </c>
    </row>
    <row r="59" spans="3:5" x14ac:dyDescent="0.25">
      <c r="C59" s="7"/>
      <c r="D59" s="7"/>
      <c r="E59" s="5" t="s">
        <v>393</v>
      </c>
    </row>
    <row r="60" spans="3:5" ht="60" x14ac:dyDescent="0.25">
      <c r="C60" s="7"/>
      <c r="D60" s="7"/>
      <c r="E60" s="5" t="s">
        <v>479</v>
      </c>
    </row>
    <row r="61" spans="3:5" ht="60" x14ac:dyDescent="0.25">
      <c r="C61" s="7"/>
      <c r="D61" s="7"/>
      <c r="E61" s="5" t="s">
        <v>497</v>
      </c>
    </row>
  </sheetData>
  <printOptions horizontalCentered="1"/>
  <pageMargins left="0.25" right="0.25" top="0.75" bottom="0.75" header="0" footer="0"/>
  <pageSetup paperSize="9" pageOrder="overThenDown" orientation="landscape"/>
  <colBreaks count="2" manualBreakCount="2">
    <brk man="1"/>
    <brk id="6"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E10"/>
  <sheetViews>
    <sheetView workbookViewId="0"/>
  </sheetViews>
  <sheetFormatPr defaultColWidth="14.42578125" defaultRowHeight="15" customHeight="1" x14ac:dyDescent="0.25"/>
  <cols>
    <col min="1" max="1" width="45.140625" customWidth="1"/>
    <col min="2" max="2" width="16.5703125" customWidth="1"/>
    <col min="3" max="3" width="24.28515625" customWidth="1"/>
    <col min="4" max="4" width="16" customWidth="1"/>
    <col min="5" max="5" width="22.7109375" customWidth="1"/>
  </cols>
  <sheetData>
    <row r="1" spans="1:5" x14ac:dyDescent="0.25">
      <c r="A1" s="22" t="s">
        <v>532</v>
      </c>
      <c r="B1" s="22" t="s">
        <v>533</v>
      </c>
      <c r="C1" s="22" t="s">
        <v>534</v>
      </c>
      <c r="D1" s="22" t="s">
        <v>535</v>
      </c>
      <c r="E1" s="22" t="s">
        <v>536</v>
      </c>
    </row>
    <row r="2" spans="1:5" x14ac:dyDescent="0.25">
      <c r="A2" s="23" t="s">
        <v>537</v>
      </c>
      <c r="B2" s="23">
        <v>25041</v>
      </c>
      <c r="C2" s="23">
        <v>202501000373</v>
      </c>
      <c r="D2" s="23">
        <v>20250100037301</v>
      </c>
      <c r="E2" s="24">
        <v>873198.65</v>
      </c>
    </row>
    <row r="3" spans="1:5" x14ac:dyDescent="0.25">
      <c r="A3" s="23" t="s">
        <v>538</v>
      </c>
      <c r="B3" s="23">
        <v>25050</v>
      </c>
      <c r="C3" s="23">
        <v>202501000426</v>
      </c>
      <c r="D3" s="23">
        <v>20250100042602</v>
      </c>
      <c r="E3" s="24">
        <v>425000</v>
      </c>
    </row>
    <row r="4" spans="1:5" x14ac:dyDescent="0.25">
      <c r="A4" s="23" t="s">
        <v>539</v>
      </c>
      <c r="B4" s="23" t="s">
        <v>540</v>
      </c>
      <c r="C4" s="23">
        <v>202401000797</v>
      </c>
      <c r="D4" s="23">
        <v>20240100079701</v>
      </c>
      <c r="E4" s="24">
        <v>776046</v>
      </c>
    </row>
    <row r="5" spans="1:5" x14ac:dyDescent="0.25">
      <c r="A5" s="23" t="s">
        <v>539</v>
      </c>
      <c r="B5" s="23" t="s">
        <v>541</v>
      </c>
      <c r="C5" s="23">
        <v>202401000797</v>
      </c>
      <c r="D5" s="23" t="s">
        <v>23</v>
      </c>
      <c r="E5" s="25" t="s">
        <v>542</v>
      </c>
    </row>
    <row r="6" spans="1:5" x14ac:dyDescent="0.25">
      <c r="A6" s="26" t="s">
        <v>543</v>
      </c>
      <c r="B6" s="26">
        <v>25036</v>
      </c>
      <c r="C6" s="26">
        <v>202501000459</v>
      </c>
      <c r="D6" s="26">
        <v>20250100045901</v>
      </c>
      <c r="E6" s="27" t="s">
        <v>544</v>
      </c>
    </row>
    <row r="7" spans="1:5" x14ac:dyDescent="0.25">
      <c r="A7" s="28"/>
      <c r="B7" s="28"/>
      <c r="C7" s="28"/>
      <c r="D7" s="28"/>
      <c r="E7" s="28"/>
    </row>
    <row r="8" spans="1:5" x14ac:dyDescent="0.25">
      <c r="A8" s="29"/>
      <c r="B8" s="30" t="s">
        <v>545</v>
      </c>
      <c r="C8" s="28"/>
      <c r="D8" s="28"/>
      <c r="E8" s="28"/>
    </row>
    <row r="9" spans="1:5" x14ac:dyDescent="0.25">
      <c r="A9" s="28"/>
      <c r="B9" s="28"/>
      <c r="C9" s="28"/>
      <c r="D9" s="28"/>
      <c r="E9" s="28"/>
    </row>
    <row r="10" spans="1:5" x14ac:dyDescent="0.25">
      <c r="A10" s="28"/>
      <c r="B10" s="28"/>
      <c r="C10" s="28"/>
      <c r="D10" s="28"/>
      <c r="E10" s="28"/>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8"/>
  <sheetViews>
    <sheetView zoomScale="70" zoomScaleNormal="70" workbookViewId="0">
      <selection activeCell="B10" sqref="B10"/>
    </sheetView>
  </sheetViews>
  <sheetFormatPr defaultRowHeight="15" x14ac:dyDescent="0.25"/>
  <cols>
    <col min="2" max="2" width="58.140625" bestFit="1" customWidth="1"/>
    <col min="3" max="3" width="58.140625" customWidth="1"/>
    <col min="4" max="4" width="30.140625" bestFit="1" customWidth="1"/>
    <col min="7" max="7" width="40" bestFit="1" customWidth="1"/>
    <col min="10" max="10" width="25" customWidth="1"/>
    <col min="13" max="13" width="51.85546875" bestFit="1" customWidth="1"/>
    <col min="17" max="18" width="27.140625" bestFit="1" customWidth="1"/>
  </cols>
  <sheetData>
    <row r="3" spans="1:23" ht="15.75" thickBot="1" x14ac:dyDescent="0.3">
      <c r="A3" s="31" t="s">
        <v>547</v>
      </c>
      <c r="B3" s="31" t="s">
        <v>532</v>
      </c>
      <c r="C3" s="31" t="s">
        <v>546</v>
      </c>
      <c r="D3" s="31" t="s">
        <v>548</v>
      </c>
      <c r="G3" t="s">
        <v>550</v>
      </c>
      <c r="J3" t="s">
        <v>551</v>
      </c>
      <c r="M3" s="100" t="s">
        <v>556</v>
      </c>
      <c r="N3" t="s">
        <v>564</v>
      </c>
      <c r="Q3" s="103" t="s">
        <v>552</v>
      </c>
      <c r="R3" s="100" t="s">
        <v>554</v>
      </c>
      <c r="S3" s="103" t="s">
        <v>555</v>
      </c>
      <c r="T3" s="107" t="s">
        <v>553</v>
      </c>
      <c r="U3" s="103" t="s">
        <v>251</v>
      </c>
      <c r="V3" s="107" t="s">
        <v>562</v>
      </c>
      <c r="W3" s="108" t="s">
        <v>549</v>
      </c>
    </row>
    <row r="4" spans="1:23" ht="15.75" thickBot="1" x14ac:dyDescent="0.3">
      <c r="A4" s="32">
        <v>2</v>
      </c>
      <c r="B4" s="31" t="s">
        <v>116</v>
      </c>
      <c r="C4" s="42" t="s">
        <v>599</v>
      </c>
      <c r="D4" s="31" t="s">
        <v>552</v>
      </c>
      <c r="G4" s="93" t="s">
        <v>622</v>
      </c>
      <c r="J4" s="44" t="s">
        <v>626</v>
      </c>
      <c r="M4" s="31" t="s">
        <v>565</v>
      </c>
      <c r="N4" t="s">
        <v>552</v>
      </c>
      <c r="Q4" s="102" t="s">
        <v>394</v>
      </c>
    </row>
    <row r="5" spans="1:23" ht="30.75" thickBot="1" x14ac:dyDescent="0.3">
      <c r="A5" s="32">
        <v>3</v>
      </c>
      <c r="B5" s="31" t="s">
        <v>188</v>
      </c>
      <c r="C5" s="42" t="s">
        <v>576</v>
      </c>
      <c r="D5" s="31" t="s">
        <v>552</v>
      </c>
      <c r="G5" s="93" t="s">
        <v>623</v>
      </c>
      <c r="J5" s="94" t="s">
        <v>627</v>
      </c>
      <c r="M5" s="39" t="s">
        <v>561</v>
      </c>
      <c r="N5" s="31" t="s">
        <v>554</v>
      </c>
    </row>
    <row r="6" spans="1:23" ht="15.75" thickBot="1" x14ac:dyDescent="0.3">
      <c r="A6" s="32">
        <v>4</v>
      </c>
      <c r="B6" s="40" t="s">
        <v>604</v>
      </c>
      <c r="C6" s="42" t="s">
        <v>577</v>
      </c>
      <c r="D6" s="31" t="s">
        <v>552</v>
      </c>
      <c r="G6" s="93" t="s">
        <v>624</v>
      </c>
      <c r="M6" s="31" t="s">
        <v>560</v>
      </c>
      <c r="N6" t="s">
        <v>555</v>
      </c>
    </row>
    <row r="7" spans="1:23" ht="15.75" thickBot="1" x14ac:dyDescent="0.3">
      <c r="A7" s="32">
        <v>5</v>
      </c>
      <c r="B7" s="40" t="s">
        <v>165</v>
      </c>
      <c r="C7" s="42" t="s">
        <v>220</v>
      </c>
      <c r="D7" s="31" t="s">
        <v>552</v>
      </c>
      <c r="G7" s="93" t="s">
        <v>625</v>
      </c>
      <c r="M7" s="31" t="s">
        <v>558</v>
      </c>
      <c r="N7" t="s">
        <v>553</v>
      </c>
    </row>
    <row r="8" spans="1:23" ht="15.75" thickBot="1" x14ac:dyDescent="0.3">
      <c r="A8" s="32">
        <v>6</v>
      </c>
      <c r="B8" s="31" t="s">
        <v>394</v>
      </c>
      <c r="C8" s="42" t="s">
        <v>610</v>
      </c>
      <c r="D8" s="31" t="s">
        <v>552</v>
      </c>
      <c r="M8" s="31" t="s">
        <v>557</v>
      </c>
      <c r="N8" t="s">
        <v>251</v>
      </c>
    </row>
    <row r="9" spans="1:23" s="31" customFormat="1" ht="15.75" thickBot="1" x14ac:dyDescent="0.3">
      <c r="A9" s="32">
        <v>7</v>
      </c>
      <c r="B9" s="31" t="s">
        <v>476</v>
      </c>
      <c r="C9" s="42" t="s">
        <v>577</v>
      </c>
      <c r="D9" s="31" t="s">
        <v>552</v>
      </c>
      <c r="M9" s="39" t="s">
        <v>563</v>
      </c>
      <c r="N9" t="s">
        <v>562</v>
      </c>
    </row>
    <row r="10" spans="1:23" ht="15.75" thickBot="1" x14ac:dyDescent="0.3">
      <c r="A10" s="32">
        <v>1</v>
      </c>
      <c r="B10" s="31" t="s">
        <v>441</v>
      </c>
      <c r="C10" s="42" t="s">
        <v>588</v>
      </c>
      <c r="D10" s="100" t="s">
        <v>554</v>
      </c>
      <c r="M10" s="31" t="s">
        <v>559</v>
      </c>
      <c r="N10" t="s">
        <v>549</v>
      </c>
    </row>
    <row r="11" spans="1:23" ht="15.75" thickBot="1" x14ac:dyDescent="0.3">
      <c r="A11" s="32">
        <v>8</v>
      </c>
      <c r="B11" s="31" t="s">
        <v>26</v>
      </c>
      <c r="C11" s="42" t="s">
        <v>567</v>
      </c>
      <c r="D11" s="31" t="s">
        <v>554</v>
      </c>
    </row>
    <row r="12" spans="1:23" ht="15.75" thickBot="1" x14ac:dyDescent="0.3">
      <c r="A12" s="32">
        <v>9</v>
      </c>
      <c r="B12" s="31" t="s">
        <v>43</v>
      </c>
      <c r="C12" s="42" t="s">
        <v>598</v>
      </c>
      <c r="D12" s="31" t="s">
        <v>554</v>
      </c>
    </row>
    <row r="13" spans="1:23" ht="15.75" thickBot="1" x14ac:dyDescent="0.3">
      <c r="A13" s="32">
        <v>10</v>
      </c>
      <c r="B13" s="40" t="s">
        <v>605</v>
      </c>
      <c r="C13" s="42" t="s">
        <v>570</v>
      </c>
      <c r="D13" s="31" t="s">
        <v>554</v>
      </c>
    </row>
    <row r="14" spans="1:23" ht="15.75" thickBot="1" x14ac:dyDescent="0.3">
      <c r="A14" s="32">
        <v>11</v>
      </c>
      <c r="B14" s="31" t="s">
        <v>86</v>
      </c>
      <c r="C14" s="42" t="s">
        <v>571</v>
      </c>
      <c r="D14" s="31" t="s">
        <v>554</v>
      </c>
    </row>
    <row r="15" spans="1:23" ht="15.75" thickBot="1" x14ac:dyDescent="0.3">
      <c r="A15" s="32">
        <v>12</v>
      </c>
      <c r="B15" s="31" t="s">
        <v>120</v>
      </c>
      <c r="C15" s="42" t="s">
        <v>621</v>
      </c>
      <c r="D15" s="31" t="s">
        <v>554</v>
      </c>
    </row>
    <row r="16" spans="1:23" ht="26.25" thickBot="1" x14ac:dyDescent="0.3">
      <c r="A16" s="32">
        <v>13</v>
      </c>
      <c r="B16" s="31" t="s">
        <v>154</v>
      </c>
      <c r="C16" s="42" t="s">
        <v>573</v>
      </c>
      <c r="D16" s="31" t="s">
        <v>554</v>
      </c>
    </row>
    <row r="17" spans="1:4" ht="15.75" thickBot="1" x14ac:dyDescent="0.3">
      <c r="A17" s="32">
        <v>14</v>
      </c>
      <c r="B17" s="40" t="s">
        <v>26</v>
      </c>
      <c r="C17" s="42" t="s">
        <v>567</v>
      </c>
      <c r="D17" s="31" t="s">
        <v>554</v>
      </c>
    </row>
    <row r="18" spans="1:4" ht="15.75" thickBot="1" x14ac:dyDescent="0.3">
      <c r="A18" s="32">
        <v>15</v>
      </c>
      <c r="B18" s="31" t="s">
        <v>206</v>
      </c>
      <c r="C18" s="42" t="s">
        <v>579</v>
      </c>
      <c r="D18" s="31" t="s">
        <v>554</v>
      </c>
    </row>
    <row r="19" spans="1:4" ht="15.75" thickBot="1" x14ac:dyDescent="0.3">
      <c r="A19" s="32">
        <v>16</v>
      </c>
      <c r="B19" s="40" t="s">
        <v>601</v>
      </c>
      <c r="C19" s="42" t="s">
        <v>232</v>
      </c>
      <c r="D19" s="31" t="s">
        <v>554</v>
      </c>
    </row>
    <row r="20" spans="1:4" ht="15.75" thickBot="1" x14ac:dyDescent="0.3">
      <c r="A20" s="32">
        <v>17</v>
      </c>
      <c r="B20" s="31" t="s">
        <v>348</v>
      </c>
      <c r="C20" s="42" t="s">
        <v>606</v>
      </c>
      <c r="D20" s="31" t="s">
        <v>554</v>
      </c>
    </row>
    <row r="21" spans="1:4" ht="15.75" thickBot="1" x14ac:dyDescent="0.3">
      <c r="A21" s="32">
        <v>18</v>
      </c>
      <c r="B21" s="40" t="s">
        <v>609</v>
      </c>
      <c r="C21" s="42" t="s">
        <v>608</v>
      </c>
      <c r="D21" s="31" t="s">
        <v>554</v>
      </c>
    </row>
    <row r="22" spans="1:4" ht="15.75" thickBot="1" x14ac:dyDescent="0.3">
      <c r="A22" s="32">
        <v>19</v>
      </c>
      <c r="B22" s="31" t="s">
        <v>377</v>
      </c>
      <c r="C22" s="42" t="s">
        <v>585</v>
      </c>
      <c r="D22" s="31" t="s">
        <v>554</v>
      </c>
    </row>
    <row r="23" spans="1:4" ht="15.75" thickBot="1" x14ac:dyDescent="0.3">
      <c r="A23" s="32">
        <v>20</v>
      </c>
      <c r="B23" s="31" t="s">
        <v>403</v>
      </c>
      <c r="C23" s="42" t="s">
        <v>594</v>
      </c>
      <c r="D23" s="31" t="s">
        <v>554</v>
      </c>
    </row>
    <row r="24" spans="1:4" ht="15.75" thickBot="1" x14ac:dyDescent="0.3">
      <c r="A24" s="32">
        <v>21</v>
      </c>
      <c r="B24" s="31" t="s">
        <v>408</v>
      </c>
      <c r="C24" s="42" t="s">
        <v>586</v>
      </c>
      <c r="D24" s="31" t="s">
        <v>554</v>
      </c>
    </row>
    <row r="25" spans="1:4" ht="15.75" thickBot="1" x14ac:dyDescent="0.3">
      <c r="A25" s="32">
        <v>22</v>
      </c>
      <c r="B25" s="40" t="s">
        <v>613</v>
      </c>
      <c r="C25" s="42" t="s">
        <v>422</v>
      </c>
      <c r="D25" s="31" t="s">
        <v>554</v>
      </c>
    </row>
    <row r="26" spans="1:4" ht="15.75" thickBot="1" x14ac:dyDescent="0.3">
      <c r="A26" s="32">
        <v>23</v>
      </c>
      <c r="B26" s="40" t="s">
        <v>620</v>
      </c>
      <c r="C26" s="43" t="s">
        <v>595</v>
      </c>
      <c r="D26" s="31" t="s">
        <v>554</v>
      </c>
    </row>
    <row r="27" spans="1:4" ht="15.75" thickBot="1" x14ac:dyDescent="0.3">
      <c r="A27" s="32">
        <v>24</v>
      </c>
      <c r="B27" s="40" t="s">
        <v>615</v>
      </c>
      <c r="C27" s="42" t="s">
        <v>616</v>
      </c>
      <c r="D27" s="31" t="s">
        <v>554</v>
      </c>
    </row>
    <row r="28" spans="1:4" ht="15.75" thickBot="1" x14ac:dyDescent="0.3">
      <c r="A28" s="32">
        <v>25</v>
      </c>
      <c r="B28" s="31" t="s">
        <v>505</v>
      </c>
      <c r="C28" s="42" t="s">
        <v>597</v>
      </c>
      <c r="D28" s="31" t="s">
        <v>554</v>
      </c>
    </row>
    <row r="29" spans="1:4" ht="15.75" thickBot="1" x14ac:dyDescent="0.3">
      <c r="A29" s="32">
        <v>26</v>
      </c>
      <c r="B29" s="31" t="s">
        <v>55</v>
      </c>
      <c r="C29" s="42" t="s">
        <v>568</v>
      </c>
      <c r="D29" s="31" t="s">
        <v>555</v>
      </c>
    </row>
    <row r="30" spans="1:4" ht="15.75" thickBot="1" x14ac:dyDescent="0.3">
      <c r="A30" s="32">
        <v>27</v>
      </c>
      <c r="B30" s="31" t="s">
        <v>185</v>
      </c>
      <c r="C30" s="42" t="s">
        <v>575</v>
      </c>
      <c r="D30" s="31" t="s">
        <v>555</v>
      </c>
    </row>
    <row r="31" spans="1:4" ht="15.75" thickBot="1" x14ac:dyDescent="0.3">
      <c r="A31" s="32">
        <v>28</v>
      </c>
      <c r="B31" s="31" t="s">
        <v>355</v>
      </c>
      <c r="C31" s="42" t="s">
        <v>582</v>
      </c>
      <c r="D31" s="31" t="s">
        <v>555</v>
      </c>
    </row>
    <row r="32" spans="1:4" ht="15.75" thickBot="1" x14ac:dyDescent="0.3">
      <c r="A32" s="32">
        <v>29</v>
      </c>
      <c r="B32" s="40" t="s">
        <v>55</v>
      </c>
      <c r="C32" s="42" t="s">
        <v>568</v>
      </c>
      <c r="D32" s="31" t="s">
        <v>555</v>
      </c>
    </row>
    <row r="33" spans="1:4" ht="26.25" thickBot="1" x14ac:dyDescent="0.3">
      <c r="A33" s="32">
        <v>30</v>
      </c>
      <c r="B33" s="31" t="s">
        <v>399</v>
      </c>
      <c r="C33" s="42" t="s">
        <v>611</v>
      </c>
      <c r="D33" s="31" t="s">
        <v>555</v>
      </c>
    </row>
    <row r="34" spans="1:4" ht="15.75" thickBot="1" x14ac:dyDescent="0.3">
      <c r="A34" s="32">
        <v>31</v>
      </c>
      <c r="B34" s="31" t="s">
        <v>127</v>
      </c>
      <c r="C34" s="42" t="s">
        <v>600</v>
      </c>
      <c r="D34" s="31" t="s">
        <v>553</v>
      </c>
    </row>
    <row r="35" spans="1:4" ht="15.75" thickBot="1" x14ac:dyDescent="0.3">
      <c r="A35" s="32">
        <v>32</v>
      </c>
      <c r="B35" s="31" t="s">
        <v>35</v>
      </c>
      <c r="C35" s="42" t="s">
        <v>591</v>
      </c>
      <c r="D35" s="31" t="s">
        <v>251</v>
      </c>
    </row>
    <row r="36" spans="1:4" ht="15.75" thickBot="1" x14ac:dyDescent="0.3">
      <c r="A36" s="32">
        <v>33</v>
      </c>
      <c r="B36" s="31" t="s">
        <v>60</v>
      </c>
      <c r="C36" s="42" t="s">
        <v>569</v>
      </c>
      <c r="D36" s="31" t="s">
        <v>251</v>
      </c>
    </row>
    <row r="37" spans="1:4" ht="26.25" thickBot="1" x14ac:dyDescent="0.3">
      <c r="A37" s="32">
        <v>34</v>
      </c>
      <c r="B37" s="31" t="s">
        <v>170</v>
      </c>
      <c r="C37" s="42" t="s">
        <v>574</v>
      </c>
      <c r="D37" s="31" t="s">
        <v>251</v>
      </c>
    </row>
    <row r="38" spans="1:4" ht="15.75" thickBot="1" x14ac:dyDescent="0.3">
      <c r="A38" s="32">
        <v>35</v>
      </c>
      <c r="B38" s="31" t="s">
        <v>202</v>
      </c>
      <c r="C38" s="42" t="s">
        <v>578</v>
      </c>
      <c r="D38" s="31" t="s">
        <v>251</v>
      </c>
    </row>
    <row r="39" spans="1:4" ht="15.75" thickBot="1" x14ac:dyDescent="0.3">
      <c r="A39" s="32">
        <v>36</v>
      </c>
      <c r="B39" s="31" t="s">
        <v>213</v>
      </c>
      <c r="C39" s="42" t="s">
        <v>572</v>
      </c>
      <c r="D39" s="31" t="s">
        <v>251</v>
      </c>
    </row>
    <row r="40" spans="1:4" ht="15.75" thickBot="1" x14ac:dyDescent="0.3">
      <c r="A40" s="32">
        <v>37</v>
      </c>
      <c r="B40" s="31" t="s">
        <v>251</v>
      </c>
      <c r="C40" s="42" t="s">
        <v>580</v>
      </c>
      <c r="D40" s="31" t="s">
        <v>251</v>
      </c>
    </row>
    <row r="41" spans="1:4" ht="15.75" thickBot="1" x14ac:dyDescent="0.3">
      <c r="A41" s="32">
        <v>38</v>
      </c>
      <c r="B41" s="40" t="s">
        <v>607</v>
      </c>
      <c r="C41" s="42" t="s">
        <v>583</v>
      </c>
      <c r="D41" s="31" t="s">
        <v>251</v>
      </c>
    </row>
    <row r="42" spans="1:4" ht="15.75" thickBot="1" x14ac:dyDescent="0.3">
      <c r="A42" s="32">
        <v>39</v>
      </c>
      <c r="B42" s="40" t="s">
        <v>453</v>
      </c>
      <c r="C42" s="42" t="s">
        <v>596</v>
      </c>
      <c r="D42" s="31" t="s">
        <v>251</v>
      </c>
    </row>
    <row r="43" spans="1:4" ht="15.75" thickBot="1" x14ac:dyDescent="0.3">
      <c r="A43" s="32">
        <v>40</v>
      </c>
      <c r="B43" s="40" t="s">
        <v>614</v>
      </c>
      <c r="C43" s="42" t="s">
        <v>589</v>
      </c>
      <c r="D43" s="31" t="s">
        <v>251</v>
      </c>
    </row>
    <row r="44" spans="1:4" ht="15.75" thickBot="1" x14ac:dyDescent="0.3">
      <c r="A44" s="32">
        <v>41</v>
      </c>
      <c r="B44" s="31" t="s">
        <v>480</v>
      </c>
      <c r="C44" s="42" t="s">
        <v>590</v>
      </c>
      <c r="D44" s="31" t="s">
        <v>251</v>
      </c>
    </row>
    <row r="45" spans="1:4" ht="15.75" thickBot="1" x14ac:dyDescent="0.3">
      <c r="A45" s="32">
        <v>42</v>
      </c>
      <c r="B45" s="31" t="s">
        <v>496</v>
      </c>
      <c r="C45" s="42" t="s">
        <v>617</v>
      </c>
      <c r="D45" s="31" t="s">
        <v>251</v>
      </c>
    </row>
    <row r="46" spans="1:4" ht="15.75" thickBot="1" x14ac:dyDescent="0.3">
      <c r="A46" s="32">
        <v>43</v>
      </c>
      <c r="B46" s="31" t="s">
        <v>498</v>
      </c>
      <c r="C46" s="42" t="s">
        <v>587</v>
      </c>
      <c r="D46" s="31" t="s">
        <v>251</v>
      </c>
    </row>
    <row r="47" spans="1:4" ht="15.75" thickBot="1" x14ac:dyDescent="0.3">
      <c r="A47" s="32">
        <v>44</v>
      </c>
      <c r="B47" s="31" t="s">
        <v>17</v>
      </c>
      <c r="C47" s="42" t="s">
        <v>566</v>
      </c>
      <c r="D47" s="31" t="s">
        <v>562</v>
      </c>
    </row>
    <row r="48" spans="1:4" ht="26.25" thickBot="1" x14ac:dyDescent="0.3">
      <c r="A48" s="32">
        <v>45</v>
      </c>
      <c r="B48" s="31" t="s">
        <v>256</v>
      </c>
      <c r="C48" s="42" t="s">
        <v>581</v>
      </c>
      <c r="D48" s="31" t="s">
        <v>562</v>
      </c>
    </row>
    <row r="49" spans="1:4" ht="15.75" thickBot="1" x14ac:dyDescent="0.3">
      <c r="A49" s="32">
        <v>46</v>
      </c>
      <c r="B49" s="31" t="s">
        <v>415</v>
      </c>
      <c r="C49" s="42" t="s">
        <v>612</v>
      </c>
      <c r="D49" s="31" t="s">
        <v>562</v>
      </c>
    </row>
    <row r="50" spans="1:4" ht="15.75" thickBot="1" x14ac:dyDescent="0.3">
      <c r="A50" s="32">
        <v>47</v>
      </c>
      <c r="B50" s="31" t="s">
        <v>461</v>
      </c>
      <c r="C50" s="42" t="s">
        <v>618</v>
      </c>
      <c r="D50" s="31" t="s">
        <v>562</v>
      </c>
    </row>
    <row r="51" spans="1:4" ht="15.75" thickBot="1" x14ac:dyDescent="0.3">
      <c r="A51" s="32">
        <v>48</v>
      </c>
      <c r="B51" s="40" t="s">
        <v>603</v>
      </c>
      <c r="C51" s="42" t="s">
        <v>602</v>
      </c>
      <c r="D51" s="31" t="s">
        <v>549</v>
      </c>
    </row>
    <row r="52" spans="1:4" ht="15.75" thickBot="1" x14ac:dyDescent="0.3">
      <c r="A52" s="32">
        <v>49</v>
      </c>
      <c r="B52" s="41" t="s">
        <v>95</v>
      </c>
      <c r="C52" s="43"/>
      <c r="D52" s="41"/>
    </row>
    <row r="53" spans="1:4" ht="15.75" thickBot="1" x14ac:dyDescent="0.3">
      <c r="A53" s="32">
        <v>50</v>
      </c>
      <c r="B53" s="101" t="s">
        <v>630</v>
      </c>
      <c r="C53" s="43" t="s">
        <v>592</v>
      </c>
      <c r="D53" s="41"/>
    </row>
    <row r="54" spans="1:4" ht="15.75" thickBot="1" x14ac:dyDescent="0.3">
      <c r="A54" s="32">
        <v>51</v>
      </c>
      <c r="B54" s="41" t="s">
        <v>631</v>
      </c>
      <c r="C54" s="43" t="s">
        <v>109</v>
      </c>
      <c r="D54" s="41"/>
    </row>
    <row r="55" spans="1:4" ht="15.75" thickBot="1" x14ac:dyDescent="0.3">
      <c r="A55" s="32">
        <v>52</v>
      </c>
      <c r="B55" s="31" t="s">
        <v>224</v>
      </c>
      <c r="C55" s="42" t="s">
        <v>593</v>
      </c>
      <c r="D55" s="31"/>
    </row>
    <row r="56" spans="1:4" ht="15.75" thickBot="1" x14ac:dyDescent="0.3">
      <c r="A56" s="32">
        <v>53</v>
      </c>
      <c r="B56" s="41" t="s">
        <v>366</v>
      </c>
      <c r="C56" s="43" t="s">
        <v>584</v>
      </c>
      <c r="D56" s="41"/>
    </row>
    <row r="57" spans="1:4" ht="15.75" thickBot="1" x14ac:dyDescent="0.3">
      <c r="A57" s="32">
        <v>54</v>
      </c>
      <c r="B57" s="31" t="s">
        <v>431</v>
      </c>
      <c r="C57" s="42" t="s">
        <v>587</v>
      </c>
      <c r="D57" s="31"/>
    </row>
    <row r="58" spans="1:4" ht="15.75" thickBot="1" x14ac:dyDescent="0.3">
      <c r="A58" s="32">
        <v>55</v>
      </c>
      <c r="B58" s="40" t="s">
        <v>619</v>
      </c>
      <c r="C58" s="42" t="s">
        <v>592</v>
      </c>
      <c r="D58" s="41"/>
    </row>
  </sheetData>
  <dataValidations disablePrompts="1" count="2">
    <dataValidation type="list" allowBlank="1" showInputMessage="1" showErrorMessage="1" sqref="D4:D58">
      <formula1>$N$4:$N$10</formula1>
    </dataValidation>
    <dataValidation type="list" allowBlank="1" showInputMessage="1" showErrorMessage="1" sqref="Q4">
      <formula1>Lista_OM_Dependente</formula1>
    </dataValidation>
  </dataValidations>
  <pageMargins left="0.511811024" right="0.511811024" top="0.78740157499999996" bottom="0.78740157499999996" header="0.31496062000000002" footer="0.31496062000000002"/>
  <pageSetup paperSize="9" orientation="portrait" horizontalDpi="0" verticalDpi="0"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zoomScale="70" zoomScaleNormal="70" workbookViewId="0">
      <selection activeCell="L40" sqref="L40"/>
    </sheetView>
  </sheetViews>
  <sheetFormatPr defaultRowHeight="15" x14ac:dyDescent="0.25"/>
  <cols>
    <col min="2" max="2" width="34.42578125" bestFit="1" customWidth="1"/>
    <col min="3" max="3" width="17.28515625" customWidth="1"/>
    <col min="4" max="4" width="27.42578125" customWidth="1"/>
    <col min="5" max="5" width="26.5703125" customWidth="1"/>
    <col min="6" max="6" width="30.7109375" customWidth="1"/>
    <col min="7" max="7" width="39.7109375" bestFit="1" customWidth="1"/>
    <col min="11" max="11" width="15.28515625" bestFit="1" customWidth="1"/>
    <col min="12" max="12" width="20" bestFit="1" customWidth="1"/>
    <col min="13" max="13" width="34" bestFit="1" customWidth="1"/>
    <col min="14" max="14" width="32.5703125" bestFit="1" customWidth="1"/>
    <col min="15" max="15" width="37.7109375" bestFit="1" customWidth="1"/>
    <col min="16" max="16" width="39.7109375" bestFit="1" customWidth="1"/>
  </cols>
  <sheetData>
    <row r="1" spans="1:7" x14ac:dyDescent="0.25">
      <c r="A1" s="93" t="s">
        <v>628</v>
      </c>
    </row>
    <row r="3" spans="1:7" x14ac:dyDescent="0.25">
      <c r="D3" t="s">
        <v>550</v>
      </c>
    </row>
    <row r="4" spans="1:7" x14ac:dyDescent="0.25">
      <c r="B4" s="93" t="s">
        <v>532</v>
      </c>
      <c r="C4" s="93" t="s">
        <v>629</v>
      </c>
      <c r="D4" s="102" t="s">
        <v>634</v>
      </c>
      <c r="E4" s="102" t="s">
        <v>633</v>
      </c>
      <c r="F4" s="102" t="s">
        <v>632</v>
      </c>
      <c r="G4" t="s">
        <v>635</v>
      </c>
    </row>
    <row r="5" spans="1:7" x14ac:dyDescent="0.25">
      <c r="B5" t="s">
        <v>120</v>
      </c>
      <c r="C5">
        <f>COUNTIFS('ACOMPANHAMENTO VISTORIAS'!$B:$B,Tabela6[[#This Row],[OM]])</f>
        <v>4</v>
      </c>
      <c r="D5">
        <f>COUNTIFS('ACOMPANHAMENTO VISTORIAS'!$B:$B,Tabela6[[#This Row],[OM]],'ACOMPANHAMENTO VISTORIAS'!$E:$E,"Finalizada")</f>
        <v>4</v>
      </c>
      <c r="E5">
        <f>COUNTIFS('ACOMPANHAMENTO VISTORIAS'!$B:$B,Tabela6[[#This Row],[OM]],'ACOMPANHAMENTO VISTORIAS'!$E:$E,"Atendida/ Em Execução")</f>
        <v>0</v>
      </c>
      <c r="F5">
        <f>COUNTIFS('ACOMPANHAMENTO VISTORIAS'!$B:$B,Tabela6[[#This Row],[OM]],'ACOMPANHAMENTO VISTORIAS'!$E:$E,"Não atendida")</f>
        <v>0</v>
      </c>
      <c r="G5" s="106">
        <f>COUNTIFS('ACOMPANHAMENTO VISTORIAS'!$B:$B,Tabela6[[#This Row],[OM]],'ACOMPANHAMENTO VISTORIAS'!$E:$E,"Não correspondente - Solicitar Apoio")</f>
        <v>0</v>
      </c>
    </row>
    <row r="6" spans="1:7" x14ac:dyDescent="0.25">
      <c r="B6" t="s">
        <v>26</v>
      </c>
      <c r="C6">
        <f>COUNTIFS('ACOMPANHAMENTO VISTORIAS'!$B:$B,Tabela6[[#This Row],[OM]])</f>
        <v>3</v>
      </c>
      <c r="D6">
        <f>COUNTIFS('ACOMPANHAMENTO VISTORIAS'!$B:$B,Tabela6[[#This Row],[OM]],'ACOMPANHAMENTO VISTORIAS'!$E:$E,"Finalizada")</f>
        <v>2</v>
      </c>
      <c r="E6">
        <f>COUNTIFS('ACOMPANHAMENTO VISTORIAS'!$B:$B,Tabela6[[#This Row],[OM]],'ACOMPANHAMENTO VISTORIAS'!$E:$E,"Atendida/ Em Execução")</f>
        <v>0</v>
      </c>
      <c r="F6">
        <f>COUNTIFS('ACOMPANHAMENTO VISTORIAS'!$B:$B,Tabela6[[#This Row],[OM]],'ACOMPANHAMENTO VISTORIAS'!$E:$E,"Não atendida")</f>
        <v>1</v>
      </c>
      <c r="G6" s="106">
        <f>COUNTIFS('ACOMPANHAMENTO VISTORIAS'!$B:$B,Tabela6[[#This Row],[OM]],'ACOMPANHAMENTO VISTORIAS'!$E:$E,"Não correspondente - Solicitar Apoio")</f>
        <v>0</v>
      </c>
    </row>
    <row r="7" spans="1:7" x14ac:dyDescent="0.25">
      <c r="B7" t="s">
        <v>26</v>
      </c>
      <c r="C7">
        <f>COUNTIFS('ACOMPANHAMENTO VISTORIAS'!$B:$B,Tabela6[[#This Row],[OM]])</f>
        <v>3</v>
      </c>
      <c r="D7">
        <f>COUNTIFS('ACOMPANHAMENTO VISTORIAS'!$B:$B,Tabela6[[#This Row],[OM]],'ACOMPANHAMENTO VISTORIAS'!$E:$E,"Finalizada")</f>
        <v>2</v>
      </c>
      <c r="E7">
        <f>COUNTIFS('ACOMPANHAMENTO VISTORIAS'!$B:$B,Tabela6[[#This Row],[OM]],'ACOMPANHAMENTO VISTORIAS'!$E:$E,"Atendida/ Em Execução")</f>
        <v>0</v>
      </c>
      <c r="F7">
        <f>COUNTIFS('ACOMPANHAMENTO VISTORIAS'!$B:$B,Tabela6[[#This Row],[OM]],'ACOMPANHAMENTO VISTORIAS'!$E:$E,"Não atendida")</f>
        <v>1</v>
      </c>
      <c r="G7" s="106">
        <f>COUNTIFS('ACOMPANHAMENTO VISTORIAS'!$B:$B,Tabela6[[#This Row],[OM]],'ACOMPANHAMENTO VISTORIAS'!$E:$E,"Não correspondente - Solicitar Apoio")</f>
        <v>0</v>
      </c>
    </row>
    <row r="8" spans="1:7" x14ac:dyDescent="0.25">
      <c r="B8" t="s">
        <v>603</v>
      </c>
      <c r="C8">
        <f>COUNTIFS('ACOMPANHAMENTO VISTORIAS'!$B:$B,Tabela6[[#This Row],[OM]])</f>
        <v>0</v>
      </c>
      <c r="D8">
        <f>COUNTIFS('ACOMPANHAMENTO VISTORIAS'!$B:$B,Tabela6[[#This Row],[OM]],'ACOMPANHAMENTO VISTORIAS'!$E:$E,"Finalizada")</f>
        <v>0</v>
      </c>
      <c r="E8">
        <f>COUNTIFS('ACOMPANHAMENTO VISTORIAS'!$B:$B,Tabela6[[#This Row],[OM]],'ACOMPANHAMENTO VISTORIAS'!$E:$E,"Atendida/ Em Execução")</f>
        <v>0</v>
      </c>
      <c r="F8">
        <f>COUNTIFS('ACOMPANHAMENTO VISTORIAS'!$B:$B,Tabela6[[#This Row],[OM]],'ACOMPANHAMENTO VISTORIAS'!$E:$E,"Não atendida")</f>
        <v>0</v>
      </c>
      <c r="G8" s="106">
        <f>COUNTIFS('ACOMPANHAMENTO VISTORIAS'!$B:$B,Tabela6[[#This Row],[OM]],'ACOMPANHAMENTO VISTORIAS'!$E:$E,"Não correspondente - Solicitar Apoio")</f>
        <v>0</v>
      </c>
    </row>
    <row r="9" spans="1:7" x14ac:dyDescent="0.25">
      <c r="B9" t="s">
        <v>604</v>
      </c>
      <c r="C9">
        <f>COUNTIFS('ACOMPANHAMENTO VISTORIAS'!$B:$B,Tabela6[[#This Row],[OM]])</f>
        <v>1</v>
      </c>
      <c r="D9">
        <f>COUNTIFS('ACOMPANHAMENTO VISTORIAS'!$B:$B,Tabela6[[#This Row],[OM]],'ACOMPANHAMENTO VISTORIAS'!$E:$E,"Finalizada")</f>
        <v>1</v>
      </c>
      <c r="E9">
        <f>COUNTIFS('ACOMPANHAMENTO VISTORIAS'!$B:$B,Tabela6[[#This Row],[OM]],'ACOMPANHAMENTO VISTORIAS'!$E:$E,"Atendida/ Em Execução")</f>
        <v>0</v>
      </c>
      <c r="F9">
        <f>COUNTIFS('ACOMPANHAMENTO VISTORIAS'!$B:$B,Tabela6[[#This Row],[OM]],'ACOMPANHAMENTO VISTORIAS'!$E:$E,"Não atendida")</f>
        <v>0</v>
      </c>
      <c r="G9" s="106">
        <f>COUNTIFS('ACOMPANHAMENTO VISTORIAS'!$B:$B,Tabela6[[#This Row],[OM]],'ACOMPANHAMENTO VISTORIAS'!$E:$E,"Não correspondente - Solicitar Apoio")</f>
        <v>0</v>
      </c>
    </row>
    <row r="10" spans="1:7" x14ac:dyDescent="0.25">
      <c r="B10" t="s">
        <v>476</v>
      </c>
      <c r="C10">
        <f>COUNTIFS('ACOMPANHAMENTO VISTORIAS'!$B:$B,Tabela6[[#This Row],[OM]])</f>
        <v>1</v>
      </c>
      <c r="D10">
        <f>COUNTIFS('ACOMPANHAMENTO VISTORIAS'!$B:$B,Tabela6[[#This Row],[OM]],'ACOMPANHAMENTO VISTORIAS'!$E:$E,"Finalizada")</f>
        <v>0</v>
      </c>
      <c r="E10">
        <f>COUNTIFS('ACOMPANHAMENTO VISTORIAS'!$B:$B,Tabela6[[#This Row],[OM]],'ACOMPANHAMENTO VISTORIAS'!$E:$E,"Atendida/ Em Execução")</f>
        <v>0</v>
      </c>
      <c r="F10">
        <f>COUNTIFS('ACOMPANHAMENTO VISTORIAS'!$B:$B,Tabela6[[#This Row],[OM]],'ACOMPANHAMENTO VISTORIAS'!$E:$E,"Não atendida")</f>
        <v>1</v>
      </c>
      <c r="G10" s="106">
        <f>COUNTIFS('ACOMPANHAMENTO VISTORIAS'!$B:$B,Tabela6[[#This Row],[OM]],'ACOMPANHAMENTO VISTORIAS'!$E:$E,"Não correspondente - Solicitar Apoio")</f>
        <v>0</v>
      </c>
    </row>
    <row r="11" spans="1:7" x14ac:dyDescent="0.25">
      <c r="B11" t="s">
        <v>408</v>
      </c>
      <c r="C11">
        <f>COUNTIFS('ACOMPANHAMENTO VISTORIAS'!$B:$B,Tabela6[[#This Row],[OM]])</f>
        <v>1</v>
      </c>
      <c r="D11">
        <f>COUNTIFS('ACOMPANHAMENTO VISTORIAS'!$B:$B,Tabela6[[#This Row],[OM]],'ACOMPANHAMENTO VISTORIAS'!$E:$E,"Finalizada")</f>
        <v>0</v>
      </c>
      <c r="E11">
        <f>COUNTIFS('ACOMPANHAMENTO VISTORIAS'!$B:$B,Tabela6[[#This Row],[OM]],'ACOMPANHAMENTO VISTORIAS'!$E:$E,"Atendida/ Em Execução")</f>
        <v>0</v>
      </c>
      <c r="F11">
        <f>COUNTIFS('ACOMPANHAMENTO VISTORIAS'!$B:$B,Tabela6[[#This Row],[OM]],'ACOMPANHAMENTO VISTORIAS'!$E:$E,"Não atendida")</f>
        <v>1</v>
      </c>
      <c r="G11" s="106">
        <f>COUNTIFS('ACOMPANHAMENTO VISTORIAS'!$B:$B,Tabela6[[#This Row],[OM]],'ACOMPANHAMENTO VISTORIAS'!$E:$E,"Não correspondente - Solicitar Apoio")</f>
        <v>0</v>
      </c>
    </row>
    <row r="12" spans="1:7" x14ac:dyDescent="0.25">
      <c r="B12" t="s">
        <v>377</v>
      </c>
      <c r="C12">
        <f>COUNTIFS('ACOMPANHAMENTO VISTORIAS'!$B:$B,Tabela6[[#This Row],[OM]])</f>
        <v>3</v>
      </c>
      <c r="D12">
        <f>COUNTIFS('ACOMPANHAMENTO VISTORIAS'!$B:$B,Tabela6[[#This Row],[OM]],'ACOMPANHAMENTO VISTORIAS'!$E:$E,"Finalizada")</f>
        <v>3</v>
      </c>
      <c r="E12">
        <f>COUNTIFS('ACOMPANHAMENTO VISTORIAS'!$B:$B,Tabela6[[#This Row],[OM]],'ACOMPANHAMENTO VISTORIAS'!$E:$E,"Atendida/ Em Execução")</f>
        <v>0</v>
      </c>
      <c r="F12">
        <f>COUNTIFS('ACOMPANHAMENTO VISTORIAS'!$B:$B,Tabela6[[#This Row],[OM]],'ACOMPANHAMENTO VISTORIAS'!$E:$E,"Não atendida")</f>
        <v>0</v>
      </c>
      <c r="G12" s="106">
        <f>COUNTIFS('ACOMPANHAMENTO VISTORIAS'!$B:$B,Tabela6[[#This Row],[OM]],'ACOMPANHAMENTO VISTORIAS'!$E:$E,"Não correspondente - Solicitar Apoio")</f>
        <v>0</v>
      </c>
    </row>
    <row r="13" spans="1:7" x14ac:dyDescent="0.25">
      <c r="B13" t="s">
        <v>154</v>
      </c>
      <c r="C13">
        <f>COUNTIFS('ACOMPANHAMENTO VISTORIAS'!$B:$B,Tabela6[[#This Row],[OM]])</f>
        <v>3</v>
      </c>
      <c r="D13">
        <f>COUNTIFS('ACOMPANHAMENTO VISTORIAS'!$B:$B,Tabela6[[#This Row],[OM]],'ACOMPANHAMENTO VISTORIAS'!$E:$E,"Finalizada")</f>
        <v>2</v>
      </c>
      <c r="E13">
        <f>COUNTIFS('ACOMPANHAMENTO VISTORIAS'!$B:$B,Tabela6[[#This Row],[OM]],'ACOMPANHAMENTO VISTORIAS'!$E:$E,"Atendida/ Em Execução")</f>
        <v>0</v>
      </c>
      <c r="F13">
        <f>COUNTIFS('ACOMPANHAMENTO VISTORIAS'!$B:$B,Tabela6[[#This Row],[OM]],'ACOMPANHAMENTO VISTORIAS'!$E:$E,"Não atendida")</f>
        <v>1</v>
      </c>
      <c r="G13" s="106">
        <f>COUNTIFS('ACOMPANHAMENTO VISTORIAS'!$B:$B,Tabela6[[#This Row],[OM]],'ACOMPANHAMENTO VISTORIAS'!$E:$E,"Não correspondente - Solicitar Apoio")</f>
        <v>0</v>
      </c>
    </row>
    <row r="14" spans="1:7" x14ac:dyDescent="0.25">
      <c r="B14" t="s">
        <v>206</v>
      </c>
      <c r="C14">
        <f>COUNTIFS('ACOMPANHAMENTO VISTORIAS'!$B:$B,Tabela6[[#This Row],[OM]])</f>
        <v>1</v>
      </c>
      <c r="D14">
        <f>COUNTIFS('ACOMPANHAMENTO VISTORIAS'!$B:$B,Tabela6[[#This Row],[OM]],'ACOMPANHAMENTO VISTORIAS'!$E:$E,"Finalizada")</f>
        <v>1</v>
      </c>
      <c r="E14">
        <f>COUNTIFS('ACOMPANHAMENTO VISTORIAS'!$B:$B,Tabela6[[#This Row],[OM]],'ACOMPANHAMENTO VISTORIAS'!$E:$E,"Atendida/ Em Execução")</f>
        <v>0</v>
      </c>
      <c r="F14">
        <f>COUNTIFS('ACOMPANHAMENTO VISTORIAS'!$B:$B,Tabela6[[#This Row],[OM]],'ACOMPANHAMENTO VISTORIAS'!$E:$E,"Não atendida")</f>
        <v>0</v>
      </c>
      <c r="G14" s="106">
        <f>COUNTIFS('ACOMPANHAMENTO VISTORIAS'!$B:$B,Tabela6[[#This Row],[OM]],'ACOMPANHAMENTO VISTORIAS'!$E:$E,"Não correspondente - Solicitar Apoio")</f>
        <v>0</v>
      </c>
    </row>
    <row r="15" spans="1:7" x14ac:dyDescent="0.25">
      <c r="B15" t="s">
        <v>441</v>
      </c>
      <c r="C15">
        <f>COUNTIFS('ACOMPANHAMENTO VISTORIAS'!$B:$B,Tabela6[[#This Row],[OM]])</f>
        <v>1</v>
      </c>
      <c r="D15">
        <f>COUNTIFS('ACOMPANHAMENTO VISTORIAS'!$B:$B,Tabela6[[#This Row],[OM]],'ACOMPANHAMENTO VISTORIAS'!$E:$E,"Finalizada")</f>
        <v>1</v>
      </c>
      <c r="E15">
        <f>COUNTIFS('ACOMPANHAMENTO VISTORIAS'!$B:$B,Tabela6[[#This Row],[OM]],'ACOMPANHAMENTO VISTORIAS'!$E:$E,"Atendida/ Em Execução")</f>
        <v>0</v>
      </c>
      <c r="F15">
        <f>COUNTIFS('ACOMPANHAMENTO VISTORIAS'!$B:$B,Tabela6[[#This Row],[OM]],'ACOMPANHAMENTO VISTORIAS'!$E:$E,"Não atendida")</f>
        <v>0</v>
      </c>
      <c r="G15" s="106">
        <f>COUNTIFS('ACOMPANHAMENTO VISTORIAS'!$B:$B,Tabela6[[#This Row],[OM]],'ACOMPANHAMENTO VISTORIAS'!$E:$E,"Não correspondente - Solicitar Apoio")</f>
        <v>0</v>
      </c>
    </row>
    <row r="16" spans="1:7" x14ac:dyDescent="0.25">
      <c r="B16" t="s">
        <v>403</v>
      </c>
      <c r="C16">
        <f>COUNTIFS('ACOMPANHAMENTO VISTORIAS'!$B:$B,Tabela6[[#This Row],[OM]])</f>
        <v>1</v>
      </c>
      <c r="D16">
        <f>COUNTIFS('ACOMPANHAMENTO VISTORIAS'!$B:$B,Tabela6[[#This Row],[OM]],'ACOMPANHAMENTO VISTORIAS'!$E:$E,"Finalizada")</f>
        <v>1</v>
      </c>
      <c r="E16">
        <f>COUNTIFS('ACOMPANHAMENTO VISTORIAS'!$B:$B,Tabela6[[#This Row],[OM]],'ACOMPANHAMENTO VISTORIAS'!$E:$E,"Atendida/ Em Execução")</f>
        <v>0</v>
      </c>
      <c r="F16">
        <f>COUNTIFS('ACOMPANHAMENTO VISTORIAS'!$B:$B,Tabela6[[#This Row],[OM]],'ACOMPANHAMENTO VISTORIAS'!$E:$E,"Não atendida")</f>
        <v>0</v>
      </c>
      <c r="G16" s="106">
        <f>COUNTIFS('ACOMPANHAMENTO VISTORIAS'!$B:$B,Tabela6[[#This Row],[OM]],'ACOMPANHAMENTO VISTORIAS'!$E:$E,"Não correspondente - Solicitar Apoio")</f>
        <v>0</v>
      </c>
    </row>
    <row r="17" spans="2:7" x14ac:dyDescent="0.25">
      <c r="B17" t="s">
        <v>43</v>
      </c>
      <c r="C17">
        <f>COUNTIFS('ACOMPANHAMENTO VISTORIAS'!$B:$B,Tabela6[[#This Row],[OM]])</f>
        <v>4</v>
      </c>
      <c r="D17">
        <f>COUNTIFS('ACOMPANHAMENTO VISTORIAS'!$B:$B,Tabela6[[#This Row],[OM]],'ACOMPANHAMENTO VISTORIAS'!$E:$E,"Finalizada")</f>
        <v>3</v>
      </c>
      <c r="E17">
        <f>COUNTIFS('ACOMPANHAMENTO VISTORIAS'!$B:$B,Tabela6[[#This Row],[OM]],'ACOMPANHAMENTO VISTORIAS'!$E:$E,"Atendida/ Em Execução")</f>
        <v>0</v>
      </c>
      <c r="F17">
        <f>COUNTIFS('ACOMPANHAMENTO VISTORIAS'!$B:$B,Tabela6[[#This Row],[OM]],'ACOMPANHAMENTO VISTORIAS'!$E:$E,"Não atendida")</f>
        <v>0</v>
      </c>
      <c r="G17" s="106">
        <f>COUNTIFS('ACOMPANHAMENTO VISTORIAS'!$B:$B,Tabela6[[#This Row],[OM]],'ACOMPANHAMENTO VISTORIAS'!$E:$E,"Não correspondente - Solicitar Apoio")</f>
        <v>0</v>
      </c>
    </row>
    <row r="18" spans="2:7" x14ac:dyDescent="0.25">
      <c r="B18" t="s">
        <v>613</v>
      </c>
      <c r="C18">
        <f>COUNTIFS('ACOMPANHAMENTO VISTORIAS'!$B:$B,Tabela6[[#This Row],[OM]])</f>
        <v>1</v>
      </c>
      <c r="D18">
        <f>COUNTIFS('ACOMPANHAMENTO VISTORIAS'!$B:$B,Tabela6[[#This Row],[OM]],'ACOMPANHAMENTO VISTORIAS'!$E:$E,"Finalizada")</f>
        <v>0</v>
      </c>
      <c r="E18">
        <f>COUNTIFS('ACOMPANHAMENTO VISTORIAS'!$B:$B,Tabela6[[#This Row],[OM]],'ACOMPANHAMENTO VISTORIAS'!$E:$E,"Atendida/ Em Execução")</f>
        <v>0</v>
      </c>
      <c r="F18">
        <f>COUNTIFS('ACOMPANHAMENTO VISTORIAS'!$B:$B,Tabela6[[#This Row],[OM]],'ACOMPANHAMENTO VISTORIAS'!$E:$E,"Não atendida")</f>
        <v>0</v>
      </c>
      <c r="G18" s="106">
        <f>COUNTIFS('ACOMPANHAMENTO VISTORIAS'!$B:$B,Tabela6[[#This Row],[OM]],'ACOMPANHAMENTO VISTORIAS'!$E:$E,"Não correspondente - Solicitar Apoio")</f>
        <v>0</v>
      </c>
    </row>
    <row r="19" spans="2:7" x14ac:dyDescent="0.25">
      <c r="B19" t="s">
        <v>127</v>
      </c>
      <c r="C19">
        <f>COUNTIFS('ACOMPANHAMENTO VISTORIAS'!$B:$B,Tabela6[[#This Row],[OM]])</f>
        <v>2</v>
      </c>
      <c r="D19">
        <f>COUNTIFS('ACOMPANHAMENTO VISTORIAS'!$B:$B,Tabela6[[#This Row],[OM]],'ACOMPANHAMENTO VISTORIAS'!$E:$E,"Finalizada")</f>
        <v>2</v>
      </c>
      <c r="E19">
        <f>COUNTIFS('ACOMPANHAMENTO VISTORIAS'!$B:$B,Tabela6[[#This Row],[OM]],'ACOMPANHAMENTO VISTORIAS'!$E:$E,"Atendida/ Em Execução")</f>
        <v>0</v>
      </c>
      <c r="F19">
        <f>COUNTIFS('ACOMPANHAMENTO VISTORIAS'!$B:$B,Tabela6[[#This Row],[OM]],'ACOMPANHAMENTO VISTORIAS'!$E:$E,"Não atendida")</f>
        <v>0</v>
      </c>
      <c r="G19" s="106">
        <f>COUNTIFS('ACOMPANHAMENTO VISTORIAS'!$B:$B,Tabela6[[#This Row],[OM]],'ACOMPANHAMENTO VISTORIAS'!$E:$E,"Não correspondente - Solicitar Apoio")</f>
        <v>0</v>
      </c>
    </row>
    <row r="20" spans="2:7" x14ac:dyDescent="0.25">
      <c r="B20" t="s">
        <v>505</v>
      </c>
      <c r="C20">
        <f>COUNTIFS('ACOMPANHAMENTO VISTORIAS'!$B:$B,Tabela6[[#This Row],[OM]])</f>
        <v>1</v>
      </c>
      <c r="D20">
        <f>COUNTIFS('ACOMPANHAMENTO VISTORIAS'!$B:$B,Tabela6[[#This Row],[OM]],'ACOMPANHAMENTO VISTORIAS'!$E:$E,"Finalizada")</f>
        <v>0</v>
      </c>
      <c r="E20">
        <f>COUNTIFS('ACOMPANHAMENTO VISTORIAS'!$B:$B,Tabela6[[#This Row],[OM]],'ACOMPANHAMENTO VISTORIAS'!$E:$E,"Atendida/ Em Execução")</f>
        <v>0</v>
      </c>
      <c r="F20">
        <f>COUNTIFS('ACOMPANHAMENTO VISTORIAS'!$B:$B,Tabela6[[#This Row],[OM]],'ACOMPANHAMENTO VISTORIAS'!$E:$E,"Não atendida")</f>
        <v>1</v>
      </c>
      <c r="G20" s="106">
        <f>COUNTIFS('ACOMPANHAMENTO VISTORIAS'!$B:$B,Tabela6[[#This Row],[OM]],'ACOMPANHAMENTO VISTORIAS'!$E:$E,"Não correspondente - Solicitar Apoio")</f>
        <v>0</v>
      </c>
    </row>
    <row r="21" spans="2:7" x14ac:dyDescent="0.25">
      <c r="B21" t="s">
        <v>86</v>
      </c>
      <c r="C21">
        <f>COUNTIFS('ACOMPANHAMENTO VISTORIAS'!$B:$B,Tabela6[[#This Row],[OM]])</f>
        <v>1</v>
      </c>
      <c r="D21">
        <f>COUNTIFS('ACOMPANHAMENTO VISTORIAS'!$B:$B,Tabela6[[#This Row],[OM]],'ACOMPANHAMENTO VISTORIAS'!$E:$E,"Finalizada")</f>
        <v>1</v>
      </c>
      <c r="E21">
        <f>COUNTIFS('ACOMPANHAMENTO VISTORIAS'!$B:$B,Tabela6[[#This Row],[OM]],'ACOMPANHAMENTO VISTORIAS'!$E:$E,"Atendida/ Em Execução")</f>
        <v>0</v>
      </c>
      <c r="F21">
        <f>COUNTIFS('ACOMPANHAMENTO VISTORIAS'!$B:$B,Tabela6[[#This Row],[OM]],'ACOMPANHAMENTO VISTORIAS'!$E:$E,"Não atendida")</f>
        <v>0</v>
      </c>
      <c r="G21" s="106">
        <f>COUNTIFS('ACOMPANHAMENTO VISTORIAS'!$B:$B,Tabela6[[#This Row],[OM]],'ACOMPANHAMENTO VISTORIAS'!$E:$E,"Não correspondente - Solicitar Apoio")</f>
        <v>0</v>
      </c>
    </row>
    <row r="22" spans="2:7" x14ac:dyDescent="0.25">
      <c r="B22" t="s">
        <v>165</v>
      </c>
      <c r="C22">
        <f>COUNTIFS('ACOMPANHAMENTO VISTORIAS'!$B:$B,Tabela6[[#This Row],[OM]])</f>
        <v>1</v>
      </c>
      <c r="D22">
        <f>COUNTIFS('ACOMPANHAMENTO VISTORIAS'!$B:$B,Tabela6[[#This Row],[OM]],'ACOMPANHAMENTO VISTORIAS'!$E:$E,"Finalizada")</f>
        <v>1</v>
      </c>
      <c r="E22">
        <f>COUNTIFS('ACOMPANHAMENTO VISTORIAS'!$B:$B,Tabela6[[#This Row],[OM]],'ACOMPANHAMENTO VISTORIAS'!$E:$E,"Atendida/ Em Execução")</f>
        <v>0</v>
      </c>
      <c r="F22">
        <f>COUNTIFS('ACOMPANHAMENTO VISTORIAS'!$B:$B,Tabela6[[#This Row],[OM]],'ACOMPANHAMENTO VISTORIAS'!$E:$E,"Não atendida")</f>
        <v>0</v>
      </c>
      <c r="G22" s="106">
        <f>COUNTIFS('ACOMPANHAMENTO VISTORIAS'!$B:$B,Tabela6[[#This Row],[OM]],'ACOMPANHAMENTO VISTORIAS'!$E:$E,"Não correspondente - Solicitar Apoio")</f>
        <v>0</v>
      </c>
    </row>
    <row r="23" spans="2:7" x14ac:dyDescent="0.25">
      <c r="B23" t="s">
        <v>60</v>
      </c>
      <c r="C23">
        <f>COUNTIFS('ACOMPANHAMENTO VISTORIAS'!$B:$B,Tabela6[[#This Row],[OM]])</f>
        <v>1</v>
      </c>
      <c r="D23">
        <f>COUNTIFS('ACOMPANHAMENTO VISTORIAS'!$B:$B,Tabela6[[#This Row],[OM]],'ACOMPANHAMENTO VISTORIAS'!$E:$E,"Finalizada")</f>
        <v>1</v>
      </c>
      <c r="E23">
        <f>COUNTIFS('ACOMPANHAMENTO VISTORIAS'!$B:$B,Tabela6[[#This Row],[OM]],'ACOMPANHAMENTO VISTORIAS'!$E:$E,"Atendida/ Em Execução")</f>
        <v>0</v>
      </c>
      <c r="F23">
        <f>COUNTIFS('ACOMPANHAMENTO VISTORIAS'!$B:$B,Tabela6[[#This Row],[OM]],'ACOMPANHAMENTO VISTORIAS'!$E:$E,"Não atendida")</f>
        <v>0</v>
      </c>
      <c r="G23" s="106">
        <f>COUNTIFS('ACOMPANHAMENTO VISTORIAS'!$B:$B,Tabela6[[#This Row],[OM]],'ACOMPANHAMENTO VISTORIAS'!$E:$E,"Não correspondente - Solicitar Apoio")</f>
        <v>0</v>
      </c>
    </row>
    <row r="24" spans="2:7" x14ac:dyDescent="0.25">
      <c r="B24" t="s">
        <v>480</v>
      </c>
      <c r="C24">
        <f>COUNTIFS('ACOMPANHAMENTO VISTORIAS'!$B:$B,Tabela6[[#This Row],[OM]])</f>
        <v>1</v>
      </c>
      <c r="D24">
        <f>COUNTIFS('ACOMPANHAMENTO VISTORIAS'!$B:$B,Tabela6[[#This Row],[OM]],'ACOMPANHAMENTO VISTORIAS'!$E:$E,"Finalizada")</f>
        <v>1</v>
      </c>
      <c r="E24">
        <f>COUNTIFS('ACOMPANHAMENTO VISTORIAS'!$B:$B,Tabela6[[#This Row],[OM]],'ACOMPANHAMENTO VISTORIAS'!$E:$E,"Atendida/ Em Execução")</f>
        <v>0</v>
      </c>
      <c r="F24">
        <f>COUNTIFS('ACOMPANHAMENTO VISTORIAS'!$B:$B,Tabela6[[#This Row],[OM]],'ACOMPANHAMENTO VISTORIAS'!$E:$E,"Não atendida")</f>
        <v>0</v>
      </c>
      <c r="G24" s="106">
        <f>COUNTIFS('ACOMPANHAMENTO VISTORIAS'!$B:$B,Tabela6[[#This Row],[OM]],'ACOMPANHAMENTO VISTORIAS'!$E:$E,"Não correspondente - Solicitar Apoio")</f>
        <v>0</v>
      </c>
    </row>
    <row r="25" spans="2:7" x14ac:dyDescent="0.25">
      <c r="B25" t="s">
        <v>366</v>
      </c>
      <c r="C25">
        <f>COUNTIFS('ACOMPANHAMENTO VISTORIAS'!$B:$B,Tabela6[[#This Row],[OM]])</f>
        <v>1</v>
      </c>
      <c r="D25">
        <f>COUNTIFS('ACOMPANHAMENTO VISTORIAS'!$B:$B,Tabela6[[#This Row],[OM]],'ACOMPANHAMENTO VISTORIAS'!$E:$E,"Finalizada")</f>
        <v>1</v>
      </c>
      <c r="E25">
        <f>COUNTIFS('ACOMPANHAMENTO VISTORIAS'!$B:$B,Tabela6[[#This Row],[OM]],'ACOMPANHAMENTO VISTORIAS'!$E:$E,"Atendida/ Em Execução")</f>
        <v>0</v>
      </c>
      <c r="F25">
        <f>COUNTIFS('ACOMPANHAMENTO VISTORIAS'!$B:$B,Tabela6[[#This Row],[OM]],'ACOMPANHAMENTO VISTORIAS'!$E:$E,"Não atendida")</f>
        <v>0</v>
      </c>
      <c r="G25" s="106">
        <f>COUNTIFS('ACOMPANHAMENTO VISTORIAS'!$B:$B,Tabela6[[#This Row],[OM]],'ACOMPANHAMENTO VISTORIAS'!$E:$E,"Não correspondente - Solicitar Apoio")</f>
        <v>0</v>
      </c>
    </row>
    <row r="26" spans="2:7" x14ac:dyDescent="0.25">
      <c r="B26" t="s">
        <v>605</v>
      </c>
      <c r="C26">
        <f>COUNTIFS('ACOMPANHAMENTO VISTORIAS'!$B:$B,Tabela6[[#This Row],[OM]])</f>
        <v>0</v>
      </c>
      <c r="D26">
        <f>COUNTIFS('ACOMPANHAMENTO VISTORIAS'!$B:$B,Tabela6[[#This Row],[OM]],'ACOMPANHAMENTO VISTORIAS'!$E:$E,"Finalizada")</f>
        <v>0</v>
      </c>
      <c r="E26">
        <f>COUNTIFS('ACOMPANHAMENTO VISTORIAS'!$B:$B,Tabela6[[#This Row],[OM]],'ACOMPANHAMENTO VISTORIAS'!$E:$E,"Atendida/ Em Execução")</f>
        <v>0</v>
      </c>
      <c r="F26">
        <f>COUNTIFS('ACOMPANHAMENTO VISTORIAS'!$B:$B,Tabela6[[#This Row],[OM]],'ACOMPANHAMENTO VISTORIAS'!$E:$E,"Não atendida")</f>
        <v>0</v>
      </c>
      <c r="G26" s="106">
        <f>COUNTIFS('ACOMPANHAMENTO VISTORIAS'!$B:$B,Tabela6[[#This Row],[OM]],'ACOMPANHAMENTO VISTORIAS'!$E:$E,"Não correspondente - Solicitar Apoio")</f>
        <v>0</v>
      </c>
    </row>
    <row r="27" spans="2:7" x14ac:dyDescent="0.25">
      <c r="B27" t="s">
        <v>116</v>
      </c>
      <c r="C27">
        <f>COUNTIFS('ACOMPANHAMENTO VISTORIAS'!$B:$B,Tabela6[[#This Row],[OM]])</f>
        <v>4</v>
      </c>
      <c r="D27">
        <f>COUNTIFS('ACOMPANHAMENTO VISTORIAS'!$B:$B,Tabela6[[#This Row],[OM]],'ACOMPANHAMENTO VISTORIAS'!$E:$E,"Finalizada")</f>
        <v>1</v>
      </c>
      <c r="E27">
        <f>COUNTIFS('ACOMPANHAMENTO VISTORIAS'!$B:$B,Tabela6[[#This Row],[OM]],'ACOMPANHAMENTO VISTORIAS'!$E:$E,"Atendida/ Em Execução")</f>
        <v>0</v>
      </c>
      <c r="F27">
        <f>COUNTIFS('ACOMPANHAMENTO VISTORIAS'!$B:$B,Tabela6[[#This Row],[OM]],'ACOMPANHAMENTO VISTORIAS'!$E:$E,"Não atendida")</f>
        <v>0</v>
      </c>
      <c r="G27" s="106">
        <f>COUNTIFS('ACOMPANHAMENTO VISTORIAS'!$B:$B,Tabela6[[#This Row],[OM]],'ACOMPANHAMENTO VISTORIAS'!$E:$E,"Não correspondente - Solicitar Apoio")</f>
        <v>1</v>
      </c>
    </row>
    <row r="28" spans="2:7" x14ac:dyDescent="0.25">
      <c r="B28" t="s">
        <v>399</v>
      </c>
      <c r="C28">
        <f>COUNTIFS('ACOMPANHAMENTO VISTORIAS'!$B:$B,Tabela6[[#This Row],[OM]])</f>
        <v>2</v>
      </c>
      <c r="D28">
        <f>COUNTIFS('ACOMPANHAMENTO VISTORIAS'!$B:$B,Tabela6[[#This Row],[OM]],'ACOMPANHAMENTO VISTORIAS'!$E:$E,"Finalizada")</f>
        <v>2</v>
      </c>
      <c r="E28">
        <f>COUNTIFS('ACOMPANHAMENTO VISTORIAS'!$B:$B,Tabela6[[#This Row],[OM]],'ACOMPANHAMENTO VISTORIAS'!$E:$E,"Atendida/ Em Execução")</f>
        <v>0</v>
      </c>
      <c r="F28">
        <f>COUNTIFS('ACOMPANHAMENTO VISTORIAS'!$B:$B,Tabela6[[#This Row],[OM]],'ACOMPANHAMENTO VISTORIAS'!$E:$E,"Não atendida")</f>
        <v>0</v>
      </c>
      <c r="G28" s="106">
        <f>COUNTIFS('ACOMPANHAMENTO VISTORIAS'!$B:$B,Tabela6[[#This Row],[OM]],'ACOMPANHAMENTO VISTORIAS'!$E:$E,"Não correspondente - Solicitar Apoio")</f>
        <v>0</v>
      </c>
    </row>
    <row r="29" spans="2:7" x14ac:dyDescent="0.25">
      <c r="B29" t="s">
        <v>202</v>
      </c>
      <c r="C29">
        <f>COUNTIFS('ACOMPANHAMENTO VISTORIAS'!$B:$B,Tabela6[[#This Row],[OM]])</f>
        <v>1</v>
      </c>
      <c r="D29">
        <f>COUNTIFS('ACOMPANHAMENTO VISTORIAS'!$B:$B,Tabela6[[#This Row],[OM]],'ACOMPANHAMENTO VISTORIAS'!$E:$E,"Finalizada")</f>
        <v>1</v>
      </c>
      <c r="E29">
        <f>COUNTIFS('ACOMPANHAMENTO VISTORIAS'!$B:$B,Tabela6[[#This Row],[OM]],'ACOMPANHAMENTO VISTORIAS'!$E:$E,"Atendida/ Em Execução")</f>
        <v>0</v>
      </c>
      <c r="F29">
        <f>COUNTIFS('ACOMPANHAMENTO VISTORIAS'!$B:$B,Tabela6[[#This Row],[OM]],'ACOMPANHAMENTO VISTORIAS'!$E:$E,"Não atendida")</f>
        <v>0</v>
      </c>
      <c r="G29" s="106">
        <f>COUNTIFS('ACOMPANHAMENTO VISTORIAS'!$B:$B,Tabela6[[#This Row],[OM]],'ACOMPANHAMENTO VISTORIAS'!$E:$E,"Não correspondente - Solicitar Apoio")</f>
        <v>0</v>
      </c>
    </row>
    <row r="30" spans="2:7" x14ac:dyDescent="0.25">
      <c r="B30" t="s">
        <v>394</v>
      </c>
      <c r="C30">
        <f>COUNTIFS('ACOMPANHAMENTO VISTORIAS'!$B:$B,Tabela6[[#This Row],[OM]])</f>
        <v>1</v>
      </c>
      <c r="D30">
        <f>COUNTIFS('ACOMPANHAMENTO VISTORIAS'!$B:$B,Tabela6[[#This Row],[OM]],'ACOMPANHAMENTO VISTORIAS'!$E:$E,"Finalizada")</f>
        <v>1</v>
      </c>
      <c r="E30">
        <f>COUNTIFS('ACOMPANHAMENTO VISTORIAS'!$B:$B,Tabela6[[#This Row],[OM]],'ACOMPANHAMENTO VISTORIAS'!$E:$E,"Atendida/ Em Execução")</f>
        <v>0</v>
      </c>
      <c r="F30">
        <f>COUNTIFS('ACOMPANHAMENTO VISTORIAS'!$B:$B,Tabela6[[#This Row],[OM]],'ACOMPANHAMENTO VISTORIAS'!$E:$E,"Não atendida")</f>
        <v>0</v>
      </c>
      <c r="G30" s="106">
        <f>COUNTIFS('ACOMPANHAMENTO VISTORIAS'!$B:$B,Tabela6[[#This Row],[OM]],'ACOMPANHAMENTO VISTORIAS'!$E:$E,"Não correspondente - Solicitar Apoio")</f>
        <v>0</v>
      </c>
    </row>
    <row r="31" spans="2:7" x14ac:dyDescent="0.25">
      <c r="B31" t="s">
        <v>607</v>
      </c>
      <c r="C31">
        <f>COUNTIFS('ACOMPANHAMENTO VISTORIAS'!$B:$B,Tabela6[[#This Row],[OM]])</f>
        <v>0</v>
      </c>
      <c r="D31">
        <f>COUNTIFS('ACOMPANHAMENTO VISTORIAS'!$B:$B,Tabela6[[#This Row],[OM]],'ACOMPANHAMENTO VISTORIAS'!$E:$E,"Finalizada")</f>
        <v>0</v>
      </c>
      <c r="E31">
        <f>COUNTIFS('ACOMPANHAMENTO VISTORIAS'!$B:$B,Tabela6[[#This Row],[OM]],'ACOMPANHAMENTO VISTORIAS'!$E:$E,"Atendida/ Em Execução")</f>
        <v>0</v>
      </c>
      <c r="F31">
        <f>COUNTIFS('ACOMPANHAMENTO VISTORIAS'!$B:$B,Tabela6[[#This Row],[OM]],'ACOMPANHAMENTO VISTORIAS'!$E:$E,"Não atendida")</f>
        <v>0</v>
      </c>
      <c r="G31" s="106">
        <f>COUNTIFS('ACOMPANHAMENTO VISTORIAS'!$B:$B,Tabela6[[#This Row],[OM]],'ACOMPANHAMENTO VISTORIAS'!$E:$E,"Não correspondente - Solicitar Apoio")</f>
        <v>0</v>
      </c>
    </row>
    <row r="32" spans="2:7" x14ac:dyDescent="0.25">
      <c r="B32" t="s">
        <v>609</v>
      </c>
      <c r="C32">
        <f>COUNTIFS('ACOMPANHAMENTO VISTORIAS'!$B:$B,Tabela6[[#This Row],[OM]])</f>
        <v>1</v>
      </c>
      <c r="D32">
        <f>COUNTIFS('ACOMPANHAMENTO VISTORIAS'!$B:$B,Tabela6[[#This Row],[OM]],'ACOMPANHAMENTO VISTORIAS'!$E:$E,"Finalizada")</f>
        <v>0</v>
      </c>
      <c r="E32">
        <f>COUNTIFS('ACOMPANHAMENTO VISTORIAS'!$B:$B,Tabela6[[#This Row],[OM]],'ACOMPANHAMENTO VISTORIAS'!$E:$E,"Atendida/ Em Execução")</f>
        <v>0</v>
      </c>
      <c r="F32">
        <f>COUNTIFS('ACOMPANHAMENTO VISTORIAS'!$B:$B,Tabela6[[#This Row],[OM]],'ACOMPANHAMENTO VISTORIAS'!$E:$E,"Não atendida")</f>
        <v>0</v>
      </c>
      <c r="G32" s="106">
        <f>COUNTIFS('ACOMPANHAMENTO VISTORIAS'!$B:$B,Tabela6[[#This Row],[OM]],'ACOMPANHAMENTO VISTORIAS'!$E:$E,"Não correspondente - Solicitar Apoio")</f>
        <v>0</v>
      </c>
    </row>
    <row r="33" spans="2:7" x14ac:dyDescent="0.25">
      <c r="B33" t="s">
        <v>601</v>
      </c>
      <c r="C33">
        <f>COUNTIFS('ACOMPANHAMENTO VISTORIAS'!$B:$B,Tabela6[[#This Row],[OM]])</f>
        <v>0</v>
      </c>
      <c r="D33">
        <f>COUNTIFS('ACOMPANHAMENTO VISTORIAS'!$B:$B,Tabela6[[#This Row],[OM]],'ACOMPANHAMENTO VISTORIAS'!$E:$E,"Finalizada")</f>
        <v>0</v>
      </c>
      <c r="E33">
        <f>COUNTIFS('ACOMPANHAMENTO VISTORIAS'!$B:$B,Tabela6[[#This Row],[OM]],'ACOMPANHAMENTO VISTORIAS'!$E:$E,"Atendida/ Em Execução")</f>
        <v>0</v>
      </c>
      <c r="F33">
        <f>COUNTIFS('ACOMPANHAMENTO VISTORIAS'!$B:$B,Tabela6[[#This Row],[OM]],'ACOMPANHAMENTO VISTORIAS'!$E:$E,"Não atendida")</f>
        <v>0</v>
      </c>
      <c r="G33" s="106">
        <f>COUNTIFS('ACOMPANHAMENTO VISTORIAS'!$B:$B,Tabela6[[#This Row],[OM]],'ACOMPANHAMENTO VISTORIAS'!$E:$E,"Não correspondente - Solicitar Apoio")</f>
        <v>0</v>
      </c>
    </row>
    <row r="34" spans="2:7" x14ac:dyDescent="0.25">
      <c r="B34" t="s">
        <v>615</v>
      </c>
      <c r="C34">
        <f>COUNTIFS('ACOMPANHAMENTO VISTORIAS'!$B:$B,Tabela6[[#This Row],[OM]])</f>
        <v>1</v>
      </c>
      <c r="D34">
        <f>COUNTIFS('ACOMPANHAMENTO VISTORIAS'!$B:$B,Tabela6[[#This Row],[OM]],'ACOMPANHAMENTO VISTORIAS'!$E:$E,"Finalizada")</f>
        <v>0</v>
      </c>
      <c r="E34">
        <f>COUNTIFS('ACOMPANHAMENTO VISTORIAS'!$B:$B,Tabela6[[#This Row],[OM]],'ACOMPANHAMENTO VISTORIAS'!$E:$E,"Atendida/ Em Execução")</f>
        <v>0</v>
      </c>
      <c r="F34">
        <f>COUNTIFS('ACOMPANHAMENTO VISTORIAS'!$B:$B,Tabela6[[#This Row],[OM]],'ACOMPANHAMENTO VISTORIAS'!$E:$E,"Não atendida")</f>
        <v>1</v>
      </c>
      <c r="G34" s="106">
        <f>COUNTIFS('ACOMPANHAMENTO VISTORIAS'!$B:$B,Tabela6[[#This Row],[OM]],'ACOMPANHAMENTO VISTORIAS'!$E:$E,"Não correspondente - Solicitar Apoio")</f>
        <v>0</v>
      </c>
    </row>
    <row r="35" spans="2:7" x14ac:dyDescent="0.25">
      <c r="B35" t="s">
        <v>35</v>
      </c>
      <c r="C35">
        <f>COUNTIFS('ACOMPANHAMENTO VISTORIAS'!$B:$B,Tabela6[[#This Row],[OM]])</f>
        <v>1</v>
      </c>
      <c r="D35">
        <f>COUNTIFS('ACOMPANHAMENTO VISTORIAS'!$B:$B,Tabela6[[#This Row],[OM]],'ACOMPANHAMENTO VISTORIAS'!$E:$E,"Finalizada")</f>
        <v>1</v>
      </c>
      <c r="E35">
        <f>COUNTIFS('ACOMPANHAMENTO VISTORIAS'!$B:$B,Tabela6[[#This Row],[OM]],'ACOMPANHAMENTO VISTORIAS'!$E:$E,"Atendida/ Em Execução")</f>
        <v>0</v>
      </c>
      <c r="F35">
        <f>COUNTIFS('ACOMPANHAMENTO VISTORIAS'!$B:$B,Tabela6[[#This Row],[OM]],'ACOMPANHAMENTO VISTORIAS'!$E:$E,"Não atendida")</f>
        <v>0</v>
      </c>
      <c r="G35" s="106">
        <f>COUNTIFS('ACOMPANHAMENTO VISTORIAS'!$B:$B,Tabela6[[#This Row],[OM]],'ACOMPANHAMENTO VISTORIAS'!$E:$E,"Não correspondente - Solicitar Apoio")</f>
        <v>0</v>
      </c>
    </row>
    <row r="36" spans="2:7" x14ac:dyDescent="0.25">
      <c r="B36" t="s">
        <v>453</v>
      </c>
      <c r="C36">
        <f>COUNTIFS('ACOMPANHAMENTO VISTORIAS'!$B:$B,Tabela6[[#This Row],[OM]])</f>
        <v>1</v>
      </c>
      <c r="D36">
        <f>COUNTIFS('ACOMPANHAMENTO VISTORIAS'!$B:$B,Tabela6[[#This Row],[OM]],'ACOMPANHAMENTO VISTORIAS'!$E:$E,"Finalizada")</f>
        <v>0</v>
      </c>
      <c r="E36">
        <f>COUNTIFS('ACOMPANHAMENTO VISTORIAS'!$B:$B,Tabela6[[#This Row],[OM]],'ACOMPANHAMENTO VISTORIAS'!$E:$E,"Atendida/ Em Execução")</f>
        <v>1</v>
      </c>
      <c r="F36">
        <f>COUNTIFS('ACOMPANHAMENTO VISTORIAS'!$B:$B,Tabela6[[#This Row],[OM]],'ACOMPANHAMENTO VISTORIAS'!$E:$E,"Não atendida")</f>
        <v>0</v>
      </c>
      <c r="G36" s="106">
        <f>COUNTIFS('ACOMPANHAMENTO VISTORIAS'!$B:$B,Tabela6[[#This Row],[OM]],'ACOMPANHAMENTO VISTORIAS'!$E:$E,"Não correspondente - Solicitar Apoio")</f>
        <v>0</v>
      </c>
    </row>
    <row r="37" spans="2:7" x14ac:dyDescent="0.25">
      <c r="B37" t="s">
        <v>55</v>
      </c>
      <c r="C37">
        <f>COUNTIFS('ACOMPANHAMENTO VISTORIAS'!$B:$B,Tabela6[[#This Row],[OM]])</f>
        <v>2</v>
      </c>
      <c r="D37">
        <f>COUNTIFS('ACOMPANHAMENTO VISTORIAS'!$B:$B,Tabela6[[#This Row],[OM]],'ACOMPANHAMENTO VISTORIAS'!$E:$E,"Finalizada")</f>
        <v>2</v>
      </c>
      <c r="E37">
        <f>COUNTIFS('ACOMPANHAMENTO VISTORIAS'!$B:$B,Tabela6[[#This Row],[OM]],'ACOMPANHAMENTO VISTORIAS'!$E:$E,"Atendida/ Em Execução")</f>
        <v>0</v>
      </c>
      <c r="F37">
        <f>COUNTIFS('ACOMPANHAMENTO VISTORIAS'!$B:$B,Tabela6[[#This Row],[OM]],'ACOMPANHAMENTO VISTORIAS'!$E:$E,"Não atendida")</f>
        <v>0</v>
      </c>
      <c r="G37" s="106">
        <f>COUNTIFS('ACOMPANHAMENTO VISTORIAS'!$B:$B,Tabela6[[#This Row],[OM]],'ACOMPANHAMENTO VISTORIAS'!$E:$E,"Não correspondente - Solicitar Apoio")</f>
        <v>0</v>
      </c>
    </row>
    <row r="38" spans="2:7" x14ac:dyDescent="0.25">
      <c r="B38" t="s">
        <v>55</v>
      </c>
      <c r="C38">
        <f>COUNTIFS('ACOMPANHAMENTO VISTORIAS'!$B:$B,Tabela6[[#This Row],[OM]])</f>
        <v>2</v>
      </c>
      <c r="D38">
        <f>COUNTIFS('ACOMPANHAMENTO VISTORIAS'!$B:$B,Tabela6[[#This Row],[OM]],'ACOMPANHAMENTO VISTORIAS'!$E:$E,"Finalizada")</f>
        <v>2</v>
      </c>
      <c r="E38">
        <f>COUNTIFS('ACOMPANHAMENTO VISTORIAS'!$B:$B,Tabela6[[#This Row],[OM]],'ACOMPANHAMENTO VISTORIAS'!$E:$E,"Atendida/ Em Execução")</f>
        <v>0</v>
      </c>
      <c r="F38">
        <f>COUNTIFS('ACOMPANHAMENTO VISTORIAS'!$B:$B,Tabela6[[#This Row],[OM]],'ACOMPANHAMENTO VISTORIAS'!$E:$E,"Não atendida")</f>
        <v>0</v>
      </c>
      <c r="G38" s="106">
        <f>COUNTIFS('ACOMPANHAMENTO VISTORIAS'!$B:$B,Tabela6[[#This Row],[OM]],'ACOMPANHAMENTO VISTORIAS'!$E:$E,"Não correspondente - Solicitar Apoio")</f>
        <v>0</v>
      </c>
    </row>
    <row r="39" spans="2:7" x14ac:dyDescent="0.25">
      <c r="B39" t="s">
        <v>188</v>
      </c>
      <c r="C39">
        <f>COUNTIFS('ACOMPANHAMENTO VISTORIAS'!$B:$B,Tabela6[[#This Row],[OM]])</f>
        <v>1</v>
      </c>
      <c r="D39">
        <f>COUNTIFS('ACOMPANHAMENTO VISTORIAS'!$B:$B,Tabela6[[#This Row],[OM]],'ACOMPANHAMENTO VISTORIAS'!$E:$E,"Finalizada")</f>
        <v>1</v>
      </c>
      <c r="E39">
        <f>COUNTIFS('ACOMPANHAMENTO VISTORIAS'!$B:$B,Tabela6[[#This Row],[OM]],'ACOMPANHAMENTO VISTORIAS'!$E:$E,"Atendida/ Em Execução")</f>
        <v>0</v>
      </c>
      <c r="F39">
        <f>COUNTIFS('ACOMPANHAMENTO VISTORIAS'!$B:$B,Tabela6[[#This Row],[OM]],'ACOMPANHAMENTO VISTORIAS'!$E:$E,"Não atendida")</f>
        <v>0</v>
      </c>
      <c r="G39" s="106">
        <f>COUNTIFS('ACOMPANHAMENTO VISTORIAS'!$B:$B,Tabela6[[#This Row],[OM]],'ACOMPANHAMENTO VISTORIAS'!$E:$E,"Não correspondente - Solicitar Apoio")</f>
        <v>0</v>
      </c>
    </row>
    <row r="40" spans="2:7" x14ac:dyDescent="0.25">
      <c r="B40" t="s">
        <v>95</v>
      </c>
      <c r="C40">
        <f>COUNTIFS('ACOMPANHAMENTO VISTORIAS'!$B:$B,Tabela6[[#This Row],[OM]])</f>
        <v>1</v>
      </c>
      <c r="D40">
        <f>COUNTIFS('ACOMPANHAMENTO VISTORIAS'!$B:$B,Tabela6[[#This Row],[OM]],'ACOMPANHAMENTO VISTORIAS'!$E:$E,"Finalizada")</f>
        <v>1</v>
      </c>
      <c r="E40">
        <f>COUNTIFS('ACOMPANHAMENTO VISTORIAS'!$B:$B,Tabela6[[#This Row],[OM]],'ACOMPANHAMENTO VISTORIAS'!$E:$E,"Atendida/ Em Execução")</f>
        <v>0</v>
      </c>
      <c r="F40">
        <f>COUNTIFS('ACOMPANHAMENTO VISTORIAS'!$B:$B,Tabela6[[#This Row],[OM]],'ACOMPANHAMENTO VISTORIAS'!$E:$E,"Não atendida")</f>
        <v>0</v>
      </c>
      <c r="G40" s="106">
        <f>COUNTIFS('ACOMPANHAMENTO VISTORIAS'!$B:$B,Tabela6[[#This Row],[OM]],'ACOMPANHAMENTO VISTORIAS'!$E:$E,"Não correspondente - Solicitar Apoio")</f>
        <v>0</v>
      </c>
    </row>
    <row r="41" spans="2:7" x14ac:dyDescent="0.25">
      <c r="B41" t="s">
        <v>251</v>
      </c>
      <c r="C41">
        <f>COUNTIFS('ACOMPANHAMENTO VISTORIAS'!$B:$B,Tabela6[[#This Row],[OM]])</f>
        <v>2</v>
      </c>
      <c r="D41">
        <f>COUNTIFS('ACOMPANHAMENTO VISTORIAS'!$B:$B,Tabela6[[#This Row],[OM]],'ACOMPANHAMENTO VISTORIAS'!$E:$E,"Finalizada")</f>
        <v>1</v>
      </c>
      <c r="E41">
        <f>COUNTIFS('ACOMPANHAMENTO VISTORIAS'!$B:$B,Tabela6[[#This Row],[OM]],'ACOMPANHAMENTO VISTORIAS'!$E:$E,"Atendida/ Em Execução")</f>
        <v>0</v>
      </c>
      <c r="F41">
        <f>COUNTIFS('ACOMPANHAMENTO VISTORIAS'!$B:$B,Tabela6[[#This Row],[OM]],'ACOMPANHAMENTO VISTORIAS'!$E:$E,"Não atendida")</f>
        <v>1</v>
      </c>
      <c r="G41" s="106">
        <f>COUNTIFS('ACOMPANHAMENTO VISTORIAS'!$B:$B,Tabela6[[#This Row],[OM]],'ACOMPANHAMENTO VISTORIAS'!$E:$E,"Não correspondente - Solicitar Apoio")</f>
        <v>0</v>
      </c>
    </row>
    <row r="42" spans="2:7" x14ac:dyDescent="0.25">
      <c r="B42" t="s">
        <v>224</v>
      </c>
      <c r="C42">
        <f>COUNTIFS('ACOMPANHAMENTO VISTORIAS'!$B:$B,Tabela6[[#This Row],[OM]])</f>
        <v>1</v>
      </c>
      <c r="D42">
        <f>COUNTIFS('ACOMPANHAMENTO VISTORIAS'!$B:$B,Tabela6[[#This Row],[OM]],'ACOMPANHAMENTO VISTORIAS'!$E:$E,"Finalizada")</f>
        <v>1</v>
      </c>
      <c r="E42">
        <f>COUNTIFS('ACOMPANHAMENTO VISTORIAS'!$B:$B,Tabela6[[#This Row],[OM]],'ACOMPANHAMENTO VISTORIAS'!$E:$E,"Atendida/ Em Execução")</f>
        <v>0</v>
      </c>
      <c r="F42">
        <f>COUNTIFS('ACOMPANHAMENTO VISTORIAS'!$B:$B,Tabela6[[#This Row],[OM]],'ACOMPANHAMENTO VISTORIAS'!$E:$E,"Não atendida")</f>
        <v>0</v>
      </c>
      <c r="G42" s="106">
        <f>COUNTIFS('ACOMPANHAMENTO VISTORIAS'!$B:$B,Tabela6[[#This Row],[OM]],'ACOMPANHAMENTO VISTORIAS'!$E:$E,"Não correspondente - Solicitar Apoio")</f>
        <v>0</v>
      </c>
    </row>
    <row r="43" spans="2:7" x14ac:dyDescent="0.25">
      <c r="B43" t="s">
        <v>213</v>
      </c>
      <c r="C43">
        <f>COUNTIFS('ACOMPANHAMENTO VISTORIAS'!$B:$B,Tabela6[[#This Row],[OM]])</f>
        <v>1</v>
      </c>
      <c r="D43">
        <f>COUNTIFS('ACOMPANHAMENTO VISTORIAS'!$B:$B,Tabela6[[#This Row],[OM]],'ACOMPANHAMENTO VISTORIAS'!$E:$E,"Finalizada")</f>
        <v>1</v>
      </c>
      <c r="E43">
        <f>COUNTIFS('ACOMPANHAMENTO VISTORIAS'!$B:$B,Tabela6[[#This Row],[OM]],'ACOMPANHAMENTO VISTORIAS'!$E:$E,"Atendida/ Em Execução")</f>
        <v>0</v>
      </c>
      <c r="F43">
        <f>COUNTIFS('ACOMPANHAMENTO VISTORIAS'!$B:$B,Tabela6[[#This Row],[OM]],'ACOMPANHAMENTO VISTORIAS'!$E:$E,"Não atendida")</f>
        <v>0</v>
      </c>
      <c r="G43" s="106">
        <f>COUNTIFS('ACOMPANHAMENTO VISTORIAS'!$B:$B,Tabela6[[#This Row],[OM]],'ACOMPANHAMENTO VISTORIAS'!$E:$E,"Não correspondente - Solicitar Apoio")</f>
        <v>0</v>
      </c>
    </row>
    <row r="44" spans="2:7" x14ac:dyDescent="0.25">
      <c r="B44" t="s">
        <v>496</v>
      </c>
      <c r="C44">
        <f>COUNTIFS('ACOMPANHAMENTO VISTORIAS'!$B:$B,Tabela6[[#This Row],[OM]])</f>
        <v>1</v>
      </c>
      <c r="D44">
        <f>COUNTIFS('ACOMPANHAMENTO VISTORIAS'!$B:$B,Tabela6[[#This Row],[OM]],'ACOMPANHAMENTO VISTORIAS'!$E:$E,"Finalizada")</f>
        <v>0</v>
      </c>
      <c r="E44">
        <f>COUNTIFS('ACOMPANHAMENTO VISTORIAS'!$B:$B,Tabela6[[#This Row],[OM]],'ACOMPANHAMENTO VISTORIAS'!$E:$E,"Atendida/ Em Execução")</f>
        <v>0</v>
      </c>
      <c r="F44">
        <f>COUNTIFS('ACOMPANHAMENTO VISTORIAS'!$B:$B,Tabela6[[#This Row],[OM]],'ACOMPANHAMENTO VISTORIAS'!$E:$E,"Não atendida")</f>
        <v>1</v>
      </c>
      <c r="G44" s="106">
        <f>COUNTIFS('ACOMPANHAMENTO VISTORIAS'!$B:$B,Tabela6[[#This Row],[OM]],'ACOMPANHAMENTO VISTORIAS'!$E:$E,"Não correspondente - Solicitar Apoio")</f>
        <v>0</v>
      </c>
    </row>
    <row r="45" spans="2:7" x14ac:dyDescent="0.25">
      <c r="B45" t="s">
        <v>614</v>
      </c>
      <c r="C45">
        <f>COUNTIFS('ACOMPANHAMENTO VISTORIAS'!$B:$B,Tabela6[[#This Row],[OM]])</f>
        <v>0</v>
      </c>
      <c r="D45">
        <f>COUNTIFS('ACOMPANHAMENTO VISTORIAS'!$B:$B,Tabela6[[#This Row],[OM]],'ACOMPANHAMENTO VISTORIAS'!$E:$E,"Finalizada")</f>
        <v>0</v>
      </c>
      <c r="E45">
        <f>COUNTIFS('ACOMPANHAMENTO VISTORIAS'!$B:$B,Tabela6[[#This Row],[OM]],'ACOMPANHAMENTO VISTORIAS'!$E:$E,"Atendida/ Em Execução")</f>
        <v>0</v>
      </c>
      <c r="F45">
        <f>COUNTIFS('ACOMPANHAMENTO VISTORIAS'!$B:$B,Tabela6[[#This Row],[OM]],'ACOMPANHAMENTO VISTORIAS'!$E:$E,"Não atendida")</f>
        <v>0</v>
      </c>
      <c r="G45" s="106">
        <f>COUNTIFS('ACOMPANHAMENTO VISTORIAS'!$B:$B,Tabela6[[#This Row],[OM]],'ACOMPANHAMENTO VISTORIAS'!$E:$E,"Não correspondente - Solicitar Apoio")</f>
        <v>0</v>
      </c>
    </row>
    <row r="46" spans="2:7" x14ac:dyDescent="0.25">
      <c r="B46" t="s">
        <v>170</v>
      </c>
      <c r="C46">
        <f>COUNTIFS('ACOMPANHAMENTO VISTORIAS'!$B:$B,Tabela6[[#This Row],[OM]])</f>
        <v>5</v>
      </c>
      <c r="D46">
        <f>COUNTIFS('ACOMPANHAMENTO VISTORIAS'!$B:$B,Tabela6[[#This Row],[OM]],'ACOMPANHAMENTO VISTORIAS'!$E:$E,"Finalizada")</f>
        <v>3</v>
      </c>
      <c r="E46">
        <f>COUNTIFS('ACOMPANHAMENTO VISTORIAS'!$B:$B,Tabela6[[#This Row],[OM]],'ACOMPANHAMENTO VISTORIAS'!$E:$E,"Atendida/ Em Execução")</f>
        <v>0</v>
      </c>
      <c r="F46">
        <f>COUNTIFS('ACOMPANHAMENTO VISTORIAS'!$B:$B,Tabela6[[#This Row],[OM]],'ACOMPANHAMENTO VISTORIAS'!$E:$E,"Não atendida")</f>
        <v>2</v>
      </c>
      <c r="G46" s="106">
        <f>COUNTIFS('ACOMPANHAMENTO VISTORIAS'!$B:$B,Tabela6[[#This Row],[OM]],'ACOMPANHAMENTO VISTORIAS'!$E:$E,"Não correspondente - Solicitar Apoio")</f>
        <v>0</v>
      </c>
    </row>
    <row r="47" spans="2:7" x14ac:dyDescent="0.25">
      <c r="B47" t="s">
        <v>256</v>
      </c>
      <c r="C47">
        <f>COUNTIFS('ACOMPANHAMENTO VISTORIAS'!$B:$B,Tabela6[[#This Row],[OM]])</f>
        <v>28</v>
      </c>
      <c r="D47">
        <f>COUNTIFS('ACOMPANHAMENTO VISTORIAS'!$B:$B,Tabela6[[#This Row],[OM]],'ACOMPANHAMENTO VISTORIAS'!$E:$E,"Finalizada")</f>
        <v>0</v>
      </c>
      <c r="E47">
        <f>COUNTIFS('ACOMPANHAMENTO VISTORIAS'!$B:$B,Tabela6[[#This Row],[OM]],'ACOMPANHAMENTO VISTORIAS'!$E:$E,"Atendida/ Em Execução")</f>
        <v>0</v>
      </c>
      <c r="F47">
        <f>COUNTIFS('ACOMPANHAMENTO VISTORIAS'!$B:$B,Tabela6[[#This Row],[OM]],'ACOMPANHAMENTO VISTORIAS'!$E:$E,"Não atendida")</f>
        <v>16</v>
      </c>
      <c r="G47" s="106">
        <f>COUNTIFS('ACOMPANHAMENTO VISTORIAS'!$B:$B,Tabela6[[#This Row],[OM]],'ACOMPANHAMENTO VISTORIAS'!$E:$E,"Não correspondente - Solicitar Apoio")</f>
        <v>0</v>
      </c>
    </row>
    <row r="48" spans="2:7" x14ac:dyDescent="0.25">
      <c r="B48" t="s">
        <v>355</v>
      </c>
      <c r="C48">
        <f>COUNTIFS('ACOMPANHAMENTO VISTORIAS'!$B:$B,Tabela6[[#This Row],[OM]])</f>
        <v>1</v>
      </c>
      <c r="D48">
        <f>COUNTIFS('ACOMPANHAMENTO VISTORIAS'!$B:$B,Tabela6[[#This Row],[OM]],'ACOMPANHAMENTO VISTORIAS'!$E:$E,"Finalizada")</f>
        <v>1</v>
      </c>
      <c r="E48">
        <f>COUNTIFS('ACOMPANHAMENTO VISTORIAS'!$B:$B,Tabela6[[#This Row],[OM]],'ACOMPANHAMENTO VISTORIAS'!$E:$E,"Atendida/ Em Execução")</f>
        <v>0</v>
      </c>
      <c r="F48">
        <f>COUNTIFS('ACOMPANHAMENTO VISTORIAS'!$B:$B,Tabela6[[#This Row],[OM]],'ACOMPANHAMENTO VISTORIAS'!$E:$E,"Não atendida")</f>
        <v>0</v>
      </c>
      <c r="G48" s="106">
        <f>COUNTIFS('ACOMPANHAMENTO VISTORIAS'!$B:$B,Tabela6[[#This Row],[OM]],'ACOMPANHAMENTO VISTORIAS'!$E:$E,"Não correspondente - Solicitar Apoio")</f>
        <v>0</v>
      </c>
    </row>
    <row r="49" spans="2:7" x14ac:dyDescent="0.25">
      <c r="B49" t="s">
        <v>185</v>
      </c>
      <c r="C49">
        <f>COUNTIFS('ACOMPANHAMENTO VISTORIAS'!$B:$B,Tabela6[[#This Row],[OM]])</f>
        <v>1</v>
      </c>
      <c r="D49">
        <f>COUNTIFS('ACOMPANHAMENTO VISTORIAS'!$B:$B,Tabela6[[#This Row],[OM]],'ACOMPANHAMENTO VISTORIAS'!$E:$E,"Finalizada")</f>
        <v>0</v>
      </c>
      <c r="E49">
        <f>COUNTIFS('ACOMPANHAMENTO VISTORIAS'!$B:$B,Tabela6[[#This Row],[OM]],'ACOMPANHAMENTO VISTORIAS'!$E:$E,"Atendida/ Em Execução")</f>
        <v>0</v>
      </c>
      <c r="F49">
        <f>COUNTIFS('ACOMPANHAMENTO VISTORIAS'!$B:$B,Tabela6[[#This Row],[OM]],'ACOMPANHAMENTO VISTORIAS'!$E:$E,"Não atendida")</f>
        <v>0</v>
      </c>
      <c r="G49" s="106">
        <f>COUNTIFS('ACOMPANHAMENTO VISTORIAS'!$B:$B,Tabela6[[#This Row],[OM]],'ACOMPANHAMENTO VISTORIAS'!$E:$E,"Não correspondente - Solicitar Apoio")</f>
        <v>0</v>
      </c>
    </row>
    <row r="50" spans="2:7" x14ac:dyDescent="0.25">
      <c r="B50" t="s">
        <v>498</v>
      </c>
      <c r="C50">
        <f>COUNTIFS('ACOMPANHAMENTO VISTORIAS'!$B:$B,Tabela6[[#This Row],[OM]])</f>
        <v>1</v>
      </c>
      <c r="D50">
        <f>COUNTIFS('ACOMPANHAMENTO VISTORIAS'!$B:$B,Tabela6[[#This Row],[OM]],'ACOMPANHAMENTO VISTORIAS'!$E:$E,"Finalizada")</f>
        <v>1</v>
      </c>
      <c r="E50">
        <f>COUNTIFS('ACOMPANHAMENTO VISTORIAS'!$B:$B,Tabela6[[#This Row],[OM]],'ACOMPANHAMENTO VISTORIAS'!$E:$E,"Atendida/ Em Execução")</f>
        <v>0</v>
      </c>
      <c r="F50">
        <f>COUNTIFS('ACOMPANHAMENTO VISTORIAS'!$B:$B,Tabela6[[#This Row],[OM]],'ACOMPANHAMENTO VISTORIAS'!$E:$E,"Não atendida")</f>
        <v>0</v>
      </c>
      <c r="G50" s="106">
        <f>COUNTIFS('ACOMPANHAMENTO VISTORIAS'!$B:$B,Tabela6[[#This Row],[OM]],'ACOMPANHAMENTO VISTORIAS'!$E:$E,"Não correspondente - Solicitar Apoio")</f>
        <v>0</v>
      </c>
    </row>
    <row r="51" spans="2:7" x14ac:dyDescent="0.25">
      <c r="B51" t="s">
        <v>348</v>
      </c>
      <c r="C51">
        <f>COUNTIFS('ACOMPANHAMENTO VISTORIAS'!$B:$B,Tabela6[[#This Row],[OM]])</f>
        <v>1</v>
      </c>
      <c r="D51">
        <f>COUNTIFS('ACOMPANHAMENTO VISTORIAS'!$B:$B,Tabela6[[#This Row],[OM]],'ACOMPANHAMENTO VISTORIAS'!$E:$E,"Finalizada")</f>
        <v>1</v>
      </c>
      <c r="E51">
        <f>COUNTIFS('ACOMPANHAMENTO VISTORIAS'!$B:$B,Tabela6[[#This Row],[OM]],'ACOMPANHAMENTO VISTORIAS'!$E:$E,"Atendida/ Em Execução")</f>
        <v>0</v>
      </c>
      <c r="F51">
        <f>COUNTIFS('ACOMPANHAMENTO VISTORIAS'!$B:$B,Tabela6[[#This Row],[OM]],'ACOMPANHAMENTO VISTORIAS'!$E:$E,"Não atendida")</f>
        <v>0</v>
      </c>
      <c r="G51" s="106">
        <f>COUNTIFS('ACOMPANHAMENTO VISTORIAS'!$B:$B,Tabela6[[#This Row],[OM]],'ACOMPANHAMENTO VISTORIAS'!$E:$E,"Não correspondente - Solicitar Apoio")</f>
        <v>0</v>
      </c>
    </row>
    <row r="52" spans="2:7" x14ac:dyDescent="0.25">
      <c r="B52" t="s">
        <v>619</v>
      </c>
      <c r="C52">
        <f>COUNTIFS('ACOMPANHAMENTO VISTORIAS'!$B:$B,Tabela6[[#This Row],[OM]])</f>
        <v>0</v>
      </c>
      <c r="D52">
        <f>COUNTIFS('ACOMPANHAMENTO VISTORIAS'!$B:$B,Tabela6[[#This Row],[OM]],'ACOMPANHAMENTO VISTORIAS'!$E:$E,"Finalizada")</f>
        <v>0</v>
      </c>
      <c r="E52">
        <f>COUNTIFS('ACOMPANHAMENTO VISTORIAS'!$B:$B,Tabela6[[#This Row],[OM]],'ACOMPANHAMENTO VISTORIAS'!$E:$E,"Atendida/ Em Execução")</f>
        <v>0</v>
      </c>
      <c r="F52">
        <f>COUNTIFS('ACOMPANHAMENTO VISTORIAS'!$B:$B,Tabela6[[#This Row],[OM]],'ACOMPANHAMENTO VISTORIAS'!$E:$E,"Não atendida")</f>
        <v>0</v>
      </c>
      <c r="G52" s="106">
        <f>COUNTIFS('ACOMPANHAMENTO VISTORIAS'!$B:$B,Tabela6[[#This Row],[OM]],'ACOMPANHAMENTO VISTORIAS'!$E:$E,"Não correspondente - Solicitar Apoio")</f>
        <v>0</v>
      </c>
    </row>
    <row r="53" spans="2:7" x14ac:dyDescent="0.25">
      <c r="B53" t="s">
        <v>631</v>
      </c>
      <c r="C53">
        <f>COUNTIFS('ACOMPANHAMENTO VISTORIAS'!$B:$B,Tabela6[[#This Row],[OM]])</f>
        <v>0</v>
      </c>
      <c r="D53">
        <f>COUNTIFS('ACOMPANHAMENTO VISTORIAS'!$B:$B,Tabela6[[#This Row],[OM]],'ACOMPANHAMENTO VISTORIAS'!$E:$E,"Finalizada")</f>
        <v>0</v>
      </c>
      <c r="E53">
        <f>COUNTIFS('ACOMPANHAMENTO VISTORIAS'!$B:$B,Tabela6[[#This Row],[OM]],'ACOMPANHAMENTO VISTORIAS'!$E:$E,"Atendida/ Em Execução")</f>
        <v>0</v>
      </c>
      <c r="F53">
        <f>COUNTIFS('ACOMPANHAMENTO VISTORIAS'!$B:$B,Tabela6[[#This Row],[OM]],'ACOMPANHAMENTO VISTORIAS'!$E:$E,"Não atendida")</f>
        <v>0</v>
      </c>
      <c r="G53" s="106">
        <f>COUNTIFS('ACOMPANHAMENTO VISTORIAS'!$B:$B,Tabela6[[#This Row],[OM]],'ACOMPANHAMENTO VISTORIAS'!$E:$E,"Não correspondente - Solicitar Apoio")</f>
        <v>0</v>
      </c>
    </row>
    <row r="54" spans="2:7" x14ac:dyDescent="0.25">
      <c r="B54" t="s">
        <v>431</v>
      </c>
      <c r="C54">
        <f>COUNTIFS('ACOMPANHAMENTO VISTORIAS'!$B:$B,Tabela6[[#This Row],[OM]])</f>
        <v>2</v>
      </c>
      <c r="D54">
        <f>COUNTIFS('ACOMPANHAMENTO VISTORIAS'!$B:$B,Tabela6[[#This Row],[OM]],'ACOMPANHAMENTO VISTORIAS'!$E:$E,"Finalizada")</f>
        <v>0</v>
      </c>
      <c r="E54">
        <f>COUNTIFS('ACOMPANHAMENTO VISTORIAS'!$B:$B,Tabela6[[#This Row],[OM]],'ACOMPANHAMENTO VISTORIAS'!$E:$E,"Atendida/ Em Execução")</f>
        <v>0</v>
      </c>
      <c r="F54">
        <f>COUNTIFS('ACOMPANHAMENTO VISTORIAS'!$B:$B,Tabela6[[#This Row],[OM]],'ACOMPANHAMENTO VISTORIAS'!$E:$E,"Não atendida")</f>
        <v>2</v>
      </c>
      <c r="G54" s="106">
        <f>COUNTIFS('ACOMPANHAMENTO VISTORIAS'!$B:$B,Tabela6[[#This Row],[OM]],'ACOMPANHAMENTO VISTORIAS'!$E:$E,"Não correspondente - Solicitar Apoio")</f>
        <v>0</v>
      </c>
    </row>
    <row r="55" spans="2:7" x14ac:dyDescent="0.25">
      <c r="B55" t="s">
        <v>17</v>
      </c>
      <c r="C55">
        <f>COUNTIFS('ACOMPANHAMENTO VISTORIAS'!$B:$B,Tabela6[[#This Row],[OM]])</f>
        <v>1</v>
      </c>
      <c r="D55">
        <f>COUNTIFS('ACOMPANHAMENTO VISTORIAS'!$B:$B,Tabela6[[#This Row],[OM]],'ACOMPANHAMENTO VISTORIAS'!$E:$E,"Finalizada")</f>
        <v>1</v>
      </c>
      <c r="E55">
        <f>COUNTIFS('ACOMPANHAMENTO VISTORIAS'!$B:$B,Tabela6[[#This Row],[OM]],'ACOMPANHAMENTO VISTORIAS'!$E:$E,"Atendida/ Em Execução")</f>
        <v>0</v>
      </c>
      <c r="F55">
        <f>COUNTIFS('ACOMPANHAMENTO VISTORIAS'!$B:$B,Tabela6[[#This Row],[OM]],'ACOMPANHAMENTO VISTORIAS'!$E:$E,"Não atendida")</f>
        <v>0</v>
      </c>
      <c r="G55" s="106">
        <f>COUNTIFS('ACOMPANHAMENTO VISTORIAS'!$B:$B,Tabela6[[#This Row],[OM]],'ACOMPANHAMENTO VISTORIAS'!$E:$E,"Não correspondente - Solicitar Apoio")</f>
        <v>0</v>
      </c>
    </row>
    <row r="56" spans="2:7" x14ac:dyDescent="0.25">
      <c r="B56" t="s">
        <v>620</v>
      </c>
      <c r="C56">
        <f>COUNTIFS('ACOMPANHAMENTO VISTORIAS'!$B:$B,Tabela6[[#This Row],[OM]])</f>
        <v>0</v>
      </c>
      <c r="D56">
        <f>COUNTIFS('ACOMPANHAMENTO VISTORIAS'!$B:$B,Tabela6[[#This Row],[OM]],'ACOMPANHAMENTO VISTORIAS'!$E:$E,"Finalizada")</f>
        <v>0</v>
      </c>
      <c r="E56">
        <f>COUNTIFS('ACOMPANHAMENTO VISTORIAS'!$B:$B,Tabela6[[#This Row],[OM]],'ACOMPANHAMENTO VISTORIAS'!$E:$E,"Atendida/ Em Execução")</f>
        <v>0</v>
      </c>
      <c r="F56">
        <f>COUNTIFS('ACOMPANHAMENTO VISTORIAS'!$B:$B,Tabela6[[#This Row],[OM]],'ACOMPANHAMENTO VISTORIAS'!$E:$E,"Não atendida")</f>
        <v>0</v>
      </c>
      <c r="G56" s="106">
        <f>COUNTIFS('ACOMPANHAMENTO VISTORIAS'!$B:$B,Tabela6[[#This Row],[OM]],'ACOMPANHAMENTO VISTORIAS'!$E:$E,"Não correspondente - Solicitar Apoio")</f>
        <v>0</v>
      </c>
    </row>
    <row r="57" spans="2:7" x14ac:dyDescent="0.25">
      <c r="B57" t="s">
        <v>630</v>
      </c>
      <c r="C57">
        <f>COUNTIFS('ACOMPANHAMENTO VISTORIAS'!$B:$B,Tabela6[[#This Row],[OM]])</f>
        <v>0</v>
      </c>
      <c r="D57">
        <f>COUNTIFS('ACOMPANHAMENTO VISTORIAS'!$B:$B,Tabela6[[#This Row],[OM]],'ACOMPANHAMENTO VISTORIAS'!$E:$E,"Finalizada")</f>
        <v>0</v>
      </c>
      <c r="E57">
        <f>COUNTIFS('ACOMPANHAMENTO VISTORIAS'!$B:$B,Tabela6[[#This Row],[OM]],'ACOMPANHAMENTO VISTORIAS'!$E:$E,"Atendida/ Em Execução")</f>
        <v>0</v>
      </c>
      <c r="F57">
        <f>COUNTIFS('ACOMPANHAMENTO VISTORIAS'!$B:$B,Tabela6[[#This Row],[OM]],'ACOMPANHAMENTO VISTORIAS'!$E:$E,"Não atendida")</f>
        <v>0</v>
      </c>
      <c r="G57" s="106">
        <f>COUNTIFS('ACOMPANHAMENTO VISTORIAS'!$B:$B,Tabela6[[#This Row],[OM]],'ACOMPANHAMENTO VISTORIAS'!$E:$E,"Não correspondente - Solicitar Apoio")</f>
        <v>0</v>
      </c>
    </row>
    <row r="58" spans="2:7" x14ac:dyDescent="0.25">
      <c r="B58" t="s">
        <v>461</v>
      </c>
      <c r="C58">
        <f>COUNTIFS('ACOMPANHAMENTO VISTORIAS'!$B:$B,Tabela6[[#This Row],[OM]])</f>
        <v>1</v>
      </c>
      <c r="D58">
        <f>COUNTIFS('ACOMPANHAMENTO VISTORIAS'!$B:$B,Tabela6[[#This Row],[OM]],'ACOMPANHAMENTO VISTORIAS'!$E:$E,"Finalizada")</f>
        <v>1</v>
      </c>
      <c r="E58">
        <f>COUNTIFS('ACOMPANHAMENTO VISTORIAS'!$B:$B,Tabela6[[#This Row],[OM]],'ACOMPANHAMENTO VISTORIAS'!$E:$E,"Atendida/ Em Execução")</f>
        <v>0</v>
      </c>
      <c r="F58">
        <f>COUNTIFS('ACOMPANHAMENTO VISTORIAS'!$B:$B,Tabela6[[#This Row],[OM]],'ACOMPANHAMENTO VISTORIAS'!$E:$E,"Não atendida")</f>
        <v>0</v>
      </c>
      <c r="G58" s="106">
        <f>COUNTIFS('ACOMPANHAMENTO VISTORIAS'!$B:$B,Tabela6[[#This Row],[OM]],'ACOMPANHAMENTO VISTORIAS'!$E:$E,"Não correspondente - Solicitar Apoio")</f>
        <v>0</v>
      </c>
    </row>
    <row r="59" spans="2:7" x14ac:dyDescent="0.25">
      <c r="B59" t="s">
        <v>415</v>
      </c>
      <c r="C59">
        <f>COUNTIFS('ACOMPANHAMENTO VISTORIAS'!$B:$B,Tabela6[[#This Row],[OM]])</f>
        <v>2</v>
      </c>
      <c r="D59">
        <f>COUNTIFS('ACOMPANHAMENTO VISTORIAS'!$B:$B,Tabela6[[#This Row],[OM]],'ACOMPANHAMENTO VISTORIAS'!$E:$E,"Finalizada")</f>
        <v>1</v>
      </c>
      <c r="E59">
        <f>COUNTIFS('ACOMPANHAMENTO VISTORIAS'!$B:$B,Tabela6[[#This Row],[OM]],'ACOMPANHAMENTO VISTORIAS'!$E:$E,"Atendida/ Em Execução")</f>
        <v>1</v>
      </c>
      <c r="F59">
        <f>COUNTIFS('ACOMPANHAMENTO VISTORIAS'!$B:$B,Tabela6[[#This Row],[OM]],'ACOMPANHAMENTO VISTORIAS'!$E:$E,"Não atendida")</f>
        <v>0</v>
      </c>
      <c r="G59" s="106">
        <f>COUNTIFS('ACOMPANHAMENTO VISTORIAS'!$B:$B,Tabela6[[#This Row],[OM]],'ACOMPANHAMENTO VISTORIAS'!$E:$E,"Não correspondente - Solicitar Apoio")</f>
        <v>0</v>
      </c>
    </row>
  </sheetData>
  <sortState ref="A5:D59">
    <sortCondition ref="B5"/>
  </sortState>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11"/>
  <sheetViews>
    <sheetView workbookViewId="0">
      <selection activeCell="C6" sqref="C6"/>
    </sheetView>
  </sheetViews>
  <sheetFormatPr defaultRowHeight="15" x14ac:dyDescent="0.25"/>
  <cols>
    <col min="2" max="2" width="16.140625" customWidth="1"/>
    <col min="3" max="3" width="17.28515625" customWidth="1"/>
    <col min="4" max="4" width="27.42578125" customWidth="1"/>
    <col min="5" max="5" width="26.42578125" customWidth="1"/>
    <col min="6" max="6" width="30.7109375" customWidth="1"/>
    <col min="7" max="7" width="31.7109375" customWidth="1"/>
  </cols>
  <sheetData>
    <row r="4" spans="2:8" x14ac:dyDescent="0.25">
      <c r="B4" s="12" t="s">
        <v>636</v>
      </c>
      <c r="C4" s="105" t="s">
        <v>629</v>
      </c>
      <c r="D4" s="105" t="s">
        <v>634</v>
      </c>
      <c r="E4" s="105" t="s">
        <v>633</v>
      </c>
      <c r="F4" s="105" t="s">
        <v>632</v>
      </c>
      <c r="G4" s="104" t="s">
        <v>635</v>
      </c>
      <c r="H4" s="109" t="s">
        <v>637</v>
      </c>
    </row>
    <row r="5" spans="2:8" x14ac:dyDescent="0.25">
      <c r="B5" t="s">
        <v>562</v>
      </c>
      <c r="C5">
        <f>COUNTIFS('ACOMPANHAMENTO VISTORIAS'!$C:$C,Tabela7[[#This Row],[Órgão Setorial ]])</f>
        <v>32</v>
      </c>
      <c r="D5">
        <f>COUNTIFS('ACOMPANHAMENTO VISTORIAS'!$C:$C,Tabela7[[#This Row],[Órgão Setorial ]],'ACOMPANHAMENTO VISTORIAS'!E:E,"Finalizada")</f>
        <v>3</v>
      </c>
      <c r="E5">
        <f>COUNTIFS('ACOMPANHAMENTO VISTORIAS'!$C:$C,Tabela7[[#This Row],[Órgão Setorial ]],'ACOMPANHAMENTO VISTORIAS'!$E:$E,"Atendida/ Em Execução")</f>
        <v>1</v>
      </c>
      <c r="F5">
        <f>COUNTIFS('ACOMPANHAMENTO VISTORIAS'!$C:$C,Tabela7[[#This Row],[Órgão Setorial ]],'ACOMPANHAMENTO VISTORIAS'!$E:$E,"Não Atendida")</f>
        <v>16</v>
      </c>
      <c r="G5">
        <f>COUNTIFS('ACOMPANHAMENTO VISTORIAS'!$C:$C,Tabela7[[#This Row],[Órgão Setorial ]],'ACOMPANHAMENTO VISTORIAS'!$E:$E,"Não correspondente - Solicitar Apoio")</f>
        <v>0</v>
      </c>
      <c r="H5" s="110">
        <f>COUNTIFS('ACOMPANHAMENTO VISTORIAS'!$C:$C,Tabela7[[#This Row],[Órgão Setorial ]],'ACOMPANHAMENTO VISTORIAS'!$E:$E,"")</f>
        <v>12</v>
      </c>
    </row>
    <row r="6" spans="2:8" x14ac:dyDescent="0.25">
      <c r="B6" t="s">
        <v>251</v>
      </c>
      <c r="C6">
        <f>COUNTIFS('ACOMPANHAMENTO VISTORIAS'!$C:$C,Tabela7[[#This Row],[Órgão Setorial ]])</f>
        <v>15</v>
      </c>
      <c r="D6">
        <f>COUNTIFS('ACOMPANHAMENTO VISTORIAS'!$C:$C,Tabela7[[#This Row],[Órgão Setorial ]],'ACOMPANHAMENTO VISTORIAS'!E:E,"Finalizada")</f>
        <v>10</v>
      </c>
      <c r="E6">
        <f>COUNTIFS('ACOMPANHAMENTO VISTORIAS'!$C:$C,Tabela7[[#This Row],[Órgão Setorial ]],'ACOMPANHAMENTO VISTORIAS'!$E:$E,"Atendida/ Em Execução")</f>
        <v>1</v>
      </c>
      <c r="F6">
        <f>COUNTIFS('ACOMPANHAMENTO VISTORIAS'!$C:$C,Tabela7[[#This Row],[Órgão Setorial ]],'ACOMPANHAMENTO VISTORIAS'!$E:$E,"Não Atendida")</f>
        <v>4</v>
      </c>
      <c r="G6">
        <f>COUNTIFS('ACOMPANHAMENTO VISTORIAS'!$C:$C,Tabela7[[#This Row],[Órgão Setorial ]],'ACOMPANHAMENTO VISTORIAS'!$E:$E,"Não correspondente - Solicitar Apoio")</f>
        <v>0</v>
      </c>
      <c r="H6" s="110">
        <f>COUNTIFS('ACOMPANHAMENTO VISTORIAS'!$C:$C,Tabela7[[#This Row],[Órgão Setorial ]],'ACOMPANHAMENTO VISTORIAS'!$E:$E,"")</f>
        <v>0</v>
      </c>
    </row>
    <row r="7" spans="2:8" x14ac:dyDescent="0.25">
      <c r="B7" t="s">
        <v>553</v>
      </c>
      <c r="C7">
        <f>COUNTIFS('ACOMPANHAMENTO VISTORIAS'!$C:$C,Tabela7[[#This Row],[Órgão Setorial ]])</f>
        <v>2</v>
      </c>
      <c r="D7">
        <f>COUNTIFS('ACOMPANHAMENTO VISTORIAS'!$C:$C,Tabela7[[#This Row],[Órgão Setorial ]],'ACOMPANHAMENTO VISTORIAS'!E:E,"Finalizada")</f>
        <v>2</v>
      </c>
      <c r="E7">
        <f>COUNTIFS('ACOMPANHAMENTO VISTORIAS'!$C:$C,Tabela7[[#This Row],[Órgão Setorial ]],'ACOMPANHAMENTO VISTORIAS'!$E:$E,"Atendida/ Em Execução")</f>
        <v>0</v>
      </c>
      <c r="F7">
        <f>COUNTIFS('ACOMPANHAMENTO VISTORIAS'!$C:$C,Tabela7[[#This Row],[Órgão Setorial ]],'ACOMPANHAMENTO VISTORIAS'!$E:$E,"Não Atendida")</f>
        <v>0</v>
      </c>
      <c r="G7">
        <f>COUNTIFS('ACOMPANHAMENTO VISTORIAS'!$C:$C,Tabela7[[#This Row],[Órgão Setorial ]],'ACOMPANHAMENTO VISTORIAS'!$E:$E,"Não correspondente - Solicitar Apoio")</f>
        <v>0</v>
      </c>
      <c r="H7" s="110">
        <f>COUNTIFS('ACOMPANHAMENTO VISTORIAS'!$C:$C,Tabela7[[#This Row],[Órgão Setorial ]],'ACOMPANHAMENTO VISTORIAS'!$E:$E,"")</f>
        <v>0</v>
      </c>
    </row>
    <row r="8" spans="2:8" x14ac:dyDescent="0.25">
      <c r="B8" t="s">
        <v>549</v>
      </c>
      <c r="C8">
        <f>COUNTIFS('ACOMPANHAMENTO VISTORIAS'!$C:$C,Tabela7[[#This Row],[Órgão Setorial ]])</f>
        <v>0</v>
      </c>
      <c r="D8">
        <f>COUNTIFS('ACOMPANHAMENTO VISTORIAS'!$C:$C,Tabela7[[#This Row],[Órgão Setorial ]],'ACOMPANHAMENTO VISTORIAS'!E:E,"Finalizada")</f>
        <v>0</v>
      </c>
      <c r="E8">
        <f>COUNTIFS('ACOMPANHAMENTO VISTORIAS'!$C:$C,Tabela7[[#This Row],[Órgão Setorial ]],'ACOMPANHAMENTO VISTORIAS'!$E:$E,"Atendida/ Em Execução")</f>
        <v>0</v>
      </c>
      <c r="F8">
        <f>COUNTIFS('ACOMPANHAMENTO VISTORIAS'!$C:$C,Tabela7[[#This Row],[Órgão Setorial ]],'ACOMPANHAMENTO VISTORIAS'!$E:$E,"Não Atendida")</f>
        <v>0</v>
      </c>
      <c r="G8">
        <f>COUNTIFS('ACOMPANHAMENTO VISTORIAS'!$C:$C,Tabela7[[#This Row],[Órgão Setorial ]],'ACOMPANHAMENTO VISTORIAS'!$E:$E,"Não correspondente - Solicitar Apoio")</f>
        <v>0</v>
      </c>
      <c r="H8" s="110">
        <f>COUNTIFS('ACOMPANHAMENTO VISTORIAS'!$C:$C,Tabela7[[#This Row],[Órgão Setorial ]],'ACOMPANHAMENTO VISTORIAS'!$E:$E,"")</f>
        <v>0</v>
      </c>
    </row>
    <row r="9" spans="2:8" x14ac:dyDescent="0.25">
      <c r="B9" t="s">
        <v>555</v>
      </c>
      <c r="C9">
        <f>COUNTIFS('ACOMPANHAMENTO VISTORIAS'!$C:$C,Tabela7[[#This Row],[Órgão Setorial ]])</f>
        <v>6</v>
      </c>
      <c r="D9">
        <f>COUNTIFS('ACOMPANHAMENTO VISTORIAS'!$C:$C,Tabela7[[#This Row],[Órgão Setorial ]],'ACOMPANHAMENTO VISTORIAS'!E:E,"Finalizada")</f>
        <v>5</v>
      </c>
      <c r="E9">
        <f>COUNTIFS('ACOMPANHAMENTO VISTORIAS'!$C:$C,Tabela7[[#This Row],[Órgão Setorial ]],'ACOMPANHAMENTO VISTORIAS'!$E:$E,"Atendida/ Em Execução")</f>
        <v>0</v>
      </c>
      <c r="F9">
        <f>COUNTIFS('ACOMPANHAMENTO VISTORIAS'!$C:$C,Tabela7[[#This Row],[Órgão Setorial ]],'ACOMPANHAMENTO VISTORIAS'!$E:$E,"Não Atendida")</f>
        <v>0</v>
      </c>
      <c r="G9">
        <f>COUNTIFS('ACOMPANHAMENTO VISTORIAS'!$C:$C,Tabela7[[#This Row],[Órgão Setorial ]],'ACOMPANHAMENTO VISTORIAS'!$E:$E,"Não correspondente - Solicitar Apoio")</f>
        <v>0</v>
      </c>
      <c r="H9" s="110">
        <f>COUNTIFS('ACOMPANHAMENTO VISTORIAS'!$C:$C,Tabela7[[#This Row],[Órgão Setorial ]],'ACOMPANHAMENTO VISTORIAS'!$E:$E,"")</f>
        <v>1</v>
      </c>
    </row>
    <row r="10" spans="2:8" x14ac:dyDescent="0.25">
      <c r="B10" t="s">
        <v>554</v>
      </c>
      <c r="C10">
        <f>COUNTIFS('ACOMPANHAMENTO VISTORIAS'!$C:$C,Tabela7[[#This Row],[Órgão Setorial ]])</f>
        <v>27</v>
      </c>
      <c r="D10">
        <f>COUNTIFS('ACOMPANHAMENTO VISTORIAS'!$C:$C,Tabela7[[#This Row],[Órgão Setorial ]],'ACOMPANHAMENTO VISTORIAS'!E:E,"Finalizada")</f>
        <v>19</v>
      </c>
      <c r="E10">
        <f>COUNTIFS('ACOMPANHAMENTO VISTORIAS'!$C:$C,Tabela7[[#This Row],[Órgão Setorial ]],'ACOMPANHAMENTO VISTORIAS'!$E:$E,"Atendida/ Em Execução")</f>
        <v>0</v>
      </c>
      <c r="F10">
        <f>COUNTIFS('ACOMPANHAMENTO VISTORIAS'!$C:$C,Tabela7[[#This Row],[Órgão Setorial ]],'ACOMPANHAMENTO VISTORIAS'!$E:$E,"Não Atendida")</f>
        <v>5</v>
      </c>
      <c r="G10">
        <f>COUNTIFS('ACOMPANHAMENTO VISTORIAS'!$C:$C,Tabela7[[#This Row],[Órgão Setorial ]],'ACOMPANHAMENTO VISTORIAS'!$E:$E,"Não correspondente - Solicitar Apoio")</f>
        <v>0</v>
      </c>
      <c r="H10" s="110">
        <f>COUNTIFS('ACOMPANHAMENTO VISTORIAS'!$C:$C,Tabela7[[#This Row],[Órgão Setorial ]],'ACOMPANHAMENTO VISTORIAS'!$E:$E,"")</f>
        <v>3</v>
      </c>
    </row>
    <row r="11" spans="2:8" x14ac:dyDescent="0.25">
      <c r="B11" t="s">
        <v>552</v>
      </c>
      <c r="C11">
        <f>COUNTIFS('ACOMPANHAMENTO VISTORIAS'!$C:$C,Tabela7[[#This Row],[Órgão Setorial ]])</f>
        <v>9</v>
      </c>
      <c r="D11">
        <f>COUNTIFS('ACOMPANHAMENTO VISTORIAS'!$C:$C,Tabela7[[#This Row],[Órgão Setorial ]],'ACOMPANHAMENTO VISTORIAS'!E:E,"Finalizada")</f>
        <v>5</v>
      </c>
      <c r="E11">
        <f>COUNTIFS('ACOMPANHAMENTO VISTORIAS'!$C:$C,Tabela7[[#This Row],[Órgão Setorial ]],'ACOMPANHAMENTO VISTORIAS'!$E:$E,"Atendida/ Em Execução")</f>
        <v>0</v>
      </c>
      <c r="F11">
        <f>COUNTIFS('ACOMPANHAMENTO VISTORIAS'!$C:$C,Tabela7[[#This Row],[Órgão Setorial ]],'ACOMPANHAMENTO VISTORIAS'!$E:$E,"Não Atendida")</f>
        <v>1</v>
      </c>
      <c r="G11">
        <f>COUNTIFS('ACOMPANHAMENTO VISTORIAS'!$C:$C,Tabela7[[#This Row],[Órgão Setorial ]],'ACOMPANHAMENTO VISTORIAS'!$E:$E,"Não correspondente - Solicitar Apoio")</f>
        <v>1</v>
      </c>
      <c r="H11" s="110">
        <f>COUNTIFS('ACOMPANHAMENTO VISTORIAS'!$C:$C,Tabela7[[#This Row],[Órgão Setorial ]],'ACOMPANHAMENTO VISTORIAS'!$E:$E,"")</f>
        <v>2</v>
      </c>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15"/>
  <sheetViews>
    <sheetView tabSelected="1" topLeftCell="D1" workbookViewId="0">
      <selection activeCell="K8" sqref="K8"/>
    </sheetView>
  </sheetViews>
  <sheetFormatPr defaultRowHeight="15" x14ac:dyDescent="0.25"/>
  <cols>
    <col min="2" max="2" width="10.42578125" bestFit="1" customWidth="1"/>
    <col min="3" max="3" width="25" bestFit="1" customWidth="1"/>
    <col min="4" max="4" width="27.42578125" customWidth="1"/>
    <col min="5" max="5" width="26.42578125" customWidth="1"/>
    <col min="6" max="6" width="30.7109375" customWidth="1"/>
    <col min="7" max="7" width="31.7109375" customWidth="1"/>
    <col min="8" max="8" width="16" bestFit="1" customWidth="1"/>
    <col min="11" max="11" width="10.140625" customWidth="1"/>
    <col min="12" max="12" width="15.7109375" customWidth="1"/>
    <col min="13" max="13" width="27.85546875" customWidth="1"/>
    <col min="14" max="14" width="17.5703125" customWidth="1"/>
    <col min="15" max="15" width="12.5703125" customWidth="1"/>
  </cols>
  <sheetData>
    <row r="3" spans="2:15" x14ac:dyDescent="0.25">
      <c r="B3" s="102" t="s">
        <v>638</v>
      </c>
      <c r="C3" s="102" t="s">
        <v>651</v>
      </c>
      <c r="D3" t="s">
        <v>634</v>
      </c>
      <c r="E3" t="s">
        <v>633</v>
      </c>
      <c r="F3" t="s">
        <v>632</v>
      </c>
      <c r="G3" t="s">
        <v>635</v>
      </c>
      <c r="H3" s="111" t="s">
        <v>653</v>
      </c>
      <c r="K3" s="102" t="s">
        <v>638</v>
      </c>
      <c r="L3" s="102" t="s">
        <v>654</v>
      </c>
      <c r="M3" s="102" t="s">
        <v>532</v>
      </c>
      <c r="N3" s="112" t="s">
        <v>550</v>
      </c>
      <c r="O3" s="112" t="s">
        <v>655</v>
      </c>
    </row>
    <row r="4" spans="2:15" x14ac:dyDescent="0.25">
      <c r="B4" s="102" t="s">
        <v>639</v>
      </c>
      <c r="C4">
        <f>COUNTIFS('ACOMPANHAMENTO VISTORIAS'!$G:$G,"&gt;=" &amp; DATE(2025,1,1),'ACOMPANHAMENTO VISTORIAS'!$G:$G, "&lt;=" &amp; EOMONTH(DATE(2025,1,1),0))</f>
        <v>1</v>
      </c>
      <c r="D4">
        <f>COUNTIFS('ACOMPANHAMENTO VISTORIAS'!$G:$G,"&gt;=" &amp; DATE(2025,1,1),'ACOMPANHAMENTO VISTORIAS'!$G:$G, "&lt;=" &amp; EOMONTH(DATE(2025,1,1),0),'ACOMPANHAMENTO VISTORIAS'!$E:$E,"Finalizada")</f>
        <v>1</v>
      </c>
      <c r="E4">
        <f>COUNTIFS('ACOMPANHAMENTO VISTORIAS'!$G:$G,"&gt;=" &amp; DATE(2025,1,1), 'ACOMPANHAMENTO VISTORIAS'!$G:$G, "&lt;=" &amp; EOMONTH(DATE(2025,1,1),0), 'ACOMPANHAMENTO VISTORIAS'!$E:$E,"Atendida/ Em Execução")</f>
        <v>0</v>
      </c>
      <c r="F4">
        <f>COUNTIFS('ACOMPANHAMENTO VISTORIAS'!$G:$G,"&gt;=" &amp; DATE(2025,1,1), 'ACOMPANHAMENTO VISTORIAS'!$G:$G, "&lt;=" &amp; EOMONTH(DATE(2025,1,1),0), 'ACOMPANHAMENTO VISTORIAS'!$E:$E,"Não Atendida")</f>
        <v>0</v>
      </c>
      <c r="G4">
        <f>COUNTIFS('ACOMPANHAMENTO VISTORIAS'!$G:$G,"&gt;=" &amp; DATE(2025,1,1), 'ACOMPANHAMENTO VISTORIAS'!$G:$G, "&lt;=" &amp; EOMONTH(DATE(2025,1,1),0), 'ACOMPANHAMENTO VISTORIAS'!$E:$E,"Não correspondente - Solicitar Apoio")</f>
        <v>0</v>
      </c>
      <c r="H4" s="111">
        <f>COUNTIFS(Tabela2[DATA DA SOLICITAÇÃO],"")</f>
        <v>1</v>
      </c>
      <c r="K4" t="s">
        <v>641</v>
      </c>
      <c r="L4" t="s">
        <v>554</v>
      </c>
      <c r="M4" t="s">
        <v>120</v>
      </c>
      <c r="N4" t="s">
        <v>624</v>
      </c>
      <c r="O4" s="113">
        <f>COUNTIFS('ACOMPANHAMENTO VISTORIAS'!$G:$G,"&gt;=" &amp; DATE(2025,1,1),'ACOMPANHAMENTO VISTORIAS'!$G:$G, "&lt;=" &amp; EOMONTH(DATE(2025,1,1),0), 'ACOMPANHAMENTO VISTORIAS'!$C:$C,'Resumo Gegenrial Mês'!$L$4,'ACOMPANHAMENTO VISTORIAS'!$B:$B,$M$4,'ACOMPANHAMENTO VISTORIAS'!$E:$E,'Resumo Gegenrial Mês'!$N$4)</f>
        <v>0</v>
      </c>
    </row>
    <row r="5" spans="2:15" x14ac:dyDescent="0.25">
      <c r="B5" s="102" t="s">
        <v>640</v>
      </c>
      <c r="C5">
        <f>COUNTIFS('ACOMPANHAMENTO VISTORIAS'!$G:$G,"&gt;=" &amp; DATE(2025,2,1),'ACOMPANHAMENTO VISTORIAS'!$G:$G, "&lt;=" &amp; EOMONTH(DATE(2025,2,1),0))</f>
        <v>0</v>
      </c>
      <c r="D5">
        <f>COUNTIFS('ACOMPANHAMENTO VISTORIAS'!$G:$G,"&gt;=" &amp; DATE(2025,2,1), 'ACOMPANHAMENTO VISTORIAS'!$G:$G, "&lt;=" &amp; EOMONTH(DATE(2025,2,1),0), 'ACOMPANHAMENTO VISTORIAS'!$E:$E,"Finalizada")</f>
        <v>0</v>
      </c>
      <c r="E5">
        <f>COUNTIFS('ACOMPANHAMENTO VISTORIAS'!$G:$G,"&gt;=" &amp; DATE(2025,2,1), 'ACOMPANHAMENTO VISTORIAS'!$G:$G, "&lt;=" &amp; EOMONTH(DATE(2025,2,1),0), 'ACOMPANHAMENTO VISTORIAS'!$E:$E,"Atendida/ Em Execução")</f>
        <v>0</v>
      </c>
      <c r="F5">
        <f>COUNTIFS('ACOMPANHAMENTO VISTORIAS'!$G:$G,"&gt;=" &amp; DATE(2025,2,1), 'ACOMPANHAMENTO VISTORIAS'!$G:$G, "&lt;=" &amp; EOMONTH(DATE(2025,2,1),0), 'ACOMPANHAMENTO VISTORIAS'!$E:$E,"Não Atendida")</f>
        <v>0</v>
      </c>
      <c r="G5">
        <f>COUNTIFS('ACOMPANHAMENTO VISTORIAS'!$G:$G,"&gt;=" &amp; DATE(2025,2,1), 'ACOMPANHAMENTO VISTORIAS'!$G:$G, "&lt;=" &amp; EOMONTH(DATE(2025,2,1),0), 'ACOMPANHAMENTO VISTORIAS'!$E:$E,"Não correspondente - Solicitar Apoio")</f>
        <v>0</v>
      </c>
      <c r="H5" s="111"/>
    </row>
    <row r="6" spans="2:15" x14ac:dyDescent="0.25">
      <c r="B6" s="102" t="s">
        <v>641</v>
      </c>
      <c r="C6">
        <f>COUNTIFS('ACOMPANHAMENTO VISTORIAS'!$G:$G,"&gt;=" &amp; DATE(2025,3,1),'ACOMPANHAMENTO VISTORIAS'!$G:$G, "&lt;=" &amp; EOMONTH(DATE(2025,3,1),0))</f>
        <v>17</v>
      </c>
      <c r="D6">
        <f>COUNTIFS('ACOMPANHAMENTO VISTORIAS'!$G:$G,"&gt;=" &amp; DATE(2025,3,1), 'ACOMPANHAMENTO VISTORIAS'!$G:$G, "&lt;=" &amp; EOMONTH(DATE(2025,3,1),0), 'ACOMPANHAMENTO VISTORIAS'!$E:$E,"Finalizada")</f>
        <v>16</v>
      </c>
      <c r="E6">
        <f>COUNTIFS('ACOMPANHAMENTO VISTORIAS'!$G:$G,"&gt;=" &amp; DATE(2025,3,1), 'ACOMPANHAMENTO VISTORIAS'!$G:$G, "&lt;=" &amp; EOMONTH(DATE(2025,3,1),0), 'ACOMPANHAMENTO VISTORIAS'!$E:$E,"Atendida/ Em Execução")</f>
        <v>0</v>
      </c>
      <c r="F6">
        <f>COUNTIFS('ACOMPANHAMENTO VISTORIAS'!$G:$G,"&gt;=" &amp; DATE(2025,3,1), 'ACOMPANHAMENTO VISTORIAS'!$G:$G, "&lt;=" &amp; EOMONTH(DATE(2025,3,1),0), 'ACOMPANHAMENTO VISTORIAS'!$E:$E,"Não Atendida")</f>
        <v>0</v>
      </c>
      <c r="G6">
        <f>COUNTIFS('ACOMPANHAMENTO VISTORIAS'!$G:$G, "&gt;=" &amp; DATE(2025,3,1), 'ACOMPANHAMENTO VISTORIAS'!$G:$G, "&lt;=" &amp; EOMONTH(DATE(2025,3,1),0), 'ACOMPANHAMENTO VISTORIAS'!$E:$E, "Não correspondente - Solicitar Apoio")</f>
        <v>1</v>
      </c>
      <c r="H6" s="111"/>
    </row>
    <row r="7" spans="2:15" x14ac:dyDescent="0.25">
      <c r="B7" s="102" t="s">
        <v>642</v>
      </c>
      <c r="C7">
        <f>COUNTIFS('ACOMPANHAMENTO VISTORIAS'!$G:$G,"&gt;=" &amp; DATE(2025,4,1),'ACOMPANHAMENTO VISTORIAS'!$G:$G, "&lt;=" &amp; EOMONTH(DATE(2025,4,1),0))</f>
        <v>14</v>
      </c>
      <c r="D7">
        <f>COUNTIFS('ACOMPANHAMENTO VISTORIAS'!$G:$G,"&gt;=" &amp; DATE(2025,4,1), 'ACOMPANHAMENTO VISTORIAS'!$G:$G, "&lt;=" &amp; EOMONTH(DATE(2025,4,1),0), 'ACOMPANHAMENTO VISTORIAS'!$E:$E,"Finalizada")</f>
        <v>12</v>
      </c>
      <c r="E7">
        <f>COUNTIFS('ACOMPANHAMENTO VISTORIAS'!$G:$G,"&gt;=" &amp; DATE(2025,4,1), 'ACOMPANHAMENTO VISTORIAS'!$G:$G, "&lt;=" &amp; EOMONTH(DATE(2025,4,1),0), 'ACOMPANHAMENTO VISTORIAS'!$E:$E,"Atendida/ Em Execução")</f>
        <v>0</v>
      </c>
      <c r="F7">
        <f>COUNTIFS('ACOMPANHAMENTO VISTORIAS'!$G:$G,"&gt;=" &amp; DATE(2025,4,1), 'ACOMPANHAMENTO VISTORIAS'!$G:$G, "&lt;=" &amp; EOMONTH(DATE(2025,4,1),0), 'ACOMPANHAMENTO VISTORIAS'!$E:$E,"Não Atendida")</f>
        <v>1</v>
      </c>
      <c r="G7">
        <f>COUNTIFS('ACOMPANHAMENTO VISTORIAS'!$G:$G, "&gt;=" &amp; DATE(2025,4,1), 'ACOMPANHAMENTO VISTORIAS'!$G:$G, "&lt;=" &amp; EOMONTH(DATE(2025,4,1),0), 'ACOMPANHAMENTO VISTORIAS'!$E:$E, "Não correspondente - Solicitar Apoio")</f>
        <v>0</v>
      </c>
      <c r="H7" s="111"/>
    </row>
    <row r="8" spans="2:15" x14ac:dyDescent="0.25">
      <c r="B8" s="102" t="s">
        <v>643</v>
      </c>
      <c r="C8">
        <f>COUNTIFS('ACOMPANHAMENTO VISTORIAS'!$G:$G,"&gt;=" &amp; DATE(2025,5,1),'ACOMPANHAMENTO VISTORIAS'!$G:$G, "&lt;=" &amp; EOMONTH(DATE(2025,5,1),0))</f>
        <v>43</v>
      </c>
      <c r="D8">
        <f>COUNTIFS('ACOMPANHAMENTO VISTORIAS'!$G:$G,"&gt;=" &amp; DATE(2025,5,1), 'ACOMPANHAMENTO VISTORIAS'!$G:$G, "&lt;=" &amp; EOMONTH(DATE(2025,5,1),0), 'ACOMPANHAMENTO VISTORIAS'!$E:$E,"Finalizada")</f>
        <v>11</v>
      </c>
      <c r="E8">
        <f>COUNTIFS('ACOMPANHAMENTO VISTORIAS'!$G:$G,"&gt;=" &amp; DATE(2025,5,1), 'ACOMPANHAMENTO VISTORIAS'!$G:$G, "&lt;=" &amp; EOMONTH(DATE(2025,5,1),0), 'ACOMPANHAMENTO VISTORIAS'!$E:$E,"Atendida/ Em Execução")</f>
        <v>0</v>
      </c>
      <c r="F8">
        <f>COUNTIFS('ACOMPANHAMENTO VISTORIAS'!$G:$G,"&gt;=" &amp; DATE(2025,5,1), 'ACOMPANHAMENTO VISTORIAS'!$G:$G, "&lt;=" &amp; EOMONTH(DATE(2025,5,1),0), 'ACOMPANHAMENTO VISTORIAS'!$E:$E,"Não Atendida")</f>
        <v>16</v>
      </c>
      <c r="G8">
        <f>COUNTIFS('ACOMPANHAMENTO VISTORIAS'!$G:$G, "&gt;=" &amp; DATE(2025,5,1), 'ACOMPANHAMENTO VISTORIAS'!$G:$G, "&lt;=" &amp; EOMONTH(DATE(2025,5,1),0), 'ACOMPANHAMENTO VISTORIAS'!$E:$E, "Não correspondente - Solicitar Apoio")</f>
        <v>0</v>
      </c>
      <c r="H8" s="111"/>
      <c r="K8">
        <f>COUNTIFS('ACOMPANHAMENTO VISTORIAS'!$G:$G,"&gt;=" &amp; DATE(2025,1,1),'ACOMPANHAMENTO VISTORIAS'!$G:$G, "&lt;=" &amp; EOMONTH(DATE(2025,1,1),0), 'ACOMPANHAMENTO VISTORIAS'!$C:$C,'Resumo Gegenrial Mês'!$L$4,'ACOMPANHAMENTO VISTORIAS'!$B:$B,$M$4,'ACOMPANHAMENTO VISTORIAS'!$E:$E,'Resumo Gegenrial Mês'!$N$4)</f>
        <v>0</v>
      </c>
    </row>
    <row r="9" spans="2:15" x14ac:dyDescent="0.25">
      <c r="B9" s="102" t="s">
        <v>644</v>
      </c>
      <c r="C9">
        <f>COUNTIFS('ACOMPANHAMENTO VISTORIAS'!$G:$G,"&gt;=" &amp; DATE(2025,6,1),'ACOMPANHAMENTO VISTORIAS'!$G:$G, "&lt;=" &amp; EOMONTH(DATE(2025,6,1),0))</f>
        <v>16</v>
      </c>
      <c r="D9">
        <f>COUNTIFS('ACOMPANHAMENTO VISTORIAS'!$G:$G,"&gt;=" &amp; DATE(2025,6,1), 'ACOMPANHAMENTO VISTORIAS'!$G:$G, "&lt;=" &amp; EOMONTH(DATE(2025,6,1),0), 'ACOMPANHAMENTO VISTORIAS'!$E:$E,"Finalizada")</f>
        <v>12</v>
      </c>
      <c r="E9">
        <f>COUNTIFS('ACOMPANHAMENTO VISTORIAS'!$G:$G,"&gt;=" &amp; DATE(2025,6,1), 'ACOMPANHAMENTO VISTORIAS'!$G:$G, "&lt;=" &amp; EOMONTH(DATE(2025,6,1),0), 'ACOMPANHAMENTO VISTORIAS'!$E:$E,"Atendida/ Em Execução")</f>
        <v>0</v>
      </c>
      <c r="F9">
        <f>COUNTIFS('ACOMPANHAMENTO VISTORIAS'!$G:$G,"&gt;=" &amp; DATE(2025,6,1), 'ACOMPANHAMENTO VISTORIAS'!$G:$G, "&lt;=" &amp; EOMONTH(DATE(2025,6,1),0), 'ACOMPANHAMENTO VISTORIAS'!$E:$E,"Não Atendida")</f>
        <v>3</v>
      </c>
      <c r="G9">
        <f>COUNTIFS('ACOMPANHAMENTO VISTORIAS'!$G:$G, "&gt;=" &amp; DATE(2025,6,1), 'ACOMPANHAMENTO VISTORIAS'!$G:$G, "&lt;=" &amp; EOMONTH(DATE(2025,6,1),0), 'ACOMPANHAMENTO VISTORIAS'!$E:$E, "Não correspondente - Solicitar Apoio")</f>
        <v>0</v>
      </c>
      <c r="H9" s="111"/>
    </row>
    <row r="10" spans="2:15" x14ac:dyDescent="0.25">
      <c r="B10" s="102" t="s">
        <v>645</v>
      </c>
      <c r="C10">
        <f>COUNTIFS('ACOMPANHAMENTO VISTORIAS'!$G:$G,"&gt;=" &amp; DATE(2025,7,1),'ACOMPANHAMENTO VISTORIAS'!$G:$G, "&lt;=" &amp; EOMONTH(DATE(2025,7,1),0))</f>
        <v>7</v>
      </c>
      <c r="D10">
        <f>COUNTIFS('ACOMPANHAMENTO VISTORIAS'!$G:$G,"&gt;=" &amp; DATE(2025,7,1), 'ACOMPANHAMENTO VISTORIAS'!$G:$G, "&lt;=" &amp; EOMONTH(DATE(2025,7,1),0), 'ACOMPANHAMENTO VISTORIAS'!$E:$E,"Finalizada")</f>
        <v>3</v>
      </c>
      <c r="E10">
        <f>COUNTIFS('ACOMPANHAMENTO VISTORIAS'!$G:$G,"&gt;=" &amp; DATE(2025,7,1), 'ACOMPANHAMENTO VISTORIAS'!$G:$G, "&lt;=" &amp; EOMONTH(DATE(2025,7,1),0), 'ACOMPANHAMENTO VISTORIAS'!$E:$E,"Atendida/ Em Execução")</f>
        <v>1</v>
      </c>
      <c r="F10">
        <f>COUNTIFS('ACOMPANHAMENTO VISTORIAS'!$G:$G,"&gt;=" &amp; DATE(2025,7,1), 'ACOMPANHAMENTO VISTORIAS'!$G:$G, "&lt;=" &amp; EOMONTH(DATE(2025,7,1),0), 'ACOMPANHAMENTO VISTORIAS'!$E:$E,"Não Atendida")</f>
        <v>3</v>
      </c>
      <c r="G10">
        <f>COUNTIFS('ACOMPANHAMENTO VISTORIAS'!$G:$G, "&gt;=" &amp; DATE(2025,7,1), 'ACOMPANHAMENTO VISTORIAS'!$G:$G, "&lt;=" &amp; EOMONTH(DATE(2025,7,1),0), 'ACOMPANHAMENTO VISTORIAS'!$E:$E, "Não correspondente - Solicitar Apoio")</f>
        <v>0</v>
      </c>
      <c r="H10" s="111"/>
    </row>
    <row r="11" spans="2:15" x14ac:dyDescent="0.25">
      <c r="B11" s="102" t="s">
        <v>646</v>
      </c>
      <c r="C11">
        <f>COUNTIFS('ACOMPANHAMENTO VISTORIAS'!$G:$G,"&gt;=" &amp; DATE(2025,8,1),'ACOMPANHAMENTO VISTORIAS'!$G:$G, "&lt;=" &amp; EOMONTH(DATE(2025,8,1),0))</f>
        <v>8</v>
      </c>
      <c r="D11">
        <f>COUNTIFS('ACOMPANHAMENTO VISTORIAS'!$G:$G,"&gt;=" &amp; DATE(2025,8,1), 'ACOMPANHAMENTO VISTORIAS'!$G:$G, "&lt;=" &amp; EOMONTH(DATE(2025,8,1),0), 'ACOMPANHAMENTO VISTORIAS'!$E:$E,"Finalizada")</f>
        <v>1</v>
      </c>
      <c r="E11">
        <f>COUNTIFS('ACOMPANHAMENTO VISTORIAS'!$G:$G,"&gt;=" &amp; DATE(2025,8,1), 'ACOMPANHAMENTO VISTORIAS'!$G:$G, "&lt;=" &amp; EOMONTH(DATE(2025,8,1),0), 'ACOMPANHAMENTO VISTORIAS'!$E:$E,"Atendida/ Em Execução")</f>
        <v>1</v>
      </c>
      <c r="F11">
        <f>COUNTIFS('ACOMPANHAMENTO VISTORIAS'!$G:$G,"&gt;=" &amp; DATE(2025,8,1), 'ACOMPANHAMENTO VISTORIAS'!$G:$G, "&lt;=" &amp; EOMONTH(DATE(2025,8,1),0), 'ACOMPANHAMENTO VISTORIAS'!$E:$E,"Não Atendida")</f>
        <v>6</v>
      </c>
      <c r="G11">
        <f>COUNTIFS('ACOMPANHAMENTO VISTORIAS'!$G:$G, "&gt;=" &amp; DATE(2025,8,1), 'ACOMPANHAMENTO VISTORIAS'!$G:$G, "&lt;=" &amp; EOMONTH(DATE(2025,8,1),0), 'ACOMPANHAMENTO VISTORIAS'!$E:$E, "Não correspondente - Solicitar Apoio")</f>
        <v>0</v>
      </c>
      <c r="H11" s="111"/>
    </row>
    <row r="12" spans="2:15" x14ac:dyDescent="0.25">
      <c r="B12" s="102" t="s">
        <v>647</v>
      </c>
      <c r="C12">
        <f>COUNTIFS('ACOMPANHAMENTO VISTORIAS'!$G:$G,"&gt;=" &amp; DATE(2025,9,1),'ACOMPANHAMENTO VISTORIAS'!$G:$G, "&lt;=" &amp; EOMONTH(DATE(2025,9,1),0))</f>
        <v>0</v>
      </c>
      <c r="D12">
        <f>COUNTIFS('ACOMPANHAMENTO VISTORIAS'!$G:$G,"&gt;=" &amp; DATE(2025,9,1), 'ACOMPANHAMENTO VISTORIAS'!$G:$G, "&lt;=" &amp; EOMONTH(DATE(2025,9,1),0), 'ACOMPANHAMENTO VISTORIAS'!$E:$E,"Finalizada")</f>
        <v>0</v>
      </c>
      <c r="E12">
        <f>COUNTIFS('ACOMPANHAMENTO VISTORIAS'!$G:$G,"&gt;=" &amp; DATE(2025,9,1), 'ACOMPANHAMENTO VISTORIAS'!$G:$G, "&lt;=" &amp; EOMONTH(DATE(2025,9,1),0), 'ACOMPANHAMENTO VISTORIAS'!$E:$E,"Atendida/ Em Execução")</f>
        <v>0</v>
      </c>
      <c r="F12">
        <f>COUNTIFS('ACOMPANHAMENTO VISTORIAS'!$G:$G,"&gt;=" &amp; DATE(2025,9,1), 'ACOMPANHAMENTO VISTORIAS'!$G:$G, "&lt;=" &amp; EOMONTH(DATE(2025,9,1),0), 'ACOMPANHAMENTO VISTORIAS'!$E:$E,"Não Atendida")</f>
        <v>0</v>
      </c>
      <c r="G12">
        <f>COUNTIFS('ACOMPANHAMENTO VISTORIAS'!$G:$G, "&gt;=" &amp; DATE(2025,9,1), 'ACOMPANHAMENTO VISTORIAS'!$G:$G, "&lt;=" &amp; EOMONTH(DATE(2025,9,1),0), 'ACOMPANHAMENTO VISTORIAS'!$E:$E, "Não correspondente - Solicitar Apoio")</f>
        <v>0</v>
      </c>
      <c r="H12" s="111"/>
    </row>
    <row r="13" spans="2:15" x14ac:dyDescent="0.25">
      <c r="B13" s="102" t="s">
        <v>648</v>
      </c>
      <c r="C13">
        <f>COUNTIFS('ACOMPANHAMENTO VISTORIAS'!$G:$G,"&gt;=" &amp; DATE(2025,10,1),'ACOMPANHAMENTO VISTORIAS'!$G:$G, "&lt;=" &amp; EOMONTH(DATE(2025,10,1),0))</f>
        <v>0</v>
      </c>
      <c r="D13">
        <f>COUNTIFS('ACOMPANHAMENTO VISTORIAS'!$G:$G,"&gt;=" &amp; DATE(2025,10,1), 'ACOMPANHAMENTO VISTORIAS'!$G:$G, "&lt;=" &amp; EOMONTH(DATE(2025,10,1),0), 'ACOMPANHAMENTO VISTORIAS'!$E:$E,"Finalizada")</f>
        <v>0</v>
      </c>
      <c r="E13">
        <f>COUNTIFS('ACOMPANHAMENTO VISTORIAS'!$G:$G,"&gt;=" &amp; DATE(2025,10,1), 'ACOMPANHAMENTO VISTORIAS'!$G:$G, "&lt;=" &amp; EOMONTH(DATE(2025,10,1),0), 'ACOMPANHAMENTO VISTORIAS'!$E:$E,"Atendida/ Em Execução")</f>
        <v>0</v>
      </c>
      <c r="F13">
        <f>COUNTIFS('ACOMPANHAMENTO VISTORIAS'!$G:$G,"&gt;=" &amp; DATE(2025,10,1), 'ACOMPANHAMENTO VISTORIAS'!$G:$G, "&lt;=" &amp; EOMONTH(DATE(2025,10,1),0), 'ACOMPANHAMENTO VISTORIAS'!$E:$E,"Não Atendida")</f>
        <v>0</v>
      </c>
      <c r="G13">
        <f>COUNTIFS('ACOMPANHAMENTO VISTORIAS'!$G:$G, "&gt;=" &amp; DATE(2025,10,1), 'ACOMPANHAMENTO VISTORIAS'!$G:$G, "&lt;=" &amp; EOMONTH(DATE(2025,10,1),0), 'ACOMPANHAMENTO VISTORIAS'!$E:$E, "Não correspondente - Solicitar Apoio")</f>
        <v>0</v>
      </c>
      <c r="H13" s="111"/>
    </row>
    <row r="14" spans="2:15" x14ac:dyDescent="0.25">
      <c r="B14" s="102" t="s">
        <v>649</v>
      </c>
      <c r="C14">
        <f>COUNTIFS('ACOMPANHAMENTO VISTORIAS'!$G:$G,"&gt;=" &amp; DATE(2025,11,1),'ACOMPANHAMENTO VISTORIAS'!$G:$G, "&lt;=" &amp; EOMONTH(DATE(2025,11,1),0))</f>
        <v>0</v>
      </c>
      <c r="D14">
        <f>COUNTIFS('ACOMPANHAMENTO VISTORIAS'!$G:$G,"&gt;=" &amp; DATE(2025,11,1), 'ACOMPANHAMENTO VISTORIAS'!$G:$G, "&lt;=" &amp; EOMONTH(DATE(2025,11,1),0), 'ACOMPANHAMENTO VISTORIAS'!$E:$E,"Finalizada")</f>
        <v>0</v>
      </c>
      <c r="E14">
        <f>COUNTIFS('ACOMPANHAMENTO VISTORIAS'!$G:$G,"&gt;=" &amp; DATE(2025,11,1), 'ACOMPANHAMENTO VISTORIAS'!$G:$G, "&lt;=" &amp; EOMONTH(DATE(2025,11,1),0), 'ACOMPANHAMENTO VISTORIAS'!$E:$E,"Atendida/ Em Execução")</f>
        <v>0</v>
      </c>
      <c r="F14">
        <f>COUNTIFS('ACOMPANHAMENTO VISTORIAS'!$G:$G,"&gt;=" &amp; DATE(2025,11,1), 'ACOMPANHAMENTO VISTORIAS'!$G:$G, "&lt;=" &amp; EOMONTH(DATE(2025,11,1),0), 'ACOMPANHAMENTO VISTORIAS'!$E:$E,"Não Atendida")</f>
        <v>0</v>
      </c>
      <c r="G14">
        <f>COUNTIFS('ACOMPANHAMENTO VISTORIAS'!$G:$G, "&gt;=" &amp; DATE(2025,11,1), 'ACOMPANHAMENTO VISTORIAS'!$G:$G, "&lt;=" &amp; EOMONTH(DATE(2025,11,1),0), 'ACOMPANHAMENTO VISTORIAS'!$E:$E, "Não correspondente - Solicitar Apoio")</f>
        <v>0</v>
      </c>
      <c r="H14" s="111"/>
    </row>
    <row r="15" spans="2:15" x14ac:dyDescent="0.25">
      <c r="B15" s="102" t="s">
        <v>650</v>
      </c>
      <c r="C15">
        <f>COUNTIFS('ACOMPANHAMENTO VISTORIAS'!$G:$G,"&gt;=" &amp; DATE(2025,12,1),'ACOMPANHAMENTO VISTORIAS'!$G:$G, "&lt;=" &amp; EOMONTH(DATE(2025,12,1),0))</f>
        <v>0</v>
      </c>
      <c r="D15">
        <f>COUNTIFS('ACOMPANHAMENTO VISTORIAS'!$G:$G,"&gt;=" &amp; DATE(2025,12,1), 'ACOMPANHAMENTO VISTORIAS'!$G:$G, "&lt;=" &amp; EOMONTH(DATE(2025,12,1),0), 'ACOMPANHAMENTO VISTORIAS'!$E:$E,"Finalizada")</f>
        <v>0</v>
      </c>
      <c r="E15">
        <f>COUNTIFS('ACOMPANHAMENTO VISTORIAS'!$G:$G,"&gt;=" &amp; DATE(2025,12,1), 'ACOMPANHAMENTO VISTORIAS'!$G:$G, "&lt;=" &amp; EOMONTH(DATE(2025,12,1),0), 'ACOMPANHAMENTO VISTORIAS'!$E:$E,"Atendida/ Em Execução")</f>
        <v>0</v>
      </c>
      <c r="F15">
        <f>COUNTIFS('ACOMPANHAMENTO VISTORIAS'!$G:$G,"&gt;=" &amp; DATE(2025,12,1), 'ACOMPANHAMENTO VISTORIAS'!$G:$G, "&lt;=" &amp; EOMONTH(DATE(2025,12,1),0), 'ACOMPANHAMENTO VISTORIAS'!$E:$E,"Não Atendida")</f>
        <v>0</v>
      </c>
      <c r="G15">
        <f>COUNTIFS('ACOMPANHAMENTO VISTORIAS'!$G:$G, "&gt;=" &amp; DATE(2025,12,1), 'ACOMPANHAMENTO VISTORIAS'!$G:$G, "&lt;=" &amp; EOMONTH(DATE(2025,12,1),0), 'ACOMPANHAMENTO VISTORIAS'!$E:$E, "Não correspondente - Solicitar Apoio")</f>
        <v>0</v>
      </c>
      <c r="H15" s="111"/>
    </row>
  </sheetData>
  <dataValidations disablePrompts="1" count="3">
    <dataValidation type="list" allowBlank="1" showInputMessage="1" showErrorMessage="1" sqref="K4">
      <formula1>"Janeiro,Fevereiro,Março,Abril,Maio,Junho,Julho,Agosto,Setembro,Outubro,Novembro,Dezembro"</formula1>
    </dataValidation>
    <dataValidation type="list" allowBlank="1" showInputMessage="1" showErrorMessage="1" sqref="M4">
      <formula1>Lista_OM_Valid_MES</formula1>
    </dataValidation>
    <dataValidation type="list" allowBlank="1" showInputMessage="1" showErrorMessage="1" sqref="N4">
      <formula1>Situação</formula1>
    </dataValidation>
  </dataValidations>
  <pageMargins left="0.511811024" right="0.511811024" top="0.78740157499999996" bottom="0.78740157499999996" header="0.31496062000000002" footer="0.31496062000000002"/>
  <tableParts count="2">
    <tablePart r:id="rId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Validacao_de_Dados!$N$4:$N$10</xm:f>
          </x14:formula1>
          <xm:sqref>L4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ACOMPANHAMENTO VISTORIAS</vt:lpstr>
      <vt:lpstr>QUADRO VISTORIAS CHEFE CRO1</vt:lpstr>
      <vt:lpstr>VTs - ESGOTOS</vt:lpstr>
      <vt:lpstr>Validacao_de_Dados</vt:lpstr>
      <vt:lpstr>Resumo Gerencial OM</vt:lpstr>
      <vt:lpstr>Resumo Gerencial Órgão Setorial</vt:lpstr>
      <vt:lpstr>Resumo Gegenrial Mês</vt:lpstr>
      <vt:lpstr>Situação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dc:creator>
  <cp:lastModifiedBy>secinf</cp:lastModifiedBy>
  <dcterms:created xsi:type="dcterms:W3CDTF">2024-12-05T12:00:08Z</dcterms:created>
  <dcterms:modified xsi:type="dcterms:W3CDTF">2025-09-10T15:04:59Z</dcterms:modified>
</cp:coreProperties>
</file>