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yn\Desktop\"/>
    </mc:Choice>
  </mc:AlternateContent>
  <xr:revisionPtr revIDLastSave="0" documentId="13_ncr:1_{FB7015ED-1D93-41F5-9C48-D9E0208D8A6C}" xr6:coauthVersionLast="45" xr6:coauthVersionMax="45" xr10:uidLastSave="{00000000-0000-0000-0000-000000000000}"/>
  <bookViews>
    <workbookView xWindow="-120" yWindow="-120" windowWidth="29040" windowHeight="15840" xr2:uid="{53A4E547-8B10-4E59-A782-3AA3665B71FA}"/>
  </bookViews>
  <sheets>
    <sheet name="Stocks tracker" sheetId="6" r:id="rId1"/>
    <sheet name="Outflow 2021" sheetId="3" r:id="rId2"/>
    <sheet name="Total asse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" i="3" l="1"/>
  <c r="L2" i="3"/>
  <c r="J3" i="6" l="1" a="1"/>
  <c r="J3" i="6" s="1"/>
  <c r="M3" i="6" s="1"/>
  <c r="G3" i="6"/>
  <c r="G6" i="6"/>
  <c r="G7" i="6"/>
  <c r="G8" i="6"/>
  <c r="G9" i="6"/>
  <c r="G2" i="6"/>
  <c r="K3" i="6" l="1"/>
  <c r="N3" i="6" s="1"/>
  <c r="M5" i="6"/>
  <c r="M4" i="6"/>
  <c r="L3" i="6"/>
  <c r="L4" i="6"/>
  <c r="L5" i="6"/>
  <c r="K4" i="6"/>
  <c r="N4" i="6" s="1"/>
  <c r="K5" i="6"/>
  <c r="N5" i="6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N1" i="6" l="1"/>
  <c r="L4" i="3" a="1"/>
  <c r="L4" i="3" s="1"/>
  <c r="L3" i="3"/>
  <c r="L5" i="3" l="1"/>
  <c r="G3" i="3"/>
  <c r="G4" i="3"/>
  <c r="G5" i="3"/>
  <c r="G6" i="3"/>
  <c r="G7" i="3"/>
  <c r="G8" i="3"/>
  <c r="G9" i="3"/>
  <c r="G10" i="3"/>
  <c r="G11" i="3"/>
  <c r="G12" i="3"/>
  <c r="G13" i="3"/>
  <c r="B3" i="5"/>
  <c r="C3" i="5" l="1"/>
  <c r="C4" i="5" s="1"/>
  <c r="D3" i="5"/>
  <c r="D4" i="5" s="1"/>
  <c r="E3" i="5"/>
  <c r="E4" i="5" s="1"/>
  <c r="F3" i="5"/>
  <c r="F4" i="5" s="1"/>
  <c r="G3" i="5"/>
  <c r="H3" i="5"/>
  <c r="I3" i="5"/>
  <c r="J3" i="5"/>
  <c r="K3" i="5"/>
  <c r="L3" i="5"/>
  <c r="M3" i="5"/>
  <c r="N2" i="5" l="1"/>
  <c r="G4" i="5"/>
  <c r="H4" i="5"/>
  <c r="J4" i="5"/>
  <c r="I4" i="5"/>
  <c r="K4" i="5"/>
  <c r="L4" i="5"/>
  <c r="M4" i="5"/>
  <c r="G2" i="3" l="1"/>
  <c r="B4" i="5" s="1"/>
  <c r="N3" i="5"/>
  <c r="N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<sst xmlns="http://schemas.openxmlformats.org/spreadsheetml/2006/main" count="164" uniqueCount="68">
  <si>
    <t>Phone plan</t>
  </si>
  <si>
    <t>Essential</t>
  </si>
  <si>
    <t>Endowment Plan</t>
  </si>
  <si>
    <t>Savings</t>
  </si>
  <si>
    <t>Term Life Policy</t>
  </si>
  <si>
    <t>Insurance</t>
  </si>
  <si>
    <t>Whole Life Policy</t>
  </si>
  <si>
    <t>Investment</t>
  </si>
  <si>
    <t>Description</t>
  </si>
  <si>
    <t>Category</t>
  </si>
  <si>
    <t>Payee</t>
  </si>
  <si>
    <t>Amount</t>
  </si>
  <si>
    <t>Entertainment</t>
  </si>
  <si>
    <t>Netflix</t>
  </si>
  <si>
    <t>Hospitalisation insurance</t>
  </si>
  <si>
    <t>Yearly</t>
  </si>
  <si>
    <t>Frequency</t>
  </si>
  <si>
    <t>Monthly</t>
  </si>
  <si>
    <t>Income tax</t>
  </si>
  <si>
    <t>Tax</t>
  </si>
  <si>
    <t>Month</t>
  </si>
  <si>
    <t>Cash</t>
  </si>
  <si>
    <t>Total yearly</t>
  </si>
  <si>
    <t>Payment method</t>
  </si>
  <si>
    <t>Bank transfer</t>
  </si>
  <si>
    <t>One-off</t>
  </si>
  <si>
    <t>Various</t>
  </si>
  <si>
    <t>Cash/Card</t>
  </si>
  <si>
    <t>Total non-recurring expenses</t>
  </si>
  <si>
    <t>Total monthly Jan 2021 to May 2021</t>
  </si>
  <si>
    <t>Total monthly Jun 2021 to Dec 2021</t>
  </si>
  <si>
    <t>Total 2021</t>
  </si>
  <si>
    <t>Gross salary</t>
  </si>
  <si>
    <t>Net salary</t>
  </si>
  <si>
    <t>Cash savings</t>
  </si>
  <si>
    <t>NYSE/USD</t>
  </si>
  <si>
    <t>Broker fee</t>
  </si>
  <si>
    <t>Unit price</t>
  </si>
  <si>
    <t>Total monthly recurring credit card transactions</t>
  </si>
  <si>
    <t>Daily expenses</t>
  </si>
  <si>
    <t>Total monthly non-recurring transactions</t>
  </si>
  <si>
    <t>Fixed contribution investment capital</t>
  </si>
  <si>
    <t>Transaction date</t>
  </si>
  <si>
    <t>Unit quantity</t>
  </si>
  <si>
    <t>Market/Currency</t>
  </si>
  <si>
    <t>Price</t>
  </si>
  <si>
    <t>Transaction type</t>
  </si>
  <si>
    <t>Buy</t>
  </si>
  <si>
    <t>Sell</t>
  </si>
  <si>
    <t>Dividend</t>
  </si>
  <si>
    <t>Asset name</t>
  </si>
  <si>
    <t>Total units owned</t>
  </si>
  <si>
    <t>Total invested</t>
  </si>
  <si>
    <t>Total portfolio gains</t>
  </si>
  <si>
    <t>Sale proceeds</t>
  </si>
  <si>
    <t>Nett profit</t>
  </si>
  <si>
    <t>ABC INC</t>
  </si>
  <si>
    <t>XYZ CO</t>
  </si>
  <si>
    <t>DEF INC</t>
  </si>
  <si>
    <t>Card</t>
  </si>
  <si>
    <t>AAA Company Savings Policy</t>
  </si>
  <si>
    <t>BBB Charity Organisation</t>
  </si>
  <si>
    <t>Donation</t>
  </si>
  <si>
    <t>AAA Company</t>
  </si>
  <si>
    <t>Insurance Company</t>
  </si>
  <si>
    <t>Government Tax Agency</t>
  </si>
  <si>
    <t>CCC Telecommunications</t>
  </si>
  <si>
    <t>Netflix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</si>
</sst>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[$-4809]General"/>
    <numFmt numFmtId="165" formatCode="[$-14809]d\ mmm\ yyyy;@"/>
  </numFmts>
  <fonts count="8">
    <font>
      <sz val="11"/>
      <color theme="1"/>
      <name val="Calibri"/>
      <family val="2"/>
      <scheme val="minor"/>
    </font>
    <font>
      <sz val="10"/>
      <color theme="1"/>
      <name val="Arial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/>
    <xf numFmtId="44" fontId="2" fillId="0" borderId="0" xfId="2" applyFont="1" applyFill="1" applyBorder="1"/>
    <xf numFmtId="165" fontId="2" fillId="0" borderId="0" xfId="0" applyNumberFormat="1" applyFont="1" applyFill="1" applyBorder="1"/>
    <xf numFmtId="44" fontId="0" fillId="0" borderId="0" xfId="2" applyFont="1"/>
    <xf numFmtId="0" fontId="4" fillId="6" borderId="0" xfId="0" applyFont="1" applyFill="1" applyBorder="1"/>
    <xf numFmtId="0" fontId="4" fillId="6" borderId="0" xfId="0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ill="1"/>
    <xf numFmtId="44" fontId="6" fillId="5" borderId="0" xfId="0" applyNumberFormat="1" applyFont="1" applyFill="1"/>
    <xf numFmtId="0" fontId="7" fillId="4" borderId="0" xfId="0" applyFont="1" applyFill="1" applyBorder="1"/>
    <xf numFmtId="0" fontId="0" fillId="0" borderId="0" xfId="0" applyFont="1" applyBorder="1"/>
    <xf numFmtId="0" fontId="4" fillId="5" borderId="0" xfId="0" applyFont="1" applyFill="1" applyBorder="1"/>
    <xf numFmtId="44" fontId="4" fillId="5" borderId="0" xfId="2" applyFont="1" applyFill="1" applyBorder="1"/>
    <xf numFmtId="17" fontId="0" fillId="0" borderId="0" xfId="0" applyNumberFormat="1" applyFont="1" applyBorder="1"/>
    <xf numFmtId="44" fontId="0" fillId="0" borderId="0" xfId="2" applyFont="1" applyBorder="1"/>
    <xf numFmtId="0" fontId="0" fillId="0" borderId="0" xfId="0" applyFont="1" applyFill="1" applyBorder="1"/>
    <xf numFmtId="0" fontId="0" fillId="5" borderId="0" xfId="0" applyFont="1" applyFill="1" applyBorder="1"/>
    <xf numFmtId="0" fontId="7" fillId="2" borderId="0" xfId="0" applyFont="1" applyFill="1"/>
    <xf numFmtId="17" fontId="7" fillId="2" borderId="0" xfId="0" applyNumberFormat="1" applyFont="1" applyFill="1"/>
    <xf numFmtId="0" fontId="7" fillId="2" borderId="0" xfId="0" applyFont="1" applyFill="1" applyBorder="1"/>
    <xf numFmtId="0" fontId="0" fillId="0" borderId="0" xfId="0" applyFont="1"/>
    <xf numFmtId="0" fontId="2" fillId="0" borderId="0" xfId="0" applyFont="1"/>
    <xf numFmtId="44" fontId="2" fillId="0" borderId="0" xfId="2" applyFont="1"/>
    <xf numFmtId="44" fontId="4" fillId="0" borderId="0" xfId="2" applyFont="1" applyFill="1" applyAlignment="1">
      <alignment horizontal="left" vertical="center"/>
    </xf>
    <xf numFmtId="44" fontId="4" fillId="0" borderId="0" xfId="2" applyFont="1" applyFill="1"/>
    <xf numFmtId="44" fontId="7" fillId="3" borderId="0" xfId="2" applyFont="1" applyFill="1"/>
    <xf numFmtId="17" fontId="7" fillId="3" borderId="0" xfId="2" applyNumberFormat="1" applyFont="1" applyFill="1"/>
    <xf numFmtId="44" fontId="6" fillId="0" borderId="0" xfId="2" applyFont="1"/>
    <xf numFmtId="44" fontId="0" fillId="0" borderId="0" xfId="2" applyFont="1" applyFill="1" applyBorder="1"/>
    <xf numFmtId="0" fontId="0" fillId="0" borderId="0" xfId="0" applyFont="1" applyBorder="1" applyAlignment="1">
      <alignment horizontal="left" vertical="center"/>
    </xf>
  </cellXfs>
  <cellStyles count="3">
    <cellStyle name="Currency" xfId="2" builtinId="4"/>
    <cellStyle name="Normal" xfId="0" builtinId="0"/>
    <cellStyle name="Normal 2" xfId="1" xr:uid="{752D5EB3-D849-4747-BFBE-5DE4DC209054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$&quot;* #,##0.00_-;\-&quot;$&quot;* #,##0.00_-;_-&quot;$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[$-14809]d\ mmm\ yy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Portfolio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66726995989971"/>
          <c:y val="0.15526946682168022"/>
          <c:w val="0.81337384016469416"/>
          <c:h val="0.7986813518615637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'Stocks tracker'!$N$2</c:f>
              <c:strCache>
                <c:ptCount val="1"/>
                <c:pt idx="0">
                  <c:v>Nett profit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tracker'!$N$3:$N$7</c:f>
              <c:numCache>
                <c:formatCode>_("$"* #,##0.00_);_("$"* \(#,##0.00\);_("$"* "-"??_);_(@_)</c:formatCode>
                <c:ptCount val="5"/>
                <c:pt idx="0">
                  <c:v>14500</c:v>
                </c:pt>
                <c:pt idx="1">
                  <c:v>50970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64-43E3-956E-6CBDEF5A6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4112392"/>
        <c:axId val="604112720"/>
      </c:barChart>
      <c:lineChart>
        <c:grouping val="standard"/>
        <c:varyColors val="0"/>
        <c:ser>
          <c:idx val="0"/>
          <c:order val="0"/>
          <c:tx>
            <c:strRef>
              <c:f>'Stocks tracker'!$L$2</c:f>
              <c:strCache>
                <c:ptCount val="1"/>
                <c:pt idx="0">
                  <c:v>Total invested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tracker'!$L$3:$L$7</c:f>
              <c:numCache>
                <c:formatCode>_("$"* #,##0.00_);_("$"* \(#,##0.00\);_("$"* "-"??_);_(@_)</c:formatCode>
                <c:ptCount val="5"/>
                <c:pt idx="0">
                  <c:v>6030</c:v>
                </c:pt>
                <c:pt idx="1">
                  <c:v>9060</c:v>
                </c:pt>
                <c:pt idx="2">
                  <c:v>75030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4-43E3-956E-6CBDEF5A6882}"/>
            </c:ext>
          </c:extLst>
        </c:ser>
        <c:ser>
          <c:idx val="1"/>
          <c:order val="1"/>
          <c:tx>
            <c:strRef>
              <c:f>'Stocks tracker'!$M$2</c:f>
              <c:strCache>
                <c:ptCount val="1"/>
                <c:pt idx="0">
                  <c:v>Sale proceeds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'Stocks tracker'!$J$3:$J$7</c:f>
              <c:strCache>
                <c:ptCount val="3"/>
                <c:pt idx="0">
                  <c:v>ABC INC</c:v>
                </c:pt>
                <c:pt idx="1">
                  <c:v>XYZ CO</c:v>
                </c:pt>
                <c:pt idx="2">
                  <c:v>DEF INC</c:v>
                </c:pt>
              </c:strCache>
            </c:strRef>
          </c:cat>
          <c:val>
            <c:numRef>
              <c:f>'Stocks tracker'!$M$3:$M$7</c:f>
              <c:numCache>
                <c:formatCode>_("$"* #,##0.00_);_("$"* \(#,##0.00\);_("$"* "-"??_);_(@_)</c:formatCode>
                <c:ptCount val="5"/>
                <c:pt idx="0">
                  <c:v>20030</c:v>
                </c:pt>
                <c:pt idx="1">
                  <c:v>60030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4-43E3-956E-6CBDEF5A68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4112392"/>
        <c:axId val="604112720"/>
      </c:lineChart>
      <c:catAx>
        <c:axId val="60411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2720"/>
        <c:crosses val="autoZero"/>
        <c:auto val="1"/>
        <c:lblAlgn val="ctr"/>
        <c:lblOffset val="100"/>
        <c:noMultiLvlLbl val="0"/>
      </c:catAx>
      <c:valAx>
        <c:axId val="60411272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56749078798885"/>
          <c:y val="0.10955452938362988"/>
          <c:w val="0.21075260424289138"/>
          <c:h val="0.211932374618165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52386</xdr:colOff>
      <xdr:row>7</xdr:row>
      <xdr:rowOff>66675</xdr:rowOff>
    </xdr:from>
    <xdr:to>
      <xdr:col>13</xdr:col>
      <xdr:colOff>762000</xdr:colOff>
      <xdr:row>23</xdr:row>
      <xdr:rowOff>52388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4B148D-86F3-4AA0-83EB-A9FC2831B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A4ECB-2A6F-425A-AA08-CF84907EA752}" name="Table1" displayName="Table1" ref="A1:H9" totalsRowShown="0" headerRowDxfId="20" dataDxfId="19" dataCellStyle="Currency">
  <autoFilter ref="A1:H9" xr:uid="{E542458B-C7FB-4EF3-81FD-9069F561617A}"/>
  <tableColumns count="8">
    <tableColumn id="1" xr3:uid="{A2DC80FC-222F-4C2C-8960-5F5696D0FBB1}" name="Asset name" dataDxfId="18"/>
    <tableColumn id="2" xr3:uid="{155B31DA-2E25-415D-AB49-AE39B6CCB671}" name="Transaction type" dataDxfId="17"/>
    <tableColumn id="3" xr3:uid="{077BE4FF-28ED-4B4C-9975-FBF03A0528CB}" name="Transaction date" dataDxfId="16"/>
    <tableColumn id="6" xr3:uid="{A4668B21-324F-45F5-8628-8D029F624E46}" name="Unit price" dataDxfId="15" dataCellStyle="Currency"/>
    <tableColumn id="7" xr3:uid="{2A3A11C9-F755-40E3-A72D-5014148B35E0}" name="Unit quantity" dataDxfId="14"/>
    <tableColumn id="8" xr3:uid="{5E41C978-D5D8-45F7-8601-018BFAA627B2}" name="Broker fee" dataDxfId="13" dataCellStyle="Currency"/>
    <tableColumn id="9" xr3:uid="{9233BFC3-0B52-47A8-AE84-7FF0A657CAA3}" name="Price" dataDxfId="12" dataCellStyle="Currency">
      <calculatedColumnFormula>(D2*E2)+F2</calculatedColumnFormula>
    </tableColumn>
    <tableColumn id="10" xr3:uid="{5AD32819-29C4-4423-B596-B80670FDBABA}" name="Market/Currency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46051-15D8-42B6-A2EF-1658ABD558DC}" name="Table2" displayName="Table2" ref="A1:I22" totalsRowShown="0" headerRowDxfId="10" dataDxfId="9">
  <tableColumns count="9">
    <tableColumn id="1" xr3:uid="{2C8B5DCA-44D5-4A8B-9155-445118F4F2D3}" name="Frequency" dataDxfId="8"/>
    <tableColumn id="2" xr3:uid="{B68FB998-4A4E-4ED1-9878-54DFCE4C2495}" name="Category" dataDxfId="7"/>
    <tableColumn id="3" xr3:uid="{2B6A7592-EE2C-496B-A124-CF69B6F371B9}" name="Month" dataDxfId="6"/>
    <tableColumn id="4" xr3:uid="{5B4FEAC9-4B1F-4644-87A6-5729F0EF99D6}" name="Payee" dataDxfId="5"/>
    <tableColumn id="5" xr3:uid="{A5B3AB09-1FDA-4185-9914-A31734080CAF}" name="Description" dataDxfId="4"/>
    <tableColumn id="6" xr3:uid="{49F3A42F-4BA5-4C62-BEED-CDDF7CF3305C}" name="Payment method" dataDxfId="3"/>
    <tableColumn id="7" xr3:uid="{7E1C68E5-5D17-4AC0-B40E-AFA77CB6DAF5}" name="Amount" dataDxfId="2" dataCellStyle="Currency"/>
    <tableColumn id="8" xr3:uid="{3B22451E-613B-429E-BC03-DE11C79C800F}" name="Card" dataDxfId="1"/>
    <tableColumn id="9" xr3:uid="{AA2DF165-D400-4101-A0D7-F3C894B229EC}" name="Ca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3613-0A01-4DBC-AF42-3A182C1B847E}">
  <dimension ref="A1:N15"/>
  <sheetViews>
    <sheetView tabSelected="1" zoomScaleNormal="100" workbookViewId="0">
      <selection activeCell="D31" sqref="D31"/>
    </sheetView>
  </sheetViews>
  <sheetFormatPr defaultRowHeight="15"/>
  <cols>
    <col min="1" max="1" width="18.7109375" bestFit="1" customWidth="1"/>
    <col min="2" max="3" width="17.7109375" customWidth="1"/>
    <col min="4" max="4" width="11.85546875" customWidth="1"/>
    <col min="5" max="5" width="14.85546875" customWidth="1"/>
    <col min="6" max="6" width="12.42578125" customWidth="1"/>
    <col min="7" max="7" width="12.5703125" bestFit="1" customWidth="1"/>
    <col min="8" max="8" width="18.28515625" customWidth="1"/>
    <col min="10" max="10" width="18.7109375" bestFit="1" customWidth="1"/>
    <col min="11" max="11" width="17" bestFit="1" customWidth="1"/>
    <col min="12" max="12" width="13.7109375" bestFit="1" customWidth="1"/>
    <col min="13" max="13" width="13.7109375" customWidth="1"/>
    <col min="14" max="14" width="11.5703125" bestFit="1" customWidth="1"/>
  </cols>
  <sheetData>
    <row r="1" spans="1:14">
      <c r="A1" s="5" t="s">
        <v>50</v>
      </c>
      <c r="B1" s="5" t="s">
        <v>46</v>
      </c>
      <c r="C1" s="5" t="s">
        <v>42</v>
      </c>
      <c r="D1" s="6" t="s">
        <v>37</v>
      </c>
      <c r="E1" s="6" t="s">
        <v>43</v>
      </c>
      <c r="F1" s="6" t="s">
        <v>36</v>
      </c>
      <c r="G1" s="6" t="s">
        <v>45</v>
      </c>
      <c r="H1" s="5" t="s">
        <v>44</v>
      </c>
      <c r="J1" s="7" t="s">
        <v>53</v>
      </c>
      <c r="K1" s="8"/>
      <c r="L1" s="8"/>
      <c r="M1" s="8"/>
      <c r="N1" s="9">
        <f>SUM(N3:N7)</f>
        <v>65470</v>
      </c>
    </row>
    <row r="2" spans="1:14">
      <c r="A2" s="1" t="s">
        <v>56</v>
      </c>
      <c r="B2" s="1" t="s">
        <v>47</v>
      </c>
      <c r="C2" s="3">
        <v>43101</v>
      </c>
      <c r="D2" s="2">
        <v>3</v>
      </c>
      <c r="E2" s="1">
        <v>2000</v>
      </c>
      <c r="F2" s="2">
        <v>30</v>
      </c>
      <c r="G2" s="2">
        <f>(D2*E2)+F2</f>
        <v>6030</v>
      </c>
      <c r="H2" s="1" t="s">
        <v>35</v>
      </c>
      <c r="J2" s="5" t="s">
        <v>50</v>
      </c>
      <c r="K2" s="5" t="s">
        <v>51</v>
      </c>
      <c r="L2" s="5" t="s">
        <v>52</v>
      </c>
      <c r="M2" s="5" t="s">
        <v>54</v>
      </c>
      <c r="N2" s="5" t="s">
        <v>55</v>
      </c>
    </row>
    <row r="3" spans="1:14">
      <c r="A3" s="1" t="s">
        <v>56</v>
      </c>
      <c r="B3" s="1" t="s">
        <v>48</v>
      </c>
      <c r="C3" s="3">
        <v>43621</v>
      </c>
      <c r="D3" s="2">
        <v>10</v>
      </c>
      <c r="E3" s="1">
        <v>2000</v>
      </c>
      <c r="F3" s="2">
        <v>30</v>
      </c>
      <c r="G3" s="2">
        <f t="shared" ref="G3:G9" si="0">(D3*E3)+F3</f>
        <v>20030</v>
      </c>
      <c r="H3" s="1" t="s">
        <v>35</v>
      </c>
      <c r="J3" t="str" cm="1">
        <f t="array" ref="J3:J5">_xlfn.UNIQUE(Table1[Asset name])</f>
        <v>ABC INC</v>
      </c>
      <c r="K3">
        <f>SUMIFS($E:$E,$A:$A,J3,$B:$B,"Buy")-SUMIFS($E:$E,$A:$A,J3,$B:$B,"Sell")</f>
        <v>0</v>
      </c>
      <c r="L3" s="4">
        <f>SUMIFS($G:$G,$A:$A,J3,$B:$B,"Buy")</f>
        <v>6030</v>
      </c>
      <c r="M3" s="4">
        <f>SUMIFS($G:$G,$A:$A,J3,$B:$B,"Sell")</f>
        <v>20030</v>
      </c>
      <c r="N3" s="4">
        <f>IF(K3=0,SUMIFS($G:$G,$A:$A,J3,$B:$B,"Sell")-SUMIFS($G:$G,$A:$A,J3,$B:$B,"Buy")+SUMIFS($G:$G,$A:$A,J3,$B:$B,"Dividend"), "0")</f>
        <v>14500</v>
      </c>
    </row>
    <row r="4" spans="1:14">
      <c r="A4" s="1" t="s">
        <v>56</v>
      </c>
      <c r="B4" s="1" t="s">
        <v>49</v>
      </c>
      <c r="C4" s="3">
        <v>43454</v>
      </c>
      <c r="D4" s="2">
        <v>0</v>
      </c>
      <c r="E4" s="1">
        <v>0</v>
      </c>
      <c r="F4" s="2">
        <v>0</v>
      </c>
      <c r="G4" s="2">
        <v>500</v>
      </c>
      <c r="H4" s="1" t="s">
        <v>35</v>
      </c>
      <c r="J4" t="str">
        <v>XYZ CO</v>
      </c>
      <c r="K4">
        <f>SUMIFS($E:$E,$A:$A,J4,$B:$B,"Buy")-SUMIFS($E:$E,$A:$A,J4,$B:$B,"Sell")</f>
        <v>0</v>
      </c>
      <c r="L4" s="4">
        <f>SUMIFS($G:$G,$A:$A,J4,$B:$B,"Buy")</f>
        <v>9060</v>
      </c>
      <c r="M4" s="4">
        <f>SUMIFS($G:$G,$A:$A,J4,$B:$B,"Sell")</f>
        <v>60030</v>
      </c>
      <c r="N4" s="4">
        <f>IF(K4=0,SUMIFS($G:$G,$A:$A,J4,$B:$B,"Sell")-SUMIFS($G:$G,$A:$A,J4,$B:$B,"Buy")+SUMIFS($G:$G,$A:$A,J4,$B:$B,"Dividend"), "0")</f>
        <v>50970</v>
      </c>
    </row>
    <row r="5" spans="1:14">
      <c r="A5" s="1" t="s">
        <v>57</v>
      </c>
      <c r="B5" s="1" t="s">
        <v>47</v>
      </c>
      <c r="C5" s="3">
        <v>42670</v>
      </c>
      <c r="D5" s="2">
        <v>5</v>
      </c>
      <c r="E5" s="1">
        <v>1000</v>
      </c>
      <c r="F5" s="2">
        <v>30</v>
      </c>
      <c r="G5" s="2"/>
      <c r="H5" s="1" t="s">
        <v>35</v>
      </c>
      <c r="J5" t="str">
        <v>DEF INC</v>
      </c>
      <c r="K5">
        <f>SUMIFS($E:$E,$A:$A,J5,$B:$B,"Buy")-SUMIFS($E:$E,$A:$A,J5,$B:$B,"Sell")</f>
        <v>5000</v>
      </c>
      <c r="L5" s="4">
        <f>SUMIFS($G:$G,$A:$A,J5,$B:$B,"Buy")</f>
        <v>75030</v>
      </c>
      <c r="M5" s="4">
        <f>SUMIFS($G:$G,$A:$A,J5,$B:$B,"Sell")</f>
        <v>0</v>
      </c>
      <c r="N5" s="4" t="str">
        <f>IF(K5=0,SUMIFS($G:$G,$A:$A,J5,$B:$B,"Sell")-SUMIFS($G:$G,$A:$A,J5,$B:$B,"Buy")+SUMIFS($G:$G,$A:$A,J5,$B:$B,"Dividend"), "0")</f>
        <v>0</v>
      </c>
    </row>
    <row r="6" spans="1:14">
      <c r="A6" s="1" t="s">
        <v>57</v>
      </c>
      <c r="B6" s="1" t="s">
        <v>47</v>
      </c>
      <c r="C6" s="3">
        <v>42673</v>
      </c>
      <c r="D6" s="2">
        <v>4</v>
      </c>
      <c r="E6" s="1">
        <v>1000</v>
      </c>
      <c r="F6" s="2">
        <v>30</v>
      </c>
      <c r="G6" s="2">
        <f t="shared" si="0"/>
        <v>4030</v>
      </c>
      <c r="H6" s="1" t="s">
        <v>35</v>
      </c>
      <c r="L6" s="4"/>
      <c r="M6" s="4"/>
      <c r="N6" s="4"/>
    </row>
    <row r="7" spans="1:14">
      <c r="A7" s="1" t="s">
        <v>57</v>
      </c>
      <c r="B7" s="1" t="s">
        <v>47</v>
      </c>
      <c r="C7" s="3">
        <v>42693</v>
      </c>
      <c r="D7" s="2">
        <v>5</v>
      </c>
      <c r="E7" s="1">
        <v>1000</v>
      </c>
      <c r="F7" s="2">
        <v>30</v>
      </c>
      <c r="G7" s="2">
        <f t="shared" si="0"/>
        <v>5030</v>
      </c>
      <c r="H7" s="1" t="s">
        <v>35</v>
      </c>
      <c r="L7" s="4"/>
      <c r="M7" s="4"/>
      <c r="N7" s="4"/>
    </row>
    <row r="8" spans="1:14">
      <c r="A8" s="1" t="s">
        <v>57</v>
      </c>
      <c r="B8" s="1" t="s">
        <v>48</v>
      </c>
      <c r="C8" s="3">
        <v>42719</v>
      </c>
      <c r="D8" s="2">
        <v>20</v>
      </c>
      <c r="E8" s="1">
        <v>3000</v>
      </c>
      <c r="F8" s="2">
        <v>30</v>
      </c>
      <c r="G8" s="2">
        <f t="shared" si="0"/>
        <v>60030</v>
      </c>
      <c r="H8" s="1" t="s">
        <v>35</v>
      </c>
    </row>
    <row r="9" spans="1:14">
      <c r="A9" s="1" t="s">
        <v>58</v>
      </c>
      <c r="B9" s="1" t="s">
        <v>47</v>
      </c>
      <c r="C9" s="3">
        <v>43049</v>
      </c>
      <c r="D9" s="2">
        <v>15</v>
      </c>
      <c r="E9" s="1">
        <v>5000</v>
      </c>
      <c r="F9" s="2">
        <v>30</v>
      </c>
      <c r="G9" s="2">
        <f t="shared" si="0"/>
        <v>75030</v>
      </c>
      <c r="H9" s="1" t="s">
        <v>35</v>
      </c>
    </row>
    <row r="10" spans="1:14">
      <c r="G10" s="2"/>
    </row>
    <row r="11" spans="1:14">
      <c r="G11" s="2"/>
    </row>
    <row r="12" spans="1:14">
      <c r="G12" s="2"/>
    </row>
    <row r="13" spans="1:14">
      <c r="G13" s="2"/>
    </row>
    <row r="14" spans="1:14">
      <c r="G14" s="2"/>
    </row>
    <row r="15" spans="1:14">
      <c r="G15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2953-00AB-48A7-BAE5-7F454623C2A1}">
  <dimension ref="A1:L24"/>
  <sheetViews>
    <sheetView zoomScaleNormal="100" zoomScalePageLayoutView="55" workbookViewId="0">
      <selection activeCell="H2" sqref="H2"/>
    </sheetView>
  </sheetViews>
  <sheetFormatPr defaultColWidth="8.7109375" defaultRowHeight="15"/>
  <cols>
    <col min="1" max="1" width="12.7109375" style="11" bestFit="1" customWidth="1"/>
    <col min="2" max="2" width="12.7109375" style="11" customWidth="1"/>
    <col min="3" max="3" width="12" style="11" bestFit="1" customWidth="1"/>
    <col min="4" max="4" width="32.5703125" style="11" customWidth="1"/>
    <col min="5" max="5" width="32.28515625" style="11" bestFit="1" customWidth="1"/>
    <col min="6" max="6" width="16.42578125" style="11" bestFit="1" customWidth="1"/>
    <col min="7" max="7" width="10.5703125" style="15" bestFit="1" customWidth="1"/>
    <col min="8" max="8" width="13.7109375" style="11" customWidth="1"/>
    <col min="9" max="9" width="9" style="11" bestFit="1" customWidth="1"/>
    <col min="10" max="10" width="4.140625" style="11" customWidth="1"/>
    <col min="11" max="11" width="37.85546875" style="11" bestFit="1" customWidth="1"/>
    <col min="12" max="12" width="11.5703125" style="11" bestFit="1" customWidth="1"/>
    <col min="13" max="16384" width="8.7109375" style="11"/>
  </cols>
  <sheetData>
    <row r="1" spans="1:12">
      <c r="A1" s="10" t="s">
        <v>16</v>
      </c>
      <c r="B1" s="10" t="s">
        <v>9</v>
      </c>
      <c r="C1" s="10" t="s">
        <v>20</v>
      </c>
      <c r="D1" s="10" t="s">
        <v>10</v>
      </c>
      <c r="E1" s="10" t="s">
        <v>8</v>
      </c>
      <c r="F1" s="10" t="s">
        <v>23</v>
      </c>
      <c r="G1" s="10" t="s">
        <v>11</v>
      </c>
      <c r="H1" s="10" t="s">
        <v>59</v>
      </c>
      <c r="I1" s="10" t="s">
        <v>21</v>
      </c>
      <c r="K1" s="12" t="s">
        <v>40</v>
      </c>
      <c r="L1" s="13">
        <f>SUMIFS(G:G,A:A,"One-off",B:B,"Daily expenses")</f>
        <v>39049</v>
      </c>
    </row>
    <row r="2" spans="1:12">
      <c r="A2" s="11" t="s">
        <v>25</v>
      </c>
      <c r="B2" s="11" t="s">
        <v>39</v>
      </c>
      <c r="C2" s="14">
        <v>44197</v>
      </c>
      <c r="D2" s="11" t="s">
        <v>26</v>
      </c>
      <c r="E2" s="11" t="s">
        <v>28</v>
      </c>
      <c r="F2" s="11" t="s">
        <v>27</v>
      </c>
      <c r="G2" s="15">
        <f>SUM(H2:I2)</f>
        <v>3254</v>
      </c>
      <c r="H2" s="15">
        <v>3054</v>
      </c>
      <c r="I2" s="15">
        <v>200</v>
      </c>
      <c r="K2" s="12" t="s">
        <v>38</v>
      </c>
      <c r="L2" s="13">
        <f>SUMIFS(G:G,A:A,"Monthly",F:F,"Card")</f>
        <v>30</v>
      </c>
    </row>
    <row r="3" spans="1:12">
      <c r="A3" s="11" t="s">
        <v>25</v>
      </c>
      <c r="B3" s="11" t="s">
        <v>39</v>
      </c>
      <c r="C3" s="14">
        <v>44228</v>
      </c>
      <c r="D3" s="11" t="s">
        <v>26</v>
      </c>
      <c r="E3" s="11" t="s">
        <v>28</v>
      </c>
      <c r="F3" s="11" t="s">
        <v>27</v>
      </c>
      <c r="G3" s="15">
        <f t="shared" ref="G3:G13" si="0">SUM(H3:I3)</f>
        <v>5075</v>
      </c>
      <c r="H3" s="15">
        <v>5000</v>
      </c>
      <c r="I3" s="15">
        <v>75</v>
      </c>
      <c r="K3" s="12" t="s">
        <v>29</v>
      </c>
      <c r="L3" s="13">
        <f>SUMIFS(G:G,A:A,"Monthly",B:B,"&lt;&gt;"&amp;"Daily expenses",C:C,"Jan 2021",F:F,"&lt;&gt;"&amp;"DBS Live Fresh")</f>
        <v>2230</v>
      </c>
    </row>
    <row r="4" spans="1:12">
      <c r="A4" s="11" t="s">
        <v>25</v>
      </c>
      <c r="B4" s="11" t="s">
        <v>39</v>
      </c>
      <c r="C4" s="14">
        <v>44256</v>
      </c>
      <c r="D4" s="11" t="s">
        <v>26</v>
      </c>
      <c r="E4" s="11" t="s">
        <v>28</v>
      </c>
      <c r="F4" s="11" t="s">
        <v>27</v>
      </c>
      <c r="G4" s="15">
        <f t="shared" si="0"/>
        <v>2150</v>
      </c>
      <c r="H4" s="15">
        <v>2050</v>
      </c>
      <c r="I4" s="15">
        <v>100</v>
      </c>
      <c r="K4" s="12" t="s">
        <v>30</v>
      </c>
      <c r="L4" s="13" cm="1">
        <f t="array" ref="L4">SUM(SUMIFS(G:G,A:A,"Monthly",B:B,"&lt;&gt;"&amp;"Daily expenses",C:C,{"Jan 2021","Jun 2021"},F:F,"&lt;&gt;"&amp;"DBS Live Fresh"))</f>
        <v>2230</v>
      </c>
    </row>
    <row r="5" spans="1:12">
      <c r="A5" s="11" t="s">
        <v>25</v>
      </c>
      <c r="B5" s="11" t="s">
        <v>39</v>
      </c>
      <c r="C5" s="14">
        <v>44287</v>
      </c>
      <c r="D5" s="11" t="s">
        <v>26</v>
      </c>
      <c r="E5" s="11" t="s">
        <v>28</v>
      </c>
      <c r="F5" s="11" t="s">
        <v>27</v>
      </c>
      <c r="G5" s="15">
        <f t="shared" si="0"/>
        <v>2361</v>
      </c>
      <c r="H5" s="15">
        <v>2211</v>
      </c>
      <c r="I5" s="15">
        <v>150</v>
      </c>
      <c r="K5" s="12" t="s">
        <v>22</v>
      </c>
      <c r="L5" s="13">
        <f>SUMIFS(G:G,A:A,"Yearly")</f>
        <v>4500</v>
      </c>
    </row>
    <row r="6" spans="1:12">
      <c r="A6" s="11" t="s">
        <v>25</v>
      </c>
      <c r="B6" s="11" t="s">
        <v>39</v>
      </c>
      <c r="C6" s="14">
        <v>44317</v>
      </c>
      <c r="D6" s="11" t="s">
        <v>26</v>
      </c>
      <c r="E6" s="11" t="s">
        <v>28</v>
      </c>
      <c r="F6" s="11" t="s">
        <v>27</v>
      </c>
      <c r="G6" s="15">
        <f t="shared" si="0"/>
        <v>2007</v>
      </c>
      <c r="H6" s="15">
        <v>1507</v>
      </c>
      <c r="I6" s="15">
        <v>500</v>
      </c>
    </row>
    <row r="7" spans="1:12">
      <c r="A7" s="11" t="s">
        <v>25</v>
      </c>
      <c r="B7" s="11" t="s">
        <v>39</v>
      </c>
      <c r="C7" s="14">
        <v>44348</v>
      </c>
      <c r="D7" s="11" t="s">
        <v>26</v>
      </c>
      <c r="E7" s="11" t="s">
        <v>28</v>
      </c>
      <c r="F7" s="11" t="s">
        <v>27</v>
      </c>
      <c r="G7" s="15">
        <f t="shared" si="0"/>
        <v>3701</v>
      </c>
      <c r="H7" s="15">
        <v>3301</v>
      </c>
      <c r="I7" s="15">
        <v>400</v>
      </c>
    </row>
    <row r="8" spans="1:12">
      <c r="A8" s="11" t="s">
        <v>25</v>
      </c>
      <c r="B8" s="11" t="s">
        <v>39</v>
      </c>
      <c r="C8" s="14">
        <v>44378</v>
      </c>
      <c r="D8" s="11" t="s">
        <v>26</v>
      </c>
      <c r="E8" s="11" t="s">
        <v>28</v>
      </c>
      <c r="F8" s="11" t="s">
        <v>27</v>
      </c>
      <c r="G8" s="15">
        <f t="shared" si="0"/>
        <v>4410</v>
      </c>
      <c r="H8" s="15">
        <v>4210</v>
      </c>
      <c r="I8" s="15">
        <v>200</v>
      </c>
    </row>
    <row r="9" spans="1:12">
      <c r="A9" s="11" t="s">
        <v>25</v>
      </c>
      <c r="B9" s="11" t="s">
        <v>39</v>
      </c>
      <c r="C9" s="14">
        <v>44409</v>
      </c>
      <c r="D9" s="11" t="s">
        <v>26</v>
      </c>
      <c r="E9" s="11" t="s">
        <v>28</v>
      </c>
      <c r="F9" s="11" t="s">
        <v>27</v>
      </c>
      <c r="G9" s="15">
        <f t="shared" si="0"/>
        <v>5092</v>
      </c>
      <c r="H9" s="15">
        <v>5063</v>
      </c>
      <c r="I9" s="15">
        <v>29</v>
      </c>
    </row>
    <row r="10" spans="1:12">
      <c r="A10" s="11" t="s">
        <v>25</v>
      </c>
      <c r="B10" s="11" t="s">
        <v>39</v>
      </c>
      <c r="C10" s="14">
        <v>44440</v>
      </c>
      <c r="D10" s="11" t="s">
        <v>26</v>
      </c>
      <c r="E10" s="11" t="s">
        <v>28</v>
      </c>
      <c r="F10" s="11" t="s">
        <v>27</v>
      </c>
      <c r="G10" s="15">
        <f t="shared" si="0"/>
        <v>1427</v>
      </c>
      <c r="H10" s="15">
        <v>1059</v>
      </c>
      <c r="I10" s="15">
        <v>368</v>
      </c>
    </row>
    <row r="11" spans="1:12" s="16" customFormat="1">
      <c r="A11" s="11" t="s">
        <v>25</v>
      </c>
      <c r="B11" s="11" t="s">
        <v>39</v>
      </c>
      <c r="C11" s="14">
        <v>44470</v>
      </c>
      <c r="D11" s="11" t="s">
        <v>26</v>
      </c>
      <c r="E11" s="11" t="s">
        <v>28</v>
      </c>
      <c r="F11" s="11" t="s">
        <v>27</v>
      </c>
      <c r="G11" s="15">
        <f t="shared" si="0"/>
        <v>2162</v>
      </c>
      <c r="H11" s="29">
        <v>2036</v>
      </c>
      <c r="I11" s="29">
        <v>126</v>
      </c>
    </row>
    <row r="12" spans="1:12" s="16" customFormat="1">
      <c r="A12" s="11" t="s">
        <v>25</v>
      </c>
      <c r="B12" s="11" t="s">
        <v>39</v>
      </c>
      <c r="C12" s="14">
        <v>44501</v>
      </c>
      <c r="D12" s="11" t="s">
        <v>26</v>
      </c>
      <c r="E12" s="11" t="s">
        <v>28</v>
      </c>
      <c r="F12" s="11" t="s">
        <v>27</v>
      </c>
      <c r="G12" s="15">
        <f t="shared" si="0"/>
        <v>2750</v>
      </c>
      <c r="H12" s="29">
        <v>2568</v>
      </c>
      <c r="I12" s="29">
        <v>182</v>
      </c>
    </row>
    <row r="13" spans="1:12" s="16" customFormat="1">
      <c r="A13" s="11" t="s">
        <v>25</v>
      </c>
      <c r="B13" s="11" t="s">
        <v>39</v>
      </c>
      <c r="C13" s="14">
        <v>44531</v>
      </c>
      <c r="D13" s="11" t="s">
        <v>26</v>
      </c>
      <c r="E13" s="11" t="s">
        <v>28</v>
      </c>
      <c r="F13" s="11" t="s">
        <v>27</v>
      </c>
      <c r="G13" s="15">
        <f t="shared" si="0"/>
        <v>4660</v>
      </c>
      <c r="H13" s="29">
        <v>4600</v>
      </c>
      <c r="I13" s="29">
        <v>60</v>
      </c>
    </row>
    <row r="14" spans="1:12" s="16" customFormat="1">
      <c r="A14" s="11" t="s">
        <v>17</v>
      </c>
      <c r="B14" s="11" t="s">
        <v>7</v>
      </c>
      <c r="C14" s="14">
        <v>44197</v>
      </c>
      <c r="D14" s="11" t="s">
        <v>63</v>
      </c>
      <c r="E14" s="11" t="s">
        <v>60</v>
      </c>
      <c r="F14" s="16" t="s">
        <v>24</v>
      </c>
      <c r="G14" s="15">
        <v>1000</v>
      </c>
      <c r="H14" s="17"/>
      <c r="I14" s="17"/>
    </row>
    <row r="15" spans="1:12" s="16" customFormat="1">
      <c r="A15" s="11" t="s">
        <v>17</v>
      </c>
      <c r="B15" s="11" t="s">
        <v>5</v>
      </c>
      <c r="C15" s="14">
        <v>44197</v>
      </c>
      <c r="D15" s="11" t="s">
        <v>64</v>
      </c>
      <c r="E15" s="11" t="s">
        <v>6</v>
      </c>
      <c r="F15" s="16" t="s">
        <v>24</v>
      </c>
      <c r="G15" s="15">
        <v>250</v>
      </c>
      <c r="H15" s="17"/>
      <c r="I15" s="17"/>
    </row>
    <row r="16" spans="1:12" s="16" customFormat="1">
      <c r="A16" s="11" t="s">
        <v>17</v>
      </c>
      <c r="B16" s="11" t="s">
        <v>5</v>
      </c>
      <c r="C16" s="14">
        <v>44197</v>
      </c>
      <c r="D16" s="11" t="s">
        <v>64</v>
      </c>
      <c r="E16" s="11" t="s">
        <v>4</v>
      </c>
      <c r="F16" s="16" t="s">
        <v>24</v>
      </c>
      <c r="G16" s="15">
        <v>100</v>
      </c>
      <c r="H16" s="17"/>
      <c r="I16" s="17"/>
    </row>
    <row r="17" spans="1:9">
      <c r="A17" s="11" t="s">
        <v>17</v>
      </c>
      <c r="B17" s="11" t="s">
        <v>3</v>
      </c>
      <c r="C17" s="14">
        <v>44197</v>
      </c>
      <c r="D17" s="11" t="s">
        <v>64</v>
      </c>
      <c r="E17" s="11" t="s">
        <v>2</v>
      </c>
      <c r="F17" s="16" t="s">
        <v>24</v>
      </c>
      <c r="G17" s="15">
        <v>350</v>
      </c>
      <c r="H17" s="17"/>
      <c r="I17" s="17"/>
    </row>
    <row r="18" spans="1:9">
      <c r="A18" s="11" t="s">
        <v>17</v>
      </c>
      <c r="B18" s="11" t="s">
        <v>1</v>
      </c>
      <c r="C18" s="14">
        <v>44197</v>
      </c>
      <c r="D18" s="11" t="s">
        <v>61</v>
      </c>
      <c r="E18" s="11" t="s">
        <v>62</v>
      </c>
      <c r="F18" s="16" t="s">
        <v>24</v>
      </c>
      <c r="G18" s="15">
        <v>500</v>
      </c>
      <c r="H18" s="17"/>
      <c r="I18" s="17"/>
    </row>
    <row r="19" spans="1:9">
      <c r="A19" s="11" t="s">
        <v>17</v>
      </c>
      <c r="B19" s="11" t="s">
        <v>1</v>
      </c>
      <c r="C19" s="14">
        <v>44197</v>
      </c>
      <c r="D19" s="11" t="s">
        <v>66</v>
      </c>
      <c r="E19" s="11" t="s">
        <v>0</v>
      </c>
      <c r="F19" s="16" t="s">
        <v>59</v>
      </c>
      <c r="G19" s="15">
        <v>20</v>
      </c>
      <c r="H19" s="17"/>
      <c r="I19" s="17"/>
    </row>
    <row r="20" spans="1:9">
      <c r="A20" s="11" t="s">
        <v>17</v>
      </c>
      <c r="B20" s="11" t="s">
        <v>12</v>
      </c>
      <c r="C20" s="14">
        <v>44197</v>
      </c>
      <c r="D20" s="11" t="s">
        <v>13</v>
      </c>
      <c r="E20" s="11" t="s">
        <v>67</v>
      </c>
      <c r="F20" s="16" t="s">
        <v>59</v>
      </c>
      <c r="G20" s="15">
        <v>10</v>
      </c>
      <c r="H20" s="17"/>
      <c r="I20" s="17"/>
    </row>
    <row r="21" spans="1:9">
      <c r="A21" s="11" t="s">
        <v>15</v>
      </c>
      <c r="B21" s="11" t="s">
        <v>5</v>
      </c>
      <c r="C21" s="14">
        <v>44197</v>
      </c>
      <c r="D21" s="11" t="s">
        <v>64</v>
      </c>
      <c r="E21" s="11" t="s">
        <v>14</v>
      </c>
      <c r="F21" s="16" t="s">
        <v>24</v>
      </c>
      <c r="G21" s="15">
        <v>500</v>
      </c>
      <c r="H21" s="17"/>
      <c r="I21" s="17"/>
    </row>
    <row r="22" spans="1:9">
      <c r="A22" s="11" t="s">
        <v>15</v>
      </c>
      <c r="B22" s="11" t="s">
        <v>19</v>
      </c>
      <c r="C22" s="14">
        <v>44197</v>
      </c>
      <c r="D22" s="11" t="s">
        <v>65</v>
      </c>
      <c r="E22" s="11" t="s">
        <v>18</v>
      </c>
      <c r="F22" s="16" t="s">
        <v>24</v>
      </c>
      <c r="G22" s="15">
        <v>4000</v>
      </c>
      <c r="H22" s="17"/>
      <c r="I22" s="17"/>
    </row>
    <row r="23" spans="1:9">
      <c r="A23" s="16"/>
      <c r="B23" s="16"/>
      <c r="G23" s="11"/>
    </row>
    <row r="24" spans="1:9">
      <c r="A24" s="16"/>
      <c r="B24" s="16"/>
      <c r="G24" s="11"/>
    </row>
  </sheetData>
  <phoneticPr fontId="5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2C0-9529-4AA1-B475-4139AF7C6436}">
  <dimension ref="A1:N8"/>
  <sheetViews>
    <sheetView zoomScaleNormal="100" workbookViewId="0">
      <selection activeCell="G23" sqref="G23"/>
    </sheetView>
  </sheetViews>
  <sheetFormatPr defaultColWidth="8.7109375" defaultRowHeight="15"/>
  <cols>
    <col min="1" max="1" width="37.28515625" style="21" bestFit="1" customWidth="1"/>
    <col min="2" max="13" width="11.5703125" style="21" bestFit="1" customWidth="1"/>
    <col min="14" max="14" width="11.5703125" style="11" bestFit="1" customWidth="1"/>
    <col min="15" max="16384" width="8.7109375" style="21"/>
  </cols>
  <sheetData>
    <row r="1" spans="1:14">
      <c r="A1" s="18" t="s">
        <v>20</v>
      </c>
      <c r="B1" s="19">
        <v>44197</v>
      </c>
      <c r="C1" s="19">
        <v>44228</v>
      </c>
      <c r="D1" s="19">
        <v>44256</v>
      </c>
      <c r="E1" s="19">
        <v>44287</v>
      </c>
      <c r="F1" s="19">
        <v>44317</v>
      </c>
      <c r="G1" s="19">
        <v>44348</v>
      </c>
      <c r="H1" s="19">
        <v>44378</v>
      </c>
      <c r="I1" s="19">
        <v>44409</v>
      </c>
      <c r="J1" s="19">
        <v>44440</v>
      </c>
      <c r="K1" s="19">
        <v>44470</v>
      </c>
      <c r="L1" s="19">
        <v>44501</v>
      </c>
      <c r="M1" s="19">
        <v>44531</v>
      </c>
      <c r="N1" s="20" t="s">
        <v>31</v>
      </c>
    </row>
    <row r="2" spans="1:14">
      <c r="A2" s="21" t="s">
        <v>32</v>
      </c>
      <c r="B2" s="4">
        <v>10000</v>
      </c>
      <c r="C2" s="4">
        <v>10000</v>
      </c>
      <c r="D2" s="4">
        <v>10000</v>
      </c>
      <c r="E2" s="4">
        <v>10000</v>
      </c>
      <c r="F2" s="4">
        <v>10000</v>
      </c>
      <c r="G2" s="4">
        <v>10000</v>
      </c>
      <c r="H2" s="4">
        <v>10000</v>
      </c>
      <c r="I2" s="4">
        <v>10000</v>
      </c>
      <c r="J2" s="4">
        <v>10000</v>
      </c>
      <c r="K2" s="4"/>
      <c r="L2" s="4"/>
      <c r="M2" s="4"/>
      <c r="N2" s="15">
        <f>SUM(B2:M2)</f>
        <v>90000</v>
      </c>
    </row>
    <row r="3" spans="1:14">
      <c r="A3" s="22" t="s">
        <v>33</v>
      </c>
      <c r="B3" s="23">
        <f>(0.8*B2)-1.5</f>
        <v>7998.5</v>
      </c>
      <c r="C3" s="23">
        <f t="shared" ref="C3:M3" si="0">(0.8*C2)-1.5</f>
        <v>7998.5</v>
      </c>
      <c r="D3" s="23">
        <f t="shared" si="0"/>
        <v>7998.5</v>
      </c>
      <c r="E3" s="23">
        <f t="shared" si="0"/>
        <v>7998.5</v>
      </c>
      <c r="F3" s="23">
        <f t="shared" si="0"/>
        <v>7998.5</v>
      </c>
      <c r="G3" s="23">
        <f t="shared" si="0"/>
        <v>7998.5</v>
      </c>
      <c r="H3" s="23">
        <f t="shared" si="0"/>
        <v>7998.5</v>
      </c>
      <c r="I3" s="23">
        <f t="shared" si="0"/>
        <v>7998.5</v>
      </c>
      <c r="J3" s="23">
        <f t="shared" si="0"/>
        <v>7998.5</v>
      </c>
      <c r="K3" s="23">
        <f t="shared" si="0"/>
        <v>-1.5</v>
      </c>
      <c r="L3" s="23">
        <f t="shared" si="0"/>
        <v>-1.5</v>
      </c>
      <c r="M3" s="23">
        <f t="shared" si="0"/>
        <v>-1.5</v>
      </c>
      <c r="N3" s="15">
        <f>SUM(B3:M3)</f>
        <v>71982</v>
      </c>
    </row>
    <row r="4" spans="1:14">
      <c r="A4" s="24" t="s">
        <v>34</v>
      </c>
      <c r="B4" s="25">
        <f>B3-VLOOKUP(B1,'Outflow 2021'!$C$2:$G$13,5)-SUMIFS('Outflow 2021'!$G$14:$G$18,'Outflow 2021'!$C$14:$C$18,"&lt;"&amp;"jun 2021")</f>
        <v>2544.5</v>
      </c>
      <c r="C4" s="25">
        <f>C3-VLOOKUP(C1,'Outflow 2021'!$C$2:$G$13,5)-SUMIFS('Outflow 2021'!$G$14:$G$18,'Outflow 2021'!$C$14:$C$18,"&lt;"&amp;"jun 2021")</f>
        <v>723.5</v>
      </c>
      <c r="D4" s="25">
        <f>D3-VLOOKUP(D1,'Outflow 2021'!$C$2:$G$13,5)-SUMIFS('Outflow 2021'!$G$14:$G$18,'Outflow 2021'!$C$14:$C$18,"&lt;"&amp;"jun 2021")</f>
        <v>3648.5</v>
      </c>
      <c r="E4" s="25">
        <f>E3-VLOOKUP(E1,'Outflow 2021'!$C$2:$G$13,5)-SUMIFS('Outflow 2021'!$G$14:$G$18,'Outflow 2021'!$C$14:$C$18,"&lt;"&amp;"jun 2021")</f>
        <v>3437.5</v>
      </c>
      <c r="F4" s="25">
        <f>F3-VLOOKUP(F1,'Outflow 2021'!$C$2:$G$13,5)-SUMIFS('Outflow 2021'!$G$14:$G$18,'Outflow 2021'!$C$14:$C$18,"&lt;"&amp;"jun 2021")</f>
        <v>3791.5</v>
      </c>
      <c r="G4" s="25">
        <f>G3-VLOOKUP(G1,'Outflow 2021'!$C$2:$G$13,5)-SUMIFS('Outflow 2021'!$G$14:$G$18,'Outflow 2021'!$C$14:$C$18,"&lt;&gt;"&amp;"jan"&amp;"jun")</f>
        <v>2097.5</v>
      </c>
      <c r="H4" s="25">
        <f>H3-VLOOKUP(H1,'Outflow 2021'!$C$2:$G$13,5)-SUMIFS('Outflow 2021'!$G$14:$G$18,'Outflow 2021'!$C$14:$C$18,"&lt;&gt;"&amp;"jan"&amp;"jun")</f>
        <v>1388.5</v>
      </c>
      <c r="I4" s="25">
        <f>I3-VLOOKUP(I1,'Outflow 2021'!$C$2:$G$13,5)-SUMIFS('Outflow 2021'!$G$14:$G$18,'Outflow 2021'!$C$14:$C$18,"&lt;&gt;"&amp;"jan"&amp;"jun")</f>
        <v>706.5</v>
      </c>
      <c r="J4" s="25">
        <f>J3-VLOOKUP(J1,'Outflow 2021'!$C$2:$G$13,5)-SUMIFS('Outflow 2021'!$G$14:$G$18,'Outflow 2021'!$C$14:$C$18,"&lt;&gt;"&amp;"jan"&amp;"jun")</f>
        <v>4371.5</v>
      </c>
      <c r="K4" s="25">
        <f>K3-VLOOKUP(K1,'Outflow 2021'!$C$2:$G$13,5)-SUMIFS('Outflow 2021'!$G$14:$G$18,'Outflow 2021'!$C$14:$C$18,"&lt;&gt;"&amp;"jan"&amp;"jun")</f>
        <v>-4363.5</v>
      </c>
      <c r="L4" s="25">
        <f>L3-VLOOKUP(L1,'Outflow 2021'!$C$2:$G$13,5)-SUMIFS('Outflow 2021'!$G$14:$G$18,'Outflow 2021'!$C$14:$C$18,"&lt;&gt;"&amp;"jan"&amp;"jun")</f>
        <v>-4951.5</v>
      </c>
      <c r="M4" s="25">
        <f>M3-VLOOKUP(M1,'Outflow 2021'!$C$2:$G$13,5)-SUMIFS('Outflow 2021'!$G$14:$G$18,'Outflow 2021'!$C$14:$C$18,"&lt;&gt;"&amp;"jan"&amp;"jun")</f>
        <v>-6861.5</v>
      </c>
      <c r="N4" s="25">
        <f>SUM(B4:M4)-VLOOKUP("Income tax", 'Outflow 2021'!E21:G22, 3)</f>
        <v>2533</v>
      </c>
    </row>
    <row r="5" spans="1:14">
      <c r="A5" s="26" t="s">
        <v>41</v>
      </c>
      <c r="B5" s="27">
        <v>44166</v>
      </c>
      <c r="C5" s="27">
        <v>44197</v>
      </c>
      <c r="D5" s="27">
        <v>44228</v>
      </c>
      <c r="E5" s="27">
        <v>44256</v>
      </c>
      <c r="F5" s="27">
        <v>44287</v>
      </c>
      <c r="G5" s="27">
        <v>44317</v>
      </c>
      <c r="H5" s="27">
        <v>44348</v>
      </c>
      <c r="I5" s="27">
        <v>44378</v>
      </c>
      <c r="J5" s="27">
        <v>44409</v>
      </c>
      <c r="K5" s="27">
        <v>44440</v>
      </c>
      <c r="L5" s="27">
        <v>44470</v>
      </c>
      <c r="M5" s="27">
        <v>44501</v>
      </c>
      <c r="N5" s="27">
        <v>44531</v>
      </c>
    </row>
    <row r="6" spans="1:14">
      <c r="A6" s="30" t="s">
        <v>60</v>
      </c>
      <c r="B6" s="25">
        <v>70000</v>
      </c>
      <c r="C6" s="4">
        <f>B6+VLOOKUP($A$6,'Outflow 2021'!$E:$G,3,FALSE)+C7</f>
        <v>73200</v>
      </c>
      <c r="D6" s="4">
        <f>C6+VLOOKUP($A$6,'Outflow 2021'!$E:$G,3,FALSE)+D7</f>
        <v>74200</v>
      </c>
      <c r="E6" s="4">
        <f>D6+VLOOKUP($A$6,'Outflow 2021'!$E:$G,3,FALSE)+E7</f>
        <v>75200</v>
      </c>
      <c r="F6" s="4">
        <f>E6+VLOOKUP($A$6,'Outflow 2021'!$E:$G,3,FALSE)+F7</f>
        <v>76200</v>
      </c>
      <c r="G6" s="4">
        <f>F6+VLOOKUP($A$6,'Outflow 2021'!$E:$G,3,FALSE)+G7</f>
        <v>77200</v>
      </c>
      <c r="H6" s="4">
        <f>G6+VLOOKUP($A$6,'Outflow 2021'!$E:$G,3,FALSE)+H7</f>
        <v>78200</v>
      </c>
      <c r="I6" s="4">
        <f>H6+VLOOKUP($A$6,'Outflow 2021'!$E:$G,3,FALSE)+I7</f>
        <v>79200</v>
      </c>
      <c r="J6" s="4">
        <f>I6+VLOOKUP($A$6,'Outflow 2021'!$E:$G,3,FALSE)+J7</f>
        <v>80200</v>
      </c>
      <c r="K6" s="4">
        <f>J6+VLOOKUP($A$6,'Outflow 2021'!$E:$G,3,FALSE)+K7</f>
        <v>81200</v>
      </c>
      <c r="L6" s="4">
        <f>K6+VLOOKUP($A$6,'Outflow 2021'!$E:$G,3,FALSE)+L7</f>
        <v>82200</v>
      </c>
      <c r="M6" s="4">
        <f>L6+VLOOKUP($A$6,'Outflow 2021'!$E:$G,3,FALSE)+M7</f>
        <v>83200</v>
      </c>
      <c r="N6" s="28">
        <f>M6+VLOOKUP($A$6,'Outflow 2021'!$E:$G,3,FALSE)+N7</f>
        <v>84200</v>
      </c>
    </row>
    <row r="7" spans="1:14">
      <c r="A7" s="30"/>
      <c r="B7" s="29">
        <v>0</v>
      </c>
      <c r="C7" s="4">
        <v>2200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N8" s="21"/>
    </row>
  </sheetData>
  <mergeCells count="1"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 tracker</vt:lpstr>
      <vt:lpstr>Outflow 2021</vt:lpstr>
      <vt:lpstr>Total 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 zhongyu</dc:creator>
  <cp:lastModifiedBy>Robyn</cp:lastModifiedBy>
  <cp:lastPrinted>2021-02-09T10:25:10Z</cp:lastPrinted>
  <dcterms:created xsi:type="dcterms:W3CDTF">2020-11-01T03:00:57Z</dcterms:created>
  <dcterms:modified xsi:type="dcterms:W3CDTF">2021-02-13T08:16:35Z</dcterms:modified>
</cp:coreProperties>
</file>