
<file path=[Content_Types].xml><?xml version="1.0" encoding="utf-8"?>
<Types xmlns="http://schemas.openxmlformats.org/package/2006/content-types">
  <Default Extension="bin" ContentType="application/vnd.ms-office.vbaProject"/>
  <Default Extension="png" ContentType="image/.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2bac1129a5744cfa" Type="http://schemas.microsoft.com/office/2007/relationships/ui/extensibility" Target="customUI/customUI14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InfoProyectos\htdocs\msprojects\excliqlite\excliqlite\ExcliqLiteRepo\project-dev\"/>
    </mc:Choice>
  </mc:AlternateContent>
  <xr:revisionPtr revIDLastSave="0" documentId="13_ncr:1_{1D3614A2-99CB-4298-A92D-2C7A16694868}" xr6:coauthVersionLast="46" xr6:coauthVersionMax="46" xr10:uidLastSave="{00000000-0000-0000-0000-000000000000}"/>
  <bookViews>
    <workbookView xWindow="-108" yWindow="-108" windowWidth="23256" windowHeight="12720" xr2:uid="{C9973495-63C9-449B-AC94-F321BE92F29A}"/>
  </bookViews>
  <sheets>
    <sheet name="excliqlite" sheetId="5" r:id="rId1"/>
    <sheet name="excliqlitedatasheet" sheetId="4" r:id="rId2"/>
    <sheet name="ToDo" sheetId="6" r:id="rId3"/>
  </sheets>
  <functionGroups builtInGroupCount="19">
    <functionGroup name="Commands"/>
  </functionGroups>
  <definedNames>
    <definedName name="ExcliqWb">#REF!</definedName>
    <definedName name="Rangou">#REF!</definedName>
    <definedName name="yfy101112">usersRegisterFrm</definedName>
  </definedNames>
  <calcPr calcId="191029"/>
  <extLst>
    <ext xmlns:x14="http://schemas.microsoft.com/office/spreadsheetml/2009/9/main" uri="{8193D73E-4604-4355-AFF4-8A2333D13BE4}">
      <x14:definedNames>
        <x14:definedName name="LEXCLIQBALMET">
          <x14:argumentDescriptions count="6">
            <x14:argumentDescription index="0">Requerido. Un número, el peso de alimentación.</x14:argumentDescription>
            <x14:argumentDescription index="1">Requerido. Un número, Ley del primer mineral.</x14:argumentDescription>
            <x14:argumentDescription index="2">Opcional. Un número, Ley del segundo mineral.</x14:argumentDescription>
            <x14:argumentDescription index="3">Opcional. Un número, Ley del tercer mineral.</x14:argumentDescription>
            <x14:argumentDescription index="4">Opcional. Un número, Ley del cuarto mineral.</x14:argumentDescription>
            <x14:argumentDescription index="5">Opcional. Un número, corresponde a un concentrado (producto).</x14:argumentDescription>
          </x14:argumentDescriptions>
        </x14:definedName>
        <x14:definedName name="LEXCLIQBALMET_Rc">
          <x14:argumentDescriptions count="6">
            <x14:argumentDescription index="0">Requerido. Un número, el peso de alimentación.</x14:argumentDescription>
            <x14:argumentDescription index="1">Requerido. Un número, Ley del primer mineral.</x14:argumentDescription>
            <x14:argumentDescription index="2">Opcional. Un número, Ley del segundo mineral.</x14:argumentDescription>
            <x14:argumentDescription index="3">Opcional. Un número, Ley del tercer mineral.</x14:argumentDescription>
            <x14:argumentDescription index="4">Opcional. Un número, Ley del cuarto mineral.</x14:argumentDescription>
            <x14:argumentDescription index="5">Opcional. Un número, corresponde a un concentrado (producto).</x14:argumentDescription>
          </x14:argumentDescriptions>
        </x14:definedName>
        <x14:definedName name="LEXCLIQBALMET_Rec">
          <x14:argumentDescriptions count="6">
            <x14:argumentDescription index="0">Requerido. Un número, el peso de alimentación.</x14:argumentDescription>
            <x14:argumentDescription index="1">Requerido. Un número, Ley del primer mineral.</x14:argumentDescription>
            <x14:argumentDescription index="2">Opcional. Un número, Ley del segundo mineral.</x14:argumentDescription>
            <x14:argumentDescription index="3">Opcional. Un número, Ley del tercer mineral.</x14:argumentDescription>
            <x14:argumentDescription index="4">Opcional. Un número, Ley del cuarto mineral.</x14:argumentDescription>
            <x14:argumentDescription index="5">Opcional. Un número, corresponde a un concentrado (producto).</x14:argumentDescription>
          </x14:argumentDescriptions>
        </x14:definedName>
        <x14:definedName name="LEXCLIQBALMETCOMPLEJOS">
          <x14:argumentDescriptions count="3">
            <x14:argumentDescription index="0">Requerido. Un número, Ley de concentrado</x14:argumentDescription>
            <x14:argumentDescription index="1">Requerido. Un número. Peso de concentrado.</x14:argumentDescription>
            <x14:argumentDescription index="2">Opcional. 0 para DM, 1 para g/T</x14:argumentDescription>
          </x14:argumentDescriptions>
        </x14:definedName>
        <x14:definedName name="LEXCLIQBALMETCOMPLEJOS_Rec">
          <x14:argumentDescriptions count="4">
            <x14:argumentDescription index="0">Requerido. Un número, Ley de alimentación.</x14:argumentDescription>
            <x14:argumentDescription index="1">Requerido. Un número. Peso de alimentación.</x14:argumentDescription>
            <x14:argumentDescription index="2">Requerido. Un número. Ley del concentrado</x14:argumentDescription>
            <x14:argumentDescription index="3">Requerido. Un número. Peso del concentrado</x14:argumentDescription>
          </x14:argumentDescriptions>
        </x14:definedName>
        <x14:definedName name="LEXCLIQBALMETECONOMICO_Concentrado">
          <x14:argumentDescriptions count="4">
            <x14:argumentDescription index="0">Requerido. Un número, Peso de alimentación.</x14:argumentDescription>
            <x14:argumentDescription index="1">Requerido. Un número. Ley de cabeza.</x14:argumentDescription>
            <x14:argumentDescription index="2">Requerido. Un número. Ley del concentrado.</x14:argumentDescription>
            <x14:argumentDescription index="3">Opcional. Un número. Porcentaje de Recuperación.</x14:argumentDescription>
          </x14:argumentDescriptions>
        </x14:definedName>
        <x14:definedName name="LEXCLIQBALMETECONOMICO_LeyCabeza">
          <x14:argumentDescriptions count="4">
            <x14:argumentDescription index="0">Requerido. Un número, Peso del concentrado.</x14:argumentDescription>
            <x14:argumentDescription index="1">Requerido. Un número. Ley del concentrado.</x14:argumentDescription>
            <x14:argumentDescription index="2">Requerido. Un número. Peso de alimentación.</x14:argumentDescription>
            <x14:argumentDescription index="3">Opcional. Un número. Porcentaje de Recuperación.</x14:argumentDescription>
          </x14:argumentDescriptions>
        </x14:definedName>
        <x14:definedName name="LEXCLIQBALMETECONOMICO_LeyConcentrado">
          <x14:argumentDescriptions count="4">
            <x14:argumentDescription index="0">Requerido. Un número, Peso de alimentación.</x14:argumentDescription>
            <x14:argumentDescription index="1">Requerido. Un número. Ley de cabeza.</x14:argumentDescription>
            <x14:argumentDescription index="2">Requerido. Un número. Peso del concentrado.</x14:argumentDescription>
            <x14:argumentDescription index="3">Opcional. Un número. Porcentaje de Recuperación.</x14:argumentDescription>
          </x14:argumentDescriptions>
        </x14:definedName>
        <x14:definedName name="LEXCLIQBALMETECONOMICO_Mineral">
          <x14:argumentDescriptions count="4">
            <x14:argumentDescription index="0">Requerido. Un número, Peso del concentrado.</x14:argumentDescription>
            <x14:argumentDescription index="1">Requerido. Un número. Ley del concentrado.</x14:argumentDescription>
            <x14:argumentDescription index="2">Requerido. Un número. Ley de cabeza</x14:argumentDescription>
            <x14:argumentDescription index="3">Opcional. Un número. Porcentaje de Recuperación.</x14:argumentDescription>
          </x14:argumentDescriptions>
        </x14:definedName>
        <x14:definedName name="LEXCLIQNUMERO_A_TEXTO">
          <x14:argumentDescriptions count="4">
            <x14:argumentDescription index="0">Requerido. Un número.</x14:argumentDescription>
            <x14:argumentDescription index="1">Opcional. Un texto.</x14:argumentDescription>
            <x14:argumentDescription index="2">Opcional. Un texto.</x14:argumentDescription>
            <x14:argumentDescription index="3">Opcional. Un número. 0 ó 1.</x14:argumentDescription>
          </x14:argumentDescriptions>
        </x14:definedName>
        <x14:definedName name="LEXCLIQREGRESION_LINEAL">
          <x14:argumentDescriptions count="3">
            <x14:argumentDescription index="0">Requerido. Un rango de celdas con más de tres números.</x14:argumentDescription>
            <x14:argumentDescription index="1">Opcional. Un rango de celdas con más de tres números.</x14:argumentDescription>
            <x14:argumentDescription index="2">Opcional. Un número o una lista de números.</x14:argumentDescription>
          </x14:argumentDescriptions>
        </x14:definedName>
        <x14:definedName name="LEXCLIQREGRESION_LINEAL_a">
          <x14:argumentDescriptions count="2">
            <x14:argumentDescription index="0">Requerido. Un rango de celdas con más de tres números.</x14:argumentDescription>
            <x14:argumentDescription index="1">Opcional. Un rango de celdas con más de tres números.</x14:argumentDescription>
          </x14:argumentDescriptions>
        </x14:definedName>
        <x14:definedName name="LEXCLIQREGRESION_LINEAL_b">
          <x14:argumentDescriptions count="2">
            <x14:argumentDescription index="0">Requerido. Un rango de celdas con más de tres números.</x14:argumentDescription>
            <x14:argumentDescription index="1">Opcional. Un rango de celdas con más de tres números.</x14:argumentDescription>
          </x14:argumentDescriptions>
        </x14:definedName>
        <x14:definedName name="LEXCLIQREGRESION_LINEAL_n">
          <x14:argumentDescriptions count="2">
            <x14:argumentDescription index="0">Requerido. Un rango de celdas con más de tres números.</x14:argumentDescription>
            <x14:argumentDescription index="1">Opcional. Un rango de celdas con más de tres números.</x14:argumentDescription>
          </x14:argumentDescriptions>
        </x14:definedName>
        <x14:definedName name="LEXCLIQREGRESION_LINEAL_r">
          <x14:argumentDescriptions count="2">
            <x14:argumentDescription index="0">Requerido. Un rango de celdas con más de tres números.</x14:argumentDescription>
            <x14:argumentDescription index="1">Opcional. Un rango de celdas con más de tres números.</x14:argumentDescription>
          </x14:argumentDescriptions>
        </x14:definedName>
        <x14:definedName name="LEXCLIQREGRESION_LINEAL_r2">
          <x14:argumentDescriptions count="2">
            <x14:argumentDescription index="0">Requerido. Un rango de celdas con más de tres números.</x14:argumentDescription>
            <x14:argumentDescription index="1">Opcional. Un rango de celdas con más de tres números.</x14:argumentDescription>
          </x14:argumentDescriptions>
        </x14:definedName>
        <x14:definedName name="LEXCLIQREGRESION_LINEAL_Se">
          <x14:argumentDescriptions count="2">
            <x14:argumentDescription index="0">Requerido. Un rango de celdas con más de tres números.</x14:argumentDescription>
            <x14:argumentDescription index="1">Opcional. Un rango de celdas con más de tres números.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60" i="5" l="1"/>
  <c r="H61" i="5"/>
  <c r="H62" i="5"/>
  <c r="S52" i="5"/>
  <c r="K53" i="5"/>
  <c r="L53" i="5"/>
  <c r="M53" i="5"/>
  <c r="Q53" i="5"/>
  <c r="R53" i="5"/>
  <c r="S53" i="5"/>
  <c r="S54" i="5"/>
  <c r="G18" i="5"/>
  <c r="G17" i="5"/>
  <c r="G16" i="5"/>
  <c r="F17" i="5"/>
  <c r="E17" i="5"/>
  <c r="F16" i="5"/>
  <c r="E16" i="5"/>
  <c r="U16" i="5"/>
  <c r="U5" i="5"/>
  <c r="C58" i="5" a="1"/>
  <c r="C49" i="5" a="1"/>
  <c r="C58" i="5" l="1"/>
  <c r="C59" i="5"/>
  <c r="C51" i="5"/>
  <c r="C49" i="5"/>
  <c r="C50" i="5"/>
  <c r="R4" i="5"/>
  <c r="S4" i="5"/>
  <c r="T4" i="5"/>
  <c r="P4" i="5"/>
  <c r="U4" i="5"/>
  <c r="R3" i="5"/>
  <c r="S3" i="5"/>
  <c r="T3" i="5"/>
  <c r="P3" i="5"/>
  <c r="U3" i="5"/>
  <c r="H59" i="5" l="1"/>
  <c r="F59" i="5"/>
  <c r="G59" i="5"/>
  <c r="H58" i="5"/>
  <c r="D62" i="5"/>
  <c r="F62" i="5" s="1"/>
  <c r="F58" i="5"/>
  <c r="F60" i="5" s="1"/>
  <c r="G61" i="5"/>
  <c r="F61" i="5"/>
  <c r="E62" i="5"/>
  <c r="G62" i="5" s="1"/>
  <c r="G58" i="5"/>
  <c r="G60" i="5" s="1"/>
  <c r="D49" i="5"/>
  <c r="E54" i="5"/>
  <c r="N54" i="5" s="1"/>
  <c r="I51" i="5"/>
  <c r="M51" i="5"/>
  <c r="Q51" i="5"/>
  <c r="S51" i="5"/>
  <c r="L51" i="5"/>
  <c r="J51" i="5"/>
  <c r="N51" i="5"/>
  <c r="R51" i="5"/>
  <c r="D51" i="5"/>
  <c r="K51" i="5"/>
  <c r="O51" i="5"/>
  <c r="H51" i="5"/>
  <c r="P51" i="5"/>
  <c r="J50" i="5"/>
  <c r="N50" i="5"/>
  <c r="R50" i="5"/>
  <c r="I50" i="5"/>
  <c r="Q50" i="5"/>
  <c r="D50" i="5"/>
  <c r="K50" i="5"/>
  <c r="O50" i="5"/>
  <c r="S50" i="5"/>
  <c r="H50" i="5"/>
  <c r="L50" i="5"/>
  <c r="P50" i="5"/>
  <c r="M50" i="5"/>
  <c r="K49" i="5"/>
  <c r="O49" i="5"/>
  <c r="S49" i="5"/>
  <c r="O53" i="5"/>
  <c r="G54" i="5"/>
  <c r="I53" i="5"/>
  <c r="N49" i="5"/>
  <c r="N53" i="5"/>
  <c r="F54" i="5"/>
  <c r="H49" i="5"/>
  <c r="L49" i="5"/>
  <c r="P49" i="5"/>
  <c r="H53" i="5"/>
  <c r="P53" i="5"/>
  <c r="I49" i="5"/>
  <c r="M49" i="5"/>
  <c r="Q49" i="5"/>
  <c r="J49" i="5"/>
  <c r="R49" i="5"/>
  <c r="J53" i="5"/>
  <c r="O54" i="5"/>
  <c r="T5" i="5"/>
  <c r="S14" i="5"/>
  <c r="T14" i="5"/>
  <c r="P14" i="5"/>
  <c r="U14" i="5"/>
  <c r="R14" i="5"/>
  <c r="P15" i="5"/>
  <c r="R15" i="5"/>
  <c r="S15" i="5"/>
  <c r="T15" i="5"/>
  <c r="U15" i="5"/>
  <c r="R5" i="5"/>
  <c r="S5" i="5"/>
  <c r="P5" i="5"/>
  <c r="I52" i="5" l="1"/>
  <c r="P52" i="5"/>
  <c r="L54" i="5"/>
  <c r="J54" i="5"/>
  <c r="M52" i="5"/>
  <c r="N52" i="5"/>
  <c r="Q54" i="5"/>
  <c r="P54" i="5"/>
  <c r="R54" i="5"/>
  <c r="K52" i="5"/>
  <c r="K54" i="5"/>
  <c r="R52" i="5"/>
  <c r="D52" i="5"/>
  <c r="D53" i="5"/>
  <c r="D54" i="5"/>
  <c r="H52" i="5"/>
  <c r="H54" i="5"/>
  <c r="Q52" i="5"/>
  <c r="J52" i="5"/>
  <c r="M54" i="5"/>
  <c r="O52" i="5"/>
  <c r="L52" i="5"/>
  <c r="I54" i="5"/>
  <c r="S16" i="5"/>
  <c r="P16" i="5"/>
  <c r="T16" i="5"/>
  <c r="R16" i="5"/>
  <c r="S28" i="5"/>
  <c r="S27" i="5"/>
  <c r="R27" i="5"/>
  <c r="Q27" i="5"/>
  <c r="M27" i="5"/>
  <c r="L27" i="5"/>
  <c r="K27" i="5"/>
  <c r="J27" i="5"/>
  <c r="I27" i="5"/>
  <c r="H27" i="5"/>
  <c r="D27" i="5"/>
  <c r="S26" i="5"/>
  <c r="R26" i="5"/>
  <c r="Q26" i="5"/>
  <c r="M26" i="5"/>
  <c r="L26" i="5"/>
  <c r="K26" i="5"/>
  <c r="J26" i="5"/>
  <c r="I26" i="5"/>
  <c r="H26" i="5"/>
  <c r="D26" i="5"/>
  <c r="S25" i="5"/>
  <c r="R25" i="5"/>
  <c r="Q25" i="5"/>
  <c r="M25" i="5"/>
  <c r="L25" i="5"/>
  <c r="K25" i="5"/>
  <c r="J25" i="5"/>
  <c r="I25" i="5"/>
  <c r="H25" i="5"/>
  <c r="D25" i="5"/>
  <c r="P21" i="5"/>
  <c r="O21" i="5"/>
  <c r="N21" i="5"/>
  <c r="P20" i="5"/>
  <c r="O20" i="5"/>
  <c r="N20" i="5"/>
  <c r="P19" i="5"/>
  <c r="O19" i="5"/>
  <c r="N19" i="5"/>
  <c r="K19" i="5"/>
  <c r="J19" i="5"/>
  <c r="J18" i="5" s="1"/>
  <c r="C13" i="5"/>
  <c r="B13" i="5"/>
  <c r="B16" i="5" a="1"/>
  <c r="A16" i="5" a="1"/>
  <c r="L28" i="5" l="1"/>
  <c r="O27" i="5" s="1"/>
  <c r="J28" i="5"/>
  <c r="H28" i="5"/>
  <c r="D28" i="5"/>
  <c r="J29" i="5" s="1"/>
  <c r="K28" i="5"/>
  <c r="N27" i="5" s="1"/>
  <c r="R28" i="5"/>
  <c r="I28" i="5"/>
  <c r="Q28" i="5"/>
  <c r="M28" i="5"/>
  <c r="P27" i="5" s="1"/>
  <c r="A18" i="5"/>
  <c r="A17" i="5"/>
  <c r="A16" i="5"/>
  <c r="B17" i="5"/>
  <c r="B16" i="5"/>
  <c r="B18" i="5"/>
  <c r="P29" i="5" l="1"/>
  <c r="O26" i="5"/>
  <c r="E21" i="5"/>
  <c r="E19" i="5"/>
  <c r="E20" i="5"/>
  <c r="O25" i="5"/>
  <c r="O28" i="5" s="1"/>
  <c r="E18" i="5"/>
  <c r="N25" i="5"/>
  <c r="N26" i="5"/>
  <c r="P25" i="5"/>
  <c r="P26" i="5"/>
  <c r="D19" i="5" l="1"/>
  <c r="P28" i="5"/>
  <c r="N28" i="5"/>
</calcChain>
</file>

<file path=xl/sharedStrings.xml><?xml version="1.0" encoding="utf-8"?>
<sst xmlns="http://schemas.openxmlformats.org/spreadsheetml/2006/main" count="213" uniqueCount="104">
  <si>
    <t>fórmulas en las celdas</t>
  </si>
  <si>
    <t>monedas</t>
  </si>
  <si>
    <t>Sin tablas</t>
  </si>
  <si>
    <t>formulas</t>
  </si>
  <si>
    <t>currencies</t>
  </si>
  <si>
    <t>currency</t>
  </si>
  <si>
    <t>symbol</t>
  </si>
  <si>
    <t>table_type</t>
  </si>
  <si>
    <t>Bolivianos</t>
  </si>
  <si>
    <t>Boliviano</t>
  </si>
  <si>
    <t>BOB</t>
  </si>
  <si>
    <t>Estilo tabla verde excliqlite</t>
  </si>
  <si>
    <t>Estilo tabla ploma excliqlite (default)</t>
  </si>
  <si>
    <t>Estilo tabla pastel excel</t>
  </si>
  <si>
    <t>table_style</t>
  </si>
  <si>
    <t>Tablas planas</t>
  </si>
  <si>
    <t>Tablas</t>
  </si>
  <si>
    <t>table_rowstripe</t>
  </si>
  <si>
    <t>N</t>
  </si>
  <si>
    <t>X</t>
  </si>
  <si>
    <t>Y</t>
  </si>
  <si>
    <t>Total</t>
  </si>
  <si>
    <t>X'</t>
  </si>
  <si>
    <t>Y'</t>
  </si>
  <si>
    <t>Regresión Lineal - Proceso</t>
  </si>
  <si>
    <t>Extrapolación</t>
  </si>
  <si>
    <t>&lt;3: Error</t>
  </si>
  <si>
    <t>1 Col(mx1): Y</t>
  </si>
  <si>
    <t>2x2: Y</t>
  </si>
  <si>
    <t>3x3: Y</t>
  </si>
  <si>
    <t>2Col(mx2):X,Y</t>
  </si>
  <si>
    <t>2Col(mx3):X,Y,E</t>
  </si>
  <si>
    <t>1 Row(1xn): Y</t>
  </si>
  <si>
    <t>2Row(2xn): X,Y</t>
  </si>
  <si>
    <t>2Row(3xn):X,Y,E</t>
  </si>
  <si>
    <t>&gt;3 Col or Row: Y</t>
  </si>
  <si>
    <t>1A: Y</t>
  </si>
  <si>
    <t>2A:X,Y</t>
  </si>
  <si>
    <t>3A: X,Y,E</t>
  </si>
  <si>
    <t>&gt;3A: Error</t>
  </si>
  <si>
    <t>Balance Metalúrgico - Método Convencional</t>
  </si>
  <si>
    <t>#</t>
  </si>
  <si>
    <t>PRODUCTO</t>
  </si>
  <si>
    <t>PESO</t>
  </si>
  <si>
    <t>%P</t>
  </si>
  <si>
    <t>%B1</t>
  </si>
  <si>
    <t>%B2</t>
  </si>
  <si>
    <t>DM Ag</t>
  </si>
  <si>
    <t>UNIDADES B1</t>
  </si>
  <si>
    <t>UNIDADES B2</t>
  </si>
  <si>
    <t>FINOS B1</t>
  </si>
  <si>
    <t>FINOS B2</t>
  </si>
  <si>
    <t>%Rec B1</t>
  </si>
  <si>
    <t>%Rec B2</t>
  </si>
  <si>
    <t>Rc</t>
  </si>
  <si>
    <t>%Rec Ag</t>
  </si>
  <si>
    <t>A</t>
  </si>
  <si>
    <t>B1</t>
  </si>
  <si>
    <t>B2</t>
  </si>
  <si>
    <t>C</t>
  </si>
  <si>
    <t>UNIDADES AG</t>
  </si>
  <si>
    <t>FINOS AG</t>
  </si>
  <si>
    <t>PESO Ag [T]</t>
  </si>
  <si>
    <t>PESO Ag [OT]</t>
  </si>
  <si>
    <t>OPCIONALES</t>
  </si>
  <si>
    <t>FIJOS</t>
  </si>
  <si>
    <t>OPCIONAL</t>
  </si>
  <si>
    <t>Números:</t>
  </si>
  <si>
    <t>Valores</t>
  </si>
  <si>
    <t>Producto</t>
  </si>
  <si>
    <t>Peso</t>
  </si>
  <si>
    <t>Unidades B1</t>
  </si>
  <si>
    <t>Finos B1</t>
  </si>
  <si>
    <t>Balance Metalúrgico - 2 Productos</t>
  </si>
  <si>
    <t>=+EQL_BALMET_ECONOMICO_LeyCabeza(400;52,18;50;82,32)</t>
  </si>
  <si>
    <t>=+EQL_BALMET_ECONOMICO_LeyCabeza(400;0,07;45;53,05)</t>
  </si>
  <si>
    <t>TODO BALMET FRM:</t>
  </si>
  <si>
    <t>TODO BALMET UDF:</t>
  </si>
  <si>
    <t>Incluir dos casillas para Cabeza Ensayada y Cabeza Calculada</t>
  </si>
  <si>
    <t>Adicionar cáculos Cabezas en Clase AppEqBalmet</t>
  </si>
  <si>
    <t>Mejorar cálculos de DM y g/T en AppEqBalmet</t>
  </si>
  <si>
    <t>Añadir unidades de peso a encabezados de Balmet</t>
  </si>
  <si>
    <t>OK</t>
  </si>
  <si>
    <t>Reparar Finos en Complejos</t>
  </si>
  <si>
    <t>Permitir indicar orígen de alimentación: inicio o fin</t>
  </si>
  <si>
    <t>Corregir orígen de alimentación: inicio/fin</t>
  </si>
  <si>
    <t>Incluir opción para Cabeza Ensayada y Cabeza Calculada</t>
  </si>
  <si>
    <t>Peso[T]</t>
  </si>
  <si>
    <t>Peso[%]</t>
  </si>
  <si>
    <t>B1[%]</t>
  </si>
  <si>
    <t>Ag[DM]</t>
  </si>
  <si>
    <t>Unidad B1</t>
  </si>
  <si>
    <t>Unidad Ag</t>
  </si>
  <si>
    <t>Fino B1[T]</t>
  </si>
  <si>
    <t>Fino Ag[g]</t>
  </si>
  <si>
    <t>Peso Ag[T]</t>
  </si>
  <si>
    <t>Peso Ag[OT]</t>
  </si>
  <si>
    <t>Ratio</t>
  </si>
  <si>
    <t>C. Ensayada</t>
  </si>
  <si>
    <t>C. Calculada</t>
  </si>
  <si>
    <t>B2[%]</t>
  </si>
  <si>
    <t>Unidad B2</t>
  </si>
  <si>
    <t>Balance Metalúrgico - 3 Productos</t>
  </si>
  <si>
    <t>Fino B2[T]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</si>
</sst>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0.00"/>
  </numFmts>
  <fonts count="6" x14ac:knownFonts="1">
    <font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rgb="FF000000" tint="0.29999694814905242"/>
      <name val="Calibri"/>
      <family val="2"/>
    </font>
    <font>
      <sz val="11"/>
      <color theme="1"/>
      <name val="Consolas"/>
      <family val="3"/>
    </font>
  </fonts>
  <fills count="5">
    <fill>
      <patternFill patternType="none"/>
    </fill>
    <fill>
      <patternFill patternType="gray125"/>
    </fill>
    <fill>
      <patternFill patternType="solid">
        <fgColor theme="9"/>
        <bgColor theme="9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79998168889431442"/>
        <bgColor indexed="64"/>
      </patternFill>
    </fill>
  </fills>
  <borders count="11">
    <border>
      <left/>
      <right/>
      <top/>
      <bottom/>
      <diagonal/>
    </border>
    <border>
      <left style="thin">
        <color theme="9" tint="0.39997558519241921"/>
      </left>
      <right/>
      <top style="thin">
        <color theme="9" tint="0.39997558519241921"/>
      </top>
      <bottom/>
      <diagonal/>
    </border>
    <border>
      <left/>
      <right/>
      <top style="thin">
        <color theme="9" tint="0.39997558519241921"/>
      </top>
      <bottom/>
      <diagonal/>
    </border>
    <border>
      <left/>
      <right style="thin">
        <color theme="9" tint="0.39997558519241921"/>
      </right>
      <top style="thin">
        <color theme="9" tint="0.39997558519241921"/>
      </top>
      <bottom/>
      <diagonal/>
    </border>
    <border>
      <left style="thin">
        <color theme="9" tint="0.39997558519241921"/>
      </left>
      <right/>
      <top style="double">
        <color theme="9"/>
      </top>
      <bottom style="thin">
        <color theme="9" tint="0.39997558519241921"/>
      </bottom>
      <diagonal/>
    </border>
    <border>
      <left/>
      <right/>
      <top style="double">
        <color theme="9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double">
        <color theme="9"/>
      </top>
      <bottom style="thin">
        <color theme="9" tint="0.39997558519241921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</borders>
  <cellStyleXfs count="1">
    <xf numFmtId="0" fontId="0" fillId="0" borderId="0"/>
  </cellStyleXfs>
  <cellXfs count="33">
    <xf numFmtId="0" fontId="0" fillId="0" borderId="0" xfId="0"/>
    <xf numFmtId="0" fontId="1" fillId="0" borderId="0" xfId="0" applyFont="1"/>
    <xf numFmtId="0" fontId="3" fillId="0" borderId="0" xfId="0" applyFont="1"/>
    <xf numFmtId="0" fontId="2" fillId="2" borderId="1" xfId="0" applyFont="1" applyFill="1" applyBorder="1" applyAlignment="1">
      <alignment horizontal="right"/>
    </xf>
    <xf numFmtId="0" fontId="2" fillId="2" borderId="2" xfId="0" applyFont="1" applyFill="1" applyBorder="1" applyAlignment="1">
      <alignment horizontal="right"/>
    </xf>
    <xf numFmtId="0" fontId="2" fillId="2" borderId="3" xfId="0" applyFont="1" applyFill="1" applyBorder="1" applyAlignment="1">
      <alignment horizontal="right"/>
    </xf>
    <xf numFmtId="1" fontId="0" fillId="0" borderId="1" xfId="0" applyNumberFormat="1" applyFont="1" applyBorder="1"/>
    <xf numFmtId="164" fontId="0" fillId="0" borderId="2" xfId="0" applyNumberFormat="1" applyFont="1" applyBorder="1"/>
    <xf numFmtId="164" fontId="0" fillId="0" borderId="3" xfId="0" applyNumberFormat="1" applyFont="1" applyBorder="1"/>
    <xf numFmtId="164" fontId="3" fillId="0" borderId="4" xfId="0" applyNumberFormat="1" applyFont="1" applyBorder="1"/>
    <xf numFmtId="164" fontId="3" fillId="0" borderId="5" xfId="0" applyNumberFormat="1" applyFont="1" applyBorder="1"/>
    <xf numFmtId="164" fontId="3" fillId="0" borderId="6" xfId="0" applyNumberFormat="1" applyFont="1" applyBorder="1"/>
    <xf numFmtId="164" fontId="3" fillId="0" borderId="1" xfId="0" applyNumberFormat="1" applyFont="1" applyBorder="1"/>
    <xf numFmtId="164" fontId="3" fillId="0" borderId="7" xfId="0" applyNumberFormat="1" applyFont="1" applyBorder="1"/>
    <xf numFmtId="164" fontId="0" fillId="0" borderId="8" xfId="0" applyNumberFormat="1" applyFont="1" applyBorder="1"/>
    <xf numFmtId="0" fontId="2" fillId="2" borderId="0" xfId="0" applyFont="1" applyFill="1" applyBorder="1" applyAlignment="1">
      <alignment horizontal="right"/>
    </xf>
    <xf numFmtId="0" fontId="0" fillId="0" borderId="9" xfId="0" applyBorder="1" applyAlignment="1">
      <alignment horizontal="center" vertical="center"/>
    </xf>
    <xf numFmtId="2" fontId="0" fillId="0" borderId="0" xfId="0" applyNumberFormat="1"/>
    <xf numFmtId="0" fontId="0" fillId="3" borderId="0" xfId="0" applyFill="1"/>
    <xf numFmtId="0" fontId="0" fillId="4" borderId="0" xfId="0" applyFill="1"/>
    <xf numFmtId="0" fontId="4" fillId="4" borderId="0" xfId="0" applyFont="1" applyFill="1"/>
    <xf numFmtId="0" fontId="0" fillId="0" borderId="0" xfId="0" applyNumberFormat="1"/>
    <xf numFmtId="0" fontId="2" fillId="2" borderId="1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1" fontId="0" fillId="0" borderId="7" xfId="0" applyNumberFormat="1" applyFont="1" applyBorder="1"/>
    <xf numFmtId="164" fontId="0" fillId="0" borderId="10" xfId="0" applyNumberFormat="1" applyFont="1" applyBorder="1"/>
    <xf numFmtId="0" fontId="5" fillId="0" borderId="0" xfId="0" applyFont="1"/>
    <xf numFmtId="2" fontId="2" fillId="2" borderId="2" xfId="0" applyNumberFormat="1" applyFont="1" applyFill="1" applyBorder="1" applyAlignment="1">
      <alignment horizontal="right"/>
    </xf>
    <xf numFmtId="2" fontId="2" fillId="2" borderId="3" xfId="0" applyNumberFormat="1" applyFont="1" applyFill="1" applyBorder="1" applyAlignment="1">
      <alignment horizontal="right"/>
    </xf>
    <xf numFmtId="0" fontId="0" fillId="0" borderId="0" xfId="0" quotePrefix="1"/>
    <xf numFmtId="2" fontId="0" fillId="0" borderId="0" xfId="0" applyNumberFormat="1" applyFont="1" applyFill="1" applyBorder="1"/>
    <xf numFmtId="0" fontId="0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BF9B1C4-732B-4987-96E7-1D5156C6A00E}" name="excliqliteformulascon" displayName="excliqliteformulascon" ref="A1:A2" totalsRowShown="0">
  <autoFilter ref="A1:A2" xr:uid="{5ECBDB42-19B0-432E-83BF-2D1E46604AE7}"/>
  <tableColumns count="1">
    <tableColumn id="1" xr3:uid="{F5DACD74-FA6B-424F-8467-6DEEDAF8979B}" name="formulas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4144193-6C37-436F-AFB0-370441F4C4F3}" name="excliqlitecurrenciescon" displayName="excliqlitecurrenciescon" ref="C1:E2">
  <autoFilter ref="C1:E2" xr:uid="{DBFBC7AC-F9DF-4735-9225-7CBAA3CB709A}"/>
  <tableColumns count="3">
    <tableColumn id="1" xr3:uid="{51698E05-2295-4BCD-B3BC-A9D24EA6E409}" name="currencies" totalsRowLabel="Total"/>
    <tableColumn id="2" xr3:uid="{1A116524-77EA-46B9-A32C-1A2DCA6D7F43}" name="currency"/>
    <tableColumn id="3" xr3:uid="{052BEFA0-D99F-4141-8FEB-D8FE62C02BF5}" name="symbol" totalsRowFunction="count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B086703-4502-4BD0-8D4B-7174AAF679E8}" name="excliqlitetablescon" displayName="excliqlitetablescon" ref="G1:I2" totalsRowShown="0">
  <autoFilter ref="G1:I2" xr:uid="{326CCE58-A44C-438F-834D-C5F340FBCB8B}"/>
  <tableColumns count="3">
    <tableColumn id="1" xr3:uid="{89C7B3F4-58FF-4516-A4C7-FC9CCE96E9C9}" name="table_type"/>
    <tableColumn id="2" xr3:uid="{1FBB8D45-3D3E-4B06-97CE-AA2A23C18F78}" name="table_style"/>
    <tableColumn id="3" xr3:uid="{09720A55-623B-4E18-8A95-5CD22C201265}" name="table_rowstrip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D44503-3559-40D8-9678-6EF29647D0E7}">
  <sheetPr codeName="excliqlites"/>
  <dimension ref="A1:AE62"/>
  <sheetViews>
    <sheetView tabSelected="1" topLeftCell="A36" workbookViewId="0">
      <selection activeCell="G64" sqref="G64"/>
    </sheetView>
  </sheetViews>
  <sheetFormatPr baseColWidth="10" defaultRowHeight="14.4" x14ac:dyDescent="0.3"/>
  <cols>
    <col min="6" max="7" width="13.33203125" customWidth="1"/>
    <col min="8" max="8" width="13.44140625" customWidth="1"/>
    <col min="9" max="9" width="14.33203125" customWidth="1"/>
    <col min="10" max="10" width="13.44140625" customWidth="1"/>
    <col min="13" max="13" width="11.88671875" customWidth="1"/>
    <col min="14" max="14" width="13.21875" customWidth="1"/>
    <col min="17" max="17" width="11.88671875" customWidth="1"/>
    <col min="18" max="18" width="13.33203125" customWidth="1"/>
    <col min="21" max="21" width="12.44140625" bestFit="1" customWidth="1"/>
    <col min="28" max="28" width="13.33203125" customWidth="1"/>
  </cols>
  <sheetData>
    <row r="1" spans="1:31" x14ac:dyDescent="0.3">
      <c r="M1" s="2" t="s">
        <v>73</v>
      </c>
    </row>
    <row r="2" spans="1:31" x14ac:dyDescent="0.3">
      <c r="M2" s="22" t="s">
        <v>41</v>
      </c>
      <c r="N2" s="23" t="s">
        <v>69</v>
      </c>
      <c r="O2" s="23" t="s">
        <v>70</v>
      </c>
      <c r="P2" s="23" t="s">
        <v>44</v>
      </c>
      <c r="Q2" s="23" t="s">
        <v>45</v>
      </c>
      <c r="R2" s="23" t="s">
        <v>71</v>
      </c>
      <c r="S2" s="23" t="s">
        <v>72</v>
      </c>
      <c r="T2" s="23" t="s">
        <v>52</v>
      </c>
      <c r="U2" s="24" t="s">
        <v>54</v>
      </c>
      <c r="W2" s="2" t="s">
        <v>73</v>
      </c>
    </row>
    <row r="3" spans="1:31" x14ac:dyDescent="0.3">
      <c r="M3" s="6">
        <v>1</v>
      </c>
      <c r="N3" s="7" t="s">
        <v>57</v>
      </c>
      <c r="O3" s="7">
        <v>264.70588235294122</v>
      </c>
      <c r="P3" s="7">
        <f>$O$3*100/$O$5</f>
        <v>26.470588235294123</v>
      </c>
      <c r="Q3" s="7">
        <v>8</v>
      </c>
      <c r="R3" s="7">
        <f>+$O3*$Q$3*100/$O$5</f>
        <v>211.76470588235298</v>
      </c>
      <c r="S3" s="7">
        <f>+$O3*$Q$3/100</f>
        <v>21.176470588235297</v>
      </c>
      <c r="T3" s="7">
        <f>+($O3*$Q$3/SUM($O3*$Q$3,$O4*$Q$4))*100</f>
        <v>70.588235294117666</v>
      </c>
      <c r="U3" s="8">
        <f>+$O$5/$O$3</f>
        <v>3.7777777777777772</v>
      </c>
      <c r="W3" s="3" t="s">
        <v>41</v>
      </c>
      <c r="X3" s="4" t="s">
        <v>69</v>
      </c>
      <c r="Y3" s="28" t="s">
        <v>70</v>
      </c>
      <c r="Z3" s="28" t="s">
        <v>44</v>
      </c>
      <c r="AA3" s="28" t="s">
        <v>45</v>
      </c>
      <c r="AB3" s="28" t="s">
        <v>71</v>
      </c>
      <c r="AC3" s="28" t="s">
        <v>72</v>
      </c>
      <c r="AD3" s="28" t="s">
        <v>52</v>
      </c>
      <c r="AE3" s="29" t="s">
        <v>54</v>
      </c>
    </row>
    <row r="4" spans="1:31" x14ac:dyDescent="0.3">
      <c r="M4" s="6">
        <v>2</v>
      </c>
      <c r="N4" s="7" t="s">
        <v>59</v>
      </c>
      <c r="O4" s="7">
        <v>735.29411764705878</v>
      </c>
      <c r="P4" s="7">
        <f>$O$4*100/$O$5</f>
        <v>73.52941176470587</v>
      </c>
      <c r="Q4" s="7">
        <v>1.2</v>
      </c>
      <c r="R4" s="7">
        <f>+$O4*$Q$4*100/$O$5</f>
        <v>88.235294117647044</v>
      </c>
      <c r="S4" s="7">
        <f>+$O4*$Q$4/100</f>
        <v>8.8235294117647047</v>
      </c>
      <c r="T4" s="7">
        <f>+($O4*$Q$4/SUM($O3*$Q$3,$O4*$Q$4))*100</f>
        <v>29.411764705882348</v>
      </c>
      <c r="U4" s="8">
        <f>+$O$5/$O$4</f>
        <v>1.36</v>
      </c>
      <c r="W4" s="6">
        <v>1</v>
      </c>
      <c r="X4" s="7" t="s">
        <v>57</v>
      </c>
      <c r="Y4" s="7">
        <v>264.70588235294122</v>
      </c>
      <c r="Z4" s="7">
        <v>26.470588235294123</v>
      </c>
      <c r="AA4" s="7">
        <v>8</v>
      </c>
      <c r="AB4" s="7">
        <v>211.76470588235298</v>
      </c>
      <c r="AC4" s="7">
        <v>21.176470588235297</v>
      </c>
      <c r="AD4" s="7">
        <v>70.588235294117652</v>
      </c>
      <c r="AE4" s="8">
        <v>3.7777777777777772</v>
      </c>
    </row>
    <row r="5" spans="1:31" x14ac:dyDescent="0.3">
      <c r="M5" s="25">
        <v>3</v>
      </c>
      <c r="N5" s="26" t="s">
        <v>56</v>
      </c>
      <c r="O5" s="26">
        <v>1000</v>
      </c>
      <c r="P5" s="26">
        <f>+SUM($P$3:$P$4)</f>
        <v>100</v>
      </c>
      <c r="Q5" s="26">
        <v>3</v>
      </c>
      <c r="R5" s="26">
        <f>+SUM($R$3:$R$4)</f>
        <v>300</v>
      </c>
      <c r="S5" s="26">
        <f>+SUM($S$3:$S$4)</f>
        <v>30</v>
      </c>
      <c r="T5" s="26">
        <f>+SUM($T$3:$T$4)</f>
        <v>100.00000000000001</v>
      </c>
      <c r="U5" s="14">
        <f>+$O$5/$O$5</f>
        <v>1</v>
      </c>
      <c r="W5" s="6">
        <v>2</v>
      </c>
      <c r="X5" s="7" t="s">
        <v>59</v>
      </c>
      <c r="Y5" s="7">
        <v>735.29411764705878</v>
      </c>
      <c r="Z5" s="7">
        <v>73.52941176470587</v>
      </c>
      <c r="AA5" s="7">
        <v>1.2</v>
      </c>
      <c r="AB5" s="7">
        <v>88.235294117647044</v>
      </c>
      <c r="AC5" s="7">
        <v>8.8235294117647047</v>
      </c>
      <c r="AD5" s="7">
        <v>29.411764705882351</v>
      </c>
      <c r="AE5" s="8">
        <v>1.36</v>
      </c>
    </row>
    <row r="6" spans="1:31" x14ac:dyDescent="0.3">
      <c r="P6" s="17"/>
      <c r="S6" s="17"/>
      <c r="T6" s="17"/>
      <c r="U6" s="17"/>
      <c r="W6" s="25">
        <v>3</v>
      </c>
      <c r="X6" s="26" t="s">
        <v>56</v>
      </c>
      <c r="Y6" s="26">
        <v>1000</v>
      </c>
      <c r="Z6" s="26">
        <v>100</v>
      </c>
      <c r="AA6" s="26">
        <v>3</v>
      </c>
      <c r="AB6" s="26">
        <v>300</v>
      </c>
      <c r="AC6" s="26">
        <v>30</v>
      </c>
      <c r="AD6" s="26">
        <v>100</v>
      </c>
      <c r="AE6" s="14">
        <v>1</v>
      </c>
    </row>
    <row r="7" spans="1:31" x14ac:dyDescent="0.3">
      <c r="A7" s="2" t="s">
        <v>24</v>
      </c>
      <c r="E7" s="2" t="s">
        <v>25</v>
      </c>
      <c r="K7" t="s">
        <v>82</v>
      </c>
      <c r="L7" t="s">
        <v>19</v>
      </c>
    </row>
    <row r="8" spans="1:31" x14ac:dyDescent="0.3">
      <c r="A8" s="3" t="s">
        <v>18</v>
      </c>
      <c r="B8" s="4" t="s">
        <v>19</v>
      </c>
      <c r="C8" s="5" t="s">
        <v>20</v>
      </c>
      <c r="E8" s="3" t="s">
        <v>22</v>
      </c>
      <c r="F8" s="5" t="s">
        <v>23</v>
      </c>
      <c r="H8" s="15" t="s">
        <v>29</v>
      </c>
      <c r="I8">
        <v>3</v>
      </c>
      <c r="J8" s="17">
        <v>1000</v>
      </c>
      <c r="K8">
        <v>8</v>
      </c>
      <c r="L8" s="17">
        <v>3</v>
      </c>
      <c r="M8" s="31">
        <v>45</v>
      </c>
    </row>
    <row r="9" spans="1:31" x14ac:dyDescent="0.3">
      <c r="A9" s="6">
        <v>1</v>
      </c>
      <c r="B9" s="7">
        <v>1</v>
      </c>
      <c r="C9" s="8">
        <v>4</v>
      </c>
      <c r="E9" s="12">
        <v>5</v>
      </c>
      <c r="F9" s="8">
        <v>34.5</v>
      </c>
      <c r="H9" t="s">
        <v>28</v>
      </c>
      <c r="I9">
        <v>8</v>
      </c>
      <c r="J9" s="17"/>
      <c r="K9">
        <v>1.2</v>
      </c>
      <c r="L9" s="17">
        <v>8</v>
      </c>
      <c r="M9" s="31">
        <v>0.6</v>
      </c>
      <c r="O9" s="17"/>
      <c r="P9" s="17"/>
      <c r="Q9" s="17"/>
      <c r="R9" s="17"/>
      <c r="S9" s="17"/>
      <c r="T9" s="17"/>
      <c r="U9" s="17"/>
      <c r="Y9" s="17"/>
      <c r="Z9" s="17"/>
      <c r="AA9" s="17"/>
      <c r="AB9" s="17"/>
      <c r="AC9" s="17"/>
      <c r="AD9" s="17"/>
      <c r="AE9" s="17"/>
    </row>
    <row r="10" spans="1:31" x14ac:dyDescent="0.3">
      <c r="A10" s="6">
        <v>2</v>
      </c>
      <c r="B10" s="7">
        <v>2</v>
      </c>
      <c r="C10" s="8">
        <v>5</v>
      </c>
      <c r="E10" s="13">
        <v>6</v>
      </c>
      <c r="F10" s="14">
        <v>40.400000000000006</v>
      </c>
      <c r="H10" s="27" t="s">
        <v>26</v>
      </c>
      <c r="I10">
        <v>1.2</v>
      </c>
      <c r="J10" s="17"/>
      <c r="K10">
        <v>3</v>
      </c>
      <c r="L10" s="17">
        <v>1.2</v>
      </c>
      <c r="M10" s="31">
        <v>2.5</v>
      </c>
      <c r="O10" s="17"/>
      <c r="P10" s="17"/>
      <c r="Q10" s="17"/>
      <c r="R10" s="17"/>
      <c r="S10" s="17"/>
      <c r="T10" s="17"/>
      <c r="U10" s="17"/>
      <c r="Y10" s="17"/>
      <c r="Z10" s="17"/>
      <c r="AA10" s="17"/>
      <c r="AB10" s="17"/>
      <c r="AC10" s="17"/>
      <c r="AD10" s="17"/>
      <c r="AE10" s="17"/>
    </row>
    <row r="11" spans="1:31" x14ac:dyDescent="0.3">
      <c r="A11" s="6">
        <v>3</v>
      </c>
      <c r="B11" s="7">
        <v>3</v>
      </c>
      <c r="C11" s="8">
        <v>67</v>
      </c>
      <c r="H11" t="s">
        <v>27</v>
      </c>
      <c r="O11" s="17"/>
      <c r="P11" s="17"/>
      <c r="Q11" s="17"/>
      <c r="R11" s="17"/>
      <c r="S11" s="17"/>
      <c r="T11" s="21"/>
      <c r="U11" s="17"/>
      <c r="Y11" s="17"/>
      <c r="Z11" s="17"/>
      <c r="AA11" s="17"/>
      <c r="AB11" s="17"/>
      <c r="AC11" s="17"/>
      <c r="AD11" s="17"/>
      <c r="AE11" s="17"/>
    </row>
    <row r="12" spans="1:31" ht="15" thickBot="1" x14ac:dyDescent="0.35">
      <c r="A12" s="6">
        <v>4</v>
      </c>
      <c r="B12" s="7">
        <v>4</v>
      </c>
      <c r="C12" s="8">
        <v>3</v>
      </c>
      <c r="H12" t="s">
        <v>32</v>
      </c>
      <c r="M12" s="2" t="s">
        <v>73</v>
      </c>
      <c r="P12" s="17"/>
      <c r="S12" s="17"/>
      <c r="T12" s="17"/>
      <c r="U12" s="17"/>
      <c r="Y12" s="17"/>
      <c r="Z12" s="17"/>
    </row>
    <row r="13" spans="1:31" ht="15" thickTop="1" x14ac:dyDescent="0.3">
      <c r="A13" s="9" t="s">
        <v>21</v>
      </c>
      <c r="B13" s="10">
        <f>SUBTOTAL(109,excliqlite!$B$9:$B$12)</f>
        <v>10</v>
      </c>
      <c r="C13" s="11">
        <f>SUBTOTAL(109,excliqlite!$C$9:$C$12)</f>
        <v>79</v>
      </c>
      <c r="H13" t="s">
        <v>30</v>
      </c>
      <c r="M13" s="3" t="s">
        <v>41</v>
      </c>
      <c r="N13" s="4" t="s">
        <v>69</v>
      </c>
      <c r="O13" s="28" t="s">
        <v>70</v>
      </c>
      <c r="P13" s="28" t="s">
        <v>44</v>
      </c>
      <c r="Q13" s="28" t="s">
        <v>45</v>
      </c>
      <c r="R13" s="28" t="s">
        <v>71</v>
      </c>
      <c r="S13" s="28" t="s">
        <v>72</v>
      </c>
      <c r="T13" s="28" t="s">
        <v>52</v>
      </c>
      <c r="U13" s="29" t="s">
        <v>54</v>
      </c>
    </row>
    <row r="14" spans="1:31" x14ac:dyDescent="0.3">
      <c r="H14" t="s">
        <v>33</v>
      </c>
      <c r="J14" s="17">
        <v>264.70588235294122</v>
      </c>
      <c r="M14" s="6">
        <v>1</v>
      </c>
      <c r="N14" s="7" t="s">
        <v>57</v>
      </c>
      <c r="O14" s="7">
        <v>264.70588235294122</v>
      </c>
      <c r="P14" s="7">
        <f>$O$14*100/$O$16</f>
        <v>26.470588235294123</v>
      </c>
      <c r="Q14" s="7">
        <v>8</v>
      </c>
      <c r="R14" s="7">
        <f>+$O14*$Q$14*100/$O$16</f>
        <v>211.76470588235298</v>
      </c>
      <c r="S14" s="7">
        <f>+$O14*$Q$14/100</f>
        <v>21.176470588235297</v>
      </c>
      <c r="T14" s="7">
        <f>+($O14*$Q$14/SUM($O14*$Q$14,$O15*$Q$15))*100</f>
        <v>70.588235294117666</v>
      </c>
      <c r="U14" s="8">
        <f>+$O$16/$O$14</f>
        <v>3.7777777777777772</v>
      </c>
    </row>
    <row r="15" spans="1:31" x14ac:dyDescent="0.3">
      <c r="H15" t="s">
        <v>31</v>
      </c>
      <c r="J15" s="17">
        <v>735.29411764705878</v>
      </c>
      <c r="M15" s="6">
        <v>2</v>
      </c>
      <c r="N15" s="7" t="s">
        <v>59</v>
      </c>
      <c r="O15" s="7">
        <v>735.29411764705878</v>
      </c>
      <c r="P15" s="7">
        <f>$O$15*100/$O$16</f>
        <v>73.52941176470587</v>
      </c>
      <c r="Q15" s="7">
        <v>1.2</v>
      </c>
      <c r="R15" s="7">
        <f>+$O15*$Q$15*100/$O$16</f>
        <v>88.235294117647044</v>
      </c>
      <c r="S15" s="7">
        <f>+$O15*$Q$15/100</f>
        <v>8.8235294117647047</v>
      </c>
      <c r="T15" s="7">
        <f>+($O15*$Q$15/SUM($O14*$Q$14,$O15*$Q$15))*100</f>
        <v>29.411764705882348</v>
      </c>
      <c r="U15" s="8">
        <f>+$O$16/$O$15</f>
        <v>1.36</v>
      </c>
    </row>
    <row r="16" spans="1:31" x14ac:dyDescent="0.3">
      <c r="A16">
        <f t="array" ref="A16:A18">+ExcliqLiteTEST()</f>
        <v>1</v>
      </c>
      <c r="B16">
        <f t="array" ref="B16:B18">+ExcliqLiteTEST()</f>
        <v>1</v>
      </c>
      <c r="D16" t="s">
        <v>67</v>
      </c>
      <c r="E16">
        <f>+COUNT(I8:L10)</f>
        <v>10</v>
      </c>
      <c r="F16">
        <f>+COUNTIF(I8:L10,"=0")</f>
        <v>0</v>
      </c>
      <c r="G16">
        <f>+COUNTIF(I8:L10,"&gt;100")</f>
        <v>1</v>
      </c>
      <c r="H16" t="s">
        <v>34</v>
      </c>
      <c r="M16" s="25">
        <v>3</v>
      </c>
      <c r="N16" s="26" t="s">
        <v>56</v>
      </c>
      <c r="O16" s="26">
        <v>1000</v>
      </c>
      <c r="P16" s="26">
        <f>+SUM($P$14:$P$15)</f>
        <v>100</v>
      </c>
      <c r="Q16" s="26">
        <v>3</v>
      </c>
      <c r="R16" s="26">
        <f>+SUM($R$14:$R$15)</f>
        <v>300</v>
      </c>
      <c r="S16" s="26">
        <f>+SUM($S$14:$S$15)</f>
        <v>30</v>
      </c>
      <c r="T16" s="26">
        <f>+SUM($T$14:$T$15)</f>
        <v>100.00000000000001</v>
      </c>
      <c r="U16" s="14">
        <f>+$O$16/$O$16</f>
        <v>1</v>
      </c>
    </row>
    <row r="17" spans="1:21" x14ac:dyDescent="0.3">
      <c r="A17">
        <v>2</v>
      </c>
      <c r="B17">
        <v>2</v>
      </c>
      <c r="D17" t="s">
        <v>68</v>
      </c>
      <c r="E17">
        <f>+COUNTA(I8:L10)</f>
        <v>10</v>
      </c>
      <c r="F17">
        <f>+SUM(COUNTIF(I8:L10,"&gt;100"),COUNTIF(I8:L10,"&lt;=10000"),COUNTIF(I8:L10,"&lt;-100"),COUNTIF(I8:L10,"&gt;=10000"))</f>
        <v>11</v>
      </c>
      <c r="G17">
        <f>+COUNTIF(I8:L10,"&lt;=10000")</f>
        <v>10</v>
      </c>
      <c r="H17" t="s">
        <v>35</v>
      </c>
      <c r="O17" s="17"/>
      <c r="P17" s="17"/>
      <c r="Q17" s="17"/>
      <c r="R17" s="17"/>
      <c r="S17" s="17"/>
      <c r="T17" s="17"/>
      <c r="U17" s="17"/>
    </row>
    <row r="18" spans="1:21" x14ac:dyDescent="0.3">
      <c r="A18">
        <v>3</v>
      </c>
      <c r="B18">
        <v>3</v>
      </c>
      <c r="E18">
        <f>+COUNTA($H$17:$L$29,"&gt;0")</f>
        <v>38</v>
      </c>
      <c r="G18" s="1">
        <f>+SUM(COUNTIFS(I8:L10,"&gt;100",I8:L10,"&lt;=10000"),COUNTIFS(I8:L10,"&lt;=-100",I8:L10,"&gt;-10000"))</f>
        <v>1</v>
      </c>
      <c r="H18" t="s">
        <v>36</v>
      </c>
      <c r="J18" s="17">
        <f>+C25*G25*J19</f>
        <v>6.9705000000000003E-2</v>
      </c>
    </row>
    <row r="19" spans="1:21" x14ac:dyDescent="0.3">
      <c r="D19">
        <f>+SUM(E19:E21)</f>
        <v>9</v>
      </c>
      <c r="E19">
        <f>+COUNTIF($H$17:$L$29,"=0")</f>
        <v>0</v>
      </c>
      <c r="H19" t="s">
        <v>37</v>
      </c>
      <c r="J19">
        <f>100/(1000^2)</f>
        <v>1E-4</v>
      </c>
      <c r="K19">
        <f>1/(1000^2)</f>
        <v>9.9999999999999995E-7</v>
      </c>
      <c r="N19" s="17">
        <f>+($C25*E25)/(($C25*E25)+($C26*E26)+($C27*E27))*100</f>
        <v>77.454840927557981</v>
      </c>
      <c r="O19" s="17">
        <f>+($C25*F25)/(($C25*F25)+($C26*F26)+($C27*F27))*100</f>
        <v>1.9549102290456877</v>
      </c>
      <c r="P19" s="17">
        <f>+($C25*G25)/(($C25*G25)+($C26*G26)+($C27*G27))*100</f>
        <v>53.052467181373139</v>
      </c>
    </row>
    <row r="20" spans="1:21" x14ac:dyDescent="0.3">
      <c r="E20">
        <f>+COUNTIF($H$17:$L$29,"&lt;0")</f>
        <v>0</v>
      </c>
      <c r="H20" t="s">
        <v>38</v>
      </c>
      <c r="N20" s="17">
        <f>+($C26*E26)/(($C25*E25)+($C26*E26)+($C27*E27))*100</f>
        <v>8.6972102423068112</v>
      </c>
      <c r="O20" s="17">
        <f>+($C26*F26)/(($C25*F25)+($C26*F26)+($C27*F27))*100</f>
        <v>82.316991407040021</v>
      </c>
      <c r="P20" s="17">
        <f>+($C26*G26)/(($C25*G25)+($C26*G26)+($C27*G27))*100</f>
        <v>31.771353418251785</v>
      </c>
    </row>
    <row r="21" spans="1:21" x14ac:dyDescent="0.3">
      <c r="E21">
        <f>+COUNTIF($H$17:$L$29,"&gt;100")</f>
        <v>9</v>
      </c>
      <c r="H21" t="s">
        <v>39</v>
      </c>
      <c r="J21" s="30" t="s">
        <v>75</v>
      </c>
      <c r="K21" s="30" t="s">
        <v>74</v>
      </c>
      <c r="N21" s="17">
        <f>+($C27*E27)/(($C25*E25)+($C26*E26)+($C27*E27))*100</f>
        <v>13.847948830135218</v>
      </c>
      <c r="O21" s="17">
        <f>+($C27*F27)/(($C25*F25)+($C26*F26)+($C27*F27))*100</f>
        <v>15.728098363914301</v>
      </c>
      <c r="P21" s="17">
        <f>+($C27*G27)/(($C25*G25)+($C26*G26)+($C27*G27))*100</f>
        <v>15.176179400375069</v>
      </c>
      <c r="Q21" s="17"/>
    </row>
    <row r="22" spans="1:21" x14ac:dyDescent="0.3">
      <c r="Q22" s="17"/>
    </row>
    <row r="23" spans="1:21" ht="18" x14ac:dyDescent="0.35">
      <c r="A23" s="20" t="s">
        <v>40</v>
      </c>
      <c r="B23" s="19"/>
      <c r="C23" s="19" t="s">
        <v>65</v>
      </c>
      <c r="D23" s="18" t="s">
        <v>66</v>
      </c>
      <c r="E23" s="19" t="s">
        <v>65</v>
      </c>
      <c r="F23" s="19"/>
      <c r="G23" s="18"/>
      <c r="H23" s="18" t="s">
        <v>64</v>
      </c>
      <c r="I23" s="18"/>
      <c r="J23" s="18"/>
      <c r="K23" s="18"/>
      <c r="L23" s="18"/>
      <c r="M23" s="18"/>
      <c r="N23" s="19" t="s">
        <v>65</v>
      </c>
      <c r="O23" s="19"/>
      <c r="P23" s="18"/>
      <c r="Q23" s="18" t="s">
        <v>64</v>
      </c>
      <c r="R23" s="18"/>
      <c r="S23" s="18"/>
    </row>
    <row r="24" spans="1:21" x14ac:dyDescent="0.3">
      <c r="A24" s="16" t="s">
        <v>41</v>
      </c>
      <c r="B24" s="16" t="s">
        <v>42</v>
      </c>
      <c r="C24" s="16" t="s">
        <v>43</v>
      </c>
      <c r="D24" s="16" t="s">
        <v>44</v>
      </c>
      <c r="E24" s="16" t="s">
        <v>45</v>
      </c>
      <c r="F24" s="16" t="s">
        <v>46</v>
      </c>
      <c r="G24" s="16" t="s">
        <v>47</v>
      </c>
      <c r="H24" s="16" t="s">
        <v>48</v>
      </c>
      <c r="I24" s="16" t="s">
        <v>49</v>
      </c>
      <c r="J24" s="16" t="s">
        <v>60</v>
      </c>
      <c r="K24" s="16" t="s">
        <v>50</v>
      </c>
      <c r="L24" s="16" t="s">
        <v>51</v>
      </c>
      <c r="M24" s="16" t="s">
        <v>61</v>
      </c>
      <c r="N24" s="16" t="s">
        <v>52</v>
      </c>
      <c r="O24" s="16" t="s">
        <v>53</v>
      </c>
      <c r="P24" s="16" t="s">
        <v>55</v>
      </c>
      <c r="Q24" s="16" t="s">
        <v>62</v>
      </c>
      <c r="R24" s="16" t="s">
        <v>63</v>
      </c>
      <c r="S24" s="16" t="s">
        <v>54</v>
      </c>
    </row>
    <row r="25" spans="1:21" x14ac:dyDescent="0.3">
      <c r="A25">
        <v>2</v>
      </c>
      <c r="B25" t="s">
        <v>57</v>
      </c>
      <c r="C25" s="17">
        <v>15.49</v>
      </c>
      <c r="D25" s="17">
        <f>+C25*100/$C$28</f>
        <v>3.8725000000000001</v>
      </c>
      <c r="E25" s="17">
        <v>60</v>
      </c>
      <c r="F25" s="17">
        <v>4</v>
      </c>
      <c r="G25" s="17">
        <v>45</v>
      </c>
      <c r="H25" s="17">
        <f t="shared" ref="H25:J27" si="0">+$C25*100*E25/$C$28</f>
        <v>232.35</v>
      </c>
      <c r="I25" s="17">
        <f t="shared" si="0"/>
        <v>15.49</v>
      </c>
      <c r="J25" s="17">
        <f t="shared" si="0"/>
        <v>174.26249999999999</v>
      </c>
      <c r="K25" s="17">
        <f t="shared" ref="K25:M27" si="1">$C25*E25/100</f>
        <v>9.2940000000000005</v>
      </c>
      <c r="L25" s="17">
        <f t="shared" si="1"/>
        <v>0.61960000000000004</v>
      </c>
      <c r="M25" s="17">
        <f>$C25*G25/100</f>
        <v>6.9704999999999995</v>
      </c>
      <c r="N25" s="17">
        <f>+K25*100/$K$28</f>
        <v>77.454840927557981</v>
      </c>
      <c r="O25" s="17">
        <f>+L25*100/$L$28</f>
        <v>1.9549102290456877</v>
      </c>
      <c r="P25" s="17">
        <f>+M25*100/$M$28</f>
        <v>53.052467181373139</v>
      </c>
      <c r="Q25" s="17">
        <f>+($C25*$G25*100)/(1000^2)</f>
        <v>6.9705000000000003E-2</v>
      </c>
      <c r="R25" s="17">
        <f>+($C25*$G25*100)/(31.1)</f>
        <v>2241.3183279742766</v>
      </c>
      <c r="S25" s="17">
        <f>$C$28/C25</f>
        <v>25.823111684958036</v>
      </c>
    </row>
    <row r="26" spans="1:21" x14ac:dyDescent="0.3">
      <c r="A26">
        <v>3</v>
      </c>
      <c r="B26" t="s">
        <v>58</v>
      </c>
      <c r="C26" s="17">
        <v>52.18</v>
      </c>
      <c r="D26" s="17">
        <f>+C26*100/$C$28</f>
        <v>13.045</v>
      </c>
      <c r="E26" s="17">
        <v>2</v>
      </c>
      <c r="F26" s="17">
        <v>50</v>
      </c>
      <c r="G26" s="17">
        <v>8</v>
      </c>
      <c r="H26" s="17">
        <f t="shared" si="0"/>
        <v>26.09</v>
      </c>
      <c r="I26" s="17">
        <f t="shared" si="0"/>
        <v>652.25</v>
      </c>
      <c r="J26" s="17">
        <f t="shared" si="0"/>
        <v>104.36</v>
      </c>
      <c r="K26" s="17">
        <f t="shared" si="1"/>
        <v>1.0436000000000001</v>
      </c>
      <c r="L26" s="17">
        <f t="shared" si="1"/>
        <v>26.09</v>
      </c>
      <c r="M26" s="17">
        <f t="shared" si="1"/>
        <v>4.1744000000000003</v>
      </c>
      <c r="N26" s="17">
        <f>+K26*100/$K$28</f>
        <v>8.6972102423068112</v>
      </c>
      <c r="O26" s="17">
        <f>+L26*100/$L$28</f>
        <v>82.316991407040007</v>
      </c>
      <c r="P26" s="17">
        <f>+M26*100/$M$28</f>
        <v>31.771353418251788</v>
      </c>
      <c r="Q26" s="17">
        <f>+($C26*$G26*100)/(1000^2)</f>
        <v>4.1744000000000003E-2</v>
      </c>
      <c r="R26" s="17">
        <f>+($C26*$G26*100)/(31.1)</f>
        <v>1342.2508038585208</v>
      </c>
      <c r="S26" s="17">
        <f>$C$28/C26</f>
        <v>7.6657723265619016</v>
      </c>
    </row>
    <row r="27" spans="1:21" x14ac:dyDescent="0.3">
      <c r="A27">
        <v>4</v>
      </c>
      <c r="B27" t="s">
        <v>59</v>
      </c>
      <c r="C27" s="17">
        <v>332.33</v>
      </c>
      <c r="D27" s="17">
        <f>+C27*100/$C$28</f>
        <v>83.082499999999996</v>
      </c>
      <c r="E27" s="17">
        <v>0.5</v>
      </c>
      <c r="F27" s="17">
        <v>1.5</v>
      </c>
      <c r="G27" s="17">
        <v>0.6</v>
      </c>
      <c r="H27" s="17">
        <f t="shared" si="0"/>
        <v>41.541249999999998</v>
      </c>
      <c r="I27" s="17">
        <f t="shared" si="0"/>
        <v>124.62375</v>
      </c>
      <c r="J27" s="17">
        <f t="shared" si="0"/>
        <v>49.849499999999999</v>
      </c>
      <c r="K27" s="17">
        <f t="shared" si="1"/>
        <v>1.6616499999999998</v>
      </c>
      <c r="L27" s="17">
        <f t="shared" si="1"/>
        <v>4.9849500000000004</v>
      </c>
      <c r="M27" s="17">
        <f t="shared" si="1"/>
        <v>1.9939799999999999</v>
      </c>
      <c r="N27" s="17">
        <f>+K27*100/$K$28</f>
        <v>13.847948830135216</v>
      </c>
      <c r="O27" s="17">
        <f>+L27*100/$L$28</f>
        <v>15.728098363914302</v>
      </c>
      <c r="P27" s="17">
        <f>+M27*100/$M$28</f>
        <v>15.176179400375069</v>
      </c>
      <c r="Q27" s="17">
        <f>+($C27*$G27*100)/(1000^2)</f>
        <v>1.9939800000000001E-2</v>
      </c>
      <c r="R27" s="17">
        <f>+($C27*$G27*100)/(31.1)</f>
        <v>641.15112540192922</v>
      </c>
      <c r="S27" s="17">
        <f>$C$28/C27</f>
        <v>1.2036229049438811</v>
      </c>
    </row>
    <row r="28" spans="1:21" x14ac:dyDescent="0.3">
      <c r="A28">
        <v>1</v>
      </c>
      <c r="B28" t="s">
        <v>56</v>
      </c>
      <c r="C28" s="17">
        <v>400</v>
      </c>
      <c r="D28" s="17">
        <f>+SUM(D25:D27)</f>
        <v>100</v>
      </c>
      <c r="E28" s="17">
        <v>3</v>
      </c>
      <c r="F28" s="17">
        <v>8</v>
      </c>
      <c r="G28" s="17">
        <v>2.5</v>
      </c>
      <c r="H28" s="17">
        <f t="shared" ref="H28:R28" si="2">+SUM(H25:H27)</f>
        <v>299.98124999999999</v>
      </c>
      <c r="I28" s="17">
        <f t="shared" si="2"/>
        <v>792.36374999999998</v>
      </c>
      <c r="J28" s="17">
        <f t="shared" si="2"/>
        <v>328.47199999999998</v>
      </c>
      <c r="K28" s="17">
        <f t="shared" si="2"/>
        <v>11.99925</v>
      </c>
      <c r="L28" s="17">
        <f t="shared" si="2"/>
        <v>31.69455</v>
      </c>
      <c r="M28" s="17">
        <f t="shared" si="2"/>
        <v>13.13888</v>
      </c>
      <c r="N28" s="17">
        <f t="shared" si="2"/>
        <v>100</v>
      </c>
      <c r="O28" s="17">
        <f t="shared" si="2"/>
        <v>100</v>
      </c>
      <c r="P28" s="17">
        <f t="shared" si="2"/>
        <v>100</v>
      </c>
      <c r="Q28" s="17">
        <f t="shared" si="2"/>
        <v>0.1313888</v>
      </c>
      <c r="R28" s="17">
        <f t="shared" si="2"/>
        <v>4224.7202572347269</v>
      </c>
      <c r="S28" s="17">
        <f>$C$28/C28</f>
        <v>1</v>
      </c>
    </row>
    <row r="29" spans="1:21" x14ac:dyDescent="0.3">
      <c r="J29">
        <f>+D28*G28</f>
        <v>250</v>
      </c>
      <c r="P29">
        <f>+J28/J29*100</f>
        <v>131.3888</v>
      </c>
    </row>
    <row r="30" spans="1:21" x14ac:dyDescent="0.3">
      <c r="A30" s="2" t="s">
        <v>73</v>
      </c>
    </row>
    <row r="31" spans="1:21" x14ac:dyDescent="0.3">
      <c r="A31" s="3" t="s">
        <v>41</v>
      </c>
      <c r="B31" s="4" t="s">
        <v>69</v>
      </c>
      <c r="C31" s="4" t="s">
        <v>87</v>
      </c>
      <c r="D31" s="4" t="s">
        <v>88</v>
      </c>
      <c r="E31" s="4" t="s">
        <v>89</v>
      </c>
      <c r="F31" s="4" t="s">
        <v>90</v>
      </c>
      <c r="G31" s="4" t="s">
        <v>91</v>
      </c>
      <c r="H31" s="4" t="s">
        <v>92</v>
      </c>
      <c r="I31" s="4" t="s">
        <v>93</v>
      </c>
      <c r="J31" s="4" t="s">
        <v>94</v>
      </c>
      <c r="K31" s="4" t="s">
        <v>52</v>
      </c>
      <c r="L31" s="4" t="s">
        <v>55</v>
      </c>
      <c r="M31" s="4" t="s">
        <v>95</v>
      </c>
      <c r="N31" s="4" t="s">
        <v>96</v>
      </c>
      <c r="O31" s="5" t="s">
        <v>97</v>
      </c>
    </row>
    <row r="32" spans="1:21" x14ac:dyDescent="0.3">
      <c r="A32" s="6">
        <v>1</v>
      </c>
      <c r="B32" s="7" t="s">
        <v>57</v>
      </c>
      <c r="C32" s="7">
        <v>264.70588235294122</v>
      </c>
      <c r="D32" s="7">
        <v>26.470588235294123</v>
      </c>
      <c r="E32" s="7">
        <v>8</v>
      </c>
      <c r="F32" s="7">
        <v>45</v>
      </c>
      <c r="G32" s="7">
        <v>211.76470588235298</v>
      </c>
      <c r="H32" s="7">
        <v>1191.1764705882354</v>
      </c>
      <c r="I32" s="7">
        <v>21.176470588235297</v>
      </c>
      <c r="J32" s="7">
        <v>1191176.4705882354</v>
      </c>
      <c r="K32" s="7">
        <v>70.588235294117666</v>
      </c>
      <c r="L32" s="7">
        <v>96.428571428571445</v>
      </c>
      <c r="M32" s="7">
        <v>1.1911764705882355</v>
      </c>
      <c r="N32" s="7">
        <v>38297.212824395101</v>
      </c>
      <c r="O32" s="8">
        <v>3.7777777777777772</v>
      </c>
    </row>
    <row r="33" spans="1:19" x14ac:dyDescent="0.3">
      <c r="A33" s="6">
        <v>2</v>
      </c>
      <c r="B33" s="7" t="s">
        <v>59</v>
      </c>
      <c r="C33" s="7">
        <v>735.29411764705878</v>
      </c>
      <c r="D33" s="7">
        <v>73.52941176470587</v>
      </c>
      <c r="E33" s="7">
        <v>1.2</v>
      </c>
      <c r="F33" s="7">
        <v>0.6</v>
      </c>
      <c r="G33" s="7">
        <v>88.235294117647044</v>
      </c>
      <c r="H33" s="7">
        <v>44.117647058823522</v>
      </c>
      <c r="I33" s="7">
        <v>8.8235294117647047</v>
      </c>
      <c r="J33" s="7">
        <v>44117.647058823524</v>
      </c>
      <c r="K33" s="7">
        <v>29.411764705882348</v>
      </c>
      <c r="L33" s="7">
        <v>3.5714285714285712</v>
      </c>
      <c r="M33" s="7">
        <v>4.4117647058823525E-2</v>
      </c>
      <c r="N33" s="7">
        <v>1418.4152897924107</v>
      </c>
      <c r="O33" s="8">
        <v>1.36</v>
      </c>
    </row>
    <row r="34" spans="1:19" x14ac:dyDescent="0.3">
      <c r="A34" s="6">
        <v>3</v>
      </c>
      <c r="B34" s="7" t="s">
        <v>56</v>
      </c>
      <c r="C34" s="7">
        <v>1000</v>
      </c>
      <c r="D34" s="7">
        <v>100</v>
      </c>
      <c r="E34" s="7">
        <v>3</v>
      </c>
      <c r="F34" s="7">
        <v>2.5</v>
      </c>
      <c r="G34" s="7">
        <v>300</v>
      </c>
      <c r="H34" s="7">
        <v>1235.2941176470588</v>
      </c>
      <c r="I34" s="7">
        <v>30</v>
      </c>
      <c r="J34" s="7">
        <v>1235294.117647059</v>
      </c>
      <c r="K34" s="7">
        <v>100.00000000000001</v>
      </c>
      <c r="L34" s="7">
        <v>100.00000000000001</v>
      </c>
      <c r="M34" s="7">
        <v>1.2352941176470591</v>
      </c>
      <c r="N34" s="7">
        <v>39715.628114187515</v>
      </c>
      <c r="O34" s="8">
        <v>1</v>
      </c>
    </row>
    <row r="35" spans="1:19" x14ac:dyDescent="0.3">
      <c r="A35" s="6">
        <v>4</v>
      </c>
      <c r="B35" s="7" t="s">
        <v>98</v>
      </c>
      <c r="C35" s="7">
        <v>1000</v>
      </c>
      <c r="D35" s="7">
        <v>100</v>
      </c>
      <c r="E35" s="7">
        <v>3</v>
      </c>
      <c r="F35" s="7">
        <v>2.5</v>
      </c>
      <c r="G35" s="7">
        <v>300</v>
      </c>
      <c r="H35" s="7">
        <v>250</v>
      </c>
      <c r="I35" s="7">
        <v>30</v>
      </c>
      <c r="J35" s="7">
        <v>250000</v>
      </c>
      <c r="K35" s="7">
        <v>100</v>
      </c>
      <c r="L35" s="7">
        <v>494.11764705882348</v>
      </c>
      <c r="M35" s="7">
        <v>0.25</v>
      </c>
      <c r="N35" s="7">
        <v>8037.6866421569957</v>
      </c>
      <c r="O35" s="8">
        <v>1</v>
      </c>
    </row>
    <row r="36" spans="1:19" x14ac:dyDescent="0.3">
      <c r="A36" s="25">
        <v>5</v>
      </c>
      <c r="B36" s="26" t="s">
        <v>99</v>
      </c>
      <c r="C36" s="26">
        <v>1000</v>
      </c>
      <c r="D36" s="26">
        <v>100</v>
      </c>
      <c r="E36" s="26">
        <v>3</v>
      </c>
      <c r="F36" s="26">
        <v>12.352941176470587</v>
      </c>
      <c r="G36" s="26">
        <v>300</v>
      </c>
      <c r="H36" s="26">
        <v>1235.2941176470588</v>
      </c>
      <c r="I36" s="26">
        <v>30</v>
      </c>
      <c r="J36" s="26">
        <v>1235294.117647059</v>
      </c>
      <c r="K36" s="26">
        <v>100.00000000000001</v>
      </c>
      <c r="L36" s="26">
        <v>100.00000000000001</v>
      </c>
      <c r="M36" s="26">
        <v>1.2352941176470591</v>
      </c>
      <c r="N36" s="26">
        <v>39715.628114187515</v>
      </c>
      <c r="O36" s="14">
        <v>1</v>
      </c>
    </row>
    <row r="38" spans="1:19" x14ac:dyDescent="0.3">
      <c r="A38" s="2" t="s">
        <v>102</v>
      </c>
    </row>
    <row r="39" spans="1:19" x14ac:dyDescent="0.3">
      <c r="A39" s="3" t="s">
        <v>41</v>
      </c>
      <c r="B39" s="4" t="s">
        <v>69</v>
      </c>
      <c r="C39" s="4" t="s">
        <v>87</v>
      </c>
      <c r="D39" s="4" t="s">
        <v>88</v>
      </c>
      <c r="E39" s="4" t="s">
        <v>89</v>
      </c>
      <c r="F39" s="4" t="s">
        <v>100</v>
      </c>
      <c r="G39" s="4" t="s">
        <v>90</v>
      </c>
      <c r="H39" s="4" t="s">
        <v>91</v>
      </c>
      <c r="I39" s="4" t="s">
        <v>101</v>
      </c>
      <c r="J39" s="4" t="s">
        <v>92</v>
      </c>
      <c r="K39" s="4" t="s">
        <v>93</v>
      </c>
      <c r="L39" s="4" t="s">
        <v>103</v>
      </c>
      <c r="M39" s="4" t="s">
        <v>94</v>
      </c>
      <c r="N39" s="4" t="s">
        <v>52</v>
      </c>
      <c r="O39" s="4" t="s">
        <v>53</v>
      </c>
      <c r="P39" s="4" t="s">
        <v>55</v>
      </c>
      <c r="Q39" s="4" t="s">
        <v>95</v>
      </c>
      <c r="R39" s="4" t="s">
        <v>96</v>
      </c>
      <c r="S39" s="5" t="s">
        <v>97</v>
      </c>
    </row>
    <row r="40" spans="1:19" x14ac:dyDescent="0.3">
      <c r="A40" s="6">
        <v>1</v>
      </c>
      <c r="B40" s="7" t="s">
        <v>57</v>
      </c>
      <c r="C40" s="7">
        <v>15.475364330326162</v>
      </c>
      <c r="D40" s="7">
        <v>3.8688410825815414</v>
      </c>
      <c r="E40" s="7">
        <v>60</v>
      </c>
      <c r="F40" s="7">
        <v>4</v>
      </c>
      <c r="G40" s="7">
        <v>45</v>
      </c>
      <c r="H40" s="7">
        <v>232.13046495489249</v>
      </c>
      <c r="I40" s="7">
        <v>15.475364330326165</v>
      </c>
      <c r="J40" s="7">
        <v>174.09784871616935</v>
      </c>
      <c r="K40" s="7">
        <v>9.2852185981956978</v>
      </c>
      <c r="L40" s="7">
        <v>0.61901457321304643</v>
      </c>
      <c r="M40" s="7">
        <v>69639.139486467728</v>
      </c>
      <c r="N40" s="7">
        <v>77.37682165163082</v>
      </c>
      <c r="O40" s="7">
        <v>1.9344205412907705</v>
      </c>
      <c r="P40" s="7">
        <v>52.840819335474698</v>
      </c>
      <c r="Q40" s="7">
        <v>6.963913948646773E-2</v>
      </c>
      <c r="R40" s="7">
        <v>2238.9503248867577</v>
      </c>
      <c r="S40" s="8">
        <v>25.847533632286996</v>
      </c>
    </row>
    <row r="41" spans="1:19" x14ac:dyDescent="0.3">
      <c r="A41" s="6">
        <v>2</v>
      </c>
      <c r="B41" s="7" t="s">
        <v>58</v>
      </c>
      <c r="C41" s="7">
        <v>52.810548230395561</v>
      </c>
      <c r="D41" s="7">
        <v>13.202637057598892</v>
      </c>
      <c r="E41" s="7">
        <v>2</v>
      </c>
      <c r="F41" s="7">
        <v>50</v>
      </c>
      <c r="G41" s="7">
        <v>8</v>
      </c>
      <c r="H41" s="7">
        <v>26.405274115197784</v>
      </c>
      <c r="I41" s="7">
        <v>660.13185287994463</v>
      </c>
      <c r="J41" s="7">
        <v>105.62109646079114</v>
      </c>
      <c r="K41" s="7">
        <v>1.0562109646079112</v>
      </c>
      <c r="L41" s="7">
        <v>26.405274115197781</v>
      </c>
      <c r="M41" s="7">
        <v>42248.438584316449</v>
      </c>
      <c r="N41" s="7">
        <v>8.8017580383992602</v>
      </c>
      <c r="O41" s="7">
        <v>82.516481609993065</v>
      </c>
      <c r="P41" s="7">
        <v>32.057290295403085</v>
      </c>
      <c r="Q41" s="7">
        <v>4.2248438584316449E-2</v>
      </c>
      <c r="R41" s="7">
        <v>1358.318841844602</v>
      </c>
      <c r="S41" s="8">
        <v>7.5742444152431005</v>
      </c>
    </row>
    <row r="42" spans="1:19" x14ac:dyDescent="0.3">
      <c r="A42" s="6">
        <v>3</v>
      </c>
      <c r="B42" s="7" t="s">
        <v>59</v>
      </c>
      <c r="C42" s="7">
        <v>331.71408743927822</v>
      </c>
      <c r="D42" s="7">
        <v>82.928521859819568</v>
      </c>
      <c r="E42" s="7">
        <v>0.5</v>
      </c>
      <c r="F42" s="7">
        <v>1.5</v>
      </c>
      <c r="G42" s="7">
        <v>0.6</v>
      </c>
      <c r="H42" s="7">
        <v>41.464260929909784</v>
      </c>
      <c r="I42" s="7">
        <v>124.39278278972934</v>
      </c>
      <c r="J42" s="7">
        <v>49.757113115891741</v>
      </c>
      <c r="K42" s="7">
        <v>1.6585704371963912</v>
      </c>
      <c r="L42" s="7">
        <v>4.9757113115891727</v>
      </c>
      <c r="M42" s="7">
        <v>19902.845246356694</v>
      </c>
      <c r="N42" s="7">
        <v>13.821420309969925</v>
      </c>
      <c r="O42" s="7">
        <v>15.549097848716166</v>
      </c>
      <c r="P42" s="7">
        <v>15.101890369122211</v>
      </c>
      <c r="Q42" s="7">
        <v>1.9902845246356694E-2</v>
      </c>
      <c r="R42" s="7">
        <v>639.89133351023622</v>
      </c>
      <c r="S42" s="8">
        <v>1.2058577405857742</v>
      </c>
    </row>
    <row r="43" spans="1:19" x14ac:dyDescent="0.3">
      <c r="A43" s="6">
        <v>4</v>
      </c>
      <c r="B43" s="7" t="s">
        <v>56</v>
      </c>
      <c r="C43" s="7">
        <v>400</v>
      </c>
      <c r="D43" s="7">
        <v>100</v>
      </c>
      <c r="E43" s="7">
        <v>3</v>
      </c>
      <c r="F43" s="7">
        <v>8</v>
      </c>
      <c r="G43" s="7">
        <v>2.5</v>
      </c>
      <c r="H43" s="7">
        <v>300</v>
      </c>
      <c r="I43" s="7">
        <v>800.00000000000023</v>
      </c>
      <c r="J43" s="7">
        <v>329.4760582928522</v>
      </c>
      <c r="K43" s="7">
        <v>12</v>
      </c>
      <c r="L43" s="7">
        <v>32</v>
      </c>
      <c r="M43" s="7">
        <v>131790.42331714087</v>
      </c>
      <c r="N43" s="7">
        <v>100</v>
      </c>
      <c r="O43" s="7">
        <v>100</v>
      </c>
      <c r="P43" s="7">
        <v>100</v>
      </c>
      <c r="Q43" s="7">
        <v>0.13179042331714086</v>
      </c>
      <c r="R43" s="7">
        <v>4237.1605002415963</v>
      </c>
      <c r="S43" s="8">
        <v>1</v>
      </c>
    </row>
    <row r="44" spans="1:19" x14ac:dyDescent="0.3">
      <c r="A44" s="6">
        <v>5</v>
      </c>
      <c r="B44" s="7" t="s">
        <v>98</v>
      </c>
      <c r="C44" s="7">
        <v>400</v>
      </c>
      <c r="D44" s="7">
        <v>100</v>
      </c>
      <c r="E44" s="7">
        <v>3</v>
      </c>
      <c r="F44" s="7">
        <v>8</v>
      </c>
      <c r="G44" s="7">
        <v>2.5</v>
      </c>
      <c r="H44" s="7">
        <v>300</v>
      </c>
      <c r="I44" s="7">
        <v>800</v>
      </c>
      <c r="J44" s="7">
        <v>250</v>
      </c>
      <c r="K44" s="7">
        <v>12</v>
      </c>
      <c r="L44" s="7">
        <v>32</v>
      </c>
      <c r="M44" s="7">
        <v>100000</v>
      </c>
      <c r="N44" s="7">
        <v>100</v>
      </c>
      <c r="O44" s="7">
        <v>100</v>
      </c>
      <c r="P44" s="7">
        <v>131.79042331714086</v>
      </c>
      <c r="Q44" s="7">
        <v>0.1</v>
      </c>
      <c r="R44" s="7">
        <v>3215.0746568627983</v>
      </c>
      <c r="S44" s="8">
        <v>1</v>
      </c>
    </row>
    <row r="45" spans="1:19" x14ac:dyDescent="0.3">
      <c r="A45" s="25">
        <v>6</v>
      </c>
      <c r="B45" s="26" t="s">
        <v>99</v>
      </c>
      <c r="C45" s="26">
        <v>400</v>
      </c>
      <c r="D45" s="26">
        <v>100</v>
      </c>
      <c r="E45" s="26">
        <v>3</v>
      </c>
      <c r="F45" s="26">
        <v>8</v>
      </c>
      <c r="G45" s="26">
        <v>3.294760582928522</v>
      </c>
      <c r="H45" s="26">
        <v>300</v>
      </c>
      <c r="I45" s="26">
        <v>800.00000000000023</v>
      </c>
      <c r="J45" s="26">
        <v>329.4760582928522</v>
      </c>
      <c r="K45" s="26">
        <v>12</v>
      </c>
      <c r="L45" s="26">
        <v>32</v>
      </c>
      <c r="M45" s="26">
        <v>131790.42331714087</v>
      </c>
      <c r="N45" s="26">
        <v>100</v>
      </c>
      <c r="O45" s="26">
        <v>100</v>
      </c>
      <c r="P45" s="26">
        <v>100</v>
      </c>
      <c r="Q45" s="26">
        <v>0.13179042331714086</v>
      </c>
      <c r="R45" s="26">
        <v>4237.1605002415963</v>
      </c>
      <c r="S45" s="14">
        <v>1</v>
      </c>
    </row>
    <row r="47" spans="1:19" x14ac:dyDescent="0.3">
      <c r="A47" s="2" t="s">
        <v>102</v>
      </c>
    </row>
    <row r="48" spans="1:19" x14ac:dyDescent="0.3">
      <c r="A48" s="3" t="s">
        <v>41</v>
      </c>
      <c r="B48" s="4" t="s">
        <v>69</v>
      </c>
      <c r="C48" s="4" t="s">
        <v>87</v>
      </c>
      <c r="D48" s="4" t="s">
        <v>88</v>
      </c>
      <c r="E48" s="4" t="s">
        <v>89</v>
      </c>
      <c r="F48" s="4" t="s">
        <v>100</v>
      </c>
      <c r="G48" s="4" t="s">
        <v>90</v>
      </c>
      <c r="H48" s="4" t="s">
        <v>91</v>
      </c>
      <c r="I48" s="4" t="s">
        <v>101</v>
      </c>
      <c r="J48" s="4" t="s">
        <v>92</v>
      </c>
      <c r="K48" s="4" t="s">
        <v>93</v>
      </c>
      <c r="L48" s="4" t="s">
        <v>103</v>
      </c>
      <c r="M48" s="4" t="s">
        <v>94</v>
      </c>
      <c r="N48" s="4" t="s">
        <v>52</v>
      </c>
      <c r="O48" s="4" t="s">
        <v>53</v>
      </c>
      <c r="P48" s="4" t="s">
        <v>55</v>
      </c>
      <c r="Q48" s="4" t="s">
        <v>95</v>
      </c>
      <c r="R48" s="4" t="s">
        <v>96</v>
      </c>
      <c r="S48" s="5" t="s">
        <v>97</v>
      </c>
    </row>
    <row r="49" spans="1:19" x14ac:dyDescent="0.3">
      <c r="A49" s="6">
        <v>1</v>
      </c>
      <c r="B49" s="7" t="s">
        <v>57</v>
      </c>
      <c r="C49" s="7">
        <f t="array" aca="1" ref="C49:C51" ca="1">+EQL_BALMET($C$52,$E$49:$F$52,2,1)</f>
        <v>15.47536433032616</v>
      </c>
      <c r="D49" s="7">
        <f ca="1">$C$49*100/$C$52</f>
        <v>3.86884108258154</v>
      </c>
      <c r="E49" s="7">
        <v>60</v>
      </c>
      <c r="F49" s="7">
        <v>4</v>
      </c>
      <c r="G49" s="7">
        <v>45</v>
      </c>
      <c r="H49" s="7">
        <f ca="1">+$C49*$E$49*100/$C$52</f>
        <v>232.1304649548924</v>
      </c>
      <c r="I49" s="7">
        <f ca="1">+$C49*$F$49*100/$C$52</f>
        <v>15.47536433032616</v>
      </c>
      <c r="J49" s="7">
        <f ca="1">+$C49*$G$49*100/$C$52</f>
        <v>174.0978487161693</v>
      </c>
      <c r="K49" s="7">
        <f ca="1">+$C49*$E$49/100</f>
        <v>9.2852185981956961</v>
      </c>
      <c r="L49" s="7">
        <f ca="1">+$C49*$F$49/100</f>
        <v>0.61901457321304643</v>
      </c>
      <c r="M49" s="7">
        <f ca="1">+$C49*$G$49*100</f>
        <v>69639.139486467713</v>
      </c>
      <c r="N49" s="7">
        <f ca="1">+($C49*$E$49/SUM($C49*$E$49,$C50*$E$50,$C51*$E$51))*100</f>
        <v>77.376821651630806</v>
      </c>
      <c r="O49" s="7">
        <f ca="1">+($C49*$F$49/SUM($C49*$F$49,$C50*$F$50,$C51*$F$51))*100</f>
        <v>1.93442054129077</v>
      </c>
      <c r="P49" s="7">
        <f ca="1">+($C49*$G$49/SUM($C49*$G$49,$C50*$G$50,$C51*$G$51))*100</f>
        <v>52.840819335474698</v>
      </c>
      <c r="Q49" s="7">
        <f ca="1">+$C49*$G$49*0.0001</f>
        <v>6.9639139486467716E-2</v>
      </c>
      <c r="R49" s="7">
        <f ca="1">+$C49*$G49*100/31.1034768</f>
        <v>2238.9503248867572</v>
      </c>
      <c r="S49" s="8">
        <f ca="1">+$C$52/$C$49</f>
        <v>25.847533632287</v>
      </c>
    </row>
    <row r="50" spans="1:19" x14ac:dyDescent="0.3">
      <c r="A50" s="6">
        <v>2</v>
      </c>
      <c r="B50" s="7" t="s">
        <v>58</v>
      </c>
      <c r="C50" s="7">
        <f ca="1"/>
        <v>52.810548230395554</v>
      </c>
      <c r="D50" s="7">
        <f ca="1">$C$50*100/$C$52</f>
        <v>13.202637057598889</v>
      </c>
      <c r="E50" s="7">
        <v>2</v>
      </c>
      <c r="F50" s="7">
        <v>50</v>
      </c>
      <c r="G50" s="7">
        <v>8</v>
      </c>
      <c r="H50" s="7">
        <f ca="1">+$C50*$E$50*100/$C$52</f>
        <v>26.405274115197777</v>
      </c>
      <c r="I50" s="7">
        <f ca="1">+$C50*$F$50*100/$C$52</f>
        <v>660.13185287994429</v>
      </c>
      <c r="J50" s="7">
        <f ca="1">+$C50*$G$50*100/$C$52</f>
        <v>105.62109646079111</v>
      </c>
      <c r="K50" s="7">
        <f ca="1">+$C50*$E$50/100</f>
        <v>1.056210964607911</v>
      </c>
      <c r="L50" s="7">
        <f ca="1">+$C50*$F$50/100</f>
        <v>26.405274115197777</v>
      </c>
      <c r="M50" s="7">
        <f ca="1">+$C50*$G$50*100</f>
        <v>42248.438584316442</v>
      </c>
      <c r="N50" s="7">
        <f ca="1">+($C50*$E$50/SUM($C49*$E$49,$C50*$E$50,$C51*$E$51))*100</f>
        <v>8.8017580383992584</v>
      </c>
      <c r="O50" s="7">
        <f ca="1">+($C50*$F$50/SUM($C49*$F$49,$C50*$F$50,$C51*$F$51))*100</f>
        <v>82.51648160999305</v>
      </c>
      <c r="P50" s="7">
        <f ca="1">+($C50*$G$50/SUM($C49*$G$49,$C50*$G$50,$C51*$G$51))*100</f>
        <v>32.057290295403085</v>
      </c>
      <c r="Q50" s="7">
        <f ca="1">+$C50*$G$50*0.0001</f>
        <v>4.2248438584316449E-2</v>
      </c>
      <c r="R50" s="7">
        <f ca="1">+$C50*$G50*100/31.1034768</f>
        <v>1358.3188418446018</v>
      </c>
      <c r="S50" s="8">
        <f ca="1">+$C$52/$C$50</f>
        <v>7.5742444152431014</v>
      </c>
    </row>
    <row r="51" spans="1:19" x14ac:dyDescent="0.3">
      <c r="A51" s="6">
        <v>3</v>
      </c>
      <c r="B51" s="7" t="s">
        <v>59</v>
      </c>
      <c r="C51" s="7">
        <f ca="1"/>
        <v>331.71408743927827</v>
      </c>
      <c r="D51" s="7">
        <f ca="1">$C$51*100/$C$52</f>
        <v>82.928521859819568</v>
      </c>
      <c r="E51" s="7">
        <v>0.5</v>
      </c>
      <c r="F51" s="7">
        <v>1.5</v>
      </c>
      <c r="G51" s="7">
        <v>0.6</v>
      </c>
      <c r="H51" s="7">
        <f ca="1">+$C51*$E$51*100/$C$52</f>
        <v>41.464260929909784</v>
      </c>
      <c r="I51" s="7">
        <f ca="1">+$C51*$F$51*100/$C$52</f>
        <v>124.39278278972935</v>
      </c>
      <c r="J51" s="7">
        <f ca="1">+$C51*$G$51*100/$C$52</f>
        <v>49.757113115891741</v>
      </c>
      <c r="K51" s="7">
        <f ca="1">+$C51*$E$51/100</f>
        <v>1.6585704371963914</v>
      </c>
      <c r="L51" s="7">
        <f ca="1">+$C51*$F$51/100</f>
        <v>4.9757113115891745</v>
      </c>
      <c r="M51" s="7">
        <f ca="1">+$C51*$G$51*100</f>
        <v>19902.845246356697</v>
      </c>
      <c r="N51" s="7">
        <f ca="1">+($C51*$E$51/SUM($C49*$E$49,$C50*$E$50,$C51*$E$51))*100</f>
        <v>13.821420309969929</v>
      </c>
      <c r="O51" s="7">
        <f ca="1">+($C51*$F$51/SUM($C49*$F$49,$C50*$F$50,$C51*$F$51))*100</f>
        <v>15.549097848716171</v>
      </c>
      <c r="P51" s="7">
        <f ca="1">+($C51*$G$51/SUM($C49*$G$49,$C50*$G$50,$C51*$G$51))*100</f>
        <v>15.101890369122216</v>
      </c>
      <c r="Q51" s="7">
        <f ca="1">+$C51*$G$51*0.0001</f>
        <v>1.9902845246356698E-2</v>
      </c>
      <c r="R51" s="7">
        <f ca="1">+$C51*$G51*100/31.1034768</f>
        <v>639.89133351023634</v>
      </c>
      <c r="S51" s="8">
        <f ca="1">+$C$52/$C$51</f>
        <v>1.205857740585774</v>
      </c>
    </row>
    <row r="52" spans="1:19" x14ac:dyDescent="0.3">
      <c r="A52" s="6">
        <v>4</v>
      </c>
      <c r="B52" s="7" t="s">
        <v>56</v>
      </c>
      <c r="C52" s="7">
        <v>400</v>
      </c>
      <c r="D52" s="7">
        <f ca="1">+SUM($D$49:$D$51)</f>
        <v>100</v>
      </c>
      <c r="E52" s="7">
        <v>3</v>
      </c>
      <c r="F52" s="7">
        <v>8</v>
      </c>
      <c r="G52" s="7">
        <v>2.5</v>
      </c>
      <c r="H52" s="7">
        <f ca="1">+SUM($H$49:$H$51)</f>
        <v>300</v>
      </c>
      <c r="I52" s="7">
        <f ca="1">+SUM($I$49:$I$51)</f>
        <v>799.99999999999989</v>
      </c>
      <c r="J52" s="7">
        <f ca="1">+SUM($J$49:$J$51)</f>
        <v>329.47605829285214</v>
      </c>
      <c r="K52" s="7">
        <f ca="1">+SUM($K$49:$K$51)</f>
        <v>12</v>
      </c>
      <c r="L52" s="7">
        <f ca="1">+SUM($L$49:$L$51)</f>
        <v>32</v>
      </c>
      <c r="M52" s="7">
        <f ca="1">+SUM($M$49:$M$51)</f>
        <v>131790.42331714087</v>
      </c>
      <c r="N52" s="7">
        <f ca="1">+SUM($N$49:$N$51)</f>
        <v>99.999999999999986</v>
      </c>
      <c r="O52" s="7">
        <f ca="1">+SUM($O$49:$O$51)</f>
        <v>100</v>
      </c>
      <c r="P52" s="7">
        <f ca="1">+SUM($P$49:$P$51)</f>
        <v>100</v>
      </c>
      <c r="Q52" s="7">
        <f ca="1">+SUM($Q$49:$Q$51)</f>
        <v>0.13179042331714086</v>
      </c>
      <c r="R52" s="7">
        <f ca="1">+SUM($R$49:$R$51)</f>
        <v>4237.1605002415954</v>
      </c>
      <c r="S52" s="8">
        <f>+$C$52/$C$52</f>
        <v>1</v>
      </c>
    </row>
    <row r="53" spans="1:19" x14ac:dyDescent="0.3">
      <c r="A53" s="6">
        <v>5</v>
      </c>
      <c r="B53" s="7" t="s">
        <v>98</v>
      </c>
      <c r="C53" s="7">
        <v>400</v>
      </c>
      <c r="D53" s="7">
        <f ca="1">+SUM($D$49:$D$51)</f>
        <v>100</v>
      </c>
      <c r="E53" s="7">
        <v>3</v>
      </c>
      <c r="F53" s="7">
        <v>8</v>
      </c>
      <c r="G53" s="7">
        <v>2.5</v>
      </c>
      <c r="H53" s="7">
        <f ca="1">+SUM($C$49:$C$51)*$E$53*100/$C$53</f>
        <v>300</v>
      </c>
      <c r="I53" s="7">
        <f ca="1">+SUM($C$49:$C$51)*$F$53*100/$C$53</f>
        <v>800</v>
      </c>
      <c r="J53" s="7">
        <f ca="1">+SUM($C$49:$C$51)*$G$53*100/$C$53</f>
        <v>250</v>
      </c>
      <c r="K53" s="7">
        <f>+$C53*$E$53/100</f>
        <v>12</v>
      </c>
      <c r="L53" s="7">
        <f>+$C53*$F$53/100</f>
        <v>32</v>
      </c>
      <c r="M53" s="7">
        <f>+$C53*$G$53*100</f>
        <v>100000</v>
      </c>
      <c r="N53" s="7">
        <f ca="1">+(SUM(($C49*$E$49*100/$C$53),($C50*$E$50*100/$C$53),($C51*$E$51*100/$C$53))*100)/(SUM(($C49*100/$C$53),($C50*100/$C$53),($C51*100/$C$53))*($E$53))</f>
        <v>100</v>
      </c>
      <c r="O53" s="7">
        <f ca="1">+(SUM(($C49*$F$49*100/$C$53),($C50*$F$50*100/$C$53),($C51*$F$51*100/$C$53))*100)/(SUM(($C49*100/$C$53),($C50*100/$C$53),($C51*100/$C$53))*($F$53))</f>
        <v>99.999999999999986</v>
      </c>
      <c r="P53" s="7">
        <f ca="1">+(SUM(($C49*$G$49*100/$C$53),($C50*$G$50*100/$C$53),($C51*$G$51*100/$C$53))*100)/(SUM(($C49*100/$C$53),($C50*100/$C$53),($C51*100/$C$53))*($G$53))</f>
        <v>131.79042331714086</v>
      </c>
      <c r="Q53" s="7">
        <f>+$C53*$G$53*0.0001</f>
        <v>0.1</v>
      </c>
      <c r="R53" s="7">
        <f>+$C53*$G53*100/31.1034768</f>
        <v>3215.0746568627983</v>
      </c>
      <c r="S53" s="8">
        <f>+$C$52/$C$53</f>
        <v>1</v>
      </c>
    </row>
    <row r="54" spans="1:19" x14ac:dyDescent="0.3">
      <c r="A54" s="25">
        <v>6</v>
      </c>
      <c r="B54" s="26" t="s">
        <v>99</v>
      </c>
      <c r="C54" s="26">
        <v>400</v>
      </c>
      <c r="D54" s="26">
        <f ca="1">+SUM($D$49:$D$51)</f>
        <v>100</v>
      </c>
      <c r="E54" s="26">
        <f ca="1">+SUM(($C$49*$E$49*100/$C$54),($C$50*$E$50*100/$C$54),($C$51*$E$51*100/$C$54))/100</f>
        <v>3</v>
      </c>
      <c r="F54" s="26">
        <f ca="1">+SUM(($C$49*$F$49*100/$C$54),($C$50*$F$50*100/$C$54),($C$51*$F$51*100/$C$54))/100</f>
        <v>7.9999999999999991</v>
      </c>
      <c r="G54" s="26">
        <f ca="1">+SUM(($C$49*$G$49*100/$C$54),($C$50*$G$50*100/$C$54),($C$51*$G$51*100/$C$54))/100</f>
        <v>3.2947605829285216</v>
      </c>
      <c r="H54" s="26">
        <f ca="1">+SUM($H$49:$H$51)</f>
        <v>300</v>
      </c>
      <c r="I54" s="26">
        <f ca="1">+SUM($I$49:$I$51)</f>
        <v>799.99999999999989</v>
      </c>
      <c r="J54" s="26">
        <f ca="1">+SUM($J$49:$J$51)</f>
        <v>329.47605829285214</v>
      </c>
      <c r="K54" s="26">
        <f ca="1">+SUM($K$49:$K$51)</f>
        <v>12</v>
      </c>
      <c r="L54" s="26">
        <f ca="1">+SUM($L$49:$L$51)</f>
        <v>32</v>
      </c>
      <c r="M54" s="26">
        <f ca="1">+SUM($M$49:$M$51)</f>
        <v>131790.42331714087</v>
      </c>
      <c r="N54" s="26">
        <f ca="1">+(SUM(($C49*$E$49*100/$C$54),($C50*$E$50*100/$C$54),($C51*$E$51*100/$C$54))*100)/(SUM(($C49*100/$C$54),($C50*100/$C$54),($C51*100/$C$54))*($E$54))</f>
        <v>100</v>
      </c>
      <c r="O54" s="26">
        <f ca="1">+(SUM(($C49*$F$49*100/$C$54),($C50*$F$50*100/$C$54),($C51*$F$51*100/$C$54))*100)/(SUM(($C49*100/$C$54),($C50*100/$C$54),($C51*100/$C$54))*($F$54))</f>
        <v>100</v>
      </c>
      <c r="P54" s="26">
        <f ca="1">+(SUM(($C49*$G$49*100/$C$54),($C50*$G$50*100/$C$54),($C51*$G$51*100/$C$54))*100)/(SUM(($C49*100/$C$54),($C50*100/$C$54),($C51*100/$C$54))*($G$54))</f>
        <v>100.00000000000001</v>
      </c>
      <c r="Q54" s="26">
        <f ca="1">+$C54*$G$54*0.0001</f>
        <v>0.13179042331714086</v>
      </c>
      <c r="R54" s="26">
        <f ca="1">+$C54*$G54*100/31.1034768</f>
        <v>4237.1605002415963</v>
      </c>
      <c r="S54" s="14">
        <f>+$C$52/$C$54</f>
        <v>1</v>
      </c>
    </row>
    <row r="56" spans="1:19" x14ac:dyDescent="0.3">
      <c r="A56" s="2" t="s">
        <v>73</v>
      </c>
    </row>
    <row r="57" spans="1:19" x14ac:dyDescent="0.3">
      <c r="A57" s="3" t="s">
        <v>41</v>
      </c>
      <c r="B57" s="4" t="s">
        <v>69</v>
      </c>
      <c r="C57" s="4" t="s">
        <v>87</v>
      </c>
      <c r="D57" s="4" t="s">
        <v>89</v>
      </c>
      <c r="E57" s="4" t="s">
        <v>90</v>
      </c>
      <c r="F57" s="4" t="s">
        <v>52</v>
      </c>
      <c r="G57" s="4" t="s">
        <v>55</v>
      </c>
      <c r="H57" s="5" t="s">
        <v>97</v>
      </c>
    </row>
    <row r="58" spans="1:19" x14ac:dyDescent="0.3">
      <c r="A58" s="6">
        <v>1</v>
      </c>
      <c r="B58" s="7" t="s">
        <v>57</v>
      </c>
      <c r="C58" s="7">
        <f t="array" aca="1" ref="C58:C59" ca="1">+EQL_BALMET($C$60,$D$58:$D$60,0,1)</f>
        <v>264.70588235294122</v>
      </c>
      <c r="D58" s="7">
        <v>8</v>
      </c>
      <c r="E58" s="7">
        <v>45</v>
      </c>
      <c r="F58" s="7">
        <f ca="1">+($C58*$D$58/SUM($C58*$D$58,$C59*$D$59))*100</f>
        <v>70.588235294117666</v>
      </c>
      <c r="G58" s="7">
        <f ca="1">+($C58*$E$58/SUM($C58*$E$58,$C59*$E$59))*100</f>
        <v>96.428571428571416</v>
      </c>
      <c r="H58" s="8">
        <f ca="1">+$C$60/$C$58</f>
        <v>3.7777777777777772</v>
      </c>
    </row>
    <row r="59" spans="1:19" x14ac:dyDescent="0.3">
      <c r="A59" s="6">
        <v>2</v>
      </c>
      <c r="B59" s="7" t="s">
        <v>59</v>
      </c>
      <c r="C59" s="7">
        <f ca="1"/>
        <v>735.29411764705878</v>
      </c>
      <c r="D59" s="7">
        <v>1.2</v>
      </c>
      <c r="E59" s="7">
        <v>0.6</v>
      </c>
      <c r="F59" s="7">
        <f ca="1">+($C59*$D$59/SUM($C58*$D$58,$C59*$D$59))*100</f>
        <v>29.411764705882348</v>
      </c>
      <c r="G59" s="7">
        <f ca="1">+($C59*$E$59/SUM($C58*$E$58,$C59*$E$59))*100</f>
        <v>3.5714285714285707</v>
      </c>
      <c r="H59" s="8">
        <f ca="1">+$C$60/$C$59</f>
        <v>1.36</v>
      </c>
    </row>
    <row r="60" spans="1:19" x14ac:dyDescent="0.3">
      <c r="A60" s="6">
        <v>3</v>
      </c>
      <c r="B60" s="7" t="s">
        <v>56</v>
      </c>
      <c r="C60" s="7">
        <v>1000</v>
      </c>
      <c r="D60" s="7">
        <v>3</v>
      </c>
      <c r="E60" s="7">
        <v>2.5</v>
      </c>
      <c r="F60" s="7">
        <f ca="1">+SUM($F$58:$F$59)</f>
        <v>100.00000000000001</v>
      </c>
      <c r="G60" s="7">
        <f ca="1">+SUM($G$58:$G$59)</f>
        <v>99.999999999999986</v>
      </c>
      <c r="H60" s="8">
        <f>+$C$60/$C$60</f>
        <v>1</v>
      </c>
    </row>
    <row r="61" spans="1:19" x14ac:dyDescent="0.3">
      <c r="A61" s="6">
        <v>4</v>
      </c>
      <c r="B61" s="7" t="s">
        <v>98</v>
      </c>
      <c r="C61" s="7">
        <v>1000</v>
      </c>
      <c r="D61" s="7">
        <v>3</v>
      </c>
      <c r="E61" s="7">
        <v>2.5</v>
      </c>
      <c r="F61" s="7">
        <f ca="1">+(SUM(($C58*$D$58*100/$C$61),($C59*$D$59*100/$C$61))*100)/(SUM(($C58*100/$C$61),($C59*100/$C$61))*($D$61))</f>
        <v>100</v>
      </c>
      <c r="G61" s="7">
        <f ca="1">+(SUM(($C58*$E$58*100/$C$61),($C59*$E$59*100/$C$61))*100)/(SUM(($C58*100/$C$61),($C59*100/$C$61))*($E$61))</f>
        <v>494.11764705882348</v>
      </c>
      <c r="H61" s="8">
        <f>+$C$60/$C$61</f>
        <v>1</v>
      </c>
    </row>
    <row r="62" spans="1:19" x14ac:dyDescent="0.3">
      <c r="A62" s="25">
        <v>5</v>
      </c>
      <c r="B62" s="26" t="s">
        <v>99</v>
      </c>
      <c r="C62" s="26">
        <v>1000</v>
      </c>
      <c r="D62" s="26">
        <f ca="1">+SUM(($C$58*$D$58*100/$C$62),($C$59*$D$59*100/$C$62))/100</f>
        <v>3</v>
      </c>
      <c r="E62" s="26">
        <f ca="1">+SUM(($C$58*$E$58*100/$C$62),($C$59*$E$59*100/$C$62))/100</f>
        <v>12.352941176470587</v>
      </c>
      <c r="F62" s="26">
        <f ca="1">+(SUM(($C58*$D$58*100/$C$62),($C59*$D$59*100/$C$62))*100)/(SUM(($C58*100/$C$62),($C59*100/$C$62))*($D$62))</f>
        <v>100</v>
      </c>
      <c r="G62" s="26">
        <f ca="1">+(SUM(($C58*$E$58*100/$C$62),($C59*$E$59*100/$C$62))*100)/(SUM(($C58*100/$C$62),($C59*100/$C$62))*($E$62))</f>
        <v>100</v>
      </c>
      <c r="H62" s="14">
        <f>+$C$60/$C$62</f>
        <v>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90582F-2C07-4C5B-94B9-00516B310C75}">
  <sheetPr codeName="excliqlitedatasheet"/>
  <dimension ref="A1:L23"/>
  <sheetViews>
    <sheetView workbookViewId="0">
      <selection activeCell="A3" sqref="A3"/>
    </sheetView>
  </sheetViews>
  <sheetFormatPr baseColWidth="10" defaultRowHeight="14.4" x14ac:dyDescent="0.3"/>
  <cols>
    <col min="7" max="7" width="11.88671875" customWidth="1"/>
  </cols>
  <sheetData>
    <row r="1" spans="1:11" x14ac:dyDescent="0.3">
      <c r="A1" t="s">
        <v>3</v>
      </c>
      <c r="C1" t="s">
        <v>4</v>
      </c>
      <c r="D1" t="s">
        <v>5</v>
      </c>
      <c r="E1" t="s">
        <v>6</v>
      </c>
      <c r="G1" t="s">
        <v>7</v>
      </c>
      <c r="H1" t="s">
        <v>14</v>
      </c>
      <c r="I1" t="s">
        <v>17</v>
      </c>
      <c r="K1" t="s">
        <v>0</v>
      </c>
    </row>
    <row r="2" spans="1:11" x14ac:dyDescent="0.3">
      <c r="A2">
        <v>1</v>
      </c>
      <c r="C2" t="s">
        <v>8</v>
      </c>
      <c r="D2" t="s">
        <v>9</v>
      </c>
      <c r="E2" t="s">
        <v>10</v>
      </c>
      <c r="G2">
        <v>1</v>
      </c>
      <c r="H2">
        <v>1</v>
      </c>
      <c r="I2">
        <v>0</v>
      </c>
      <c r="K2" t="s">
        <v>1</v>
      </c>
    </row>
    <row r="3" spans="1:11" x14ac:dyDescent="0.3">
      <c r="A3" s="32"/>
    </row>
    <row r="4" spans="1:11" x14ac:dyDescent="0.3">
      <c r="G4" t="s">
        <v>2</v>
      </c>
      <c r="H4" t="s">
        <v>12</v>
      </c>
    </row>
    <row r="5" spans="1:11" x14ac:dyDescent="0.3">
      <c r="G5" t="s">
        <v>15</v>
      </c>
      <c r="H5" t="s">
        <v>11</v>
      </c>
    </row>
    <row r="6" spans="1:11" x14ac:dyDescent="0.3">
      <c r="G6" t="s">
        <v>16</v>
      </c>
      <c r="H6" t="s">
        <v>13</v>
      </c>
    </row>
    <row r="23" spans="12:12" x14ac:dyDescent="0.3">
      <c r="L23" s="1"/>
    </row>
  </sheetData>
  <pageMargins left="0.7" right="0.7" top="0.75" bottom="0.75" header="0.3" footer="0.3"/>
  <tableParts count="3">
    <tablePart r:id="rId1"/>
    <tablePart r:id="rId2"/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C325E4-760F-4524-9FE4-983BE46E5FF0}">
  <sheetPr codeName="Hoja1"/>
  <dimension ref="A1:H7"/>
  <sheetViews>
    <sheetView workbookViewId="0">
      <selection activeCell="A4" sqref="A4"/>
    </sheetView>
  </sheetViews>
  <sheetFormatPr baseColWidth="10" defaultRowHeight="14.4" x14ac:dyDescent="0.3"/>
  <cols>
    <col min="1" max="1" width="3.109375" customWidth="1"/>
    <col min="7" max="7" width="3.21875" customWidth="1"/>
  </cols>
  <sheetData>
    <row r="1" spans="1:8" x14ac:dyDescent="0.3">
      <c r="A1" t="s">
        <v>76</v>
      </c>
      <c r="G1" t="s">
        <v>77</v>
      </c>
    </row>
    <row r="2" spans="1:8" x14ac:dyDescent="0.3">
      <c r="A2">
        <v>0</v>
      </c>
      <c r="B2" t="s">
        <v>78</v>
      </c>
      <c r="G2">
        <v>0</v>
      </c>
      <c r="H2" t="s">
        <v>86</v>
      </c>
    </row>
    <row r="3" spans="1:8" x14ac:dyDescent="0.3">
      <c r="A3">
        <v>0</v>
      </c>
      <c r="B3" t="s">
        <v>79</v>
      </c>
      <c r="G3">
        <v>2</v>
      </c>
      <c r="H3" t="s">
        <v>80</v>
      </c>
    </row>
    <row r="4" spans="1:8" x14ac:dyDescent="0.3">
      <c r="A4">
        <v>2</v>
      </c>
      <c r="B4" t="s">
        <v>80</v>
      </c>
      <c r="G4">
        <v>2</v>
      </c>
      <c r="H4" t="s">
        <v>85</v>
      </c>
    </row>
    <row r="5" spans="1:8" x14ac:dyDescent="0.3">
      <c r="A5">
        <v>2</v>
      </c>
      <c r="B5" t="s">
        <v>81</v>
      </c>
    </row>
    <row r="6" spans="1:8" x14ac:dyDescent="0.3">
      <c r="A6">
        <v>2</v>
      </c>
      <c r="B6" t="s">
        <v>83</v>
      </c>
    </row>
    <row r="7" spans="1:8" x14ac:dyDescent="0.3">
      <c r="A7">
        <v>2</v>
      </c>
      <c r="B7" t="s">
        <v>84</v>
      </c>
    </row>
  </sheetData>
  <conditionalFormatting sqref="A2:A7">
    <cfRule type="iconSet" priority="3">
      <iconSet showValue="0">
        <cfvo type="percent" val="0"/>
        <cfvo type="num" val="1"/>
        <cfvo type="num" val="2"/>
      </iconSet>
    </cfRule>
  </conditionalFormatting>
  <conditionalFormatting sqref="G2:G3">
    <cfRule type="iconSet" priority="2">
      <iconSet showValue="0">
        <cfvo type="percent" val="0"/>
        <cfvo type="num" val="1"/>
        <cfvo type="num" val="2"/>
      </iconSet>
    </cfRule>
  </conditionalFormatting>
  <conditionalFormatting sqref="G4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</worksheet>
</file>

<file path=customUI/_rels/customUI14.xml.rels><?xml version="1.0" encoding="UTF-8" standalone="yes"?>
<Relationships xmlns="http://schemas.openxmlformats.org/package/2006/relationships"><Relationship Id="excliqlite32" Type="http://schemas.openxmlformats.org/officeDocument/2006/relationships/image" Target="images/4614a4cf-2486-4226-aa5a-e96dd33e6f96.png"/><Relationship Id="sim-balmet32" Type="http://schemas.openxmlformats.org/officeDocument/2006/relationships/image" Target="images/bef16dde-331e-459c-b016-b3365c64f715.png"/><Relationship Id="sim-linearregression32" Type="http://schemas.openxmlformats.org/officeDocument/2006/relationships/image" Target="images/343f5191-6639-4e79-a31c-e32cd5c27366.png"/><Relationship Id="hlp-help32" Type="http://schemas.openxmlformats.org/officeDocument/2006/relationships/image" Target="images/418a2035-f6ac-4c66-8586-2cecd024bc65.png"/><Relationship Id="sim-linearregression-sel32" Type="http://schemas.openxmlformats.org/officeDocument/2006/relationships/image" Target="images/1d317c20-b602-4702-89d0-264dc98e5e69.png"/><Relationship Id="sim-liqcnc32" Type="http://schemas.openxmlformats.org/officeDocument/2006/relationships/image" Target="images/51006b87-6afe-44e6-a563-c208a02152a1.png"/><Relationship Id="sim-liqmin32" Type="http://schemas.openxmlformats.org/officeDocument/2006/relationships/image" Target="images/55a08fd7-a741-4049-b9c5-cdf5c6f060e2.png"/><Relationship Id="hlp-info32" Type="http://schemas.openxmlformats.org/officeDocument/2006/relationships/image" Target="images/c84fdbf6-d3f4-41a0-804b-24b61008fdc8.png"/><Relationship Id="con-sys-setting32" Type="http://schemas.openxmlformats.org/officeDocument/2006/relationships/image" Target="images/a3e55bf9-e946-40ec-9255-e9c90e5432e4.png"/><Relationship Id="sim-balmet-sel32" Type="http://schemas.openxmlformats.org/officeDocument/2006/relationships/image" Target="images/eac3c7f0-4569-44c0-a31b-26c108234ae9.png"/><Relationship Id="sim-projection32" Type="http://schemas.openxmlformats.org/officeDocument/2006/relationships/image" Target="images/3b1679c3-cff7-48f5-9007-8b62d17ba725.png"/></Relationships>
</file>

<file path=customUI/customUI14.xml><?xml version="1.0" encoding="utf-8"?>
<customUI xmlns="http://schemas.microsoft.com/office/2009/07/customui" onLoad="ExcliqliteRibbonBegin">
  <ribbon>
    <tabs>
      <tab id="tabExcliqLite" label="Excliq Lite" insertAfterMso="TabAddIns">
        <group id="grpExcliqLiteSimulation" label="Simulaciones">
          <box id="excliqLiteSimulationBoxOne" boxStyle="vertical">
            <button id="btnexcliqliteRegression" label="Regresión Lineal" supertip="Permite obtener la Regresión lineal de muchos datos." keytip="RE" onAction="Index.ExcliqliteRibbonActionExecutor" getEnabled="Index.ExcliqliteRibbonGetEnabled" size="large" image="sim-linearregression32"/>
            <button id="btnexcliqliteBalmet" label="Balance Metalúrgico" supertip="Permite obtener los resultados de Balances Metalúrgicos de hasta cinco productos." keytip="BA" onAction="Index.ExcliqliteRibbonActionExecutor" getEnabled="Index.ExcliqliteRibbonGetEnabled" size="large" image="sim-balmet32"/>
          </box>
          <box id="excliqLiteSimulationBoxTwo" boxStyle="vertical">
            <button id="btnexcliqliteRegressionselection" label="RL Selección" supertip="Permite obtener la Regresión lineal de muchos datos a partir de una selección de celdas." keytip="R1" onAction="Index.ExcliqliteRibbonActionExecutor" getEnabled="Index.ExcliqliteRibbonGetEnabled" size="normal" image="sim-linearregression-sel32"/>
            <button id="btnexcliqliteBalmetselection" label="BalMet Selección" supertip="Permite obtener Balances Metalúrgicos de hasta cinco productos a partir de una selección de un rango de celdas." keytip="B1" onAction="Index.ExcliqliteRibbonActionExecutor" getEnabled="Index.ExcliqliteRibbonGetEnabled" size="normal" image="sim-balmet-sel32"/>
          </box>
          <separator id="excliqLiteSimulationSeparatorOne"/>
          <box id="excliqLiteSimulationBoxThree" boxStyle="vertical">
            <button id="btnexcliqliteProjection" label="Proyección Proyecto" supertip="Permite conocer la rentabilidad de un proyecto minero-metalúrgico." keytip="P" onAction="Index.ExcliqliteRibbonActionExecutor" getEnabled="Index.ExcliqliteRibbonGetEnabled" size="large" image="sim-projection32"/>
            <button id="btnexcliqliteOreinvoice" label="Liquidación Minerales" supertip="Permite realizar una liquidación de minerales." keytip="M" onAction="Index.ExcliqliteRibbonActionExecutor" getEnabled="Index.ExcliqliteRibbonGetEnabled" size="large" image="sim-liqmin32"/>
            <button id="btnexcliqliteConcentrateinvoice" label="Liquidación Concentrados" supertip="Permite realizar una liquidación de productos concentrados de minerales." keytip="L" onAction="Index.ExcliqliteRibbonActionExecutor" getEnabled="Index.ExcliqliteRibbonGetEnabled" size="large" image="sim-liqcnc32"/>
          </box>
          <dialogBoxLauncher>
            <button id="btnexcliqliteSimulationlauncher" screentip="Ver ventana de diálogo Simulaciones." keytip="T" onAction="Index.ExcliqliteRibbonActionExecutor" getEnabled="Index.ExcliqliteRibbonGetEnabled"/>
          </dialogBoxLauncher>
        </group>
        <group id="grpExcliqLiteConfig" label="Configuración">
          <button id="btnexcliqliteConfig" label="Configuración" supertip="Configurar Moneda." keytip="C" onAction="Index.ExcliqliteRibbonActionExecutor" getEnabled="Index.ExcliqliteRibbonGetEnabled" size="large" image="con-sys-setting32"/>
        </group>
        <group id="grpExcliqLiteHelp" label="Ayuda">
          <button id="btnexcliqliteHelp" label="Ayuda de Excliq Lite" supertip="Muestra la ayuda de Excliq Lite en el navegador de internet (se requiere una conexión a internet)." keytip="H" onAction="Index.ExcliqliteRibbonActionExecutor" getEnabled="Index.ExcliqliteRibbonGetEnabled" size="large" image="hlp-help32"/>
          <splitButton id="HlpSplExcliq" keytip="AB" size="large">
            <button id="btnexcliqliteAbout" label="A cerca de Excliq Lite" supertip="Muestra los créditos de Excliq Lite." onAction="Index.ExcliqliteRibbonActionExecutor" getEnabled="Index.ExcliqliteRibbonGetEnabled" image="excliqlite32"/>
            <menu id="menuHAbout" label="Acerca de Excliq Lite" supertip="Información de la versión." keytip="AL" itemSize="normal">
              <menuSeparator id="menuHAboutSeparatorB" title="Información de Licencia"/>
              <button id="btnexcliqliteLicense" label="Licencia" supertip="Muestra la Licencia de Excliq Lite." onAction="Index.ExcliqliteRibbonActionExecutor" getEnabled="Index.ExcliqliteRibbonGetEnabled" image="hlp-info32"/>
            </menu>
          </splitButton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excliqlite</vt:lpstr>
      <vt:lpstr>excliqlitedatasheet</vt:lpstr>
      <vt:lpstr>ToDo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Roccou</dc:creator>
  <cp:lastModifiedBy>Roccou</cp:lastModifiedBy>
  <cp:lastPrinted>2019-12-14T16:05:04Z</cp:lastPrinted>
  <dcterms:created xsi:type="dcterms:W3CDTF">2019-07-20T04:02:06Z</dcterms:created>
  <dcterms:modified xsi:type="dcterms:W3CDTF">2021-04-03T02:43:52Z</dcterms:modified>
</cp:coreProperties>
</file>